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aten\Documents\Kommunalfinanzen\Kalk-Tabellen\"/>
    </mc:Choice>
  </mc:AlternateContent>
  <bookViews>
    <workbookView xWindow="-20" yWindow="-20" windowWidth="14400" windowHeight="12260" activeTab="2"/>
  </bookViews>
  <sheets>
    <sheet name="Nachkalkulation" sheetId="10" r:id="rId1"/>
    <sheet name="Vorkalkulation" sheetId="4" r:id="rId2"/>
    <sheet name="Grunddaten" sheetId="7" r:id="rId3"/>
    <sheet name="Verteilerschl" sheetId="2" r:id="rId4"/>
    <sheet name="Grundgebuehren" sheetId="16" r:id="rId5"/>
    <sheet name="Betriebskosten" sheetId="13" r:id="rId6"/>
    <sheet name="Anlagegueter" sheetId="9" r:id="rId7"/>
    <sheet name="Beitraege" sheetId="12" r:id="rId8"/>
    <sheet name="Zuwendungen" sheetId="14" r:id="rId9"/>
    <sheet name="Verzinsung" sheetId="11" r:id="rId10"/>
    <sheet name="Kontrolle" sheetId="17" r:id="rId11"/>
  </sheets>
  <definedNames>
    <definedName name="Anlageg">Anlagegueter!$322:$465</definedName>
    <definedName name="Beitr">Beitraege!$128:$192</definedName>
    <definedName name="Betriebsko">Betriebskosten!$103:$114</definedName>
    <definedName name="Grund_be">Grunddaten!$C$18:$K$21</definedName>
    <definedName name="Grund_geb_ein">Grunddaten!$D$62:$L$68</definedName>
    <definedName name="Grund_me_fl">Grunddaten!$I$42:$L$46</definedName>
    <definedName name="Grund_ue_u">Grunddaten!$D$93:$L$99</definedName>
    <definedName name="Grund_zins">Grunddaten!$D$29:$L$31</definedName>
    <definedName name="Grundgeb">Grundgebuehren!$H$30:$K$31</definedName>
    <definedName name="Preisindex">#REF!</definedName>
    <definedName name="Verteil_rwgr">Verteilerschl!$6:$54</definedName>
    <definedName name="Verteil_rwst">Verteilerschl!$7:$54</definedName>
    <definedName name="Verteil_sw">Verteilerschl!$5:$54</definedName>
    <definedName name="Verzins">Verzinsung!$A$65:$L$71</definedName>
    <definedName name="Zuwend">Zuwendungen!$128:$207</definedName>
  </definedNames>
  <calcPr calcId="152511"/>
</workbook>
</file>

<file path=xl/calcChain.xml><?xml version="1.0" encoding="utf-8"?>
<calcChain xmlns="http://schemas.openxmlformats.org/spreadsheetml/2006/main">
  <c r="DV438" i="9" l="1"/>
  <c r="DX439" i="9" s="1"/>
  <c r="DI438" i="9"/>
  <c r="DK439" i="9" s="1"/>
  <c r="ED390" i="9"/>
  <c r="EC390" i="9"/>
  <c r="DQ390" i="9"/>
  <c r="DP390" i="9"/>
  <c r="EA365" i="9"/>
  <c r="EB368" i="9" s="1"/>
  <c r="DY365" i="9"/>
  <c r="DU365" i="9"/>
  <c r="DS365" i="9"/>
  <c r="DN365" i="9"/>
  <c r="DL365" i="9"/>
  <c r="DH365" i="9"/>
  <c r="DF365" i="9"/>
  <c r="DX340" i="9"/>
  <c r="DV340" i="9"/>
  <c r="DK340" i="9"/>
  <c r="DI340" i="9"/>
  <c r="CV438" i="9"/>
  <c r="CX439" i="9" s="1"/>
  <c r="CI438" i="9"/>
  <c r="CK439" i="9" s="1"/>
  <c r="BV438" i="9"/>
  <c r="BX439" i="9" s="1"/>
  <c r="DD390" i="9"/>
  <c r="DC390" i="9"/>
  <c r="CQ390" i="9"/>
  <c r="CP390" i="9"/>
  <c r="CD390" i="9"/>
  <c r="CC390" i="9"/>
  <c r="DA365" i="9"/>
  <c r="CY365" i="9"/>
  <c r="CU365" i="9"/>
  <c r="CS365" i="9"/>
  <c r="CN365" i="9"/>
  <c r="CL365" i="9"/>
  <c r="CH365" i="9"/>
  <c r="CF365" i="9"/>
  <c r="CA365" i="9"/>
  <c r="BY365" i="9"/>
  <c r="BU365" i="9"/>
  <c r="BS365" i="9"/>
  <c r="CX340" i="9"/>
  <c r="CY343" i="9" s="1"/>
  <c r="CV340" i="9"/>
  <c r="CK340" i="9"/>
  <c r="CI340" i="9"/>
  <c r="BX340" i="9"/>
  <c r="BV340" i="9"/>
  <c r="AI53" i="2"/>
  <c r="AE53" i="2"/>
  <c r="AC53" i="2"/>
  <c r="AG53" i="2" s="1"/>
  <c r="AK53" i="2" s="1"/>
  <c r="AO53" i="2" s="1"/>
  <c r="AB53" i="2"/>
  <c r="AF53" i="2" s="1"/>
  <c r="AJ53" i="2" s="1"/>
  <c r="AN53" i="2" s="1"/>
  <c r="AA53" i="2"/>
  <c r="AD53" i="2" s="1"/>
  <c r="AC52" i="2"/>
  <c r="AG52" i="2" s="1"/>
  <c r="AK52" i="2" s="1"/>
  <c r="AO52" i="2" s="1"/>
  <c r="AB52" i="2"/>
  <c r="AF52" i="2" s="1"/>
  <c r="AJ52" i="2" s="1"/>
  <c r="AN52" i="2" s="1"/>
  <c r="AA52" i="2"/>
  <c r="AI51" i="2"/>
  <c r="AE51" i="2"/>
  <c r="AC51" i="2"/>
  <c r="AG51" i="2" s="1"/>
  <c r="AK51" i="2" s="1"/>
  <c r="AO51" i="2" s="1"/>
  <c r="AB51" i="2"/>
  <c r="AF51" i="2" s="1"/>
  <c r="AJ51" i="2" s="1"/>
  <c r="AN51" i="2" s="1"/>
  <c r="AA51" i="2"/>
  <c r="AD51" i="2" s="1"/>
  <c r="AC50" i="2"/>
  <c r="AG50" i="2" s="1"/>
  <c r="AK50" i="2" s="1"/>
  <c r="AO50" i="2" s="1"/>
  <c r="AB50" i="2"/>
  <c r="AF50" i="2" s="1"/>
  <c r="AJ50" i="2" s="1"/>
  <c r="AN50" i="2" s="1"/>
  <c r="AA50" i="2"/>
  <c r="AE45" i="2"/>
  <c r="AC45" i="2"/>
  <c r="AG45" i="2" s="1"/>
  <c r="AK45" i="2" s="1"/>
  <c r="AO45" i="2" s="1"/>
  <c r="AB45" i="2"/>
  <c r="AF45" i="2" s="1"/>
  <c r="AJ45" i="2" s="1"/>
  <c r="AN45" i="2" s="1"/>
  <c r="AA45" i="2"/>
  <c r="AD45" i="2" s="1"/>
  <c r="AG44" i="2"/>
  <c r="AK44" i="2" s="1"/>
  <c r="AO44" i="2" s="1"/>
  <c r="AC44" i="2"/>
  <c r="AB44" i="2"/>
  <c r="AF44" i="2" s="1"/>
  <c r="AJ44" i="2" s="1"/>
  <c r="AN44" i="2" s="1"/>
  <c r="AA44" i="2"/>
  <c r="AE43" i="2"/>
  <c r="AC43" i="2"/>
  <c r="AG43" i="2" s="1"/>
  <c r="AK43" i="2" s="1"/>
  <c r="AO43" i="2" s="1"/>
  <c r="AB43" i="2"/>
  <c r="AF43" i="2" s="1"/>
  <c r="AJ43" i="2" s="1"/>
  <c r="AN43" i="2" s="1"/>
  <c r="AA43" i="2"/>
  <c r="AD43" i="2" s="1"/>
  <c r="AM38" i="2"/>
  <c r="AE38" i="2"/>
  <c r="AI38" i="2" s="1"/>
  <c r="AB38" i="2"/>
  <c r="AF38" i="2" s="1"/>
  <c r="AJ38" i="2" s="1"/>
  <c r="AN38" i="2" s="1"/>
  <c r="AA38" i="2"/>
  <c r="AJ37" i="2"/>
  <c r="AN37" i="2" s="1"/>
  <c r="AE37" i="2"/>
  <c r="AI37" i="2" s="1"/>
  <c r="AL37" i="2" s="1"/>
  <c r="AB37" i="2"/>
  <c r="AF37" i="2" s="1"/>
  <c r="AA37" i="2"/>
  <c r="AD37" i="2" s="1"/>
  <c r="AM36" i="2"/>
  <c r="AE36" i="2"/>
  <c r="AI36" i="2" s="1"/>
  <c r="AB36" i="2"/>
  <c r="AF36" i="2" s="1"/>
  <c r="AJ36" i="2" s="1"/>
  <c r="AN36" i="2" s="1"/>
  <c r="AA36" i="2"/>
  <c r="AC33" i="2"/>
  <c r="AG33" i="2" s="1"/>
  <c r="AK33" i="2" s="1"/>
  <c r="AO33" i="2" s="1"/>
  <c r="AB33" i="2"/>
  <c r="AF33" i="2" s="1"/>
  <c r="AA33" i="2"/>
  <c r="AE33" i="2" s="1"/>
  <c r="AI33" i="2" s="1"/>
  <c r="AM33" i="2" s="1"/>
  <c r="AC32" i="2"/>
  <c r="AG32" i="2" s="1"/>
  <c r="AK32" i="2" s="1"/>
  <c r="AO32" i="2" s="1"/>
  <c r="AB32" i="2"/>
  <c r="AF32" i="2" s="1"/>
  <c r="AA32" i="2"/>
  <c r="AE32" i="2" s="1"/>
  <c r="AI32" i="2" s="1"/>
  <c r="AM32" i="2" s="1"/>
  <c r="AC31" i="2"/>
  <c r="AG31" i="2" s="1"/>
  <c r="AK31" i="2" s="1"/>
  <c r="AO31" i="2" s="1"/>
  <c r="AB31" i="2"/>
  <c r="AF31" i="2" s="1"/>
  <c r="AA31" i="2"/>
  <c r="AE31" i="2" s="1"/>
  <c r="AI31" i="2" s="1"/>
  <c r="AM31" i="2" s="1"/>
  <c r="AJ28" i="2"/>
  <c r="AN28" i="2" s="1"/>
  <c r="AE28" i="2"/>
  <c r="AI28" i="2" s="1"/>
  <c r="AL28" i="2" s="1"/>
  <c r="AB28" i="2"/>
  <c r="AF28" i="2" s="1"/>
  <c r="AA28" i="2"/>
  <c r="AD28" i="2" s="1"/>
  <c r="AM27" i="2"/>
  <c r="AE27" i="2"/>
  <c r="AI27" i="2" s="1"/>
  <c r="AB27" i="2"/>
  <c r="AF27" i="2" s="1"/>
  <c r="AJ27" i="2" s="1"/>
  <c r="AN27" i="2" s="1"/>
  <c r="AA27" i="2"/>
  <c r="AJ26" i="2"/>
  <c r="AN26" i="2" s="1"/>
  <c r="AE26" i="2"/>
  <c r="AI26" i="2" s="1"/>
  <c r="AL26" i="2" s="1"/>
  <c r="AB26" i="2"/>
  <c r="AF26" i="2" s="1"/>
  <c r="AA26" i="2"/>
  <c r="AD26" i="2" s="1"/>
  <c r="AF23" i="2"/>
  <c r="AJ23" i="2" s="1"/>
  <c r="AN23" i="2" s="1"/>
  <c r="AC23" i="2"/>
  <c r="AG23" i="2" s="1"/>
  <c r="AK23" i="2" s="1"/>
  <c r="AO23" i="2" s="1"/>
  <c r="AB23" i="2"/>
  <c r="AD23" i="2" s="1"/>
  <c r="AA23" i="2"/>
  <c r="AE23" i="2" s="1"/>
  <c r="AI23" i="2" s="1"/>
  <c r="AM23" i="2" s="1"/>
  <c r="AF22" i="2"/>
  <c r="AJ22" i="2" s="1"/>
  <c r="AN22" i="2" s="1"/>
  <c r="AC22" i="2"/>
  <c r="AG22" i="2" s="1"/>
  <c r="AK22" i="2" s="1"/>
  <c r="AO22" i="2" s="1"/>
  <c r="AB22" i="2"/>
  <c r="AD22" i="2" s="1"/>
  <c r="AA22" i="2"/>
  <c r="AE22" i="2" s="1"/>
  <c r="AI22" i="2" s="1"/>
  <c r="AM22" i="2" s="1"/>
  <c r="AF21" i="2"/>
  <c r="AJ21" i="2" s="1"/>
  <c r="AN21" i="2" s="1"/>
  <c r="AC21" i="2"/>
  <c r="AG21" i="2" s="1"/>
  <c r="AK21" i="2" s="1"/>
  <c r="AO21" i="2" s="1"/>
  <c r="AB21" i="2"/>
  <c r="AD21" i="2" s="1"/>
  <c r="AA21" i="2"/>
  <c r="AE21" i="2" s="1"/>
  <c r="AI21" i="2" s="1"/>
  <c r="AM21" i="2" s="1"/>
  <c r="AF18" i="2"/>
  <c r="AJ18" i="2" s="1"/>
  <c r="AN18" i="2" s="1"/>
  <c r="AC18" i="2"/>
  <c r="AG18" i="2" s="1"/>
  <c r="AK18" i="2" s="1"/>
  <c r="AO18" i="2" s="1"/>
  <c r="AB18" i="2"/>
  <c r="AD18" i="2" s="1"/>
  <c r="AA18" i="2"/>
  <c r="AE18" i="2" s="1"/>
  <c r="AI18" i="2" s="1"/>
  <c r="AM18" i="2" s="1"/>
  <c r="AP18" i="2" s="1"/>
  <c r="AF17" i="2"/>
  <c r="AJ17" i="2" s="1"/>
  <c r="AN17" i="2" s="1"/>
  <c r="AC17" i="2"/>
  <c r="AG17" i="2" s="1"/>
  <c r="AK17" i="2" s="1"/>
  <c r="AO17" i="2" s="1"/>
  <c r="AB17" i="2"/>
  <c r="AD17" i="2" s="1"/>
  <c r="AA17" i="2"/>
  <c r="AE17" i="2" s="1"/>
  <c r="AI17" i="2" s="1"/>
  <c r="AM17" i="2" s="1"/>
  <c r="AP17" i="2" s="1"/>
  <c r="AF16" i="2"/>
  <c r="AJ16" i="2" s="1"/>
  <c r="AN16" i="2" s="1"/>
  <c r="AC16" i="2"/>
  <c r="AG16" i="2" s="1"/>
  <c r="AK16" i="2" s="1"/>
  <c r="AO16" i="2" s="1"/>
  <c r="AB16" i="2"/>
  <c r="AD16" i="2" s="1"/>
  <c r="AA16" i="2"/>
  <c r="AE16" i="2" s="1"/>
  <c r="AI16" i="2" s="1"/>
  <c r="AM16" i="2" s="1"/>
  <c r="AP16" i="2" s="1"/>
  <c r="AF15" i="2"/>
  <c r="AJ15" i="2" s="1"/>
  <c r="AN15" i="2" s="1"/>
  <c r="AC15" i="2"/>
  <c r="AG15" i="2" s="1"/>
  <c r="AK15" i="2" s="1"/>
  <c r="AO15" i="2" s="1"/>
  <c r="AB15" i="2"/>
  <c r="AD15" i="2" s="1"/>
  <c r="AA15" i="2"/>
  <c r="AE15" i="2" s="1"/>
  <c r="AI15" i="2" s="1"/>
  <c r="AM15" i="2" s="1"/>
  <c r="AP15" i="2" s="1"/>
  <c r="AC12" i="2"/>
  <c r="AG12" i="2" s="1"/>
  <c r="AK12" i="2" s="1"/>
  <c r="AO12" i="2" s="1"/>
  <c r="AB12" i="2"/>
  <c r="AF12" i="2" s="1"/>
  <c r="AJ12" i="2" s="1"/>
  <c r="AN12" i="2" s="1"/>
  <c r="AA12" i="2"/>
  <c r="AE12" i="2" s="1"/>
  <c r="AC11" i="2"/>
  <c r="AG11" i="2" s="1"/>
  <c r="AK11" i="2" s="1"/>
  <c r="AO11" i="2" s="1"/>
  <c r="AB11" i="2"/>
  <c r="AF11" i="2" s="1"/>
  <c r="AJ11" i="2" s="1"/>
  <c r="AN11" i="2" s="1"/>
  <c r="AA11" i="2"/>
  <c r="AE11" i="2" s="1"/>
  <c r="AC10" i="2"/>
  <c r="AG10" i="2" s="1"/>
  <c r="AK10" i="2" s="1"/>
  <c r="AO10" i="2" s="1"/>
  <c r="AB10" i="2"/>
  <c r="AF10" i="2" s="1"/>
  <c r="AJ10" i="2" s="1"/>
  <c r="AN10" i="2" s="1"/>
  <c r="AA10" i="2"/>
  <c r="AE10" i="2" s="1"/>
  <c r="AM1" i="2"/>
  <c r="AI1" i="2"/>
  <c r="AE1" i="2"/>
  <c r="AA1" i="2"/>
  <c r="W53" i="2"/>
  <c r="U53" i="2"/>
  <c r="Y53" i="2" s="1"/>
  <c r="T53" i="2"/>
  <c r="X53" i="2" s="1"/>
  <c r="S53" i="2"/>
  <c r="V53" i="2" s="1"/>
  <c r="U52" i="2"/>
  <c r="Y52" i="2" s="1"/>
  <c r="T52" i="2"/>
  <c r="X52" i="2" s="1"/>
  <c r="S52" i="2"/>
  <c r="V52" i="2" s="1"/>
  <c r="W51" i="2"/>
  <c r="U51" i="2"/>
  <c r="Y51" i="2" s="1"/>
  <c r="T51" i="2"/>
  <c r="X51" i="2" s="1"/>
  <c r="S51" i="2"/>
  <c r="V51" i="2" s="1"/>
  <c r="U50" i="2"/>
  <c r="Y50" i="2" s="1"/>
  <c r="T50" i="2"/>
  <c r="X50" i="2" s="1"/>
  <c r="S50" i="2"/>
  <c r="V50" i="2" s="1"/>
  <c r="U45" i="2"/>
  <c r="Y45" i="2" s="1"/>
  <c r="T45" i="2"/>
  <c r="X45" i="2" s="1"/>
  <c r="S45" i="2"/>
  <c r="V45" i="2" s="1"/>
  <c r="W44" i="2"/>
  <c r="U44" i="2"/>
  <c r="Y44" i="2" s="1"/>
  <c r="T44" i="2"/>
  <c r="X44" i="2" s="1"/>
  <c r="S44" i="2"/>
  <c r="V44" i="2" s="1"/>
  <c r="U43" i="2"/>
  <c r="Y43" i="2" s="1"/>
  <c r="T43" i="2"/>
  <c r="X43" i="2" s="1"/>
  <c r="S43" i="2"/>
  <c r="V43" i="2" s="1"/>
  <c r="X38" i="2"/>
  <c r="T38" i="2"/>
  <c r="S38" i="2"/>
  <c r="W38" i="2" s="1"/>
  <c r="X37" i="2"/>
  <c r="T37" i="2"/>
  <c r="S37" i="2"/>
  <c r="W37" i="2" s="1"/>
  <c r="X36" i="2"/>
  <c r="T36" i="2"/>
  <c r="S36" i="2"/>
  <c r="W36" i="2" s="1"/>
  <c r="U33" i="2"/>
  <c r="Y33" i="2" s="1"/>
  <c r="T33" i="2"/>
  <c r="X33" i="2" s="1"/>
  <c r="S33" i="2"/>
  <c r="V33" i="2" s="1"/>
  <c r="W32" i="2"/>
  <c r="U32" i="2"/>
  <c r="Y32" i="2" s="1"/>
  <c r="T32" i="2"/>
  <c r="X32" i="2" s="1"/>
  <c r="S32" i="2"/>
  <c r="V32" i="2" s="1"/>
  <c r="U31" i="2"/>
  <c r="Y31" i="2" s="1"/>
  <c r="T31" i="2"/>
  <c r="X31" i="2" s="1"/>
  <c r="S31" i="2"/>
  <c r="V31" i="2" s="1"/>
  <c r="X28" i="2"/>
  <c r="T28" i="2"/>
  <c r="S28" i="2"/>
  <c r="W28" i="2" s="1"/>
  <c r="X27" i="2"/>
  <c r="T27" i="2"/>
  <c r="S27" i="2"/>
  <c r="W27" i="2" s="1"/>
  <c r="X26" i="2"/>
  <c r="T26" i="2"/>
  <c r="S26" i="2"/>
  <c r="W26" i="2" s="1"/>
  <c r="U23" i="2"/>
  <c r="Y23" i="2" s="1"/>
  <c r="T23" i="2"/>
  <c r="X23" i="2" s="1"/>
  <c r="S23" i="2"/>
  <c r="V23" i="2" s="1"/>
  <c r="W22" i="2"/>
  <c r="U22" i="2"/>
  <c r="Y22" i="2" s="1"/>
  <c r="T22" i="2"/>
  <c r="X22" i="2" s="1"/>
  <c r="S22" i="2"/>
  <c r="V22" i="2" s="1"/>
  <c r="U21" i="2"/>
  <c r="Y21" i="2" s="1"/>
  <c r="T21" i="2"/>
  <c r="X21" i="2" s="1"/>
  <c r="S21" i="2"/>
  <c r="V21" i="2" s="1"/>
  <c r="U18" i="2"/>
  <c r="Y18" i="2" s="1"/>
  <c r="T18" i="2"/>
  <c r="X18" i="2" s="1"/>
  <c r="S18" i="2"/>
  <c r="W18" i="2" s="1"/>
  <c r="U17" i="2"/>
  <c r="Y17" i="2" s="1"/>
  <c r="T17" i="2"/>
  <c r="X17" i="2" s="1"/>
  <c r="S17" i="2"/>
  <c r="W17" i="2" s="1"/>
  <c r="Z17" i="2" s="1"/>
  <c r="U16" i="2"/>
  <c r="Y16" i="2" s="1"/>
  <c r="T16" i="2"/>
  <c r="X16" i="2" s="1"/>
  <c r="S16" i="2"/>
  <c r="W16" i="2" s="1"/>
  <c r="U15" i="2"/>
  <c r="Y15" i="2" s="1"/>
  <c r="T15" i="2"/>
  <c r="X15" i="2" s="1"/>
  <c r="S15" i="2"/>
  <c r="W15" i="2" s="1"/>
  <c r="Z15" i="2" s="1"/>
  <c r="U12" i="2"/>
  <c r="Y12" i="2" s="1"/>
  <c r="T12" i="2"/>
  <c r="X12" i="2" s="1"/>
  <c r="S12" i="2"/>
  <c r="W12" i="2" s="1"/>
  <c r="U11" i="2"/>
  <c r="Y11" i="2" s="1"/>
  <c r="T11" i="2"/>
  <c r="X11" i="2" s="1"/>
  <c r="S11" i="2"/>
  <c r="W11" i="2" s="1"/>
  <c r="Z11" i="2" s="1"/>
  <c r="U10" i="2"/>
  <c r="Y10" i="2" s="1"/>
  <c r="T10" i="2"/>
  <c r="X10" i="2" s="1"/>
  <c r="S10" i="2"/>
  <c r="W10" i="2" s="1"/>
  <c r="W1" i="2"/>
  <c r="S1" i="2"/>
  <c r="Q53" i="2"/>
  <c r="P53" i="2"/>
  <c r="O53" i="2"/>
  <c r="R53" i="2" s="1"/>
  <c r="Q52" i="2"/>
  <c r="P52" i="2"/>
  <c r="O52" i="2"/>
  <c r="R52" i="2" s="1"/>
  <c r="Q51" i="2"/>
  <c r="P51" i="2"/>
  <c r="O51" i="2"/>
  <c r="R51" i="2" s="1"/>
  <c r="Q50" i="2"/>
  <c r="P50" i="2"/>
  <c r="O50" i="2"/>
  <c r="R50" i="2" s="1"/>
  <c r="Q45" i="2"/>
  <c r="P45" i="2"/>
  <c r="R45" i="2" s="1"/>
  <c r="O45" i="2"/>
  <c r="Q44" i="2"/>
  <c r="P44" i="2"/>
  <c r="R44" i="2" s="1"/>
  <c r="O44" i="2"/>
  <c r="Q43" i="2"/>
  <c r="P43" i="2"/>
  <c r="R43" i="2" s="1"/>
  <c r="O43" i="2"/>
  <c r="P38" i="2"/>
  <c r="O38" i="2"/>
  <c r="R38" i="2" s="1"/>
  <c r="P37" i="2"/>
  <c r="O37" i="2"/>
  <c r="R37" i="2" s="1"/>
  <c r="P36" i="2"/>
  <c r="O36" i="2"/>
  <c r="R36" i="2" s="1"/>
  <c r="Q33" i="2"/>
  <c r="P33" i="2"/>
  <c r="R33" i="2" s="1"/>
  <c r="O33" i="2"/>
  <c r="Q32" i="2"/>
  <c r="P32" i="2"/>
  <c r="R32" i="2" s="1"/>
  <c r="O32" i="2"/>
  <c r="Q31" i="2"/>
  <c r="P31" i="2"/>
  <c r="R31" i="2" s="1"/>
  <c r="O31" i="2"/>
  <c r="P28" i="2"/>
  <c r="O28" i="2"/>
  <c r="R28" i="2" s="1"/>
  <c r="P27" i="2"/>
  <c r="O27" i="2"/>
  <c r="R27" i="2" s="1"/>
  <c r="P26" i="2"/>
  <c r="O26" i="2"/>
  <c r="R26" i="2" s="1"/>
  <c r="Q23" i="2"/>
  <c r="P23" i="2"/>
  <c r="R23" i="2" s="1"/>
  <c r="O23" i="2"/>
  <c r="Q22" i="2"/>
  <c r="P22" i="2"/>
  <c r="R22" i="2" s="1"/>
  <c r="O22" i="2"/>
  <c r="Q21" i="2"/>
  <c r="P21" i="2"/>
  <c r="R21" i="2" s="1"/>
  <c r="O21" i="2"/>
  <c r="Q18" i="2"/>
  <c r="P18" i="2"/>
  <c r="R18" i="2" s="1"/>
  <c r="O18" i="2"/>
  <c r="Q17" i="2"/>
  <c r="P17" i="2"/>
  <c r="R17" i="2" s="1"/>
  <c r="O17" i="2"/>
  <c r="Q16" i="2"/>
  <c r="P16" i="2"/>
  <c r="R16" i="2" s="1"/>
  <c r="O16" i="2"/>
  <c r="Q15" i="2"/>
  <c r="P15" i="2"/>
  <c r="R15" i="2" s="1"/>
  <c r="O15" i="2"/>
  <c r="Q12" i="2"/>
  <c r="P12" i="2"/>
  <c r="R12" i="2" s="1"/>
  <c r="O12" i="2"/>
  <c r="Q11" i="2"/>
  <c r="P11" i="2"/>
  <c r="R11" i="2" s="1"/>
  <c r="O11" i="2"/>
  <c r="Q10" i="2"/>
  <c r="P10" i="2"/>
  <c r="R10" i="2" s="1"/>
  <c r="O10" i="2"/>
  <c r="O1" i="2"/>
  <c r="BI438" i="9"/>
  <c r="BK439" i="9" s="1"/>
  <c r="AV438" i="9"/>
  <c r="AX439" i="9" s="1"/>
  <c r="BQ390" i="9"/>
  <c r="BP390" i="9"/>
  <c r="BD390" i="9"/>
  <c r="BC390" i="9"/>
  <c r="BN365" i="9"/>
  <c r="BL365" i="9"/>
  <c r="BH365" i="9"/>
  <c r="BF365" i="9"/>
  <c r="BA365" i="9"/>
  <c r="AY365" i="9"/>
  <c r="AU365" i="9"/>
  <c r="AS365" i="9"/>
  <c r="BK340" i="9"/>
  <c r="BI340" i="9"/>
  <c r="AX340" i="9"/>
  <c r="AV340" i="9"/>
  <c r="AI438" i="9"/>
  <c r="AK439" i="9" s="1"/>
  <c r="AQ390" i="9"/>
  <c r="AP390" i="9"/>
  <c r="AN365" i="9"/>
  <c r="AO367" i="9" s="1"/>
  <c r="AL365" i="9"/>
  <c r="AH365" i="9"/>
  <c r="AF365" i="9"/>
  <c r="AK340" i="9"/>
  <c r="AI340" i="9"/>
  <c r="AM365" i="9" l="1"/>
  <c r="AO366" i="9"/>
  <c r="AO368" i="9"/>
  <c r="DL343" i="9"/>
  <c r="DL342" i="9"/>
  <c r="DL341" i="9"/>
  <c r="DY343" i="9"/>
  <c r="DY342" i="9"/>
  <c r="DY341" i="9"/>
  <c r="DJ343" i="9"/>
  <c r="DJ342" i="9"/>
  <c r="DJ341" i="9"/>
  <c r="DW343" i="9"/>
  <c r="DW342" i="9"/>
  <c r="DW341" i="9"/>
  <c r="DO368" i="9"/>
  <c r="DO367" i="9"/>
  <c r="DO366" i="9"/>
  <c r="DM365" i="9"/>
  <c r="DZ365" i="9"/>
  <c r="EB366" i="9"/>
  <c r="EB367" i="9"/>
  <c r="BY343" i="9"/>
  <c r="BY342" i="9"/>
  <c r="BY341" i="9"/>
  <c r="CL343" i="9"/>
  <c r="CL342" i="9"/>
  <c r="CL341" i="9"/>
  <c r="BW343" i="9"/>
  <c r="BW342" i="9"/>
  <c r="BW341" i="9"/>
  <c r="CJ343" i="9"/>
  <c r="CJ342" i="9"/>
  <c r="CJ341" i="9"/>
  <c r="CW343" i="9"/>
  <c r="CW342" i="9"/>
  <c r="CW341" i="9"/>
  <c r="CY341" i="9"/>
  <c r="CY342" i="9"/>
  <c r="CO368" i="9"/>
  <c r="CO367" i="9"/>
  <c r="CO366" i="9"/>
  <c r="CM365" i="9"/>
  <c r="CB368" i="9"/>
  <c r="CB367" i="9"/>
  <c r="CB366" i="9"/>
  <c r="BZ365" i="9"/>
  <c r="DB368" i="9"/>
  <c r="DB367" i="9"/>
  <c r="DB366" i="9"/>
  <c r="CZ365" i="9"/>
  <c r="AI10" i="2"/>
  <c r="AH10" i="2"/>
  <c r="AI12" i="2"/>
  <c r="AH12" i="2"/>
  <c r="AJ32" i="2"/>
  <c r="AH32" i="2"/>
  <c r="AP36" i="2"/>
  <c r="AP38" i="2"/>
  <c r="AI11" i="2"/>
  <c r="AH11" i="2"/>
  <c r="AP21" i="2"/>
  <c r="AP22" i="2"/>
  <c r="AP23" i="2"/>
  <c r="AP27" i="2"/>
  <c r="AJ31" i="2"/>
  <c r="AH31" i="2"/>
  <c r="AJ33" i="2"/>
  <c r="AH33" i="2"/>
  <c r="AD10" i="2"/>
  <c r="AD11" i="2"/>
  <c r="AD12" i="2"/>
  <c r="AH27" i="2"/>
  <c r="AD31" i="2"/>
  <c r="AD32" i="2"/>
  <c r="AD33" i="2"/>
  <c r="AH36" i="2"/>
  <c r="AH38" i="2"/>
  <c r="AH43" i="2"/>
  <c r="AH45" i="2"/>
  <c r="AD50" i="2"/>
  <c r="AE50" i="2"/>
  <c r="AL51" i="2"/>
  <c r="AD52" i="2"/>
  <c r="AE52" i="2"/>
  <c r="AL53" i="2"/>
  <c r="AH15" i="2"/>
  <c r="AL15" i="2"/>
  <c r="AH16" i="2"/>
  <c r="AL16" i="2"/>
  <c r="AH17" i="2"/>
  <c r="AL17" i="2"/>
  <c r="AH18" i="2"/>
  <c r="AL18" i="2"/>
  <c r="AH21" i="2"/>
  <c r="AL21" i="2"/>
  <c r="AH22" i="2"/>
  <c r="AL22" i="2"/>
  <c r="AH23" i="2"/>
  <c r="AL23" i="2"/>
  <c r="AH26" i="2"/>
  <c r="AM26" i="2"/>
  <c r="AP26" i="2" s="1"/>
  <c r="AD27" i="2"/>
  <c r="AL27" i="2"/>
  <c r="AH28" i="2"/>
  <c r="AM28" i="2"/>
  <c r="AP28" i="2" s="1"/>
  <c r="AD36" i="2"/>
  <c r="AL36" i="2"/>
  <c r="AH37" i="2"/>
  <c r="AM37" i="2"/>
  <c r="AP37" i="2" s="1"/>
  <c r="AD38" i="2"/>
  <c r="AL38" i="2"/>
  <c r="AI43" i="2"/>
  <c r="AD44" i="2"/>
  <c r="AE44" i="2"/>
  <c r="AI45" i="2"/>
  <c r="AH51" i="2"/>
  <c r="AM51" i="2"/>
  <c r="AP51" i="2" s="1"/>
  <c r="AH53" i="2"/>
  <c r="AM53" i="2"/>
  <c r="AP53" i="2" s="1"/>
  <c r="Z10" i="2"/>
  <c r="Z12" i="2"/>
  <c r="Z16" i="2"/>
  <c r="Z18" i="2"/>
  <c r="V10" i="2"/>
  <c r="V11" i="2"/>
  <c r="V12" i="2"/>
  <c r="V15" i="2"/>
  <c r="V16" i="2"/>
  <c r="V17" i="2"/>
  <c r="V18" i="2"/>
  <c r="Z22" i="2"/>
  <c r="Z32" i="2"/>
  <c r="Z44" i="2"/>
  <c r="Z51" i="2"/>
  <c r="Z53" i="2"/>
  <c r="W21" i="2"/>
  <c r="Z21" i="2" s="1"/>
  <c r="W23" i="2"/>
  <c r="Z23" i="2" s="1"/>
  <c r="Z26" i="2"/>
  <c r="V26" i="2"/>
  <c r="Z27" i="2"/>
  <c r="V27" i="2"/>
  <c r="Z28" i="2"/>
  <c r="V28" i="2"/>
  <c r="W31" i="2"/>
  <c r="Z31" i="2" s="1"/>
  <c r="W33" i="2"/>
  <c r="Z33" i="2" s="1"/>
  <c r="Z36" i="2"/>
  <c r="V36" i="2"/>
  <c r="Z37" i="2"/>
  <c r="V37" i="2"/>
  <c r="Z38" i="2"/>
  <c r="V38" i="2"/>
  <c r="W43" i="2"/>
  <c r="Z43" i="2" s="1"/>
  <c r="W45" i="2"/>
  <c r="Z45" i="2" s="1"/>
  <c r="W50" i="2"/>
  <c r="Z50" i="2" s="1"/>
  <c r="W52" i="2"/>
  <c r="Z52" i="2" s="1"/>
  <c r="AO365" i="9"/>
  <c r="AW343" i="9"/>
  <c r="AW342" i="9"/>
  <c r="AW341" i="9"/>
  <c r="BJ343" i="9"/>
  <c r="BJ342" i="9"/>
  <c r="BJ341" i="9"/>
  <c r="BB368" i="9"/>
  <c r="BB367" i="9"/>
  <c r="BB366" i="9"/>
  <c r="AZ365" i="9"/>
  <c r="AY343" i="9"/>
  <c r="AY342" i="9"/>
  <c r="AY341" i="9"/>
  <c r="BL343" i="9"/>
  <c r="BL342" i="9"/>
  <c r="BL341" i="9"/>
  <c r="BO368" i="9"/>
  <c r="BO367" i="9"/>
  <c r="BO366" i="9"/>
  <c r="BM365" i="9"/>
  <c r="AJ343" i="9"/>
  <c r="AJ342" i="9"/>
  <c r="AJ341" i="9"/>
  <c r="AL343" i="9"/>
  <c r="AL342" i="9"/>
  <c r="AL341" i="9"/>
  <c r="K1" i="2"/>
  <c r="EB365" i="9" l="1"/>
  <c r="DW340" i="9"/>
  <c r="DY340" i="9"/>
  <c r="CW340" i="9"/>
  <c r="BW340" i="9"/>
  <c r="BY340" i="9"/>
  <c r="DO365" i="9"/>
  <c r="DJ340" i="9"/>
  <c r="DL340" i="9"/>
  <c r="DB365" i="9"/>
  <c r="CB365" i="9"/>
  <c r="CO365" i="9"/>
  <c r="CY340" i="9"/>
  <c r="CJ340" i="9"/>
  <c r="CL340" i="9"/>
  <c r="AH44" i="2"/>
  <c r="AI44" i="2"/>
  <c r="AL43" i="2"/>
  <c r="AM43" i="2"/>
  <c r="AP43" i="2" s="1"/>
  <c r="AH50" i="2"/>
  <c r="AI50" i="2"/>
  <c r="AJ340" i="9"/>
  <c r="BL340" i="9"/>
  <c r="BJ340" i="9"/>
  <c r="AL45" i="2"/>
  <c r="AM45" i="2"/>
  <c r="AP45" i="2" s="1"/>
  <c r="AH52" i="2"/>
  <c r="AI52" i="2"/>
  <c r="AN33" i="2"/>
  <c r="AP33" i="2" s="1"/>
  <c r="AL33" i="2"/>
  <c r="AN31" i="2"/>
  <c r="AP31" i="2" s="1"/>
  <c r="AL31" i="2"/>
  <c r="AM11" i="2"/>
  <c r="AP11" i="2" s="1"/>
  <c r="AL11" i="2"/>
  <c r="AN32" i="2"/>
  <c r="AP32" i="2" s="1"/>
  <c r="AL32" i="2"/>
  <c r="AM12" i="2"/>
  <c r="AP12" i="2" s="1"/>
  <c r="AL12" i="2"/>
  <c r="AM10" i="2"/>
  <c r="AP10" i="2" s="1"/>
  <c r="AL10" i="2"/>
  <c r="BO365" i="9"/>
  <c r="AY340" i="9"/>
  <c r="BB365" i="9"/>
  <c r="AW340" i="9"/>
  <c r="AL340" i="9"/>
  <c r="H17" i="7"/>
  <c r="AL52" i="2" l="1"/>
  <c r="AM52" i="2"/>
  <c r="AP52" i="2" s="1"/>
  <c r="AL44" i="2"/>
  <c r="AM44" i="2"/>
  <c r="AP44" i="2" s="1"/>
  <c r="AL50" i="2"/>
  <c r="AM50" i="2"/>
  <c r="AP50" i="2" s="1"/>
  <c r="B69" i="7"/>
  <c r="E66" i="7"/>
  <c r="F66" i="7"/>
  <c r="G66" i="7"/>
  <c r="H66" i="7"/>
  <c r="E67" i="7"/>
  <c r="F67" i="7"/>
  <c r="G67" i="7"/>
  <c r="H67" i="7"/>
  <c r="D67" i="7"/>
  <c r="D66" i="7"/>
  <c r="J64" i="7"/>
  <c r="K64" i="7"/>
  <c r="L64" i="7"/>
  <c r="I64" i="7"/>
  <c r="E13" i="7" l="1"/>
  <c r="H13" i="7" s="1"/>
  <c r="A71" i="11" l="1"/>
  <c r="B31" i="16"/>
  <c r="C114" i="13"/>
  <c r="I97" i="7"/>
  <c r="B47" i="7"/>
  <c r="A22" i="7" l="1"/>
  <c r="ED167" i="12" l="1"/>
  <c r="EC167" i="12"/>
  <c r="DQ167" i="12"/>
  <c r="DP167" i="12"/>
  <c r="DD167" i="12"/>
  <c r="DC167" i="12"/>
  <c r="CQ167" i="12"/>
  <c r="CP167" i="12"/>
  <c r="CD167" i="12"/>
  <c r="CC167" i="12"/>
  <c r="BQ167" i="12"/>
  <c r="BP167" i="12"/>
  <c r="BD167" i="12"/>
  <c r="BC167" i="12"/>
  <c r="AQ167" i="12"/>
  <c r="AP167" i="12"/>
  <c r="ED156" i="12"/>
  <c r="EC156" i="12"/>
  <c r="DQ156" i="12"/>
  <c r="DP156" i="12"/>
  <c r="DD156" i="12"/>
  <c r="DC156" i="12"/>
  <c r="CQ156" i="12"/>
  <c r="CP156" i="12"/>
  <c r="CD156" i="12"/>
  <c r="CC156" i="12"/>
  <c r="BQ156" i="12"/>
  <c r="BP156" i="12"/>
  <c r="BD156" i="12"/>
  <c r="BC156" i="12"/>
  <c r="AQ156" i="12"/>
  <c r="AP156" i="12"/>
  <c r="EA154" i="12"/>
  <c r="DZ154" i="12"/>
  <c r="DY154" i="12"/>
  <c r="DU154" i="12"/>
  <c r="DS154" i="12"/>
  <c r="DN154" i="12"/>
  <c r="DM154" i="12"/>
  <c r="DL154" i="12"/>
  <c r="DH154" i="12"/>
  <c r="DF154" i="12"/>
  <c r="DA154" i="12"/>
  <c r="CZ154" i="12"/>
  <c r="CY154" i="12"/>
  <c r="CU154" i="12"/>
  <c r="CS154" i="12"/>
  <c r="CN154" i="12"/>
  <c r="CM154" i="12"/>
  <c r="CL154" i="12"/>
  <c r="CH154" i="12"/>
  <c r="CF154" i="12"/>
  <c r="CA154" i="12"/>
  <c r="BZ154" i="12"/>
  <c r="BY154" i="12"/>
  <c r="BU154" i="12"/>
  <c r="BS154" i="12"/>
  <c r="BN154" i="12"/>
  <c r="BM154" i="12"/>
  <c r="BL154" i="12"/>
  <c r="BH154" i="12"/>
  <c r="BF154" i="12"/>
  <c r="BA154" i="12"/>
  <c r="AZ154" i="12"/>
  <c r="AY154" i="12"/>
  <c r="AU154" i="12"/>
  <c r="AS154" i="12"/>
  <c r="AN154" i="12"/>
  <c r="AM154" i="12"/>
  <c r="AL154" i="12"/>
  <c r="AH154" i="12"/>
  <c r="AF154" i="12"/>
  <c r="EA143" i="12"/>
  <c r="DY143" i="12"/>
  <c r="DU143" i="12"/>
  <c r="DS143" i="12"/>
  <c r="DN143" i="12"/>
  <c r="DL143" i="12"/>
  <c r="DH143" i="12"/>
  <c r="DF143" i="12"/>
  <c r="DA143" i="12"/>
  <c r="CY143" i="12"/>
  <c r="CU143" i="12"/>
  <c r="CS143" i="12"/>
  <c r="CN143" i="12"/>
  <c r="CL143" i="12"/>
  <c r="CH143" i="12"/>
  <c r="CF143" i="12"/>
  <c r="CA143" i="12"/>
  <c r="BY143" i="12"/>
  <c r="BU143" i="12"/>
  <c r="BS143" i="12"/>
  <c r="BN143" i="12"/>
  <c r="BL143" i="12"/>
  <c r="BH143" i="12"/>
  <c r="BF143" i="12"/>
  <c r="BA143" i="12"/>
  <c r="AY143" i="12"/>
  <c r="AU143" i="12"/>
  <c r="AS143" i="12"/>
  <c r="AN143" i="12"/>
  <c r="AL143" i="12"/>
  <c r="AH143" i="12"/>
  <c r="AF143" i="12"/>
  <c r="DX141" i="12"/>
  <c r="DV141" i="12"/>
  <c r="DK141" i="12"/>
  <c r="DI141" i="12"/>
  <c r="CX141" i="12"/>
  <c r="CV141" i="12"/>
  <c r="CK141" i="12"/>
  <c r="CI141" i="12"/>
  <c r="BX141" i="12"/>
  <c r="BV141" i="12"/>
  <c r="BK141" i="12"/>
  <c r="BI141" i="12"/>
  <c r="AX141" i="12"/>
  <c r="AV141" i="12"/>
  <c r="AK141" i="12"/>
  <c r="AI141" i="12"/>
  <c r="DX130" i="12"/>
  <c r="DV130" i="12"/>
  <c r="DK130" i="12"/>
  <c r="DI130" i="12"/>
  <c r="CX130" i="12"/>
  <c r="CV130" i="12"/>
  <c r="CK130" i="12"/>
  <c r="CI130" i="12"/>
  <c r="BX130" i="12"/>
  <c r="BV130" i="12"/>
  <c r="BK130" i="12"/>
  <c r="BI130" i="12"/>
  <c r="AX130" i="12"/>
  <c r="AV130" i="12"/>
  <c r="AK130" i="12"/>
  <c r="AI130" i="12"/>
  <c r="AZ143" i="12" l="1"/>
  <c r="BZ143" i="12"/>
  <c r="CZ143" i="12"/>
  <c r="DZ143" i="12"/>
  <c r="AL132" i="12"/>
  <c r="AL131" i="12"/>
  <c r="AY132" i="12"/>
  <c r="AY131" i="12"/>
  <c r="BL132" i="12"/>
  <c r="BL131" i="12"/>
  <c r="BY132" i="12"/>
  <c r="BY131" i="12"/>
  <c r="CL132" i="12"/>
  <c r="CL131" i="12"/>
  <c r="CY132" i="12"/>
  <c r="CY131" i="12"/>
  <c r="DL132" i="12"/>
  <c r="DL131" i="12"/>
  <c r="DY132" i="12"/>
  <c r="DY131" i="12"/>
  <c r="AJ132" i="12"/>
  <c r="AJ131" i="12"/>
  <c r="AW132" i="12"/>
  <c r="AW131" i="12"/>
  <c r="BJ132" i="12"/>
  <c r="BJ131" i="12"/>
  <c r="BW132" i="12"/>
  <c r="BW131" i="12"/>
  <c r="CJ132" i="12"/>
  <c r="CJ131" i="12"/>
  <c r="CW132" i="12"/>
  <c r="CW131" i="12"/>
  <c r="DJ132" i="12"/>
  <c r="DJ131" i="12"/>
  <c r="DW132" i="12"/>
  <c r="DW131" i="12"/>
  <c r="AM143" i="12"/>
  <c r="BM143" i="12"/>
  <c r="CM143" i="12"/>
  <c r="DM143" i="12"/>
  <c r="AJ130" i="12" l="1"/>
  <c r="DL130" i="12"/>
  <c r="CL130" i="12"/>
  <c r="BL130" i="12"/>
  <c r="AL130" i="12"/>
  <c r="DJ130" i="12"/>
  <c r="CJ130" i="12"/>
  <c r="BJ130" i="12"/>
  <c r="DW130" i="12"/>
  <c r="CW130" i="12"/>
  <c r="BW130" i="12"/>
  <c r="AW130" i="12"/>
  <c r="DY130" i="12"/>
  <c r="CY130" i="12"/>
  <c r="BY130" i="12"/>
  <c r="AY130" i="12"/>
  <c r="H8" i="7" l="1"/>
  <c r="C6" i="4" l="1"/>
  <c r="A4" i="10"/>
  <c r="D16" i="7"/>
  <c r="E11" i="7"/>
  <c r="H11" i="7"/>
  <c r="E6" i="4" l="1"/>
  <c r="I74" i="7"/>
  <c r="I50" i="7"/>
  <c r="I62" i="7" s="1"/>
  <c r="I39" i="7"/>
  <c r="I34" i="7"/>
  <c r="G6" i="4" l="1"/>
  <c r="J74" i="7"/>
  <c r="J50" i="7"/>
  <c r="J62" i="7" s="1"/>
  <c r="J39" i="7"/>
  <c r="J34" i="7"/>
  <c r="E61" i="7"/>
  <c r="E68" i="7" s="1"/>
  <c r="F61" i="7"/>
  <c r="F68" i="7" s="1"/>
  <c r="G61" i="7"/>
  <c r="G68" i="7" s="1"/>
  <c r="H61" i="7"/>
  <c r="H68" i="7" s="1"/>
  <c r="D61" i="7"/>
  <c r="D68" i="7" s="1"/>
  <c r="I6" i="4" l="1"/>
  <c r="K74" i="7"/>
  <c r="K50" i="7"/>
  <c r="K62" i="7" s="1"/>
  <c r="K39" i="7"/>
  <c r="K34" i="7"/>
  <c r="D57" i="7"/>
  <c r="E57" i="7"/>
  <c r="F57" i="7"/>
  <c r="G57" i="7"/>
  <c r="H57" i="7"/>
  <c r="L74" i="7" l="1"/>
  <c r="L50" i="7"/>
  <c r="L62" i="7" s="1"/>
  <c r="L39" i="7"/>
  <c r="L34" i="7"/>
  <c r="C3" i="17"/>
  <c r="A1" i="17" l="1"/>
  <c r="D3" i="17" l="1"/>
  <c r="E3" i="17" l="1"/>
  <c r="F3" i="17" l="1"/>
  <c r="G3" i="17" l="1"/>
  <c r="H3" i="17" l="1"/>
  <c r="I3" i="17" l="1"/>
  <c r="B27" i="4"/>
  <c r="J3" i="17" l="1"/>
  <c r="A1" i="16"/>
  <c r="K3" i="17" l="1"/>
  <c r="B43" i="4" l="1"/>
  <c r="F129" i="14" l="1"/>
  <c r="F129" i="12"/>
  <c r="A1" i="11" l="1"/>
  <c r="A1" i="14"/>
  <c r="A1" i="12"/>
  <c r="A1" i="9"/>
  <c r="A1" i="13"/>
  <c r="B58" i="4"/>
  <c r="B41" i="4"/>
  <c r="A2" i="4"/>
  <c r="A1" i="4"/>
  <c r="A2" i="10"/>
  <c r="A1" i="10"/>
  <c r="G27" i="16" l="1"/>
  <c r="F27" i="16"/>
  <c r="E27" i="16"/>
  <c r="D27" i="16"/>
  <c r="K26" i="16"/>
  <c r="J26" i="16"/>
  <c r="I26" i="16"/>
  <c r="H26" i="16"/>
  <c r="K25" i="16"/>
  <c r="J25" i="16"/>
  <c r="I25" i="16"/>
  <c r="H25" i="16"/>
  <c r="K24" i="16"/>
  <c r="J24" i="16"/>
  <c r="I24" i="16"/>
  <c r="H24" i="16"/>
  <c r="K23" i="16"/>
  <c r="J23" i="16"/>
  <c r="I23" i="16"/>
  <c r="H23" i="16"/>
  <c r="K22" i="16"/>
  <c r="J22" i="16"/>
  <c r="I22" i="16"/>
  <c r="H22" i="16"/>
  <c r="K21" i="16"/>
  <c r="J21" i="16"/>
  <c r="I21" i="16"/>
  <c r="H21" i="16"/>
  <c r="K20" i="16"/>
  <c r="J20" i="16"/>
  <c r="I20" i="16"/>
  <c r="H20" i="16"/>
  <c r="K19" i="16"/>
  <c r="K27" i="16" s="1"/>
  <c r="J19" i="16"/>
  <c r="J27" i="16" s="1"/>
  <c r="I19" i="16"/>
  <c r="I27" i="16" s="1"/>
  <c r="H19" i="16"/>
  <c r="H27" i="16" s="1"/>
  <c r="G14" i="16"/>
  <c r="G29" i="16" s="1"/>
  <c r="F14" i="16"/>
  <c r="F29" i="16" s="1"/>
  <c r="E14" i="16"/>
  <c r="E29" i="16" s="1"/>
  <c r="D14" i="16"/>
  <c r="D29" i="16" s="1"/>
  <c r="K13" i="16"/>
  <c r="J13" i="16"/>
  <c r="I13" i="16"/>
  <c r="H13" i="16"/>
  <c r="K12" i="16"/>
  <c r="J12" i="16"/>
  <c r="I12" i="16"/>
  <c r="H12" i="16"/>
  <c r="K11" i="16"/>
  <c r="J11" i="16"/>
  <c r="I11" i="16"/>
  <c r="H11" i="16"/>
  <c r="K10" i="16"/>
  <c r="J10" i="16"/>
  <c r="I10" i="16"/>
  <c r="H10" i="16"/>
  <c r="K9" i="16"/>
  <c r="J9" i="16"/>
  <c r="I9" i="16"/>
  <c r="H9" i="16"/>
  <c r="K8" i="16"/>
  <c r="J8" i="16"/>
  <c r="I8" i="16"/>
  <c r="H8" i="16"/>
  <c r="K7" i="16"/>
  <c r="J7" i="16"/>
  <c r="I7" i="16"/>
  <c r="H7" i="16"/>
  <c r="K6" i="16"/>
  <c r="K14" i="16" s="1"/>
  <c r="K29" i="16" s="1"/>
  <c r="K31" i="16" s="1"/>
  <c r="J6" i="16"/>
  <c r="J14" i="16" s="1"/>
  <c r="J29" i="16" s="1"/>
  <c r="J31" i="16" s="1"/>
  <c r="I6" i="16"/>
  <c r="I14" i="16" s="1"/>
  <c r="I29" i="16" s="1"/>
  <c r="I31" i="16" s="1"/>
  <c r="H6" i="16"/>
  <c r="H14" i="16" s="1"/>
  <c r="H29" i="16" s="1"/>
  <c r="H31" i="16" s="1"/>
  <c r="B39" i="10" l="1"/>
  <c r="B27" i="10"/>
  <c r="J43" i="7" l="1"/>
  <c r="K43" i="7"/>
  <c r="L43" i="7"/>
  <c r="J44" i="7"/>
  <c r="K44" i="7"/>
  <c r="L44" i="7"/>
  <c r="J45" i="7"/>
  <c r="K45" i="7"/>
  <c r="L45" i="7"/>
  <c r="J46" i="7"/>
  <c r="K46" i="7"/>
  <c r="L46" i="7"/>
  <c r="I46" i="7"/>
  <c r="I45" i="7"/>
  <c r="I44" i="7"/>
  <c r="I43" i="7"/>
  <c r="B83" i="7" l="1"/>
  <c r="B92" i="7"/>
  <c r="E32" i="12"/>
  <c r="A407" i="9" l="1"/>
  <c r="X141" i="12" l="1"/>
  <c r="F323" i="9" l="1"/>
  <c r="M45" i="2" l="1"/>
  <c r="M44" i="2"/>
  <c r="M43" i="2"/>
  <c r="BN101" i="13" l="1"/>
  <c r="BM101" i="13"/>
  <c r="BL101" i="13"/>
  <c r="BO100" i="13"/>
  <c r="BO99" i="13"/>
  <c r="BO98" i="13"/>
  <c r="BO97" i="13"/>
  <c r="BO96" i="13"/>
  <c r="BO95" i="13"/>
  <c r="BO94" i="13"/>
  <c r="BO93" i="13"/>
  <c r="BO92" i="13"/>
  <c r="BO91" i="13"/>
  <c r="BO90" i="13"/>
  <c r="BO89" i="13"/>
  <c r="BO88" i="13"/>
  <c r="BO87" i="13"/>
  <c r="BO86" i="13"/>
  <c r="BO85" i="13"/>
  <c r="BO84" i="13"/>
  <c r="BO83" i="13"/>
  <c r="BO82" i="13"/>
  <c r="BO81" i="13"/>
  <c r="BO80" i="13"/>
  <c r="BO79" i="13"/>
  <c r="BO78" i="13"/>
  <c r="BO77" i="13"/>
  <c r="BO76" i="13"/>
  <c r="BO75" i="13"/>
  <c r="BO74" i="13"/>
  <c r="BO73" i="13"/>
  <c r="BO72" i="13"/>
  <c r="BO71" i="13"/>
  <c r="BO70" i="13"/>
  <c r="BO69" i="13"/>
  <c r="BO68" i="13"/>
  <c r="BO67" i="13"/>
  <c r="BO66" i="13"/>
  <c r="BO65" i="13"/>
  <c r="BO64" i="13"/>
  <c r="BO63" i="13"/>
  <c r="BO62" i="13"/>
  <c r="BO61" i="13"/>
  <c r="BO60" i="13"/>
  <c r="BO59" i="13"/>
  <c r="BO58" i="13"/>
  <c r="BO57" i="13"/>
  <c r="BO56" i="13"/>
  <c r="BO55" i="13"/>
  <c r="BO54" i="13"/>
  <c r="BO53" i="13"/>
  <c r="BO52" i="13"/>
  <c r="BO51" i="13"/>
  <c r="BO50" i="13"/>
  <c r="BO49" i="13"/>
  <c r="BO48" i="13"/>
  <c r="BO47" i="13"/>
  <c r="BO46" i="13"/>
  <c r="BO45" i="13"/>
  <c r="BO44" i="13"/>
  <c r="BO43" i="13"/>
  <c r="BO42" i="13"/>
  <c r="BO41" i="13"/>
  <c r="BO40" i="13"/>
  <c r="BO39" i="13"/>
  <c r="BO38" i="13"/>
  <c r="BO37" i="13"/>
  <c r="BO36" i="13"/>
  <c r="BO35" i="13"/>
  <c r="BO34" i="13"/>
  <c r="BO33" i="13"/>
  <c r="BO32" i="13"/>
  <c r="BO31" i="13"/>
  <c r="BO30" i="13"/>
  <c r="BM29" i="13"/>
  <c r="BN27" i="13"/>
  <c r="BM27" i="13"/>
  <c r="BL27" i="13"/>
  <c r="BO26" i="13"/>
  <c r="BO25" i="13"/>
  <c r="BO24" i="13"/>
  <c r="BO23" i="13"/>
  <c r="BO22" i="13"/>
  <c r="BO21" i="13"/>
  <c r="BO20" i="13"/>
  <c r="BO19" i="13"/>
  <c r="BO18" i="13"/>
  <c r="BO17" i="13"/>
  <c r="BO16" i="13"/>
  <c r="BO15" i="13"/>
  <c r="BO14" i="13"/>
  <c r="BO13" i="13"/>
  <c r="BO12" i="13"/>
  <c r="BO11" i="13"/>
  <c r="BO10" i="13"/>
  <c r="BO9" i="13"/>
  <c r="BO8" i="13"/>
  <c r="BO27" i="13" s="1"/>
  <c r="BL105" i="13" s="1"/>
  <c r="BG101" i="13"/>
  <c r="BF101" i="13"/>
  <c r="BE101" i="13"/>
  <c r="BH100" i="13"/>
  <c r="BH99" i="13"/>
  <c r="BH98" i="13"/>
  <c r="BH97" i="13"/>
  <c r="BH96" i="13"/>
  <c r="BH95" i="13"/>
  <c r="BH94" i="13"/>
  <c r="BH93" i="13"/>
  <c r="BH92" i="13"/>
  <c r="BH91" i="13"/>
  <c r="BH90" i="13"/>
  <c r="BH89" i="13"/>
  <c r="BH88" i="13"/>
  <c r="BH87" i="13"/>
  <c r="BH86" i="13"/>
  <c r="BH85" i="13"/>
  <c r="BH84" i="13"/>
  <c r="BH83" i="13"/>
  <c r="BH82" i="13"/>
  <c r="BH81" i="13"/>
  <c r="BH80" i="13"/>
  <c r="BH79" i="13"/>
  <c r="BH78" i="13"/>
  <c r="BH77" i="13"/>
  <c r="BH76" i="13"/>
  <c r="BH7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4" i="13"/>
  <c r="BH43" i="13"/>
  <c r="BH42" i="13"/>
  <c r="BH41" i="13"/>
  <c r="BH40" i="13"/>
  <c r="BH39" i="13"/>
  <c r="BH38" i="13"/>
  <c r="BH37" i="13"/>
  <c r="BH36" i="13"/>
  <c r="BH35" i="13"/>
  <c r="BH34" i="13"/>
  <c r="BH33" i="13"/>
  <c r="BH32" i="13"/>
  <c r="BH31" i="13"/>
  <c r="BH30" i="13"/>
  <c r="BF29" i="13"/>
  <c r="BG27" i="13"/>
  <c r="BF27" i="13"/>
  <c r="BE27" i="13"/>
  <c r="BH26" i="13"/>
  <c r="BH25" i="13"/>
  <c r="BH24" i="13"/>
  <c r="BH23" i="13"/>
  <c r="BH22" i="13"/>
  <c r="BH21" i="13"/>
  <c r="BH20" i="13"/>
  <c r="BH19" i="13"/>
  <c r="BH18" i="13"/>
  <c r="BH17" i="13"/>
  <c r="BH16" i="13"/>
  <c r="BH15" i="13"/>
  <c r="BH14" i="13"/>
  <c r="BH13" i="13"/>
  <c r="BH12" i="13"/>
  <c r="BH11" i="13"/>
  <c r="BH10" i="13"/>
  <c r="BH9" i="13"/>
  <c r="BH8" i="13"/>
  <c r="BH27" i="13" s="1"/>
  <c r="BE105" i="13" s="1"/>
  <c r="AZ101" i="13"/>
  <c r="AY101" i="13"/>
  <c r="AX101" i="13"/>
  <c r="BA100" i="13"/>
  <c r="BA99" i="13"/>
  <c r="BA98" i="13"/>
  <c r="BA97" i="13"/>
  <c r="BA96" i="13"/>
  <c r="BA95" i="13"/>
  <c r="BA94" i="13"/>
  <c r="BA93" i="13"/>
  <c r="BA92" i="13"/>
  <c r="BA91" i="13"/>
  <c r="BA90" i="13"/>
  <c r="BA89" i="13"/>
  <c r="BA88" i="13"/>
  <c r="BA87" i="13"/>
  <c r="BA86" i="13"/>
  <c r="BA85" i="13"/>
  <c r="BA84" i="13"/>
  <c r="BA83" i="13"/>
  <c r="BA82" i="13"/>
  <c r="BA81" i="13"/>
  <c r="BA80" i="13"/>
  <c r="BA79" i="13"/>
  <c r="BA78" i="13"/>
  <c r="BA77" i="13"/>
  <c r="BA76" i="13"/>
  <c r="BA75" i="13"/>
  <c r="BA74" i="13"/>
  <c r="BA73" i="13"/>
  <c r="BA72" i="13"/>
  <c r="BA71" i="13"/>
  <c r="BA70" i="13"/>
  <c r="BA69" i="13"/>
  <c r="BA68" i="13"/>
  <c r="BA67" i="13"/>
  <c r="BA66" i="13"/>
  <c r="BA65" i="13"/>
  <c r="BA64" i="13"/>
  <c r="BA63" i="13"/>
  <c r="BA62" i="13"/>
  <c r="BA61" i="13"/>
  <c r="BA60" i="13"/>
  <c r="BA59" i="13"/>
  <c r="BA58" i="13"/>
  <c r="BA57" i="13"/>
  <c r="BA56" i="13"/>
  <c r="BA55" i="13"/>
  <c r="BA54" i="13"/>
  <c r="BA53" i="13"/>
  <c r="BA52" i="13"/>
  <c r="BA51" i="13"/>
  <c r="BA50" i="13"/>
  <c r="BA49" i="13"/>
  <c r="BA48" i="13"/>
  <c r="BA47" i="13"/>
  <c r="BA46" i="13"/>
  <c r="BA45" i="13"/>
  <c r="BA44" i="13"/>
  <c r="BA43" i="13"/>
  <c r="BA42" i="13"/>
  <c r="BA41" i="13"/>
  <c r="BA40" i="13"/>
  <c r="BA39" i="13"/>
  <c r="BA38" i="13"/>
  <c r="BA37" i="13"/>
  <c r="BA36" i="13"/>
  <c r="BA35" i="13"/>
  <c r="BA34" i="13"/>
  <c r="BA33" i="13"/>
  <c r="BA32" i="13"/>
  <c r="BA31" i="13"/>
  <c r="BA30" i="13"/>
  <c r="AY29" i="13"/>
  <c r="AZ27" i="13"/>
  <c r="AY27" i="13"/>
  <c r="AX27" i="13"/>
  <c r="BA26" i="13"/>
  <c r="BA25" i="13"/>
  <c r="BA24" i="13"/>
  <c r="BA23" i="13"/>
  <c r="BA22" i="13"/>
  <c r="BA21" i="13"/>
  <c r="BA20" i="13"/>
  <c r="BA19" i="13"/>
  <c r="BA18" i="13"/>
  <c r="BA17" i="13"/>
  <c r="BA16" i="13"/>
  <c r="BA15" i="13"/>
  <c r="BA14" i="13"/>
  <c r="BA13" i="13"/>
  <c r="BA12" i="13"/>
  <c r="BA11" i="13"/>
  <c r="BA10" i="13"/>
  <c r="BA9" i="13"/>
  <c r="BA8" i="13"/>
  <c r="AS101" i="13"/>
  <c r="AR101" i="13"/>
  <c r="AQ101" i="13"/>
  <c r="AT100" i="13"/>
  <c r="AT99" i="13"/>
  <c r="AT98" i="13"/>
  <c r="AT97" i="13"/>
  <c r="AT96" i="13"/>
  <c r="AT95" i="13"/>
  <c r="AT94" i="13"/>
  <c r="AT93" i="13"/>
  <c r="AT92" i="13"/>
  <c r="AT91" i="13"/>
  <c r="AT90" i="13"/>
  <c r="AT89" i="13"/>
  <c r="AT88" i="13"/>
  <c r="AT87" i="13"/>
  <c r="AT86" i="13"/>
  <c r="AT85" i="13"/>
  <c r="AT84" i="13"/>
  <c r="AT83" i="13"/>
  <c r="AT82" i="13"/>
  <c r="AT81" i="13"/>
  <c r="AT80" i="13"/>
  <c r="AT79" i="13"/>
  <c r="AT78" i="13"/>
  <c r="AT77" i="13"/>
  <c r="AT76" i="13"/>
  <c r="AT75" i="13"/>
  <c r="AT74" i="13"/>
  <c r="AT73" i="13"/>
  <c r="AT72" i="13"/>
  <c r="AT71" i="13"/>
  <c r="AT70" i="13"/>
  <c r="AT69" i="13"/>
  <c r="AT68" i="13"/>
  <c r="AT67" i="13"/>
  <c r="AT66" i="13"/>
  <c r="AT65" i="13"/>
  <c r="AT64" i="13"/>
  <c r="AT63" i="13"/>
  <c r="AT62" i="13"/>
  <c r="AT61" i="13"/>
  <c r="AT60" i="13"/>
  <c r="AT59" i="13"/>
  <c r="AT58" i="13"/>
  <c r="AT57" i="13"/>
  <c r="AT56" i="13"/>
  <c r="AT55" i="13"/>
  <c r="AT54" i="13"/>
  <c r="AT53" i="13"/>
  <c r="AT52" i="13"/>
  <c r="AT51" i="13"/>
  <c r="AT50" i="13"/>
  <c r="AT49" i="13"/>
  <c r="AT48" i="13"/>
  <c r="AT47" i="13"/>
  <c r="AT46" i="13"/>
  <c r="AT45" i="13"/>
  <c r="AT44" i="13"/>
  <c r="AT43" i="13"/>
  <c r="AT42" i="13"/>
  <c r="AT41" i="13"/>
  <c r="AT40" i="13"/>
  <c r="AT39" i="13"/>
  <c r="AT38" i="13"/>
  <c r="AT37" i="13"/>
  <c r="AT36" i="13"/>
  <c r="AT35" i="13"/>
  <c r="AT34" i="13"/>
  <c r="AT33" i="13"/>
  <c r="AT32" i="13"/>
  <c r="AT31" i="13"/>
  <c r="AT30" i="13"/>
  <c r="AR29" i="13"/>
  <c r="AS27" i="13"/>
  <c r="AR27" i="13"/>
  <c r="AQ27" i="13"/>
  <c r="AT26" i="13"/>
  <c r="AT25" i="13"/>
  <c r="AT24" i="13"/>
  <c r="AT23" i="13"/>
  <c r="AT22" i="13"/>
  <c r="AT21" i="13"/>
  <c r="AT20" i="13"/>
  <c r="AT19" i="13"/>
  <c r="AT18" i="13"/>
  <c r="AT17" i="13"/>
  <c r="AT16" i="13"/>
  <c r="AT15" i="13"/>
  <c r="AT14" i="13"/>
  <c r="AT13" i="13"/>
  <c r="AT12" i="13"/>
  <c r="AT11" i="13"/>
  <c r="AT10" i="13"/>
  <c r="AT9" i="13"/>
  <c r="AT8" i="13"/>
  <c r="AT27" i="13" s="1"/>
  <c r="AQ105" i="13" s="1"/>
  <c r="AL101" i="13"/>
  <c r="AK101" i="13"/>
  <c r="AJ101" i="13"/>
  <c r="AM100" i="13"/>
  <c r="AM99" i="13"/>
  <c r="AM98" i="13"/>
  <c r="AM97" i="13"/>
  <c r="AM96" i="13"/>
  <c r="AM95" i="13"/>
  <c r="AM94" i="13"/>
  <c r="AM93" i="13"/>
  <c r="AM92" i="13"/>
  <c r="AM91" i="13"/>
  <c r="AM90" i="13"/>
  <c r="AM89" i="13"/>
  <c r="AM88" i="13"/>
  <c r="AM87" i="13"/>
  <c r="AM86" i="13"/>
  <c r="AM85" i="13"/>
  <c r="AM84" i="13"/>
  <c r="AM83" i="13"/>
  <c r="AM82" i="13"/>
  <c r="AM81" i="13"/>
  <c r="AM80" i="13"/>
  <c r="AM79" i="13"/>
  <c r="AM78" i="13"/>
  <c r="AM77" i="13"/>
  <c r="AM76" i="13"/>
  <c r="AM75" i="13"/>
  <c r="AM74" i="13"/>
  <c r="AM73" i="13"/>
  <c r="AM72" i="13"/>
  <c r="AM71" i="13"/>
  <c r="AM70" i="13"/>
  <c r="AM69" i="13"/>
  <c r="AM68" i="13"/>
  <c r="AM67" i="13"/>
  <c r="AM66" i="13"/>
  <c r="AM65" i="13"/>
  <c r="AM64" i="13"/>
  <c r="AM63" i="13"/>
  <c r="AM62" i="13"/>
  <c r="AM61" i="13"/>
  <c r="AM60" i="13"/>
  <c r="AM59" i="13"/>
  <c r="AM58" i="13"/>
  <c r="AM57" i="13"/>
  <c r="AM56" i="13"/>
  <c r="AM55" i="13"/>
  <c r="AM54" i="13"/>
  <c r="AM53" i="13"/>
  <c r="AM52" i="13"/>
  <c r="AM51" i="13"/>
  <c r="AM50" i="13"/>
  <c r="AM49" i="13"/>
  <c r="AM48" i="13"/>
  <c r="AM47" i="13"/>
  <c r="AM46" i="13"/>
  <c r="AM45" i="13"/>
  <c r="AM44" i="13"/>
  <c r="AM43" i="13"/>
  <c r="AM42" i="13"/>
  <c r="AM41" i="13"/>
  <c r="AM40" i="13"/>
  <c r="AM39" i="13"/>
  <c r="AM38" i="13"/>
  <c r="AM37" i="13"/>
  <c r="AM36" i="13"/>
  <c r="AM35" i="13"/>
  <c r="AM34" i="13"/>
  <c r="AM33" i="13"/>
  <c r="AM32" i="13"/>
  <c r="AM31" i="13"/>
  <c r="AM30" i="13"/>
  <c r="AK29" i="13"/>
  <c r="AL27" i="13"/>
  <c r="AK27" i="13"/>
  <c r="AJ27" i="13"/>
  <c r="AM26" i="13"/>
  <c r="AM25" i="13"/>
  <c r="AM24" i="13"/>
  <c r="AM23" i="13"/>
  <c r="AM22" i="13"/>
  <c r="AM21" i="13"/>
  <c r="AM20" i="13"/>
  <c r="AM19" i="13"/>
  <c r="AM18" i="13"/>
  <c r="AM17" i="13"/>
  <c r="AM16" i="13"/>
  <c r="AM15" i="13"/>
  <c r="AM14" i="13"/>
  <c r="AM13" i="13"/>
  <c r="AM12" i="13"/>
  <c r="AM11" i="13"/>
  <c r="AM10" i="13"/>
  <c r="AM9" i="13"/>
  <c r="AM8" i="13"/>
  <c r="AE101" i="13"/>
  <c r="AD101" i="13"/>
  <c r="AC101" i="13"/>
  <c r="AF100" i="13"/>
  <c r="AF99" i="13"/>
  <c r="AF98" i="13"/>
  <c r="AF97" i="13"/>
  <c r="AF96" i="13"/>
  <c r="AF95" i="13"/>
  <c r="AF94" i="13"/>
  <c r="AF93" i="13"/>
  <c r="AF92" i="13"/>
  <c r="AF91" i="13"/>
  <c r="AF90" i="13"/>
  <c r="AF89" i="13"/>
  <c r="AF88" i="13"/>
  <c r="AF87" i="13"/>
  <c r="AF86" i="13"/>
  <c r="AF85" i="13"/>
  <c r="AF84" i="13"/>
  <c r="AF83" i="13"/>
  <c r="AF82" i="13"/>
  <c r="AF81" i="13"/>
  <c r="AF80" i="13"/>
  <c r="AF79" i="13"/>
  <c r="AF78" i="13"/>
  <c r="AF77" i="13"/>
  <c r="AF76" i="13"/>
  <c r="AF75" i="13"/>
  <c r="AF74" i="13"/>
  <c r="AF73" i="13"/>
  <c r="AF72" i="13"/>
  <c r="AF71" i="13"/>
  <c r="AF70" i="13"/>
  <c r="AF69" i="13"/>
  <c r="AF68" i="13"/>
  <c r="AF67" i="13"/>
  <c r="AF66" i="13"/>
  <c r="AF65" i="13"/>
  <c r="AF64" i="13"/>
  <c r="AF63" i="13"/>
  <c r="AF62" i="13"/>
  <c r="AF61" i="13"/>
  <c r="AF60" i="13"/>
  <c r="AF59" i="13"/>
  <c r="AF58" i="13"/>
  <c r="AF57" i="13"/>
  <c r="AF56" i="13"/>
  <c r="AF55" i="13"/>
  <c r="AF54" i="13"/>
  <c r="AF53" i="13"/>
  <c r="AF52" i="13"/>
  <c r="AF51" i="13"/>
  <c r="AF50" i="13"/>
  <c r="AF49" i="13"/>
  <c r="AF48" i="13"/>
  <c r="AF47" i="13"/>
  <c r="AF46" i="13"/>
  <c r="AF45" i="13"/>
  <c r="AF44" i="13"/>
  <c r="AF43" i="13"/>
  <c r="AF42" i="13"/>
  <c r="AF41" i="13"/>
  <c r="AF40" i="13"/>
  <c r="AF39" i="13"/>
  <c r="AF38" i="13"/>
  <c r="AF37" i="13"/>
  <c r="AF36" i="13"/>
  <c r="AF35" i="13"/>
  <c r="AF34" i="13"/>
  <c r="AF33" i="13"/>
  <c r="AF32" i="13"/>
  <c r="AF31" i="13"/>
  <c r="AF30" i="13"/>
  <c r="AD29" i="13"/>
  <c r="AE27" i="13"/>
  <c r="AD27" i="13"/>
  <c r="AC27" i="13"/>
  <c r="AF26" i="13"/>
  <c r="AF25" i="13"/>
  <c r="AF24" i="13"/>
  <c r="AF23" i="13"/>
  <c r="AF22" i="13"/>
  <c r="AF21" i="13"/>
  <c r="AF20" i="13"/>
  <c r="AF19" i="13"/>
  <c r="AF18" i="13"/>
  <c r="AF17" i="13"/>
  <c r="AF16" i="13"/>
  <c r="AF15" i="13"/>
  <c r="AF14" i="13"/>
  <c r="AF13" i="13"/>
  <c r="AF12" i="13"/>
  <c r="AF11" i="13"/>
  <c r="AF10" i="13"/>
  <c r="AF9" i="13"/>
  <c r="AF8" i="13"/>
  <c r="X101" i="13"/>
  <c r="W101" i="13"/>
  <c r="V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101" i="13" s="1"/>
  <c r="V110" i="13" s="1"/>
  <c r="W29" i="13"/>
  <c r="X27" i="13"/>
  <c r="W27" i="13"/>
  <c r="V27" i="13"/>
  <c r="Y26" i="13"/>
  <c r="Y25" i="13"/>
  <c r="Y24" i="13"/>
  <c r="Y23" i="13"/>
  <c r="Y22" i="13"/>
  <c r="Y21" i="13"/>
  <c r="Y20" i="13"/>
  <c r="Y19" i="13"/>
  <c r="Y18" i="13"/>
  <c r="Y17" i="13"/>
  <c r="Y16" i="13"/>
  <c r="Y15" i="13"/>
  <c r="Y14" i="13"/>
  <c r="Y13" i="13"/>
  <c r="Y12" i="13"/>
  <c r="Y11" i="13"/>
  <c r="Y10" i="13"/>
  <c r="Y9" i="13"/>
  <c r="Y8" i="13"/>
  <c r="Y27" i="13" l="1"/>
  <c r="V105" i="13" s="1"/>
  <c r="AF27" i="13"/>
  <c r="AC105" i="13" s="1"/>
  <c r="AF101" i="13"/>
  <c r="AC110" i="13" s="1"/>
  <c r="AM27" i="13"/>
  <c r="AJ105" i="13" s="1"/>
  <c r="AM101" i="13"/>
  <c r="AJ110" i="13" s="1"/>
  <c r="AT101" i="13"/>
  <c r="AQ110" i="13" s="1"/>
  <c r="BA27" i="13"/>
  <c r="AX105" i="13" s="1"/>
  <c r="BA101" i="13"/>
  <c r="AX110" i="13" s="1"/>
  <c r="BH101" i="13"/>
  <c r="BE110" i="13" s="1"/>
  <c r="BO101" i="13"/>
  <c r="BL110" i="13" s="1"/>
  <c r="Q101" i="13"/>
  <c r="P101" i="13"/>
  <c r="O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101" i="13" s="1"/>
  <c r="O110" i="13" s="1"/>
  <c r="P29" i="13"/>
  <c r="Q27" i="13"/>
  <c r="P27" i="13"/>
  <c r="O27" i="13"/>
  <c r="R26" i="13"/>
  <c r="R25" i="13"/>
  <c r="R24" i="13"/>
  <c r="R23" i="13"/>
  <c r="R22" i="13"/>
  <c r="R21" i="13"/>
  <c r="R20" i="13"/>
  <c r="R19" i="13"/>
  <c r="R18" i="13"/>
  <c r="R17" i="13"/>
  <c r="R16" i="13"/>
  <c r="R15" i="13"/>
  <c r="R14" i="13"/>
  <c r="R13" i="13"/>
  <c r="R12" i="13"/>
  <c r="R11" i="13"/>
  <c r="R10" i="13"/>
  <c r="R9" i="13"/>
  <c r="R8" i="13"/>
  <c r="R27" i="13" s="1"/>
  <c r="O105" i="13" s="1"/>
  <c r="J101" i="13" l="1"/>
  <c r="I101" i="13"/>
  <c r="H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I29" i="13"/>
  <c r="J27" i="13"/>
  <c r="I27" i="13"/>
  <c r="H27" i="13"/>
  <c r="K26" i="13"/>
  <c r="K25" i="13"/>
  <c r="K24" i="13"/>
  <c r="K23" i="13"/>
  <c r="K22" i="13"/>
  <c r="K21" i="13"/>
  <c r="K20" i="13"/>
  <c r="K19" i="13"/>
  <c r="K18" i="13"/>
  <c r="K17" i="13"/>
  <c r="K16" i="13"/>
  <c r="K15" i="13"/>
  <c r="K14" i="13"/>
  <c r="K13" i="13"/>
  <c r="K12" i="13"/>
  <c r="K11" i="13"/>
  <c r="K10" i="13"/>
  <c r="K9" i="13"/>
  <c r="K8" i="13"/>
  <c r="K27" i="13" l="1"/>
  <c r="H105" i="13" s="1"/>
  <c r="K101" i="13"/>
  <c r="H110" i="13" s="1"/>
  <c r="C6" i="10" l="1"/>
  <c r="E6" i="10" l="1"/>
  <c r="D56" i="7"/>
  <c r="D74" i="7"/>
  <c r="H2" i="13"/>
  <c r="M32" i="13" s="1"/>
  <c r="C75" i="10"/>
  <c r="M72" i="13"/>
  <c r="M37" i="13"/>
  <c r="M93" i="13"/>
  <c r="N25" i="13"/>
  <c r="D55" i="10"/>
  <c r="C41" i="10"/>
  <c r="C29" i="10"/>
  <c r="C55" i="10"/>
  <c r="D29" i="10"/>
  <c r="G8" i="2"/>
  <c r="C62" i="10"/>
  <c r="C68" i="10"/>
  <c r="C54" i="10"/>
  <c r="C40" i="10"/>
  <c r="C28" i="10"/>
  <c r="M21" i="13" l="1"/>
  <c r="L11" i="13"/>
  <c r="N72" i="13"/>
  <c r="L93" i="13"/>
  <c r="N26" i="13"/>
  <c r="L12" i="13"/>
  <c r="N19" i="13"/>
  <c r="N98" i="13"/>
  <c r="L88" i="13"/>
  <c r="L62" i="13"/>
  <c r="M98" i="13"/>
  <c r="N87" i="13"/>
  <c r="L53" i="13"/>
  <c r="H29" i="13"/>
  <c r="L24" i="13"/>
  <c r="N14" i="13"/>
  <c r="M9" i="13"/>
  <c r="L23" i="13"/>
  <c r="N13" i="13"/>
  <c r="M30" i="13"/>
  <c r="L96" i="13"/>
  <c r="N90" i="13"/>
  <c r="N80" i="13"/>
  <c r="M65" i="13"/>
  <c r="N52" i="13"/>
  <c r="N30" i="13"/>
  <c r="N95" i="13"/>
  <c r="M90" i="13"/>
  <c r="N79" i="13"/>
  <c r="M64" i="13"/>
  <c r="N45" i="13"/>
  <c r="H4" i="13"/>
  <c r="M25" i="13"/>
  <c r="N22" i="13"/>
  <c r="N18" i="13"/>
  <c r="M13" i="13"/>
  <c r="N10" i="13"/>
  <c r="N8" i="13"/>
  <c r="M24" i="13"/>
  <c r="N21" i="13"/>
  <c r="M18" i="13"/>
  <c r="M12" i="13"/>
  <c r="N9" i="13"/>
  <c r="L100" i="13"/>
  <c r="M97" i="13"/>
  <c r="N94" i="13"/>
  <c r="L92" i="13"/>
  <c r="M89" i="13"/>
  <c r="N86" i="13"/>
  <c r="M79" i="13"/>
  <c r="N66" i="13"/>
  <c r="L64" i="13"/>
  <c r="L58" i="13"/>
  <c r="M51" i="13"/>
  <c r="L32" i="13"/>
  <c r="N99" i="13"/>
  <c r="L97" i="13"/>
  <c r="M94" i="13"/>
  <c r="N91" i="13"/>
  <c r="L89" i="13"/>
  <c r="M86" i="13"/>
  <c r="N73" i="13"/>
  <c r="N65" i="13"/>
  <c r="M58" i="13"/>
  <c r="N51" i="13"/>
  <c r="N37" i="13"/>
  <c r="D62" i="7"/>
  <c r="H103" i="13"/>
  <c r="M8" i="13"/>
  <c r="L26" i="13"/>
  <c r="N24" i="13"/>
  <c r="M23" i="13"/>
  <c r="L22" i="13"/>
  <c r="M19" i="13"/>
  <c r="L18" i="13"/>
  <c r="L14" i="13"/>
  <c r="N12" i="13"/>
  <c r="M11" i="13"/>
  <c r="L10" i="13"/>
  <c r="L8" i="13"/>
  <c r="M26" i="13"/>
  <c r="L25" i="13"/>
  <c r="N23" i="13"/>
  <c r="M22" i="13"/>
  <c r="L21" i="13"/>
  <c r="L19" i="13"/>
  <c r="M14" i="13"/>
  <c r="L13" i="13"/>
  <c r="N11" i="13"/>
  <c r="M10" i="13"/>
  <c r="L9" i="13"/>
  <c r="N100" i="13"/>
  <c r="M99" i="13"/>
  <c r="L98" i="13"/>
  <c r="N96" i="13"/>
  <c r="M95" i="13"/>
  <c r="L94" i="13"/>
  <c r="N92" i="13"/>
  <c r="M91" i="13"/>
  <c r="L90" i="13"/>
  <c r="N88" i="13"/>
  <c r="M87" i="13"/>
  <c r="L86" i="13"/>
  <c r="L80" i="13"/>
  <c r="M73" i="13"/>
  <c r="L72" i="13"/>
  <c r="L66" i="13"/>
  <c r="N64" i="13"/>
  <c r="N62" i="13"/>
  <c r="N58" i="13"/>
  <c r="M53" i="13"/>
  <c r="L52" i="13"/>
  <c r="M45" i="13"/>
  <c r="N32" i="13"/>
  <c r="L30" i="13"/>
  <c r="M100" i="13"/>
  <c r="L99" i="13"/>
  <c r="N97" i="13"/>
  <c r="M96" i="13"/>
  <c r="L95" i="13"/>
  <c r="N93" i="13"/>
  <c r="M92" i="13"/>
  <c r="L91" i="13"/>
  <c r="N89" i="13"/>
  <c r="M88" i="13"/>
  <c r="L87" i="13"/>
  <c r="M80" i="13"/>
  <c r="L79" i="13"/>
  <c r="L73" i="13"/>
  <c r="M66" i="13"/>
  <c r="L65" i="13"/>
  <c r="M62" i="13"/>
  <c r="N53" i="13"/>
  <c r="M52" i="13"/>
  <c r="L51" i="13"/>
  <c r="L45" i="13"/>
  <c r="L37" i="13"/>
  <c r="G6" i="10"/>
  <c r="E74" i="7"/>
  <c r="E56" i="7"/>
  <c r="E75" i="10"/>
  <c r="C79" i="10"/>
  <c r="C76" i="10"/>
  <c r="D76" i="10"/>
  <c r="F55" i="10"/>
  <c r="E29" i="10"/>
  <c r="E55" i="10"/>
  <c r="E41" i="10"/>
  <c r="F29" i="10"/>
  <c r="E68" i="10"/>
  <c r="E62" i="10"/>
  <c r="B58" i="10"/>
  <c r="B57" i="10"/>
  <c r="E54" i="10"/>
  <c r="O2" i="13"/>
  <c r="E40" i="10"/>
  <c r="E28" i="10"/>
  <c r="P126" i="14"/>
  <c r="N126" i="14"/>
  <c r="L125" i="14"/>
  <c r="K125" i="14"/>
  <c r="L124" i="14"/>
  <c r="K124" i="14"/>
  <c r="L123" i="14"/>
  <c r="K123" i="14"/>
  <c r="L122" i="14"/>
  <c r="K122" i="14"/>
  <c r="L121" i="14"/>
  <c r="K121" i="14"/>
  <c r="L120" i="14"/>
  <c r="K120" i="14"/>
  <c r="L119" i="14"/>
  <c r="K119" i="14"/>
  <c r="L118" i="14"/>
  <c r="K118" i="14"/>
  <c r="L117" i="14"/>
  <c r="K117" i="14"/>
  <c r="L116" i="14"/>
  <c r="K116" i="14"/>
  <c r="L115" i="14"/>
  <c r="K115" i="14"/>
  <c r="L114" i="14"/>
  <c r="K114" i="14"/>
  <c r="L113" i="14"/>
  <c r="K113" i="14"/>
  <c r="L112" i="14"/>
  <c r="K112" i="14"/>
  <c r="L111" i="14"/>
  <c r="K111" i="14"/>
  <c r="L110" i="14"/>
  <c r="K110" i="14"/>
  <c r="L109" i="14"/>
  <c r="K109" i="14"/>
  <c r="L108" i="14"/>
  <c r="K108" i="14"/>
  <c r="L107" i="14"/>
  <c r="K107" i="14"/>
  <c r="L106" i="14"/>
  <c r="K106" i="14"/>
  <c r="L105" i="14"/>
  <c r="K105" i="14"/>
  <c r="L104" i="14"/>
  <c r="K104" i="14"/>
  <c r="L103" i="14"/>
  <c r="K103" i="14"/>
  <c r="K102" i="14"/>
  <c r="K101" i="14"/>
  <c r="K100" i="14"/>
  <c r="K99" i="14"/>
  <c r="K98" i="14"/>
  <c r="L97" i="14"/>
  <c r="K97" i="14"/>
  <c r="K96" i="14"/>
  <c r="K95" i="14"/>
  <c r="K94" i="14"/>
  <c r="K93" i="14"/>
  <c r="K92" i="14"/>
  <c r="L91" i="14"/>
  <c r="K91" i="14"/>
  <c r="L90" i="14"/>
  <c r="K90" i="14"/>
  <c r="L89" i="14"/>
  <c r="K89" i="14"/>
  <c r="L88" i="14"/>
  <c r="K88" i="14"/>
  <c r="L87" i="14"/>
  <c r="K87" i="14"/>
  <c r="L86" i="14"/>
  <c r="K86" i="14"/>
  <c r="L85" i="14"/>
  <c r="K85" i="14"/>
  <c r="L84" i="14"/>
  <c r="K84" i="14"/>
  <c r="L83" i="14"/>
  <c r="K83" i="14"/>
  <c r="L82" i="14"/>
  <c r="K82" i="14"/>
  <c r="L81" i="14"/>
  <c r="K81" i="14"/>
  <c r="L80" i="14"/>
  <c r="K80" i="14"/>
  <c r="L79" i="14"/>
  <c r="K79" i="14"/>
  <c r="L78" i="14"/>
  <c r="K78" i="14"/>
  <c r="L77" i="14"/>
  <c r="K77" i="14"/>
  <c r="L76" i="14"/>
  <c r="K76" i="14"/>
  <c r="L75" i="14"/>
  <c r="K75" i="14"/>
  <c r="L74" i="14"/>
  <c r="K74" i="14"/>
  <c r="L73" i="14"/>
  <c r="K73" i="14"/>
  <c r="L72" i="14"/>
  <c r="K72" i="14"/>
  <c r="L71" i="14"/>
  <c r="K71" i="14"/>
  <c r="L70" i="14"/>
  <c r="K70" i="14"/>
  <c r="L69" i="14"/>
  <c r="K69" i="14"/>
  <c r="L68" i="14"/>
  <c r="K68" i="14"/>
  <c r="L67" i="14"/>
  <c r="K67" i="14"/>
  <c r="L66" i="14"/>
  <c r="K66" i="14"/>
  <c r="L65" i="14"/>
  <c r="K65" i="14"/>
  <c r="L64" i="14"/>
  <c r="K64" i="14"/>
  <c r="L63" i="14"/>
  <c r="K63" i="14"/>
  <c r="L62" i="14"/>
  <c r="K62" i="14"/>
  <c r="L61" i="14"/>
  <c r="K61" i="14"/>
  <c r="L60" i="14"/>
  <c r="K60" i="14"/>
  <c r="L59" i="14"/>
  <c r="K59" i="14"/>
  <c r="L58" i="14"/>
  <c r="K58" i="14"/>
  <c r="L57" i="14"/>
  <c r="K57" i="14"/>
  <c r="L56" i="14"/>
  <c r="K56" i="14"/>
  <c r="L55" i="14"/>
  <c r="K55" i="14"/>
  <c r="K54" i="14"/>
  <c r="L53" i="14"/>
  <c r="K53" i="14"/>
  <c r="K52" i="14"/>
  <c r="L51" i="14"/>
  <c r="K51" i="14"/>
  <c r="L50" i="14"/>
  <c r="K50" i="14"/>
  <c r="K49" i="14"/>
  <c r="K48" i="14"/>
  <c r="L47" i="14"/>
  <c r="K47" i="14"/>
  <c r="L46" i="14"/>
  <c r="K46" i="14"/>
  <c r="K45" i="14"/>
  <c r="K44" i="14"/>
  <c r="L43" i="14"/>
  <c r="K43" i="14"/>
  <c r="L42" i="14"/>
  <c r="K42" i="14"/>
  <c r="K41" i="14"/>
  <c r="K40" i="14"/>
  <c r="L39" i="14"/>
  <c r="K39" i="14"/>
  <c r="L38" i="14"/>
  <c r="K38" i="14"/>
  <c r="K37" i="14"/>
  <c r="K36" i="14"/>
  <c r="K35" i="14"/>
  <c r="K34" i="14"/>
  <c r="K33" i="14"/>
  <c r="L32" i="14"/>
  <c r="K32" i="14"/>
  <c r="K31" i="14"/>
  <c r="K30" i="14"/>
  <c r="L30" i="14" s="1"/>
  <c r="K29" i="14"/>
  <c r="K28" i="14"/>
  <c r="K27" i="14"/>
  <c r="K26" i="14"/>
  <c r="K25" i="14"/>
  <c r="K24" i="14"/>
  <c r="K23" i="14"/>
  <c r="K22" i="14"/>
  <c r="K21" i="14"/>
  <c r="K20" i="14"/>
  <c r="K19" i="14"/>
  <c r="K18" i="14"/>
  <c r="K17" i="14"/>
  <c r="K16" i="14"/>
  <c r="K15" i="14"/>
  <c r="K14" i="14"/>
  <c r="K13" i="14"/>
  <c r="K12" i="14"/>
  <c r="K11" i="14"/>
  <c r="K10" i="14"/>
  <c r="K9" i="14"/>
  <c r="K8" i="14"/>
  <c r="K7" i="14"/>
  <c r="L7" i="14" s="1"/>
  <c r="L6" i="14"/>
  <c r="K6" i="14"/>
  <c r="L5" i="14"/>
  <c r="K5" i="14"/>
  <c r="M4" i="14"/>
  <c r="C45" i="10" l="1"/>
  <c r="D33" i="10"/>
  <c r="C33" i="10"/>
  <c r="E62" i="7"/>
  <c r="I6" i="10"/>
  <c r="F56" i="7"/>
  <c r="F74" i="7"/>
  <c r="L31" i="14"/>
  <c r="L34" i="14"/>
  <c r="O34" i="14" s="1"/>
  <c r="L36" i="14"/>
  <c r="L40" i="14"/>
  <c r="O40" i="14" s="1"/>
  <c r="L44" i="14"/>
  <c r="L48" i="14"/>
  <c r="O48" i="14" s="1"/>
  <c r="L52" i="14"/>
  <c r="L33" i="14"/>
  <c r="L35" i="14"/>
  <c r="L37" i="14"/>
  <c r="L41" i="14"/>
  <c r="L45" i="14"/>
  <c r="L49" i="14"/>
  <c r="L54" i="14"/>
  <c r="O54" i="14" s="1"/>
  <c r="L9" i="14"/>
  <c r="L11" i="14"/>
  <c r="L13" i="14"/>
  <c r="L15" i="14"/>
  <c r="L17" i="14"/>
  <c r="L19" i="14"/>
  <c r="L21" i="14"/>
  <c r="L23" i="14"/>
  <c r="L25" i="14"/>
  <c r="L27" i="14"/>
  <c r="L29" i="14"/>
  <c r="L8" i="14"/>
  <c r="L10" i="14"/>
  <c r="L12" i="14"/>
  <c r="L14" i="14"/>
  <c r="L16" i="14"/>
  <c r="L18" i="14"/>
  <c r="L20" i="14"/>
  <c r="O20" i="14" s="1"/>
  <c r="L22" i="14"/>
  <c r="L24" i="14"/>
  <c r="O24" i="14" s="1"/>
  <c r="L26" i="14"/>
  <c r="L28" i="14"/>
  <c r="O28" i="14" s="1"/>
  <c r="E76" i="10"/>
  <c r="F76" i="10"/>
  <c r="G75" i="10"/>
  <c r="O103" i="13"/>
  <c r="T100" i="13"/>
  <c r="U99" i="13"/>
  <c r="S99" i="13"/>
  <c r="T98" i="13"/>
  <c r="U97" i="13"/>
  <c r="S97" i="13"/>
  <c r="T96" i="13"/>
  <c r="U95" i="13"/>
  <c r="S95" i="13"/>
  <c r="T94" i="13"/>
  <c r="U93" i="13"/>
  <c r="S93" i="13"/>
  <c r="T92" i="13"/>
  <c r="U91" i="13"/>
  <c r="S91" i="13"/>
  <c r="T90" i="13"/>
  <c r="U89" i="13"/>
  <c r="S89" i="13"/>
  <c r="T88" i="13"/>
  <c r="U87" i="13"/>
  <c r="S87" i="13"/>
  <c r="T86" i="13"/>
  <c r="T80" i="13"/>
  <c r="U79" i="13"/>
  <c r="S79" i="13"/>
  <c r="U73" i="13"/>
  <c r="S73" i="13"/>
  <c r="T72" i="13"/>
  <c r="T66" i="13"/>
  <c r="U65" i="13"/>
  <c r="S65" i="13"/>
  <c r="T64" i="13"/>
  <c r="T62" i="13"/>
  <c r="T58" i="13"/>
  <c r="U53" i="13"/>
  <c r="S53" i="13"/>
  <c r="T52" i="13"/>
  <c r="U51" i="13"/>
  <c r="S51" i="13"/>
  <c r="U45" i="13"/>
  <c r="S45" i="13"/>
  <c r="U37" i="13"/>
  <c r="S37" i="13"/>
  <c r="U100" i="13"/>
  <c r="S100" i="13"/>
  <c r="T99" i="13"/>
  <c r="U98" i="13"/>
  <c r="S98" i="13"/>
  <c r="T97" i="13"/>
  <c r="U96" i="13"/>
  <c r="S96" i="13"/>
  <c r="T95" i="13"/>
  <c r="U94" i="13"/>
  <c r="S94" i="13"/>
  <c r="T93" i="13"/>
  <c r="U92" i="13"/>
  <c r="S92" i="13"/>
  <c r="T91" i="13"/>
  <c r="U90" i="13"/>
  <c r="S90" i="13"/>
  <c r="T89" i="13"/>
  <c r="U88" i="13"/>
  <c r="S88" i="13"/>
  <c r="T87" i="13"/>
  <c r="U86" i="13"/>
  <c r="S86" i="13"/>
  <c r="U80" i="13"/>
  <c r="S80" i="13"/>
  <c r="T79" i="13"/>
  <c r="T73" i="13"/>
  <c r="U72" i="13"/>
  <c r="S72" i="13"/>
  <c r="U66" i="13"/>
  <c r="S66" i="13"/>
  <c r="T65" i="13"/>
  <c r="U64" i="13"/>
  <c r="S64" i="13"/>
  <c r="U62" i="13"/>
  <c r="S62" i="13"/>
  <c r="U58" i="13"/>
  <c r="S58" i="13"/>
  <c r="T53" i="13"/>
  <c r="U52" i="13"/>
  <c r="S52" i="13"/>
  <c r="T51" i="13"/>
  <c r="T45" i="13"/>
  <c r="T37" i="13"/>
  <c r="T32" i="13"/>
  <c r="T30" i="13"/>
  <c r="U26" i="13"/>
  <c r="S26" i="13"/>
  <c r="T25" i="13"/>
  <c r="U24" i="13"/>
  <c r="S24" i="13"/>
  <c r="T23" i="13"/>
  <c r="U22" i="13"/>
  <c r="S22" i="13"/>
  <c r="T21" i="13"/>
  <c r="T19" i="13"/>
  <c r="U18" i="13"/>
  <c r="S18" i="13"/>
  <c r="U14" i="13"/>
  <c r="S14" i="13"/>
  <c r="T13" i="13"/>
  <c r="U12" i="13"/>
  <c r="S12" i="13"/>
  <c r="T11" i="13"/>
  <c r="U10" i="13"/>
  <c r="S10" i="13"/>
  <c r="T9" i="13"/>
  <c r="U8" i="13"/>
  <c r="U32" i="13"/>
  <c r="S32" i="13"/>
  <c r="U30" i="13"/>
  <c r="S30" i="13"/>
  <c r="T26" i="13"/>
  <c r="U25" i="13"/>
  <c r="S25" i="13"/>
  <c r="T24" i="13"/>
  <c r="U23" i="13"/>
  <c r="S23" i="13"/>
  <c r="T22" i="13"/>
  <c r="U21" i="13"/>
  <c r="S21" i="13"/>
  <c r="U19" i="13"/>
  <c r="S19" i="13"/>
  <c r="T18" i="13"/>
  <c r="T14" i="13"/>
  <c r="U13" i="13"/>
  <c r="S13" i="13"/>
  <c r="T12" i="13"/>
  <c r="U11" i="13"/>
  <c r="S11" i="13"/>
  <c r="T10" i="13"/>
  <c r="U9" i="13"/>
  <c r="S9" i="13"/>
  <c r="T8" i="13"/>
  <c r="S8" i="13"/>
  <c r="H55" i="10"/>
  <c r="G41" i="10"/>
  <c r="G29" i="10"/>
  <c r="G55" i="10"/>
  <c r="H29" i="10"/>
  <c r="L92" i="14"/>
  <c r="L94" i="14"/>
  <c r="O94" i="14" s="1"/>
  <c r="L96" i="14"/>
  <c r="L99" i="14"/>
  <c r="O99" i="14" s="1"/>
  <c r="L101" i="14"/>
  <c r="L93" i="14"/>
  <c r="L95" i="14"/>
  <c r="L98" i="14"/>
  <c r="L100" i="14"/>
  <c r="L102" i="14"/>
  <c r="O29" i="13"/>
  <c r="O4" i="13"/>
  <c r="G68" i="10"/>
  <c r="G62" i="10"/>
  <c r="G54" i="10"/>
  <c r="G28" i="10"/>
  <c r="G40" i="10"/>
  <c r="V2" i="13"/>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8" i="14"/>
  <c r="O97" i="14"/>
  <c r="O96"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3" i="14"/>
  <c r="O52" i="14"/>
  <c r="O51" i="14"/>
  <c r="O50" i="14"/>
  <c r="O49" i="14"/>
  <c r="O47" i="14"/>
  <c r="O46" i="14"/>
  <c r="O45" i="14"/>
  <c r="O44" i="14"/>
  <c r="O43" i="14"/>
  <c r="O42" i="14"/>
  <c r="O41" i="14"/>
  <c r="O39" i="14"/>
  <c r="O38" i="14"/>
  <c r="O37" i="14"/>
  <c r="O36" i="14"/>
  <c r="O35" i="14"/>
  <c r="O33" i="14"/>
  <c r="O32" i="14"/>
  <c r="O31" i="14"/>
  <c r="O30" i="14"/>
  <c r="O29" i="14"/>
  <c r="O27" i="14"/>
  <c r="O26" i="14"/>
  <c r="O25" i="14"/>
  <c r="O23" i="14"/>
  <c r="O22" i="14"/>
  <c r="O21" i="14"/>
  <c r="O19" i="14"/>
  <c r="O18" i="14"/>
  <c r="O17" i="14"/>
  <c r="O16" i="14"/>
  <c r="O15" i="14"/>
  <c r="O14" i="14"/>
  <c r="O13" i="14"/>
  <c r="O12" i="14"/>
  <c r="O11" i="14"/>
  <c r="O10" i="14"/>
  <c r="O9" i="14"/>
  <c r="O8" i="14"/>
  <c r="O7" i="14"/>
  <c r="O6" i="14"/>
  <c r="O5" i="14"/>
  <c r="Z4" i="14"/>
  <c r="AM4" i="14" s="1"/>
  <c r="O4" i="14"/>
  <c r="Q4" i="14"/>
  <c r="E45" i="10" l="1"/>
  <c r="F33" i="10"/>
  <c r="E33" i="10"/>
  <c r="F62" i="7"/>
  <c r="K6" i="10"/>
  <c r="B74" i="10" s="1"/>
  <c r="G74" i="7"/>
  <c r="G56" i="7"/>
  <c r="AI4" i="14"/>
  <c r="AJ4" i="14" s="1"/>
  <c r="AK4" i="14"/>
  <c r="AI125" i="14"/>
  <c r="AI124" i="14"/>
  <c r="AI123" i="14"/>
  <c r="AI122" i="14"/>
  <c r="AI121" i="14"/>
  <c r="AI120" i="14"/>
  <c r="AI119" i="14"/>
  <c r="AI118" i="14"/>
  <c r="AI117" i="14"/>
  <c r="AI116" i="14"/>
  <c r="AI115" i="14"/>
  <c r="AI114" i="14"/>
  <c r="AI113" i="14"/>
  <c r="AI112" i="14"/>
  <c r="AI111" i="14"/>
  <c r="AI110" i="14"/>
  <c r="AI109" i="14"/>
  <c r="AI108" i="14"/>
  <c r="AI107" i="14"/>
  <c r="AI106" i="14"/>
  <c r="AI105" i="14"/>
  <c r="AI104" i="14"/>
  <c r="AI103" i="14"/>
  <c r="AI102" i="14"/>
  <c r="AI101" i="14"/>
  <c r="AI100" i="14"/>
  <c r="AI99" i="14"/>
  <c r="AI98" i="14"/>
  <c r="AI97" i="14"/>
  <c r="AI96" i="14"/>
  <c r="AI94" i="14"/>
  <c r="AI93" i="14"/>
  <c r="AI92" i="14"/>
  <c r="AI91" i="14"/>
  <c r="AI90" i="14"/>
  <c r="AI89" i="14"/>
  <c r="AI88" i="14"/>
  <c r="AI87" i="14"/>
  <c r="AI86" i="14"/>
  <c r="AI85" i="14"/>
  <c r="AI84" i="14"/>
  <c r="AI83" i="14"/>
  <c r="AI82" i="14"/>
  <c r="AI81" i="14"/>
  <c r="AI80" i="14"/>
  <c r="AI79" i="14"/>
  <c r="AI78" i="14"/>
  <c r="AI77" i="14"/>
  <c r="AI76" i="14"/>
  <c r="AI75" i="14"/>
  <c r="AI74" i="14"/>
  <c r="AI73" i="14"/>
  <c r="AI72" i="14"/>
  <c r="AI71" i="14"/>
  <c r="AI70" i="14"/>
  <c r="AI69" i="14"/>
  <c r="AI68" i="14"/>
  <c r="AI67" i="14"/>
  <c r="AI66" i="14"/>
  <c r="AI65" i="14"/>
  <c r="AI64" i="14"/>
  <c r="AI63" i="14"/>
  <c r="AI62" i="14"/>
  <c r="AI61" i="14"/>
  <c r="AI60" i="14"/>
  <c r="AI59" i="14"/>
  <c r="AI58" i="14"/>
  <c r="AI57" i="14"/>
  <c r="AI56" i="14"/>
  <c r="AI54" i="14"/>
  <c r="AI52" i="14"/>
  <c r="AQ4" i="14"/>
  <c r="AI5" i="14"/>
  <c r="AI6" i="14"/>
  <c r="AI31" i="14"/>
  <c r="AI32" i="14"/>
  <c r="AI33" i="14"/>
  <c r="AI34" i="14"/>
  <c r="AI35" i="14"/>
  <c r="AI36" i="14"/>
  <c r="AI37" i="14"/>
  <c r="AI38" i="14"/>
  <c r="AI39" i="14"/>
  <c r="AI40" i="14"/>
  <c r="AI41" i="14"/>
  <c r="AI42" i="14"/>
  <c r="AI43" i="14"/>
  <c r="AI95" i="14"/>
  <c r="AI55" i="14"/>
  <c r="AI53" i="14"/>
  <c r="AO4" i="14"/>
  <c r="AI7" i="14"/>
  <c r="AI8" i="14"/>
  <c r="AI9" i="14"/>
  <c r="AI10" i="14"/>
  <c r="AI11" i="14"/>
  <c r="AI12" i="14"/>
  <c r="AI13" i="14"/>
  <c r="AI14" i="14"/>
  <c r="AI15" i="14"/>
  <c r="AI16" i="14"/>
  <c r="AI17" i="14"/>
  <c r="AI18" i="14"/>
  <c r="AI19" i="14"/>
  <c r="AI20" i="14"/>
  <c r="AI21" i="14"/>
  <c r="AI22" i="14"/>
  <c r="AI23" i="14"/>
  <c r="AI24" i="14"/>
  <c r="AI25" i="14"/>
  <c r="AI26" i="14"/>
  <c r="AI27" i="14"/>
  <c r="AI28" i="14"/>
  <c r="AI29" i="14"/>
  <c r="AI30" i="14"/>
  <c r="AP4" i="14"/>
  <c r="AI44" i="14"/>
  <c r="AI45" i="14"/>
  <c r="AI46" i="14"/>
  <c r="AI47" i="14"/>
  <c r="AI48" i="14"/>
  <c r="AI49" i="14"/>
  <c r="AI50" i="14"/>
  <c r="AI51" i="14"/>
  <c r="AN4" i="14"/>
  <c r="AZ4" i="14"/>
  <c r="G76" i="10"/>
  <c r="H76" i="10"/>
  <c r="I75" i="10"/>
  <c r="AB100" i="13"/>
  <c r="Z100" i="13"/>
  <c r="AA99" i="13"/>
  <c r="AB98" i="13"/>
  <c r="Z98" i="13"/>
  <c r="AA97" i="13"/>
  <c r="AB96" i="13"/>
  <c r="Z96" i="13"/>
  <c r="AA95" i="13"/>
  <c r="AB94" i="13"/>
  <c r="Z94" i="13"/>
  <c r="AA93" i="13"/>
  <c r="AB92" i="13"/>
  <c r="Z92" i="13"/>
  <c r="AA91" i="13"/>
  <c r="AB90" i="13"/>
  <c r="Z90" i="13"/>
  <c r="AA89" i="13"/>
  <c r="AB88" i="13"/>
  <c r="Z88" i="13"/>
  <c r="AA87" i="13"/>
  <c r="AB86" i="13"/>
  <c r="Z86" i="13"/>
  <c r="AB80" i="13"/>
  <c r="Z80" i="13"/>
  <c r="AA79" i="13"/>
  <c r="AA73" i="13"/>
  <c r="AB72" i="13"/>
  <c r="Z72" i="13"/>
  <c r="AB66" i="13"/>
  <c r="Z66" i="13"/>
  <c r="AA65" i="13"/>
  <c r="AB64" i="13"/>
  <c r="Z64" i="13"/>
  <c r="AB62" i="13"/>
  <c r="Z62" i="13"/>
  <c r="AB58" i="13"/>
  <c r="Z58" i="13"/>
  <c r="AA53" i="13"/>
  <c r="AB52" i="13"/>
  <c r="Z52" i="13"/>
  <c r="AA51" i="13"/>
  <c r="AA45" i="13"/>
  <c r="AA37" i="13"/>
  <c r="AB32" i="13"/>
  <c r="Z32" i="13"/>
  <c r="AB30" i="13"/>
  <c r="Z30" i="13"/>
  <c r="AA100" i="13"/>
  <c r="AB99" i="13"/>
  <c r="Z99" i="13"/>
  <c r="AA98" i="13"/>
  <c r="AB97" i="13"/>
  <c r="Z97" i="13"/>
  <c r="AA96" i="13"/>
  <c r="AB95" i="13"/>
  <c r="Z95" i="13"/>
  <c r="AA94" i="13"/>
  <c r="AB93" i="13"/>
  <c r="Z93" i="13"/>
  <c r="AA92" i="13"/>
  <c r="AB91" i="13"/>
  <c r="Z91" i="13"/>
  <c r="AA90" i="13"/>
  <c r="AB89" i="13"/>
  <c r="Z89" i="13"/>
  <c r="AA88" i="13"/>
  <c r="AB87" i="13"/>
  <c r="Z87" i="13"/>
  <c r="AA86" i="13"/>
  <c r="AA80" i="13"/>
  <c r="AB79" i="13"/>
  <c r="Z79" i="13"/>
  <c r="AB73" i="13"/>
  <c r="Z73" i="13"/>
  <c r="AA72" i="13"/>
  <c r="AA66" i="13"/>
  <c r="AB65" i="13"/>
  <c r="Z65" i="13"/>
  <c r="AA64" i="13"/>
  <c r="AA62" i="13"/>
  <c r="AA58" i="13"/>
  <c r="AB53" i="13"/>
  <c r="Z53" i="13"/>
  <c r="AA52" i="13"/>
  <c r="AB51" i="13"/>
  <c r="Z51" i="13"/>
  <c r="AB45" i="13"/>
  <c r="Z45" i="13"/>
  <c r="AB37" i="13"/>
  <c r="Z37" i="13"/>
  <c r="AA32" i="13"/>
  <c r="AA30" i="13"/>
  <c r="AA26" i="13"/>
  <c r="AB25" i="13"/>
  <c r="Z25" i="13"/>
  <c r="AA24" i="13"/>
  <c r="AB23" i="13"/>
  <c r="Z23" i="13"/>
  <c r="AA22" i="13"/>
  <c r="AB21" i="13"/>
  <c r="Z21" i="13"/>
  <c r="AB19" i="13"/>
  <c r="Z19" i="13"/>
  <c r="AA18" i="13"/>
  <c r="AA14" i="13"/>
  <c r="AB13" i="13"/>
  <c r="Z13" i="13"/>
  <c r="AA12" i="13"/>
  <c r="AB11" i="13"/>
  <c r="Z11" i="13"/>
  <c r="AA10" i="13"/>
  <c r="AB9" i="13"/>
  <c r="Z9" i="13"/>
  <c r="AA8" i="13"/>
  <c r="AB26" i="13"/>
  <c r="Z26" i="13"/>
  <c r="AA25" i="13"/>
  <c r="AB24" i="13"/>
  <c r="Z24" i="13"/>
  <c r="AA23" i="13"/>
  <c r="AB22" i="13"/>
  <c r="Z22" i="13"/>
  <c r="AA21" i="13"/>
  <c r="AA19" i="13"/>
  <c r="AB18" i="13"/>
  <c r="Z18" i="13"/>
  <c r="AB14" i="13"/>
  <c r="Z14" i="13"/>
  <c r="AA13" i="13"/>
  <c r="AB12" i="13"/>
  <c r="Z12" i="13"/>
  <c r="AA11" i="13"/>
  <c r="AB10" i="13"/>
  <c r="Z10" i="13"/>
  <c r="AA9" i="13"/>
  <c r="AB8" i="13"/>
  <c r="Z8" i="13"/>
  <c r="J55" i="10"/>
  <c r="I29" i="10"/>
  <c r="I55" i="10"/>
  <c r="I41" i="10"/>
  <c r="J29" i="10"/>
  <c r="O95" i="14"/>
  <c r="I68" i="10"/>
  <c r="I62" i="10"/>
  <c r="I54" i="10"/>
  <c r="I40" i="10"/>
  <c r="I28" i="10"/>
  <c r="V29" i="13"/>
  <c r="V103" i="13"/>
  <c r="V4" i="13"/>
  <c r="AC2" i="13"/>
  <c r="V125" i="14"/>
  <c r="V124" i="14"/>
  <c r="V123" i="14"/>
  <c r="V122" i="14"/>
  <c r="V121" i="14"/>
  <c r="V120" i="14"/>
  <c r="V119" i="14"/>
  <c r="V118" i="14"/>
  <c r="V117" i="14"/>
  <c r="V116" i="14"/>
  <c r="V115" i="14"/>
  <c r="V114" i="14"/>
  <c r="V113" i="14"/>
  <c r="V112" i="14"/>
  <c r="V111" i="14"/>
  <c r="V110" i="14"/>
  <c r="V109" i="14"/>
  <c r="V108" i="14"/>
  <c r="V107" i="14"/>
  <c r="V106" i="14"/>
  <c r="V105" i="14"/>
  <c r="V104" i="14"/>
  <c r="V103" i="14"/>
  <c r="V102" i="14"/>
  <c r="V101" i="14"/>
  <c r="V100" i="14"/>
  <c r="V99" i="14"/>
  <c r="V98" i="14"/>
  <c r="V97" i="14"/>
  <c r="V96" i="14"/>
  <c r="V95" i="14"/>
  <c r="V94" i="14"/>
  <c r="V93" i="14"/>
  <c r="V92" i="14"/>
  <c r="V91" i="14"/>
  <c r="V90" i="14"/>
  <c r="V89" i="14"/>
  <c r="V88" i="14"/>
  <c r="V87" i="14"/>
  <c r="V86" i="14"/>
  <c r="V85" i="14"/>
  <c r="V84" i="14"/>
  <c r="V83" i="14"/>
  <c r="V82" i="14"/>
  <c r="V81" i="14"/>
  <c r="V80" i="14"/>
  <c r="V79" i="14"/>
  <c r="V78" i="14"/>
  <c r="V77" i="14"/>
  <c r="V76" i="14"/>
  <c r="V75" i="14"/>
  <c r="V74" i="14"/>
  <c r="V73" i="14"/>
  <c r="V72" i="14"/>
  <c r="V71" i="14"/>
  <c r="V70" i="14"/>
  <c r="V69" i="14"/>
  <c r="V68" i="14"/>
  <c r="V67" i="14"/>
  <c r="V66" i="14"/>
  <c r="V65" i="14"/>
  <c r="V64" i="14"/>
  <c r="V63" i="14"/>
  <c r="V62" i="14"/>
  <c r="V61" i="14"/>
  <c r="V60" i="14"/>
  <c r="V59" i="14"/>
  <c r="V58" i="14"/>
  <c r="V57" i="14"/>
  <c r="V56" i="14"/>
  <c r="V55" i="14"/>
  <c r="V54" i="14"/>
  <c r="V53" i="14"/>
  <c r="V52" i="14"/>
  <c r="V51" i="14"/>
  <c r="V50" i="14"/>
  <c r="V49" i="14"/>
  <c r="V48" i="14"/>
  <c r="V47" i="14"/>
  <c r="V46" i="14"/>
  <c r="V45" i="14"/>
  <c r="V44" i="14"/>
  <c r="V43" i="14"/>
  <c r="V42" i="14"/>
  <c r="V41" i="14"/>
  <c r="V40" i="14"/>
  <c r="V39" i="14"/>
  <c r="V38" i="14"/>
  <c r="V37" i="14"/>
  <c r="V36" i="14"/>
  <c r="V35" i="14"/>
  <c r="V34" i="14"/>
  <c r="V33" i="14"/>
  <c r="V32" i="14"/>
  <c r="V31" i="14"/>
  <c r="V30" i="14"/>
  <c r="V29" i="14"/>
  <c r="V28" i="14"/>
  <c r="V27" i="14"/>
  <c r="V26" i="14"/>
  <c r="V25" i="14"/>
  <c r="V24" i="14"/>
  <c r="V23" i="14"/>
  <c r="V22" i="14"/>
  <c r="V21" i="14"/>
  <c r="V20" i="14"/>
  <c r="V19" i="14"/>
  <c r="V18" i="14"/>
  <c r="V17" i="14"/>
  <c r="V16" i="14"/>
  <c r="V15" i="14"/>
  <c r="V14" i="14"/>
  <c r="V13" i="14"/>
  <c r="V12" i="14"/>
  <c r="V11" i="14"/>
  <c r="V10" i="14"/>
  <c r="V9" i="14"/>
  <c r="V8" i="14"/>
  <c r="V7" i="14"/>
  <c r="V6" i="14"/>
  <c r="V5" i="14"/>
  <c r="AD4" i="14"/>
  <c r="AB4" i="14"/>
  <c r="X4" i="14"/>
  <c r="V4" i="14"/>
  <c r="W4" i="14" s="1"/>
  <c r="AC4" i="14"/>
  <c r="AA4" i="14"/>
  <c r="M6" i="14"/>
  <c r="X6" i="14" s="1"/>
  <c r="AB6" i="14" s="1"/>
  <c r="M8" i="14"/>
  <c r="X8" i="14" s="1"/>
  <c r="AB8" i="14" s="1"/>
  <c r="M10" i="14"/>
  <c r="X10" i="14" s="1"/>
  <c r="AB10" i="14" s="1"/>
  <c r="M12" i="14"/>
  <c r="X12" i="14" s="1"/>
  <c r="AB12" i="14" s="1"/>
  <c r="M14" i="14"/>
  <c r="X14" i="14" s="1"/>
  <c r="AB14" i="14" s="1"/>
  <c r="M16" i="14"/>
  <c r="X16" i="14" s="1"/>
  <c r="AB16" i="14" s="1"/>
  <c r="M18" i="14"/>
  <c r="X18" i="14" s="1"/>
  <c r="M20" i="14"/>
  <c r="X20" i="14" s="1"/>
  <c r="AB20" i="14" s="1"/>
  <c r="M22" i="14"/>
  <c r="X22" i="14" s="1"/>
  <c r="AB22" i="14" s="1"/>
  <c r="M24" i="14"/>
  <c r="X24" i="14" s="1"/>
  <c r="AB24" i="14" s="1"/>
  <c r="M26" i="14"/>
  <c r="X26" i="14" s="1"/>
  <c r="AB26" i="14" s="1"/>
  <c r="M28" i="14"/>
  <c r="X28" i="14" s="1"/>
  <c r="AB28" i="14" s="1"/>
  <c r="M30" i="14"/>
  <c r="X30" i="14" s="1"/>
  <c r="AB30" i="14" s="1"/>
  <c r="M32" i="14"/>
  <c r="X32" i="14" s="1"/>
  <c r="AB32" i="14" s="1"/>
  <c r="M34" i="14"/>
  <c r="X34" i="14" s="1"/>
  <c r="AB34" i="14" s="1"/>
  <c r="M36" i="14"/>
  <c r="X36" i="14" s="1"/>
  <c r="AB36" i="14" s="1"/>
  <c r="M38" i="14"/>
  <c r="X38" i="14" s="1"/>
  <c r="AB38" i="14" s="1"/>
  <c r="M40" i="14"/>
  <c r="X40" i="14" s="1"/>
  <c r="M42" i="14"/>
  <c r="X42" i="14" s="1"/>
  <c r="M44" i="14"/>
  <c r="X44" i="14" s="1"/>
  <c r="M46" i="14"/>
  <c r="X46" i="14" s="1"/>
  <c r="M48" i="14"/>
  <c r="X48" i="14" s="1"/>
  <c r="M50" i="14"/>
  <c r="X50" i="14" s="1"/>
  <c r="M52" i="14"/>
  <c r="X52" i="14" s="1"/>
  <c r="M54" i="14"/>
  <c r="X54" i="14" s="1"/>
  <c r="M56" i="14"/>
  <c r="X56" i="14" s="1"/>
  <c r="M58" i="14"/>
  <c r="X58" i="14" s="1"/>
  <c r="M60" i="14"/>
  <c r="X60" i="14" s="1"/>
  <c r="M62" i="14"/>
  <c r="X62" i="14" s="1"/>
  <c r="M64" i="14"/>
  <c r="X64" i="14" s="1"/>
  <c r="M66" i="14"/>
  <c r="X66" i="14" s="1"/>
  <c r="M68" i="14"/>
  <c r="X68" i="14" s="1"/>
  <c r="M70" i="14"/>
  <c r="X70" i="14" s="1"/>
  <c r="M72" i="14"/>
  <c r="X72" i="14" s="1"/>
  <c r="M74" i="14"/>
  <c r="X74" i="14" s="1"/>
  <c r="M76" i="14"/>
  <c r="X76" i="14" s="1"/>
  <c r="M78" i="14"/>
  <c r="X78" i="14" s="1"/>
  <c r="M80" i="14"/>
  <c r="X80" i="14" s="1"/>
  <c r="M82" i="14"/>
  <c r="X82" i="14" s="1"/>
  <c r="M84" i="14"/>
  <c r="X84" i="14" s="1"/>
  <c r="M86" i="14"/>
  <c r="X86" i="14" s="1"/>
  <c r="M88" i="14"/>
  <c r="X88" i="14" s="1"/>
  <c r="M90" i="14"/>
  <c r="X90" i="14" s="1"/>
  <c r="M92" i="14"/>
  <c r="X92" i="14" s="1"/>
  <c r="M94" i="14"/>
  <c r="X94" i="14" s="1"/>
  <c r="M96" i="14"/>
  <c r="X96" i="14" s="1"/>
  <c r="M98" i="14"/>
  <c r="X98" i="14" s="1"/>
  <c r="M100" i="14"/>
  <c r="X100" i="14" s="1"/>
  <c r="M102" i="14"/>
  <c r="X102" i="14" s="1"/>
  <c r="M104" i="14"/>
  <c r="X104" i="14" s="1"/>
  <c r="Y104" i="14" s="1"/>
  <c r="M106" i="14"/>
  <c r="X106" i="14" s="1"/>
  <c r="Y106" i="14" s="1"/>
  <c r="M108" i="14"/>
  <c r="X108" i="14" s="1"/>
  <c r="Y108" i="14" s="1"/>
  <c r="M110" i="14"/>
  <c r="X110" i="14" s="1"/>
  <c r="M112" i="14"/>
  <c r="X112" i="14" s="1"/>
  <c r="M114" i="14"/>
  <c r="X114" i="14" s="1"/>
  <c r="M116" i="14"/>
  <c r="X116" i="14" s="1"/>
  <c r="M118" i="14"/>
  <c r="X118" i="14" s="1"/>
  <c r="M120" i="14"/>
  <c r="X120" i="14" s="1"/>
  <c r="M122" i="14"/>
  <c r="X122" i="14" s="1"/>
  <c r="M124" i="14"/>
  <c r="X124" i="14" s="1"/>
  <c r="Q125" i="14"/>
  <c r="Q124" i="14"/>
  <c r="Q123" i="14"/>
  <c r="Q122" i="14"/>
  <c r="Q121" i="14"/>
  <c r="Q120" i="14"/>
  <c r="Q119" i="14"/>
  <c r="Q118" i="14"/>
  <c r="Q117" i="14"/>
  <c r="Q116" i="14"/>
  <c r="Q115" i="14"/>
  <c r="Q114" i="14"/>
  <c r="Q113" i="14"/>
  <c r="Q112" i="14"/>
  <c r="Q111" i="14"/>
  <c r="Q110" i="14"/>
  <c r="Q109" i="14"/>
  <c r="Q108" i="14"/>
  <c r="Q107" i="14"/>
  <c r="Q106" i="14"/>
  <c r="Q105" i="14"/>
  <c r="Q104" i="14"/>
  <c r="Q103" i="14"/>
  <c r="Q102" i="14"/>
  <c r="Q100" i="14"/>
  <c r="Q98" i="14"/>
  <c r="Q101" i="14"/>
  <c r="Q99" i="14"/>
  <c r="Q97" i="14"/>
  <c r="Q96" i="14"/>
  <c r="Q95" i="14"/>
  <c r="Q94" i="14"/>
  <c r="Q93" i="14"/>
  <c r="Q92" i="14"/>
  <c r="Q91" i="14"/>
  <c r="Q90" i="14"/>
  <c r="Q89" i="14"/>
  <c r="Q88" i="14"/>
  <c r="Q87" i="14"/>
  <c r="Q86" i="14"/>
  <c r="Q85" i="14"/>
  <c r="Q84" i="14"/>
  <c r="Q83" i="14"/>
  <c r="Q82" i="14"/>
  <c r="Q81" i="14"/>
  <c r="Q80" i="14"/>
  <c r="Q69" i="14"/>
  <c r="Q68" i="14"/>
  <c r="Q67" i="14"/>
  <c r="Q66" i="14"/>
  <c r="Q65" i="14"/>
  <c r="Q64" i="14"/>
  <c r="Q63" i="14"/>
  <c r="Q62" i="14"/>
  <c r="Q61" i="14"/>
  <c r="Q60" i="14"/>
  <c r="Q59" i="14"/>
  <c r="Q58" i="14"/>
  <c r="Q57" i="14"/>
  <c r="Q56" i="14"/>
  <c r="Q55" i="14"/>
  <c r="Q54" i="14"/>
  <c r="Q53" i="14"/>
  <c r="Q52" i="14"/>
  <c r="Q51" i="14"/>
  <c r="Q50" i="14"/>
  <c r="Q49" i="14"/>
  <c r="Q48" i="14"/>
  <c r="Q47" i="14"/>
  <c r="Q46" i="14"/>
  <c r="Q79" i="14"/>
  <c r="Q78" i="14"/>
  <c r="Q77" i="14"/>
  <c r="Q76" i="14"/>
  <c r="Q75" i="14"/>
  <c r="Q74" i="14"/>
  <c r="Q73" i="14"/>
  <c r="Q72" i="14"/>
  <c r="Q71" i="14"/>
  <c r="Q70" i="14"/>
  <c r="Q45" i="14"/>
  <c r="Q44" i="14"/>
  <c r="Q43" i="14"/>
  <c r="Q42" i="14"/>
  <c r="Q41" i="14"/>
  <c r="Q40" i="14"/>
  <c r="Q39" i="14"/>
  <c r="Q38" i="14"/>
  <c r="Q37" i="14"/>
  <c r="Q36" i="14"/>
  <c r="Q35" i="14"/>
  <c r="Q34" i="14"/>
  <c r="Q33" i="14"/>
  <c r="Q32" i="14"/>
  <c r="Q18" i="14"/>
  <c r="Q14" i="14"/>
  <c r="Q13" i="14"/>
  <c r="Q31" i="14"/>
  <c r="Q30" i="14"/>
  <c r="Q29" i="14"/>
  <c r="Q28" i="14"/>
  <c r="Q27" i="14"/>
  <c r="Q26" i="14"/>
  <c r="Q25" i="14"/>
  <c r="Q24" i="14"/>
  <c r="Q23" i="14"/>
  <c r="Q22" i="14"/>
  <c r="Q21" i="14"/>
  <c r="Q20" i="14"/>
  <c r="Q19" i="14"/>
  <c r="Q17" i="14"/>
  <c r="Q16" i="14"/>
  <c r="Q15" i="14"/>
  <c r="Q12" i="14"/>
  <c r="Q11" i="14"/>
  <c r="Q10" i="14"/>
  <c r="Q8" i="14"/>
  <c r="Q9" i="14"/>
  <c r="Q7" i="14"/>
  <c r="Q6" i="14"/>
  <c r="Q5" i="14"/>
  <c r="O126" i="14"/>
  <c r="M5" i="14"/>
  <c r="X5" i="14" s="1"/>
  <c r="M7" i="14"/>
  <c r="X7" i="14" s="1"/>
  <c r="M9" i="14"/>
  <c r="X9" i="14" s="1"/>
  <c r="M11" i="14"/>
  <c r="X11" i="14" s="1"/>
  <c r="M13" i="14"/>
  <c r="X13" i="14" s="1"/>
  <c r="M15" i="14"/>
  <c r="X15" i="14" s="1"/>
  <c r="M17" i="14"/>
  <c r="X17" i="14" s="1"/>
  <c r="M19" i="14"/>
  <c r="X19" i="14" s="1"/>
  <c r="M21" i="14"/>
  <c r="X21" i="14" s="1"/>
  <c r="M23" i="14"/>
  <c r="X23" i="14" s="1"/>
  <c r="M25" i="14"/>
  <c r="X25" i="14" s="1"/>
  <c r="M27" i="14"/>
  <c r="X27" i="14" s="1"/>
  <c r="M29" i="14"/>
  <c r="X29" i="14" s="1"/>
  <c r="M31" i="14"/>
  <c r="X31" i="14" s="1"/>
  <c r="M33" i="14"/>
  <c r="X33" i="14" s="1"/>
  <c r="M35" i="14"/>
  <c r="X35" i="14" s="1"/>
  <c r="M37" i="14"/>
  <c r="X37" i="14" s="1"/>
  <c r="M39" i="14"/>
  <c r="X39" i="14" s="1"/>
  <c r="M41" i="14"/>
  <c r="X41" i="14" s="1"/>
  <c r="M43" i="14"/>
  <c r="X43" i="14" s="1"/>
  <c r="M45" i="14"/>
  <c r="X45" i="14" s="1"/>
  <c r="M47" i="14"/>
  <c r="X47" i="14" s="1"/>
  <c r="M49" i="14"/>
  <c r="X49" i="14" s="1"/>
  <c r="M51" i="14"/>
  <c r="X51" i="14" s="1"/>
  <c r="M53" i="14"/>
  <c r="X53" i="14" s="1"/>
  <c r="M55" i="14"/>
  <c r="X55" i="14" s="1"/>
  <c r="M57" i="14"/>
  <c r="X57" i="14" s="1"/>
  <c r="M59" i="14"/>
  <c r="X59" i="14" s="1"/>
  <c r="M61" i="14"/>
  <c r="X61" i="14" s="1"/>
  <c r="M63" i="14"/>
  <c r="X63" i="14" s="1"/>
  <c r="M65" i="14"/>
  <c r="X65" i="14" s="1"/>
  <c r="M67" i="14"/>
  <c r="X67" i="14" s="1"/>
  <c r="M69" i="14"/>
  <c r="X69" i="14" s="1"/>
  <c r="M71" i="14"/>
  <c r="X71" i="14" s="1"/>
  <c r="M73" i="14"/>
  <c r="X73" i="14" s="1"/>
  <c r="M75" i="14"/>
  <c r="X75" i="14" s="1"/>
  <c r="M77" i="14"/>
  <c r="X77" i="14" s="1"/>
  <c r="M79" i="14"/>
  <c r="X79" i="14" s="1"/>
  <c r="M81" i="14"/>
  <c r="X81" i="14" s="1"/>
  <c r="M83" i="14"/>
  <c r="X83" i="14" s="1"/>
  <c r="M85" i="14"/>
  <c r="X85" i="14" s="1"/>
  <c r="M87" i="14"/>
  <c r="X87" i="14" s="1"/>
  <c r="M89" i="14"/>
  <c r="X89" i="14" s="1"/>
  <c r="M91" i="14"/>
  <c r="X91" i="14" s="1"/>
  <c r="M93" i="14"/>
  <c r="X93" i="14" s="1"/>
  <c r="Z93" i="14" s="1"/>
  <c r="AK93" i="14" s="1"/>
  <c r="M95" i="14"/>
  <c r="X95" i="14" s="1"/>
  <c r="Z95" i="14" s="1"/>
  <c r="AK95" i="14" s="1"/>
  <c r="M97" i="14"/>
  <c r="X97" i="14" s="1"/>
  <c r="M99" i="14"/>
  <c r="X99" i="14" s="1"/>
  <c r="M101" i="14"/>
  <c r="X101" i="14" s="1"/>
  <c r="M103" i="14"/>
  <c r="X103" i="14" s="1"/>
  <c r="M105" i="14"/>
  <c r="X105" i="14" s="1"/>
  <c r="Y105" i="14" s="1"/>
  <c r="M107" i="14"/>
  <c r="X107" i="14" s="1"/>
  <c r="Y107" i="14" s="1"/>
  <c r="M109" i="14"/>
  <c r="X109" i="14" s="1"/>
  <c r="M111" i="14"/>
  <c r="X111" i="14" s="1"/>
  <c r="M113" i="14"/>
  <c r="X113" i="14" s="1"/>
  <c r="M115" i="14"/>
  <c r="X115" i="14" s="1"/>
  <c r="M117" i="14"/>
  <c r="X117" i="14" s="1"/>
  <c r="M119" i="14"/>
  <c r="X119" i="14" s="1"/>
  <c r="M121" i="14"/>
  <c r="X121" i="14" s="1"/>
  <c r="M123" i="14"/>
  <c r="X123" i="14" s="1"/>
  <c r="M125" i="14"/>
  <c r="X125" i="14" s="1"/>
  <c r="G45" i="10" l="1"/>
  <c r="G33" i="10"/>
  <c r="H33" i="10"/>
  <c r="G62" i="7"/>
  <c r="I33" i="10" s="1"/>
  <c r="H56" i="7"/>
  <c r="H74" i="7"/>
  <c r="AL93" i="14"/>
  <c r="AJ93" i="14"/>
  <c r="AQ93" i="14"/>
  <c r="AM93" i="14"/>
  <c r="AN93" i="14" s="1"/>
  <c r="AL95" i="14"/>
  <c r="AJ95" i="14"/>
  <c r="AQ95" i="14"/>
  <c r="AM95" i="14"/>
  <c r="AN95" i="14" s="1"/>
  <c r="AV125" i="14"/>
  <c r="AV123" i="14"/>
  <c r="AV121" i="14"/>
  <c r="AV119" i="14"/>
  <c r="AV117" i="14"/>
  <c r="AV115" i="14"/>
  <c r="AV113" i="14"/>
  <c r="AV111" i="14"/>
  <c r="AV109" i="14"/>
  <c r="AV107" i="14"/>
  <c r="AV105" i="14"/>
  <c r="AV103" i="14"/>
  <c r="AV101" i="14"/>
  <c r="AV99" i="14"/>
  <c r="AV97" i="14"/>
  <c r="AV95" i="14"/>
  <c r="AV93" i="14"/>
  <c r="AV91" i="14"/>
  <c r="AV89" i="14"/>
  <c r="AV87" i="14"/>
  <c r="AV85" i="14"/>
  <c r="AV83" i="14"/>
  <c r="AV81" i="14"/>
  <c r="AV79" i="14"/>
  <c r="AV77" i="14"/>
  <c r="AV75" i="14"/>
  <c r="AV73" i="14"/>
  <c r="AV71" i="14"/>
  <c r="AV69" i="14"/>
  <c r="AV67" i="14"/>
  <c r="AV65" i="14"/>
  <c r="AV63" i="14"/>
  <c r="AV61" i="14"/>
  <c r="AV59" i="14"/>
  <c r="AV57" i="14"/>
  <c r="AV55" i="14"/>
  <c r="AV53" i="14"/>
  <c r="AV51" i="14"/>
  <c r="AV49" i="14"/>
  <c r="AV47" i="14"/>
  <c r="AV45" i="14"/>
  <c r="AV43" i="14"/>
  <c r="AV41" i="14"/>
  <c r="AV39" i="14"/>
  <c r="AV37" i="14"/>
  <c r="AV35" i="14"/>
  <c r="AV33" i="14"/>
  <c r="AV31" i="14"/>
  <c r="AV30" i="14"/>
  <c r="AV28" i="14"/>
  <c r="AV26" i="14"/>
  <c r="AV24" i="14"/>
  <c r="AV22" i="14"/>
  <c r="AV20" i="14"/>
  <c r="AV18" i="14"/>
  <c r="AV16" i="14"/>
  <c r="AV14" i="14"/>
  <c r="AV12" i="14"/>
  <c r="AV10" i="14"/>
  <c r="AV8" i="14"/>
  <c r="AV5" i="14"/>
  <c r="BB4" i="14"/>
  <c r="AV4" i="14"/>
  <c r="AW4" i="14" s="1"/>
  <c r="BC4" i="14"/>
  <c r="AV124" i="14"/>
  <c r="AV122" i="14"/>
  <c r="AV120" i="14"/>
  <c r="AV118" i="14"/>
  <c r="AV116" i="14"/>
  <c r="AV114" i="14"/>
  <c r="AV112" i="14"/>
  <c r="AV110" i="14"/>
  <c r="AV108" i="14"/>
  <c r="AV106" i="14"/>
  <c r="AV104" i="14"/>
  <c r="AV102" i="14"/>
  <c r="AV100" i="14"/>
  <c r="AV98" i="14"/>
  <c r="AV96" i="14"/>
  <c r="AV94" i="14"/>
  <c r="AV92" i="14"/>
  <c r="AV90" i="14"/>
  <c r="AV88" i="14"/>
  <c r="AV86" i="14"/>
  <c r="AV84" i="14"/>
  <c r="AV82" i="14"/>
  <c r="AV80" i="14"/>
  <c r="AV78" i="14"/>
  <c r="AV76" i="14"/>
  <c r="AV74" i="14"/>
  <c r="AV72" i="14"/>
  <c r="AV70" i="14"/>
  <c r="AV68" i="14"/>
  <c r="AV66" i="14"/>
  <c r="AV64" i="14"/>
  <c r="AV62" i="14"/>
  <c r="AV60" i="14"/>
  <c r="AV58" i="14"/>
  <c r="AV56" i="14"/>
  <c r="AV54" i="14"/>
  <c r="AV52" i="14"/>
  <c r="AV50" i="14"/>
  <c r="AV48" i="14"/>
  <c r="AV46" i="14"/>
  <c r="AV44" i="14"/>
  <c r="AV42" i="14"/>
  <c r="AV40" i="14"/>
  <c r="AV38" i="14"/>
  <c r="AV36" i="14"/>
  <c r="AV34" i="14"/>
  <c r="AV32" i="14"/>
  <c r="AV29" i="14"/>
  <c r="AV27" i="14"/>
  <c r="AV25" i="14"/>
  <c r="AV23" i="14"/>
  <c r="AV21" i="14"/>
  <c r="AV19" i="14"/>
  <c r="AV17" i="14"/>
  <c r="AV15" i="14"/>
  <c r="AV13" i="14"/>
  <c r="AV11" i="14"/>
  <c r="AV9" i="14"/>
  <c r="AV7" i="14"/>
  <c r="AV6" i="14"/>
  <c r="BD4" i="14"/>
  <c r="AX4" i="14"/>
  <c r="BM4" i="14"/>
  <c r="BA4" i="14"/>
  <c r="AI160" i="14"/>
  <c r="AI134" i="14"/>
  <c r="AI156" i="14"/>
  <c r="AI164" i="14" s="1"/>
  <c r="AI130" i="14"/>
  <c r="AI138" i="14" s="1"/>
  <c r="AK181" i="14" s="1"/>
  <c r="AE4" i="14"/>
  <c r="AG4" i="14"/>
  <c r="AM180" i="14"/>
  <c r="AM177" i="14"/>
  <c r="AM175" i="14"/>
  <c r="AK128" i="14"/>
  <c r="AM178" i="14"/>
  <c r="AM176" i="14"/>
  <c r="AM174" i="14"/>
  <c r="AF4" i="14"/>
  <c r="AL4" i="14"/>
  <c r="AH4" i="14"/>
  <c r="AE1" i="14" s="1"/>
  <c r="AI126" i="14"/>
  <c r="AK180" i="14" s="1"/>
  <c r="AB18" i="14"/>
  <c r="K75" i="10"/>
  <c r="I76" i="10"/>
  <c r="J76" i="10"/>
  <c r="AH100" i="13"/>
  <c r="AI99" i="13"/>
  <c r="AG99" i="13"/>
  <c r="AH98" i="13"/>
  <c r="AI97" i="13"/>
  <c r="AG97" i="13"/>
  <c r="AH96" i="13"/>
  <c r="AI95" i="13"/>
  <c r="AG95" i="13"/>
  <c r="AH94" i="13"/>
  <c r="AI93" i="13"/>
  <c r="AG93" i="13"/>
  <c r="AH92" i="13"/>
  <c r="AI91" i="13"/>
  <c r="AG91" i="13"/>
  <c r="AH90" i="13"/>
  <c r="AI89" i="13"/>
  <c r="AG89" i="13"/>
  <c r="AH88" i="13"/>
  <c r="AI87" i="13"/>
  <c r="AG87" i="13"/>
  <c r="AH86" i="13"/>
  <c r="AH80" i="13"/>
  <c r="AI79" i="13"/>
  <c r="AG79" i="13"/>
  <c r="AI73" i="13"/>
  <c r="AG73" i="13"/>
  <c r="AH72" i="13"/>
  <c r="AH66" i="13"/>
  <c r="AI65" i="13"/>
  <c r="AG65" i="13"/>
  <c r="AH64" i="13"/>
  <c r="AH62" i="13"/>
  <c r="AH58" i="13"/>
  <c r="AI53" i="13"/>
  <c r="AG53" i="13"/>
  <c r="AH52" i="13"/>
  <c r="AI51" i="13"/>
  <c r="AG51" i="13"/>
  <c r="AI45" i="13"/>
  <c r="AG45" i="13"/>
  <c r="AI37" i="13"/>
  <c r="AG37" i="13"/>
  <c r="AH32" i="13"/>
  <c r="AH30" i="13"/>
  <c r="AI100" i="13"/>
  <c r="AG100" i="13"/>
  <c r="AH99" i="13"/>
  <c r="AI98" i="13"/>
  <c r="AG98" i="13"/>
  <c r="AH97" i="13"/>
  <c r="AI96" i="13"/>
  <c r="AG96" i="13"/>
  <c r="AH95" i="13"/>
  <c r="AI94" i="13"/>
  <c r="AG94" i="13"/>
  <c r="AH93" i="13"/>
  <c r="AI92" i="13"/>
  <c r="AG92" i="13"/>
  <c r="AH91" i="13"/>
  <c r="AI90" i="13"/>
  <c r="AG90" i="13"/>
  <c r="AH89" i="13"/>
  <c r="AI88" i="13"/>
  <c r="AG88" i="13"/>
  <c r="AH87" i="13"/>
  <c r="AI86" i="13"/>
  <c r="AG86" i="13"/>
  <c r="AI80" i="13"/>
  <c r="AG80" i="13"/>
  <c r="AH79" i="13"/>
  <c r="AH73" i="13"/>
  <c r="AI72" i="13"/>
  <c r="AG72" i="13"/>
  <c r="AI66" i="13"/>
  <c r="AG66" i="13"/>
  <c r="AH65" i="13"/>
  <c r="AI64" i="13"/>
  <c r="AG64" i="13"/>
  <c r="AI62" i="13"/>
  <c r="AG62" i="13"/>
  <c r="AI58" i="13"/>
  <c r="AG58" i="13"/>
  <c r="AH53" i="13"/>
  <c r="AI52" i="13"/>
  <c r="AG52" i="13"/>
  <c r="AH51" i="13"/>
  <c r="AH45" i="13"/>
  <c r="AH37" i="13"/>
  <c r="AI32" i="13"/>
  <c r="AG32" i="13"/>
  <c r="AI30" i="13"/>
  <c r="AG30" i="13"/>
  <c r="AI26" i="13"/>
  <c r="AG26" i="13"/>
  <c r="AH25" i="13"/>
  <c r="AI24" i="13"/>
  <c r="AG24" i="13"/>
  <c r="AH23" i="13"/>
  <c r="AI22" i="13"/>
  <c r="AG22" i="13"/>
  <c r="AH21" i="13"/>
  <c r="AH19" i="13"/>
  <c r="AI18" i="13"/>
  <c r="AG18" i="13"/>
  <c r="AI14" i="13"/>
  <c r="AG14" i="13"/>
  <c r="AH13" i="13"/>
  <c r="AI12" i="13"/>
  <c r="AG12" i="13"/>
  <c r="AH11" i="13"/>
  <c r="AI10" i="13"/>
  <c r="AG10" i="13"/>
  <c r="AH9" i="13"/>
  <c r="AI8" i="13"/>
  <c r="AG8" i="13"/>
  <c r="AH26" i="13"/>
  <c r="AI25" i="13"/>
  <c r="AG25" i="13"/>
  <c r="AH24" i="13"/>
  <c r="AI23" i="13"/>
  <c r="AG23" i="13"/>
  <c r="AH22" i="13"/>
  <c r="AI21" i="13"/>
  <c r="AG21" i="13"/>
  <c r="AI19" i="13"/>
  <c r="AG19" i="13"/>
  <c r="AH18" i="13"/>
  <c r="AH14" i="13"/>
  <c r="AI13" i="13"/>
  <c r="AG13" i="13"/>
  <c r="AH12" i="13"/>
  <c r="AI11" i="13"/>
  <c r="AG11" i="13"/>
  <c r="AH10" i="13"/>
  <c r="AI9" i="13"/>
  <c r="AG9" i="13"/>
  <c r="AH8" i="13"/>
  <c r="Z94" i="14"/>
  <c r="AK94" i="14" s="1"/>
  <c r="AB94" i="14"/>
  <c r="Z96" i="14"/>
  <c r="AB96" i="14"/>
  <c r="Z92" i="14"/>
  <c r="AK92" i="14" s="1"/>
  <c r="AB92" i="14"/>
  <c r="L55" i="10"/>
  <c r="K41" i="10"/>
  <c r="K29" i="10"/>
  <c r="K55" i="10"/>
  <c r="L29" i="10"/>
  <c r="Y102" i="14"/>
  <c r="AB102" i="14"/>
  <c r="Y98" i="14"/>
  <c r="AB98" i="14"/>
  <c r="Y101" i="14"/>
  <c r="AB101" i="14"/>
  <c r="Y99" i="14"/>
  <c r="AB99" i="14"/>
  <c r="AA95" i="14"/>
  <c r="Y100" i="14"/>
  <c r="AB100" i="14"/>
  <c r="AA92" i="14"/>
  <c r="AA93" i="14"/>
  <c r="AA94" i="14"/>
  <c r="AB95" i="14"/>
  <c r="AO95" i="14" s="1"/>
  <c r="AB93" i="14"/>
  <c r="AO93" i="14" s="1"/>
  <c r="X134" i="14"/>
  <c r="Z180" i="14"/>
  <c r="Z176" i="14"/>
  <c r="K68" i="10"/>
  <c r="K62" i="10"/>
  <c r="W98" i="14"/>
  <c r="W99" i="14"/>
  <c r="W100" i="14"/>
  <c r="W101" i="14"/>
  <c r="W102" i="14"/>
  <c r="X130" i="14"/>
  <c r="K54" i="10"/>
  <c r="AJ2" i="13"/>
  <c r="K28" i="10"/>
  <c r="K40" i="10"/>
  <c r="AC103" i="13"/>
  <c r="AC29" i="13"/>
  <c r="AC4" i="13"/>
  <c r="AJ103" i="13"/>
  <c r="Z76" i="14"/>
  <c r="AK76" i="14" s="1"/>
  <c r="AB76" i="14"/>
  <c r="Z72" i="14"/>
  <c r="AK72" i="14" s="1"/>
  <c r="AB72" i="14"/>
  <c r="Z78" i="14"/>
  <c r="AK78" i="14" s="1"/>
  <c r="AB78" i="14"/>
  <c r="Z74" i="14"/>
  <c r="AK74" i="14" s="1"/>
  <c r="AB74" i="14"/>
  <c r="Z70" i="14"/>
  <c r="AK70" i="14" s="1"/>
  <c r="AB70" i="14"/>
  <c r="V126" i="14"/>
  <c r="X180" i="14" s="1"/>
  <c r="V156" i="14"/>
  <c r="V130" i="14"/>
  <c r="V160" i="14"/>
  <c r="V134" i="14"/>
  <c r="Z174" i="14"/>
  <c r="Z45" i="14"/>
  <c r="AK45" i="14" s="1"/>
  <c r="AB45" i="14"/>
  <c r="Z41" i="14"/>
  <c r="AK41" i="14" s="1"/>
  <c r="AB41" i="14"/>
  <c r="Z37" i="14"/>
  <c r="AK37" i="14" s="1"/>
  <c r="AB37" i="14"/>
  <c r="Z33" i="14"/>
  <c r="AK33" i="14" s="1"/>
  <c r="AB33" i="14"/>
  <c r="Z29" i="14"/>
  <c r="AK29" i="14" s="1"/>
  <c r="AB29" i="14"/>
  <c r="Z25" i="14"/>
  <c r="AK25" i="14" s="1"/>
  <c r="AB25" i="14"/>
  <c r="Z21" i="14"/>
  <c r="AK21" i="14" s="1"/>
  <c r="AB21" i="14"/>
  <c r="Z17" i="14"/>
  <c r="AK17" i="14" s="1"/>
  <c r="AB17" i="14"/>
  <c r="Z13" i="14"/>
  <c r="AK13" i="14" s="1"/>
  <c r="AB13" i="14"/>
  <c r="Z9" i="14"/>
  <c r="AK9" i="14" s="1"/>
  <c r="AB9" i="14"/>
  <c r="Z5" i="14"/>
  <c r="AK5" i="14" s="1"/>
  <c r="AB5" i="14"/>
  <c r="Z44" i="14"/>
  <c r="AK44" i="14" s="1"/>
  <c r="AB44" i="14"/>
  <c r="Z40" i="14"/>
  <c r="AK40" i="14" s="1"/>
  <c r="AB40" i="14"/>
  <c r="Z43" i="14"/>
  <c r="AK43" i="14" s="1"/>
  <c r="AB43" i="14"/>
  <c r="Z39" i="14"/>
  <c r="AK39" i="14" s="1"/>
  <c r="AB39" i="14"/>
  <c r="Z35" i="14"/>
  <c r="AK35" i="14" s="1"/>
  <c r="AB35" i="14"/>
  <c r="Z31" i="14"/>
  <c r="AK31" i="14" s="1"/>
  <c r="AB31" i="14"/>
  <c r="Z27" i="14"/>
  <c r="AK27" i="14" s="1"/>
  <c r="AB27" i="14"/>
  <c r="Z23" i="14"/>
  <c r="AK23" i="14" s="1"/>
  <c r="AB23" i="14"/>
  <c r="Z19" i="14"/>
  <c r="AK19" i="14" s="1"/>
  <c r="AB19" i="14"/>
  <c r="Z15" i="14"/>
  <c r="AK15" i="14" s="1"/>
  <c r="AB15" i="14"/>
  <c r="Z11" i="14"/>
  <c r="AK11" i="14" s="1"/>
  <c r="AB11" i="14"/>
  <c r="Z7" i="14"/>
  <c r="AK7" i="14" s="1"/>
  <c r="AB7" i="14"/>
  <c r="Z42" i="14"/>
  <c r="AK42" i="14" s="1"/>
  <c r="AB42" i="14"/>
  <c r="Q126" i="14"/>
  <c r="Y125" i="14"/>
  <c r="W125" i="14"/>
  <c r="AD125" i="14"/>
  <c r="Z125" i="14"/>
  <c r="AK125" i="14" s="1"/>
  <c r="AB125" i="14"/>
  <c r="Y117" i="14"/>
  <c r="W117" i="14"/>
  <c r="AD117" i="14"/>
  <c r="Z117" i="14"/>
  <c r="AK117" i="14" s="1"/>
  <c r="AB117" i="14"/>
  <c r="Y109" i="14"/>
  <c r="W109" i="14"/>
  <c r="AD109" i="14"/>
  <c r="Z109" i="14"/>
  <c r="AK109" i="14" s="1"/>
  <c r="AB109" i="14"/>
  <c r="Y97" i="14"/>
  <c r="W97" i="14"/>
  <c r="AD97" i="14"/>
  <c r="Z97" i="14"/>
  <c r="AK97" i="14" s="1"/>
  <c r="AB97" i="14"/>
  <c r="Y89" i="14"/>
  <c r="W89" i="14"/>
  <c r="AD89" i="14"/>
  <c r="AB89" i="14"/>
  <c r="Z89" i="14"/>
  <c r="AK89" i="14" s="1"/>
  <c r="Y85" i="14"/>
  <c r="W85" i="14"/>
  <c r="AD85" i="14"/>
  <c r="Z85" i="14"/>
  <c r="AK85" i="14" s="1"/>
  <c r="AB85" i="14"/>
  <c r="Y81" i="14"/>
  <c r="W81" i="14"/>
  <c r="AD81" i="14"/>
  <c r="Z81" i="14"/>
  <c r="AK81" i="14" s="1"/>
  <c r="AB81" i="14"/>
  <c r="W77" i="14"/>
  <c r="Y77" i="14"/>
  <c r="AD77" i="14"/>
  <c r="AB77" i="14"/>
  <c r="Z77" i="14"/>
  <c r="AK77" i="14" s="1"/>
  <c r="W73" i="14"/>
  <c r="Y73" i="14"/>
  <c r="AD73" i="14"/>
  <c r="Z73" i="14"/>
  <c r="AK73" i="14" s="1"/>
  <c r="AB73" i="14"/>
  <c r="Y69" i="14"/>
  <c r="W69" i="14"/>
  <c r="AD69" i="14"/>
  <c r="Z69" i="14"/>
  <c r="AK69" i="14" s="1"/>
  <c r="AB69" i="14"/>
  <c r="Y65" i="14"/>
  <c r="W65" i="14"/>
  <c r="AD65" i="14"/>
  <c r="Z65" i="14"/>
  <c r="AK65" i="14" s="1"/>
  <c r="AB65" i="14"/>
  <c r="Y61" i="14"/>
  <c r="W61" i="14"/>
  <c r="AD61" i="14"/>
  <c r="Z61" i="14"/>
  <c r="AK61" i="14" s="1"/>
  <c r="AB61" i="14"/>
  <c r="Y57" i="14"/>
  <c r="W57" i="14"/>
  <c r="AD57" i="14"/>
  <c r="Z57" i="14"/>
  <c r="AK57" i="14" s="1"/>
  <c r="AB57" i="14"/>
  <c r="Y53" i="14"/>
  <c r="W53" i="14"/>
  <c r="AD53" i="14"/>
  <c r="Z53" i="14"/>
  <c r="AK53" i="14" s="1"/>
  <c r="AB53" i="14"/>
  <c r="Y49" i="14"/>
  <c r="W49" i="14"/>
  <c r="AD49" i="14"/>
  <c r="Z49" i="14"/>
  <c r="AK49" i="14" s="1"/>
  <c r="AB49" i="14"/>
  <c r="Y124" i="14"/>
  <c r="W124" i="14"/>
  <c r="AD124" i="14"/>
  <c r="Z124" i="14"/>
  <c r="AK124" i="14" s="1"/>
  <c r="AB124" i="14"/>
  <c r="Y120" i="14"/>
  <c r="W120" i="14"/>
  <c r="AD120" i="14"/>
  <c r="Z120" i="14"/>
  <c r="AK120" i="14" s="1"/>
  <c r="AB120" i="14"/>
  <c r="Y116" i="14"/>
  <c r="W116" i="14"/>
  <c r="AD116" i="14"/>
  <c r="Z116" i="14"/>
  <c r="AK116" i="14" s="1"/>
  <c r="AB116" i="14"/>
  <c r="Y112" i="14"/>
  <c r="W112" i="14"/>
  <c r="AD112" i="14"/>
  <c r="Z112" i="14"/>
  <c r="AK112" i="14" s="1"/>
  <c r="AB112" i="14"/>
  <c r="W108" i="14"/>
  <c r="AD108" i="14"/>
  <c r="Z108" i="14"/>
  <c r="AK108" i="14" s="1"/>
  <c r="AB108" i="14"/>
  <c r="W104" i="14"/>
  <c r="AD104" i="14"/>
  <c r="AB104" i="14"/>
  <c r="Z104" i="14"/>
  <c r="AK104" i="14" s="1"/>
  <c r="Y88" i="14"/>
  <c r="W88" i="14"/>
  <c r="AD88" i="14"/>
  <c r="Z88" i="14"/>
  <c r="AK88" i="14" s="1"/>
  <c r="AB88" i="14"/>
  <c r="Y84" i="14"/>
  <c r="W84" i="14"/>
  <c r="AD84" i="14"/>
  <c r="AB84" i="14"/>
  <c r="Z84" i="14"/>
  <c r="AK84" i="14" s="1"/>
  <c r="Y80" i="14"/>
  <c r="W80" i="14"/>
  <c r="AD80" i="14"/>
  <c r="Z80" i="14"/>
  <c r="AK80" i="14" s="1"/>
  <c r="AB80" i="14"/>
  <c r="Y66" i="14"/>
  <c r="W66" i="14"/>
  <c r="AD66" i="14"/>
  <c r="Z66" i="14"/>
  <c r="AK66" i="14" s="1"/>
  <c r="AB66" i="14"/>
  <c r="Y62" i="14"/>
  <c r="W62" i="14"/>
  <c r="AD62" i="14"/>
  <c r="Z62" i="14"/>
  <c r="AK62" i="14" s="1"/>
  <c r="AB62" i="14"/>
  <c r="Y58" i="14"/>
  <c r="W58" i="14"/>
  <c r="AD58" i="14"/>
  <c r="Z58" i="14"/>
  <c r="AK58" i="14" s="1"/>
  <c r="AB58" i="14"/>
  <c r="Y54" i="14"/>
  <c r="W54" i="14"/>
  <c r="AD54" i="14"/>
  <c r="Z54" i="14"/>
  <c r="AK54" i="14" s="1"/>
  <c r="AB54" i="14"/>
  <c r="Y50" i="14"/>
  <c r="W50" i="14"/>
  <c r="AD50" i="14"/>
  <c r="Z50" i="14"/>
  <c r="AK50" i="14" s="1"/>
  <c r="AB50" i="14"/>
  <c r="Y46" i="14"/>
  <c r="W46" i="14"/>
  <c r="AD46" i="14"/>
  <c r="Z46" i="14"/>
  <c r="AK46" i="14" s="1"/>
  <c r="AB46" i="14"/>
  <c r="Y121" i="14"/>
  <c r="W121" i="14"/>
  <c r="AD121" i="14"/>
  <c r="Z121" i="14"/>
  <c r="AK121" i="14" s="1"/>
  <c r="AB121" i="14"/>
  <c r="Y113" i="14"/>
  <c r="W113" i="14"/>
  <c r="AD113" i="14"/>
  <c r="Z113" i="14"/>
  <c r="AK113" i="14" s="1"/>
  <c r="AB113" i="14"/>
  <c r="W105" i="14"/>
  <c r="AD105" i="14"/>
  <c r="Z105" i="14"/>
  <c r="AK105" i="14" s="1"/>
  <c r="AB105" i="14"/>
  <c r="Y123" i="14"/>
  <c r="W123" i="14"/>
  <c r="AD123" i="14"/>
  <c r="Z123" i="14"/>
  <c r="AK123" i="14" s="1"/>
  <c r="AB123" i="14"/>
  <c r="Y119" i="14"/>
  <c r="W119" i="14"/>
  <c r="AD119" i="14"/>
  <c r="AB119" i="14"/>
  <c r="Z119" i="14"/>
  <c r="AK119" i="14" s="1"/>
  <c r="Y115" i="14"/>
  <c r="W115" i="14"/>
  <c r="AD115" i="14"/>
  <c r="Z115" i="14"/>
  <c r="AK115" i="14" s="1"/>
  <c r="AB115" i="14"/>
  <c r="Y111" i="14"/>
  <c r="W111" i="14"/>
  <c r="AD111" i="14"/>
  <c r="AB111" i="14"/>
  <c r="Z111" i="14"/>
  <c r="AK111" i="14" s="1"/>
  <c r="W107" i="14"/>
  <c r="AD107" i="14"/>
  <c r="Z107" i="14"/>
  <c r="AK107" i="14" s="1"/>
  <c r="AB107" i="14"/>
  <c r="Y103" i="14"/>
  <c r="W103" i="14"/>
  <c r="AD103" i="14"/>
  <c r="AB103" i="14"/>
  <c r="Z103" i="14"/>
  <c r="AK103" i="14" s="1"/>
  <c r="Y91" i="14"/>
  <c r="W91" i="14"/>
  <c r="AD91" i="14"/>
  <c r="Z91" i="14"/>
  <c r="AK91" i="14" s="1"/>
  <c r="AB91" i="14"/>
  <c r="Y87" i="14"/>
  <c r="W87" i="14"/>
  <c r="AD87" i="14"/>
  <c r="Z87" i="14"/>
  <c r="AK87" i="14" s="1"/>
  <c r="AB87" i="14"/>
  <c r="Y83" i="14"/>
  <c r="W83" i="14"/>
  <c r="AD83" i="14"/>
  <c r="AB83" i="14"/>
  <c r="Z83" i="14"/>
  <c r="AK83" i="14" s="1"/>
  <c r="Y79" i="14"/>
  <c r="W79" i="14"/>
  <c r="AD79" i="14"/>
  <c r="Z79" i="14"/>
  <c r="AK79" i="14" s="1"/>
  <c r="AB79" i="14"/>
  <c r="W75" i="14"/>
  <c r="Y75" i="14"/>
  <c r="AD75" i="14"/>
  <c r="Z75" i="14"/>
  <c r="AK75" i="14" s="1"/>
  <c r="AB75" i="14"/>
  <c r="W71" i="14"/>
  <c r="Y71" i="14"/>
  <c r="AD71" i="14"/>
  <c r="Z71" i="14"/>
  <c r="AK71" i="14" s="1"/>
  <c r="AB71" i="14"/>
  <c r="Y67" i="14"/>
  <c r="W67" i="14"/>
  <c r="AD67" i="14"/>
  <c r="Z67" i="14"/>
  <c r="AK67" i="14" s="1"/>
  <c r="AB67" i="14"/>
  <c r="Y63" i="14"/>
  <c r="W63" i="14"/>
  <c r="AD63" i="14"/>
  <c r="Z63" i="14"/>
  <c r="AK63" i="14" s="1"/>
  <c r="AB63" i="14"/>
  <c r="Y59" i="14"/>
  <c r="W59" i="14"/>
  <c r="AD59" i="14"/>
  <c r="Z59" i="14"/>
  <c r="AK59" i="14" s="1"/>
  <c r="AB59" i="14"/>
  <c r="Y55" i="14"/>
  <c r="W55" i="14"/>
  <c r="AD55" i="14"/>
  <c r="Z55" i="14"/>
  <c r="AK55" i="14" s="1"/>
  <c r="AB55" i="14"/>
  <c r="Y51" i="14"/>
  <c r="W51" i="14"/>
  <c r="AD51" i="14"/>
  <c r="Z51" i="14"/>
  <c r="AK51" i="14" s="1"/>
  <c r="AB51" i="14"/>
  <c r="Y47" i="14"/>
  <c r="W47" i="14"/>
  <c r="AD47" i="14"/>
  <c r="Z47" i="14"/>
  <c r="AK47" i="14" s="1"/>
  <c r="AB47" i="14"/>
  <c r="Y122" i="14"/>
  <c r="W122" i="14"/>
  <c r="AD122" i="14"/>
  <c r="Z122" i="14"/>
  <c r="AK122" i="14" s="1"/>
  <c r="AB122" i="14"/>
  <c r="Y118" i="14"/>
  <c r="W118" i="14"/>
  <c r="AD118" i="14"/>
  <c r="AB118" i="14"/>
  <c r="Z118" i="14"/>
  <c r="AK118" i="14" s="1"/>
  <c r="Y114" i="14"/>
  <c r="W114" i="14"/>
  <c r="AD114" i="14"/>
  <c r="Z114" i="14"/>
  <c r="AK114" i="14" s="1"/>
  <c r="AB114" i="14"/>
  <c r="Y110" i="14"/>
  <c r="W110" i="14"/>
  <c r="AD110" i="14"/>
  <c r="AB110" i="14"/>
  <c r="Z110" i="14"/>
  <c r="AK110" i="14" s="1"/>
  <c r="W106" i="14"/>
  <c r="AD106" i="14"/>
  <c r="Z106" i="14"/>
  <c r="AK106" i="14" s="1"/>
  <c r="AB106" i="14"/>
  <c r="Y90" i="14"/>
  <c r="W90" i="14"/>
  <c r="AD90" i="14"/>
  <c r="AB90" i="14"/>
  <c r="Z90" i="14"/>
  <c r="AK90" i="14" s="1"/>
  <c r="Y86" i="14"/>
  <c r="W86" i="14"/>
  <c r="AD86" i="14"/>
  <c r="Z86" i="14"/>
  <c r="AK86" i="14" s="1"/>
  <c r="AB86" i="14"/>
  <c r="Y82" i="14"/>
  <c r="W82" i="14"/>
  <c r="AD82" i="14"/>
  <c r="AB82" i="14"/>
  <c r="Z82" i="14"/>
  <c r="AK82" i="14" s="1"/>
  <c r="Y68" i="14"/>
  <c r="W68" i="14"/>
  <c r="AD68" i="14"/>
  <c r="Z68" i="14"/>
  <c r="AK68" i="14" s="1"/>
  <c r="AB68" i="14"/>
  <c r="Y64" i="14"/>
  <c r="W64" i="14"/>
  <c r="AD64" i="14"/>
  <c r="Z64" i="14"/>
  <c r="AK64" i="14" s="1"/>
  <c r="AB64" i="14"/>
  <c r="Y60" i="14"/>
  <c r="W60" i="14"/>
  <c r="AD60" i="14"/>
  <c r="Z60" i="14"/>
  <c r="AK60" i="14" s="1"/>
  <c r="AB60" i="14"/>
  <c r="Y56" i="14"/>
  <c r="W56" i="14"/>
  <c r="AD56" i="14"/>
  <c r="Z56" i="14"/>
  <c r="AK56" i="14" s="1"/>
  <c r="AB56" i="14"/>
  <c r="Y52" i="14"/>
  <c r="W52" i="14"/>
  <c r="AD52" i="14"/>
  <c r="Z52" i="14"/>
  <c r="AK52" i="14" s="1"/>
  <c r="AB52" i="14"/>
  <c r="Y48" i="14"/>
  <c r="W48" i="14"/>
  <c r="AD48" i="14"/>
  <c r="Z48" i="14"/>
  <c r="AK48" i="14" s="1"/>
  <c r="AB48" i="14"/>
  <c r="Z178" i="14"/>
  <c r="Z177" i="14"/>
  <c r="Z175" i="14"/>
  <c r="X128" i="14"/>
  <c r="T4" i="14"/>
  <c r="R4" i="14"/>
  <c r="Y4" i="14"/>
  <c r="U4" i="14"/>
  <c r="R1" i="14" s="1"/>
  <c r="S4" i="14"/>
  <c r="W6" i="14"/>
  <c r="Y6" i="14"/>
  <c r="AD6" i="14"/>
  <c r="Y8" i="14"/>
  <c r="W8" i="14"/>
  <c r="AD8" i="14"/>
  <c r="Y10" i="14"/>
  <c r="W10" i="14"/>
  <c r="AD10" i="14"/>
  <c r="Y12" i="14"/>
  <c r="W12" i="14"/>
  <c r="AD12" i="14"/>
  <c r="Y14" i="14"/>
  <c r="W14" i="14"/>
  <c r="AD14" i="14"/>
  <c r="Y16" i="14"/>
  <c r="W16" i="14"/>
  <c r="AD16" i="14"/>
  <c r="Y18" i="14"/>
  <c r="W18" i="14"/>
  <c r="AD18" i="14"/>
  <c r="Y20" i="14"/>
  <c r="W20" i="14"/>
  <c r="AD20" i="14"/>
  <c r="Y22" i="14"/>
  <c r="W22" i="14"/>
  <c r="AD22" i="14"/>
  <c r="Y24" i="14"/>
  <c r="W24" i="14"/>
  <c r="AD24" i="14"/>
  <c r="Y26" i="14"/>
  <c r="W26" i="14"/>
  <c r="AD26" i="14"/>
  <c r="Y28" i="14"/>
  <c r="W28" i="14"/>
  <c r="AD28" i="14"/>
  <c r="Y30" i="14"/>
  <c r="W30" i="14"/>
  <c r="AD30" i="14"/>
  <c r="Y32" i="14"/>
  <c r="W32" i="14"/>
  <c r="AD32" i="14"/>
  <c r="Y34" i="14"/>
  <c r="W34" i="14"/>
  <c r="AD34" i="14"/>
  <c r="Y36" i="14"/>
  <c r="W36" i="14"/>
  <c r="AD36" i="14"/>
  <c r="Y38" i="14"/>
  <c r="W38" i="14"/>
  <c r="AD38" i="14"/>
  <c r="AD39" i="14"/>
  <c r="M126" i="14"/>
  <c r="Z6" i="14"/>
  <c r="AK6" i="14" s="1"/>
  <c r="Z8" i="14"/>
  <c r="AK8" i="14" s="1"/>
  <c r="Z10" i="14"/>
  <c r="AK10" i="14" s="1"/>
  <c r="Z12" i="14"/>
  <c r="AK12" i="14" s="1"/>
  <c r="AO12" i="14" s="1"/>
  <c r="Z14" i="14"/>
  <c r="AK14" i="14" s="1"/>
  <c r="Z16" i="14"/>
  <c r="AK16" i="14" s="1"/>
  <c r="Z18" i="14"/>
  <c r="AK18" i="14" s="1"/>
  <c r="Z20" i="14"/>
  <c r="AK20" i="14" s="1"/>
  <c r="AO20" i="14" s="1"/>
  <c r="Z22" i="14"/>
  <c r="AK22" i="14" s="1"/>
  <c r="Z24" i="14"/>
  <c r="AK24" i="14" s="1"/>
  <c r="Z26" i="14"/>
  <c r="AK26" i="14" s="1"/>
  <c r="Z28" i="14"/>
  <c r="AK28" i="14" s="1"/>
  <c r="Z30" i="14"/>
  <c r="AK30" i="14" s="1"/>
  <c r="AO30" i="14" s="1"/>
  <c r="Z32" i="14"/>
  <c r="AK32" i="14" s="1"/>
  <c r="Z34" i="14"/>
  <c r="AK34" i="14" s="1"/>
  <c r="AO34" i="14" s="1"/>
  <c r="Z36" i="14"/>
  <c r="AK36" i="14" s="1"/>
  <c r="Z38" i="14"/>
  <c r="AK38" i="14" s="1"/>
  <c r="Z98" i="14"/>
  <c r="AK98" i="14" s="1"/>
  <c r="Z99" i="14"/>
  <c r="AK99" i="14" s="1"/>
  <c r="Z100" i="14"/>
  <c r="AK100" i="14" s="1"/>
  <c r="Z101" i="14"/>
  <c r="AK101" i="14" s="1"/>
  <c r="Z102" i="14"/>
  <c r="AK102" i="14" s="1"/>
  <c r="X126" i="14"/>
  <c r="X182" i="14" s="1"/>
  <c r="X174" i="14"/>
  <c r="W5" i="14"/>
  <c r="Y5" i="14"/>
  <c r="AD5" i="14"/>
  <c r="W7" i="14"/>
  <c r="Y7" i="14"/>
  <c r="AD7" i="14"/>
  <c r="Y9" i="14"/>
  <c r="W9" i="14"/>
  <c r="AD9" i="14"/>
  <c r="Y11" i="14"/>
  <c r="W11" i="14"/>
  <c r="AD11" i="14"/>
  <c r="Y13" i="14"/>
  <c r="W13" i="14"/>
  <c r="AD13" i="14"/>
  <c r="Y15" i="14"/>
  <c r="W15" i="14"/>
  <c r="AD15" i="14"/>
  <c r="Y17" i="14"/>
  <c r="W17" i="14"/>
  <c r="AD17" i="14"/>
  <c r="Y19" i="14"/>
  <c r="W19" i="14"/>
  <c r="AD19" i="14"/>
  <c r="Y21" i="14"/>
  <c r="W21" i="14"/>
  <c r="AD21" i="14"/>
  <c r="Y23" i="14"/>
  <c r="W23" i="14"/>
  <c r="AD23" i="14"/>
  <c r="Y25" i="14"/>
  <c r="W25" i="14"/>
  <c r="AD25" i="14"/>
  <c r="Y27" i="14"/>
  <c r="W27" i="14"/>
  <c r="AD27" i="14"/>
  <c r="Y29" i="14"/>
  <c r="W29" i="14"/>
  <c r="AD29" i="14"/>
  <c r="Y31" i="14"/>
  <c r="W31" i="14"/>
  <c r="AD31" i="14"/>
  <c r="Y33" i="14"/>
  <c r="W33" i="14"/>
  <c r="AD33" i="14"/>
  <c r="Y35" i="14"/>
  <c r="W35" i="14"/>
  <c r="AD35" i="14"/>
  <c r="Y37" i="14"/>
  <c r="W37" i="14"/>
  <c r="AD37" i="14"/>
  <c r="Y39" i="14"/>
  <c r="W39" i="14"/>
  <c r="Y40" i="14"/>
  <c r="W40" i="14"/>
  <c r="AD40" i="14"/>
  <c r="Y41" i="14"/>
  <c r="W41" i="14"/>
  <c r="AD41" i="14"/>
  <c r="Y42" i="14"/>
  <c r="W42" i="14"/>
  <c r="AD42" i="14"/>
  <c r="Y43" i="14"/>
  <c r="W43" i="14"/>
  <c r="AD43" i="14"/>
  <c r="Y44" i="14"/>
  <c r="W44" i="14"/>
  <c r="AD44" i="14"/>
  <c r="Y45" i="14"/>
  <c r="W45" i="14"/>
  <c r="AD45" i="14"/>
  <c r="W70" i="14"/>
  <c r="Y70" i="14"/>
  <c r="AD70" i="14"/>
  <c r="W72" i="14"/>
  <c r="Y72" i="14"/>
  <c r="AD72" i="14"/>
  <c r="W74" i="14"/>
  <c r="Y74" i="14"/>
  <c r="AD74" i="14"/>
  <c r="W76" i="14"/>
  <c r="Y76" i="14"/>
  <c r="AD76" i="14"/>
  <c r="W78" i="14"/>
  <c r="Y78" i="14"/>
  <c r="AD78" i="14"/>
  <c r="Y92" i="14"/>
  <c r="W92" i="14"/>
  <c r="AD92" i="14"/>
  <c r="Y93" i="14"/>
  <c r="W93" i="14"/>
  <c r="AD93" i="14"/>
  <c r="Y94" i="14"/>
  <c r="W94" i="14"/>
  <c r="AD94" i="14"/>
  <c r="Y95" i="14"/>
  <c r="W95" i="14"/>
  <c r="AD95" i="14"/>
  <c r="Y96" i="14"/>
  <c r="W96" i="14"/>
  <c r="AD96" i="14"/>
  <c r="AD98" i="14"/>
  <c r="AD99" i="14"/>
  <c r="AD100" i="14"/>
  <c r="AD101" i="14"/>
  <c r="AD102" i="14"/>
  <c r="AC167" i="12"/>
  <c r="AD167" i="12"/>
  <c r="S154" i="12"/>
  <c r="U154" i="12"/>
  <c r="AA154" i="12"/>
  <c r="Z154" i="12"/>
  <c r="Y154" i="12"/>
  <c r="I45" i="10" l="1"/>
  <c r="AX95" i="14"/>
  <c r="BD95" i="14" s="1"/>
  <c r="AO48" i="14"/>
  <c r="AO56" i="14"/>
  <c r="AO64" i="14"/>
  <c r="AO110" i="14"/>
  <c r="AO114" i="14"/>
  <c r="AO118" i="14"/>
  <c r="AO122" i="14"/>
  <c r="AO51" i="14"/>
  <c r="AO59" i="14"/>
  <c r="AO67" i="14"/>
  <c r="AO75" i="14"/>
  <c r="AO91" i="14"/>
  <c r="AO103" i="14"/>
  <c r="AO107" i="14"/>
  <c r="AO105" i="14"/>
  <c r="AO113" i="14"/>
  <c r="AO46" i="14"/>
  <c r="AO54" i="14"/>
  <c r="AO62" i="14"/>
  <c r="AO80" i="14"/>
  <c r="AO84" i="14"/>
  <c r="AO88" i="14"/>
  <c r="AO104" i="14"/>
  <c r="AO116" i="14"/>
  <c r="AO124" i="14"/>
  <c r="AO53" i="14"/>
  <c r="AO61" i="14"/>
  <c r="AO69" i="14"/>
  <c r="AO85" i="14"/>
  <c r="AO89" i="14"/>
  <c r="AO97" i="14"/>
  <c r="AO117" i="14"/>
  <c r="J33" i="10"/>
  <c r="H62" i="7"/>
  <c r="L33" i="10" s="1"/>
  <c r="AX93" i="14"/>
  <c r="BD93" i="14" s="1"/>
  <c r="AL100" i="14"/>
  <c r="AJ100" i="14"/>
  <c r="AM100" i="14"/>
  <c r="AQ100" i="14"/>
  <c r="AJ60" i="14"/>
  <c r="AL60" i="14"/>
  <c r="AM60" i="14"/>
  <c r="AQ60" i="14"/>
  <c r="AL82" i="14"/>
  <c r="AJ82" i="14"/>
  <c r="AM82" i="14"/>
  <c r="AQ82" i="14"/>
  <c r="AL90" i="14"/>
  <c r="AJ90" i="14"/>
  <c r="AM90" i="14"/>
  <c r="AQ90" i="14"/>
  <c r="AJ63" i="14"/>
  <c r="AL63" i="14"/>
  <c r="AQ63" i="14"/>
  <c r="AM63" i="14"/>
  <c r="AJ71" i="14"/>
  <c r="AL71" i="14"/>
  <c r="AQ71" i="14"/>
  <c r="AM71" i="14"/>
  <c r="AL79" i="14"/>
  <c r="AJ79" i="14"/>
  <c r="AQ79" i="14"/>
  <c r="AM79" i="14"/>
  <c r="AL83" i="14"/>
  <c r="AJ83" i="14"/>
  <c r="AQ83" i="14"/>
  <c r="AM83" i="14"/>
  <c r="AL87" i="14"/>
  <c r="AJ87" i="14"/>
  <c r="AQ87" i="14"/>
  <c r="AM87" i="14"/>
  <c r="AJ111" i="14"/>
  <c r="AL111" i="14"/>
  <c r="AQ111" i="14"/>
  <c r="AM111" i="14"/>
  <c r="AJ115" i="14"/>
  <c r="AL115" i="14"/>
  <c r="AQ115" i="14"/>
  <c r="AM115" i="14"/>
  <c r="AJ119" i="14"/>
  <c r="AL119" i="14"/>
  <c r="AQ119" i="14"/>
  <c r="AM119" i="14"/>
  <c r="AJ123" i="14"/>
  <c r="AL123" i="14"/>
  <c r="AQ123" i="14"/>
  <c r="AM123" i="14"/>
  <c r="AL121" i="14"/>
  <c r="AJ121" i="14"/>
  <c r="AQ121" i="14"/>
  <c r="AM121" i="14"/>
  <c r="AJ58" i="14"/>
  <c r="AL58" i="14"/>
  <c r="AM58" i="14"/>
  <c r="AQ58" i="14"/>
  <c r="AJ66" i="14"/>
  <c r="AL66" i="14"/>
  <c r="AM66" i="14"/>
  <c r="AQ66" i="14"/>
  <c r="AJ108" i="14"/>
  <c r="AL108" i="14"/>
  <c r="AM108" i="14"/>
  <c r="AQ108" i="14"/>
  <c r="AJ112" i="14"/>
  <c r="AL112" i="14"/>
  <c r="AM112" i="14"/>
  <c r="AQ112" i="14"/>
  <c r="AL120" i="14"/>
  <c r="AJ120" i="14"/>
  <c r="AM120" i="14"/>
  <c r="AQ120" i="14"/>
  <c r="AJ57" i="14"/>
  <c r="AL57" i="14"/>
  <c r="AQ57" i="14"/>
  <c r="AM57" i="14"/>
  <c r="AJ65" i="14"/>
  <c r="AL65" i="14"/>
  <c r="AQ65" i="14"/>
  <c r="AM65" i="14"/>
  <c r="AJ73" i="14"/>
  <c r="AL73" i="14"/>
  <c r="AQ73" i="14"/>
  <c r="AM73" i="14"/>
  <c r="AJ77" i="14"/>
  <c r="AL77" i="14"/>
  <c r="AQ77" i="14"/>
  <c r="AM77" i="14"/>
  <c r="AL81" i="14"/>
  <c r="AJ81" i="14"/>
  <c r="AQ81" i="14"/>
  <c r="AM81" i="14"/>
  <c r="AJ109" i="14"/>
  <c r="AL109" i="14"/>
  <c r="AQ109" i="14"/>
  <c r="AM109" i="14"/>
  <c r="AL125" i="14"/>
  <c r="AJ125" i="14"/>
  <c r="AQ125" i="14"/>
  <c r="AM125" i="14"/>
  <c r="AJ5" i="14"/>
  <c r="AL5" i="14"/>
  <c r="AM5" i="14"/>
  <c r="AQ5" i="14"/>
  <c r="AJ70" i="14"/>
  <c r="AL70" i="14"/>
  <c r="AM70" i="14"/>
  <c r="AQ70" i="14"/>
  <c r="AJ74" i="14"/>
  <c r="AL74" i="14"/>
  <c r="AM74" i="14"/>
  <c r="AQ74" i="14"/>
  <c r="AJ78" i="14"/>
  <c r="AL78" i="14"/>
  <c r="AM78" i="14"/>
  <c r="AQ78" i="14"/>
  <c r="AJ72" i="14"/>
  <c r="AL72" i="14"/>
  <c r="AM72" i="14"/>
  <c r="AQ72" i="14"/>
  <c r="AJ76" i="14"/>
  <c r="AL76" i="14"/>
  <c r="AM76" i="14"/>
  <c r="AQ76" i="14"/>
  <c r="AO99" i="14"/>
  <c r="AO101" i="14"/>
  <c r="AO98" i="14"/>
  <c r="AO102" i="14"/>
  <c r="AL92" i="14"/>
  <c r="AJ92" i="14"/>
  <c r="AM92" i="14"/>
  <c r="AQ92" i="14"/>
  <c r="AA96" i="14"/>
  <c r="AK96" i="14"/>
  <c r="AL94" i="14"/>
  <c r="AJ94" i="14"/>
  <c r="AM94" i="14"/>
  <c r="AQ94" i="14"/>
  <c r="AE115" i="14"/>
  <c r="AE113" i="14"/>
  <c r="AE111" i="14"/>
  <c r="AE109" i="14"/>
  <c r="AE107" i="14"/>
  <c r="AE105" i="14"/>
  <c r="AE125" i="14"/>
  <c r="AE123" i="14"/>
  <c r="AE121" i="14"/>
  <c r="AE119" i="14"/>
  <c r="AE117" i="14"/>
  <c r="AE103" i="14"/>
  <c r="AE101" i="14"/>
  <c r="AE99" i="14"/>
  <c r="AE97" i="14"/>
  <c r="AE95" i="14"/>
  <c r="AE93" i="14"/>
  <c r="AE91" i="14"/>
  <c r="AE89" i="14"/>
  <c r="AE87" i="14"/>
  <c r="AE85" i="14"/>
  <c r="AE83" i="14"/>
  <c r="AE81" i="14"/>
  <c r="AE79" i="14"/>
  <c r="AE77" i="14"/>
  <c r="AE75" i="14"/>
  <c r="AE73" i="14"/>
  <c r="AE71" i="14"/>
  <c r="AE69" i="14"/>
  <c r="AE67" i="14"/>
  <c r="AE65" i="14"/>
  <c r="AE63" i="14"/>
  <c r="AE61" i="14"/>
  <c r="AE59" i="14"/>
  <c r="AE57" i="14"/>
  <c r="AE55" i="14"/>
  <c r="AE53" i="14"/>
  <c r="AE114" i="14"/>
  <c r="AE112" i="14"/>
  <c r="AE110" i="14"/>
  <c r="AE108" i="14"/>
  <c r="AE106" i="14"/>
  <c r="AE104" i="14"/>
  <c r="AE124" i="14"/>
  <c r="AE122" i="14"/>
  <c r="AE120" i="14"/>
  <c r="AE118" i="14"/>
  <c r="AE116" i="14"/>
  <c r="AE102" i="14"/>
  <c r="AE100" i="14"/>
  <c r="AE98" i="14"/>
  <c r="AE96" i="14"/>
  <c r="AE94" i="14"/>
  <c r="AE92" i="14"/>
  <c r="AE90" i="14"/>
  <c r="AE88" i="14"/>
  <c r="AE86" i="14"/>
  <c r="AE84" i="14"/>
  <c r="AE82" i="14"/>
  <c r="AE80" i="14"/>
  <c r="AE78" i="14"/>
  <c r="AE76" i="14"/>
  <c r="AE74" i="14"/>
  <c r="AE72" i="14"/>
  <c r="AE70" i="14"/>
  <c r="AE68" i="14"/>
  <c r="AE66" i="14"/>
  <c r="AE64" i="14"/>
  <c r="AE62" i="14"/>
  <c r="AE60" i="14"/>
  <c r="AE58" i="14"/>
  <c r="AE56" i="14"/>
  <c r="AE54" i="14"/>
  <c r="AE52"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5" i="14"/>
  <c r="AE6" i="14"/>
  <c r="AE31" i="14"/>
  <c r="AE32" i="14"/>
  <c r="AE33" i="14"/>
  <c r="AE34" i="14"/>
  <c r="AE35" i="14"/>
  <c r="AE36" i="14"/>
  <c r="AE37" i="14"/>
  <c r="AE38" i="14"/>
  <c r="AE39" i="14"/>
  <c r="AE40" i="14"/>
  <c r="AE41" i="14"/>
  <c r="AE42" i="14"/>
  <c r="AE43" i="14"/>
  <c r="AE44" i="14"/>
  <c r="AE45" i="14"/>
  <c r="AE46" i="14"/>
  <c r="AE47" i="14"/>
  <c r="AE48" i="14"/>
  <c r="AE49" i="14"/>
  <c r="AE50" i="14"/>
  <c r="AE51" i="14"/>
  <c r="AY95" i="14"/>
  <c r="AW95" i="14"/>
  <c r="AZ178" i="14"/>
  <c r="AZ176" i="14"/>
  <c r="AZ174" i="14"/>
  <c r="AT4" i="14"/>
  <c r="AY4" i="14"/>
  <c r="AS4" i="14"/>
  <c r="AZ180" i="14"/>
  <c r="AZ177" i="14"/>
  <c r="AZ175" i="14"/>
  <c r="AX128" i="14"/>
  <c r="AR4" i="14"/>
  <c r="AU4" i="14"/>
  <c r="AR1" i="14" s="1"/>
  <c r="AV126" i="14"/>
  <c r="AX180" i="14" s="1"/>
  <c r="AV134" i="14"/>
  <c r="AV160" i="14"/>
  <c r="AL102" i="14"/>
  <c r="AJ102" i="14"/>
  <c r="AM102" i="14"/>
  <c r="AQ102" i="14"/>
  <c r="AL98" i="14"/>
  <c r="AJ98" i="14"/>
  <c r="AM98" i="14"/>
  <c r="AQ98" i="14"/>
  <c r="AJ68" i="14"/>
  <c r="AL68" i="14"/>
  <c r="AM68" i="14"/>
  <c r="AQ68" i="14"/>
  <c r="AL86" i="14"/>
  <c r="AJ86" i="14"/>
  <c r="AM86" i="14"/>
  <c r="AQ86" i="14"/>
  <c r="AJ106" i="14"/>
  <c r="AL106" i="14"/>
  <c r="AM106" i="14"/>
  <c r="AQ106" i="14"/>
  <c r="AL101" i="14"/>
  <c r="AJ101" i="14"/>
  <c r="AQ101" i="14"/>
  <c r="AM101" i="14"/>
  <c r="AL99" i="14"/>
  <c r="AJ99" i="14"/>
  <c r="AQ99" i="14"/>
  <c r="AM99" i="14"/>
  <c r="AL30" i="14"/>
  <c r="AJ30" i="14"/>
  <c r="AM30" i="14"/>
  <c r="AQ30" i="14"/>
  <c r="AL6" i="14"/>
  <c r="AJ6" i="14"/>
  <c r="AM6" i="14"/>
  <c r="AQ6" i="14"/>
  <c r="AJ56" i="14"/>
  <c r="AL56" i="14"/>
  <c r="AM56" i="14"/>
  <c r="AQ56" i="14"/>
  <c r="AO60" i="14"/>
  <c r="AJ64" i="14"/>
  <c r="AL64" i="14"/>
  <c r="AM64" i="14"/>
  <c r="AQ64" i="14"/>
  <c r="AO68" i="14"/>
  <c r="AO82" i="14"/>
  <c r="AO86" i="14"/>
  <c r="AO90" i="14"/>
  <c r="AO106" i="14"/>
  <c r="AJ110" i="14"/>
  <c r="AL110" i="14"/>
  <c r="AM110" i="14"/>
  <c r="AQ110" i="14"/>
  <c r="AJ114" i="14"/>
  <c r="AL114" i="14"/>
  <c r="AM114" i="14"/>
  <c r="AQ114" i="14"/>
  <c r="AJ118" i="14"/>
  <c r="AL118" i="14"/>
  <c r="AM118" i="14"/>
  <c r="AQ118" i="14"/>
  <c r="AJ122" i="14"/>
  <c r="AL122" i="14"/>
  <c r="AM122" i="14"/>
  <c r="AQ122" i="14"/>
  <c r="AJ59" i="14"/>
  <c r="AL59" i="14"/>
  <c r="AQ59" i="14"/>
  <c r="AM59" i="14"/>
  <c r="AO63" i="14"/>
  <c r="AJ67" i="14"/>
  <c r="AL67" i="14"/>
  <c r="AQ67" i="14"/>
  <c r="AM67" i="14"/>
  <c r="AO71" i="14"/>
  <c r="AJ75" i="14"/>
  <c r="AL75" i="14"/>
  <c r="AQ75" i="14"/>
  <c r="AM75" i="14"/>
  <c r="AO79" i="14"/>
  <c r="AO83" i="14"/>
  <c r="AO87" i="14"/>
  <c r="AL91" i="14"/>
  <c r="AJ91" i="14"/>
  <c r="AQ91" i="14"/>
  <c r="AM91" i="14"/>
  <c r="AL103" i="14"/>
  <c r="AJ103" i="14"/>
  <c r="AQ103" i="14"/>
  <c r="AM103" i="14"/>
  <c r="AJ107" i="14"/>
  <c r="AL107" i="14"/>
  <c r="AQ107" i="14"/>
  <c r="AM107" i="14"/>
  <c r="AO111" i="14"/>
  <c r="AO115" i="14"/>
  <c r="AO119" i="14"/>
  <c r="AO123" i="14"/>
  <c r="AL105" i="14"/>
  <c r="AJ105" i="14"/>
  <c r="AQ105" i="14"/>
  <c r="AM105" i="14"/>
  <c r="AJ113" i="14"/>
  <c r="AL113" i="14"/>
  <c r="AQ113" i="14"/>
  <c r="AM113" i="14"/>
  <c r="AO121" i="14"/>
  <c r="AO58" i="14"/>
  <c r="AJ62" i="14"/>
  <c r="AL62" i="14"/>
  <c r="AM62" i="14"/>
  <c r="AQ62" i="14"/>
  <c r="AO66" i="14"/>
  <c r="AL80" i="14"/>
  <c r="AJ80" i="14"/>
  <c r="AM80" i="14"/>
  <c r="AQ80" i="14"/>
  <c r="AL84" i="14"/>
  <c r="AJ84" i="14"/>
  <c r="AM84" i="14"/>
  <c r="AQ84" i="14"/>
  <c r="AL88" i="14"/>
  <c r="AJ88" i="14"/>
  <c r="AM88" i="14"/>
  <c r="AQ88" i="14"/>
  <c r="AL104" i="14"/>
  <c r="AJ104" i="14"/>
  <c r="AM104" i="14"/>
  <c r="AQ104" i="14"/>
  <c r="AO108" i="14"/>
  <c r="AO112" i="14"/>
  <c r="AL116" i="14"/>
  <c r="AJ116" i="14"/>
  <c r="AM116" i="14"/>
  <c r="AQ116" i="14"/>
  <c r="AO120" i="14"/>
  <c r="AL124" i="14"/>
  <c r="AJ124" i="14"/>
  <c r="AM124" i="14"/>
  <c r="AQ124" i="14"/>
  <c r="AO57" i="14"/>
  <c r="AJ61" i="14"/>
  <c r="AL61" i="14"/>
  <c r="AQ61" i="14"/>
  <c r="AM61" i="14"/>
  <c r="AO65" i="14"/>
  <c r="AJ69" i="14"/>
  <c r="AL69" i="14"/>
  <c r="AQ69" i="14"/>
  <c r="AM69" i="14"/>
  <c r="AO73" i="14"/>
  <c r="AO77" i="14"/>
  <c r="AO81" i="14"/>
  <c r="AL85" i="14"/>
  <c r="AJ85" i="14"/>
  <c r="AQ85" i="14"/>
  <c r="AM85" i="14"/>
  <c r="AL89" i="14"/>
  <c r="AJ89" i="14"/>
  <c r="AQ89" i="14"/>
  <c r="AM89" i="14"/>
  <c r="AL97" i="14"/>
  <c r="AJ97" i="14"/>
  <c r="AQ97" i="14"/>
  <c r="AM97" i="14"/>
  <c r="AO109" i="14"/>
  <c r="AL117" i="14"/>
  <c r="AJ117" i="14"/>
  <c r="AQ117" i="14"/>
  <c r="AM117" i="14"/>
  <c r="AO125" i="14"/>
  <c r="AO5" i="14"/>
  <c r="AO25" i="14"/>
  <c r="AO29" i="14"/>
  <c r="AO41" i="14"/>
  <c r="AO45" i="14"/>
  <c r="AO70" i="14"/>
  <c r="AO74" i="14"/>
  <c r="AO78" i="14"/>
  <c r="AO72" i="14"/>
  <c r="AO76" i="14"/>
  <c r="AO100" i="14"/>
  <c r="AO92" i="14"/>
  <c r="AO96" i="14"/>
  <c r="AO94" i="14"/>
  <c r="AO6" i="14"/>
  <c r="AJ181" i="14"/>
  <c r="AY93" i="14"/>
  <c r="AW93" i="14"/>
  <c r="BI125" i="14"/>
  <c r="BI124" i="14"/>
  <c r="BI121" i="14"/>
  <c r="BI120" i="14"/>
  <c r="BI117" i="14"/>
  <c r="BI116" i="14"/>
  <c r="BI114" i="14"/>
  <c r="BI112" i="14"/>
  <c r="BI110" i="14"/>
  <c r="BI108" i="14"/>
  <c r="BI106" i="14"/>
  <c r="BI104" i="14"/>
  <c r="BI102" i="14"/>
  <c r="BI100" i="14"/>
  <c r="BI98" i="14"/>
  <c r="BI96" i="14"/>
  <c r="BI94" i="14"/>
  <c r="BI92" i="14"/>
  <c r="BI90" i="14"/>
  <c r="BI88" i="14"/>
  <c r="BI86" i="14"/>
  <c r="BI84" i="14"/>
  <c r="BI82" i="14"/>
  <c r="BI80" i="14"/>
  <c r="BI78" i="14"/>
  <c r="BI76" i="14"/>
  <c r="BI74" i="14"/>
  <c r="BI72" i="14"/>
  <c r="BI70" i="14"/>
  <c r="BI68" i="14"/>
  <c r="BI66" i="14"/>
  <c r="BI64" i="14"/>
  <c r="BI62" i="14"/>
  <c r="BI60" i="14"/>
  <c r="BI58" i="14"/>
  <c r="BI56" i="14"/>
  <c r="BI54" i="14"/>
  <c r="BI52" i="14"/>
  <c r="BP4" i="14"/>
  <c r="BI51" i="14"/>
  <c r="BI49" i="14"/>
  <c r="BI47" i="14"/>
  <c r="BI45" i="14"/>
  <c r="BI43" i="14"/>
  <c r="BI41" i="14"/>
  <c r="BI39" i="14"/>
  <c r="BI37" i="14"/>
  <c r="BI35" i="14"/>
  <c r="BI33" i="14"/>
  <c r="BI31" i="14"/>
  <c r="BI29" i="14"/>
  <c r="BI27" i="14"/>
  <c r="BI25" i="14"/>
  <c r="BI23" i="14"/>
  <c r="BI21" i="14"/>
  <c r="BI19" i="14"/>
  <c r="BI17" i="14"/>
  <c r="BI15" i="14"/>
  <c r="BI13" i="14"/>
  <c r="BI11" i="14"/>
  <c r="BI9" i="14"/>
  <c r="BI7" i="14"/>
  <c r="BI5" i="14"/>
  <c r="BO4" i="14"/>
  <c r="BI4" i="14"/>
  <c r="BJ4" i="14" s="1"/>
  <c r="BI123" i="14"/>
  <c r="BI122" i="14"/>
  <c r="BI119" i="14"/>
  <c r="BI118" i="14"/>
  <c r="BI115" i="14"/>
  <c r="BI113" i="14"/>
  <c r="BI111" i="14"/>
  <c r="BI109" i="14"/>
  <c r="BI107" i="14"/>
  <c r="BI105" i="14"/>
  <c r="BI103" i="14"/>
  <c r="BI101" i="14"/>
  <c r="BI99" i="14"/>
  <c r="BI97" i="14"/>
  <c r="BI95" i="14"/>
  <c r="BI93" i="14"/>
  <c r="BI91" i="14"/>
  <c r="BI89" i="14"/>
  <c r="BI87" i="14"/>
  <c r="BI85" i="14"/>
  <c r="BI83" i="14"/>
  <c r="BI81" i="14"/>
  <c r="BI79" i="14"/>
  <c r="BI77" i="14"/>
  <c r="BI75" i="14"/>
  <c r="BI73" i="14"/>
  <c r="BI71" i="14"/>
  <c r="BI69" i="14"/>
  <c r="BI67" i="14"/>
  <c r="BI65" i="14"/>
  <c r="BI63" i="14"/>
  <c r="BI61" i="14"/>
  <c r="BI59" i="14"/>
  <c r="BI57" i="14"/>
  <c r="BI55" i="14"/>
  <c r="BI53" i="14"/>
  <c r="BZ4" i="14"/>
  <c r="BN4" i="14"/>
  <c r="BI50" i="14"/>
  <c r="BI48" i="14"/>
  <c r="BI46" i="14"/>
  <c r="BI44" i="14"/>
  <c r="BI42" i="14"/>
  <c r="BI40" i="14"/>
  <c r="BI38" i="14"/>
  <c r="BI36" i="14"/>
  <c r="BI34" i="14"/>
  <c r="BI32" i="14"/>
  <c r="BI30" i="14"/>
  <c r="BI28" i="14"/>
  <c r="BI26" i="14"/>
  <c r="BI24" i="14"/>
  <c r="BI22" i="14"/>
  <c r="BI20" i="14"/>
  <c r="BI18" i="14"/>
  <c r="BI16" i="14"/>
  <c r="BI14" i="14"/>
  <c r="BI12" i="14"/>
  <c r="BI10" i="14"/>
  <c r="BI8" i="14"/>
  <c r="BI6" i="14"/>
  <c r="BQ4" i="14"/>
  <c r="BK4" i="14"/>
  <c r="AV130" i="14"/>
  <c r="AV156" i="14"/>
  <c r="AV164" i="14" s="1"/>
  <c r="AQ32" i="14"/>
  <c r="AM32" i="14"/>
  <c r="AL32" i="14"/>
  <c r="AJ32" i="14"/>
  <c r="AJ52" i="14"/>
  <c r="AL52" i="14"/>
  <c r="AQ52" i="14"/>
  <c r="AM52" i="14"/>
  <c r="AJ55" i="14"/>
  <c r="AM55" i="14"/>
  <c r="AL55" i="14"/>
  <c r="AQ55" i="14"/>
  <c r="AQ50" i="14"/>
  <c r="AM50" i="14"/>
  <c r="AJ50" i="14"/>
  <c r="AL50" i="14"/>
  <c r="AJ49" i="14"/>
  <c r="AL49" i="14"/>
  <c r="AQ49" i="14"/>
  <c r="AM49" i="14"/>
  <c r="AQ42" i="14"/>
  <c r="AM42" i="14"/>
  <c r="AJ42" i="14"/>
  <c r="AL42" i="14"/>
  <c r="AQ31" i="14"/>
  <c r="AL31" i="14"/>
  <c r="AM31" i="14"/>
  <c r="AJ31" i="14"/>
  <c r="AQ35" i="14"/>
  <c r="AJ35" i="14"/>
  <c r="AM35" i="14"/>
  <c r="AL35" i="14"/>
  <c r="AQ39" i="14"/>
  <c r="AL39" i="14"/>
  <c r="AM39" i="14"/>
  <c r="AJ39" i="14"/>
  <c r="AJ43" i="14"/>
  <c r="AQ43" i="14"/>
  <c r="AM43" i="14"/>
  <c r="AL43" i="14"/>
  <c r="AQ40" i="14"/>
  <c r="AM40" i="14"/>
  <c r="AL40" i="14"/>
  <c r="AJ40" i="14"/>
  <c r="AQ44" i="14"/>
  <c r="AM44" i="14"/>
  <c r="AL44" i="14"/>
  <c r="AJ44" i="14"/>
  <c r="AQ33" i="14"/>
  <c r="AL33" i="14"/>
  <c r="AJ33" i="14"/>
  <c r="AM33" i="14"/>
  <c r="AQ37" i="14"/>
  <c r="AL37" i="14"/>
  <c r="AJ37" i="14"/>
  <c r="AM37" i="14"/>
  <c r="AJ41" i="14"/>
  <c r="AL41" i="14"/>
  <c r="AQ41" i="14"/>
  <c r="AM41" i="14"/>
  <c r="AQ45" i="14"/>
  <c r="AL45" i="14"/>
  <c r="AJ45" i="14"/>
  <c r="AM45" i="14"/>
  <c r="AO32" i="14"/>
  <c r="AQ36" i="14"/>
  <c r="AM36" i="14"/>
  <c r="AL36" i="14"/>
  <c r="AJ36" i="14"/>
  <c r="AQ47" i="14"/>
  <c r="AL47" i="14"/>
  <c r="AM47" i="14"/>
  <c r="AJ47" i="14"/>
  <c r="AQ38" i="14"/>
  <c r="AM38" i="14"/>
  <c r="AJ38" i="14"/>
  <c r="AL38" i="14"/>
  <c r="AQ34" i="14"/>
  <c r="AM34" i="14"/>
  <c r="AJ34" i="14"/>
  <c r="AL34" i="14"/>
  <c r="AQ48" i="14"/>
  <c r="AM48" i="14"/>
  <c r="AL48" i="14"/>
  <c r="AJ48" i="14"/>
  <c r="AO52" i="14"/>
  <c r="AO47" i="14"/>
  <c r="AJ51" i="14"/>
  <c r="AQ51" i="14"/>
  <c r="AM51" i="14"/>
  <c r="AL51" i="14"/>
  <c r="AO55" i="14"/>
  <c r="AQ46" i="14"/>
  <c r="AM46" i="14"/>
  <c r="AJ46" i="14"/>
  <c r="AL46" i="14"/>
  <c r="AO50" i="14"/>
  <c r="AJ54" i="14"/>
  <c r="AL54" i="14"/>
  <c r="AQ54" i="14"/>
  <c r="AM54" i="14"/>
  <c r="AO49" i="14"/>
  <c r="AJ53" i="14"/>
  <c r="AM53" i="14"/>
  <c r="AL53" i="14"/>
  <c r="AQ53" i="14"/>
  <c r="AO42" i="14"/>
  <c r="AO31" i="14"/>
  <c r="AO35" i="14"/>
  <c r="AO39" i="14"/>
  <c r="AO43" i="14"/>
  <c r="AO40" i="14"/>
  <c r="AO44" i="14"/>
  <c r="AO33" i="14"/>
  <c r="AO37" i="14"/>
  <c r="AO38" i="14"/>
  <c r="AO36" i="14"/>
  <c r="AO28" i="14"/>
  <c r="AK134" i="14"/>
  <c r="AK130" i="14"/>
  <c r="AO7" i="14"/>
  <c r="AQ7" i="14"/>
  <c r="AJ7" i="14"/>
  <c r="AL7" i="14"/>
  <c r="AM7" i="14"/>
  <c r="AQ24" i="14"/>
  <c r="AM24" i="14"/>
  <c r="AJ24" i="14"/>
  <c r="AL24" i="14"/>
  <c r="AQ16" i="14"/>
  <c r="AM16" i="14"/>
  <c r="AJ16" i="14"/>
  <c r="AL16" i="14"/>
  <c r="AQ8" i="14"/>
  <c r="AM8" i="14"/>
  <c r="AK126" i="14"/>
  <c r="AJ8" i="14"/>
  <c r="AK174" i="14"/>
  <c r="AL8" i="14"/>
  <c r="AQ26" i="14"/>
  <c r="AM26" i="14"/>
  <c r="AL26" i="14"/>
  <c r="AJ26" i="14"/>
  <c r="AQ22" i="14"/>
  <c r="AM22" i="14"/>
  <c r="AL22" i="14"/>
  <c r="AJ22" i="14"/>
  <c r="AM18" i="14"/>
  <c r="AQ18" i="14"/>
  <c r="AL18" i="14"/>
  <c r="AJ18" i="14"/>
  <c r="AM14" i="14"/>
  <c r="AQ14" i="14"/>
  <c r="AL14" i="14"/>
  <c r="AJ14" i="14"/>
  <c r="AM10" i="14"/>
  <c r="AQ10" i="14"/>
  <c r="AL10" i="14"/>
  <c r="AJ10" i="14"/>
  <c r="AO11" i="14"/>
  <c r="AO15" i="14"/>
  <c r="AO19" i="14"/>
  <c r="AO23" i="14"/>
  <c r="AO27" i="14"/>
  <c r="AO9" i="14"/>
  <c r="AO13" i="14"/>
  <c r="AO17" i="14"/>
  <c r="AO21" i="14"/>
  <c r="AO14" i="14"/>
  <c r="AO22" i="14"/>
  <c r="AQ28" i="14"/>
  <c r="AQ160" i="14" s="1"/>
  <c r="AM28" i="14"/>
  <c r="AJ28" i="14"/>
  <c r="AL28" i="14"/>
  <c r="AQ20" i="14"/>
  <c r="AM20" i="14"/>
  <c r="AJ20" i="14"/>
  <c r="AL20" i="14"/>
  <c r="AQ12" i="14"/>
  <c r="AM12" i="14"/>
  <c r="AJ12" i="14"/>
  <c r="AL12" i="14"/>
  <c r="AQ11" i="14"/>
  <c r="AJ11" i="14"/>
  <c r="AL11" i="14"/>
  <c r="AM11" i="14"/>
  <c r="AQ15" i="14"/>
  <c r="AJ15" i="14"/>
  <c r="AL15" i="14"/>
  <c r="AM15" i="14"/>
  <c r="AQ19" i="14"/>
  <c r="AJ19" i="14"/>
  <c r="AL19" i="14"/>
  <c r="AM19" i="14"/>
  <c r="AQ23" i="14"/>
  <c r="AJ23" i="14"/>
  <c r="AL23" i="14"/>
  <c r="AM23" i="14"/>
  <c r="AQ27" i="14"/>
  <c r="AL27" i="14"/>
  <c r="AJ27" i="14"/>
  <c r="AM27" i="14"/>
  <c r="AQ9" i="14"/>
  <c r="AJ9" i="14"/>
  <c r="AM9" i="14"/>
  <c r="AL9" i="14"/>
  <c r="AQ13" i="14"/>
  <c r="AJ13" i="14"/>
  <c r="AM13" i="14"/>
  <c r="AL13" i="14"/>
  <c r="AQ17" i="14"/>
  <c r="AJ17" i="14"/>
  <c r="AM17" i="14"/>
  <c r="AL17" i="14"/>
  <c r="AQ21" i="14"/>
  <c r="AJ21" i="14"/>
  <c r="AM21" i="14"/>
  <c r="AL21" i="14"/>
  <c r="AQ25" i="14"/>
  <c r="AJ25" i="14"/>
  <c r="AM25" i="14"/>
  <c r="AL25" i="14"/>
  <c r="AQ29" i="14"/>
  <c r="AL29" i="14"/>
  <c r="AL147" i="14" s="1"/>
  <c r="AM29" i="14"/>
  <c r="AJ29" i="14"/>
  <c r="AO8" i="14"/>
  <c r="AO16" i="14"/>
  <c r="AO24" i="14"/>
  <c r="AO10" i="14"/>
  <c r="AO18" i="14"/>
  <c r="AO26" i="14"/>
  <c r="K76" i="10"/>
  <c r="L76" i="10"/>
  <c r="AJ29" i="13"/>
  <c r="AO100" i="13"/>
  <c r="AP99" i="13"/>
  <c r="AN99" i="13"/>
  <c r="AO98" i="13"/>
  <c r="AP97" i="13"/>
  <c r="AN97" i="13"/>
  <c r="AO96" i="13"/>
  <c r="AP95" i="13"/>
  <c r="AN95" i="13"/>
  <c r="AO94" i="13"/>
  <c r="AP93" i="13"/>
  <c r="AN93" i="13"/>
  <c r="AO92" i="13"/>
  <c r="AP91" i="13"/>
  <c r="AN91" i="13"/>
  <c r="AO90" i="13"/>
  <c r="AP89" i="13"/>
  <c r="AN89" i="13"/>
  <c r="AO88" i="13"/>
  <c r="AP87" i="13"/>
  <c r="AN87" i="13"/>
  <c r="AO86" i="13"/>
  <c r="AO80" i="13"/>
  <c r="AP79" i="13"/>
  <c r="AN79" i="13"/>
  <c r="AP73" i="13"/>
  <c r="AN73" i="13"/>
  <c r="AO72" i="13"/>
  <c r="AO66" i="13"/>
  <c r="AP65" i="13"/>
  <c r="AN65" i="13"/>
  <c r="AO64" i="13"/>
  <c r="AO62" i="13"/>
  <c r="AO58" i="13"/>
  <c r="AP53" i="13"/>
  <c r="AN53" i="13"/>
  <c r="AO52" i="13"/>
  <c r="AP51" i="13"/>
  <c r="AN51" i="13"/>
  <c r="AP100" i="13"/>
  <c r="AN100" i="13"/>
  <c r="AO99" i="13"/>
  <c r="AP98" i="13"/>
  <c r="AN98" i="13"/>
  <c r="AO97" i="13"/>
  <c r="AP96" i="13"/>
  <c r="AN96" i="13"/>
  <c r="AO95" i="13"/>
  <c r="AP94" i="13"/>
  <c r="AN94" i="13"/>
  <c r="AO93" i="13"/>
  <c r="AP92" i="13"/>
  <c r="AN92" i="13"/>
  <c r="AO91" i="13"/>
  <c r="AP90" i="13"/>
  <c r="AN90" i="13"/>
  <c r="AO89" i="13"/>
  <c r="AP88" i="13"/>
  <c r="AN88" i="13"/>
  <c r="AO87" i="13"/>
  <c r="AP86" i="13"/>
  <c r="AN86" i="13"/>
  <c r="AP80" i="13"/>
  <c r="AN80" i="13"/>
  <c r="AO79" i="13"/>
  <c r="AO73" i="13"/>
  <c r="AP72" i="13"/>
  <c r="AN72" i="13"/>
  <c r="AP66" i="13"/>
  <c r="AN66" i="13"/>
  <c r="AO65" i="13"/>
  <c r="AP64" i="13"/>
  <c r="AN64" i="13"/>
  <c r="AP62" i="13"/>
  <c r="AN62" i="13"/>
  <c r="AP58" i="13"/>
  <c r="AN58" i="13"/>
  <c r="AO53" i="13"/>
  <c r="AP52" i="13"/>
  <c r="AN52" i="13"/>
  <c r="AO51" i="13"/>
  <c r="AO45" i="13"/>
  <c r="AO37" i="13"/>
  <c r="AP32" i="13"/>
  <c r="AN32" i="13"/>
  <c r="AP30" i="13"/>
  <c r="AN30" i="13"/>
  <c r="AP45" i="13"/>
  <c r="AN45" i="13"/>
  <c r="AP37" i="13"/>
  <c r="AN37" i="13"/>
  <c r="AO32" i="13"/>
  <c r="AO30" i="13"/>
  <c r="AO26" i="13"/>
  <c r="AP25" i="13"/>
  <c r="AN25" i="13"/>
  <c r="AO24" i="13"/>
  <c r="AP23" i="13"/>
  <c r="AN23" i="13"/>
  <c r="AO22" i="13"/>
  <c r="AP21" i="13"/>
  <c r="AN21" i="13"/>
  <c r="AP19" i="13"/>
  <c r="AN19" i="13"/>
  <c r="AO18" i="13"/>
  <c r="AO14" i="13"/>
  <c r="AP13" i="13"/>
  <c r="AN13" i="13"/>
  <c r="AO12" i="13"/>
  <c r="AP11" i="13"/>
  <c r="AN11" i="13"/>
  <c r="AO10" i="13"/>
  <c r="AP9" i="13"/>
  <c r="AN9" i="13"/>
  <c r="AO8" i="13"/>
  <c r="AP26" i="13"/>
  <c r="AN26" i="13"/>
  <c r="AO25" i="13"/>
  <c r="AP24" i="13"/>
  <c r="AN24" i="13"/>
  <c r="AO23" i="13"/>
  <c r="AP22" i="13"/>
  <c r="AN22" i="13"/>
  <c r="AO21" i="13"/>
  <c r="AO19" i="13"/>
  <c r="AP18" i="13"/>
  <c r="AN18" i="13"/>
  <c r="AP14" i="13"/>
  <c r="AN14" i="13"/>
  <c r="AO13" i="13"/>
  <c r="AP12" i="13"/>
  <c r="AN12" i="13"/>
  <c r="AO11" i="13"/>
  <c r="AP10" i="13"/>
  <c r="AN10" i="13"/>
  <c r="AO9" i="13"/>
  <c r="AP8" i="13"/>
  <c r="AN8" i="13"/>
  <c r="C26" i="17"/>
  <c r="C23" i="17"/>
  <c r="D23" i="17"/>
  <c r="D24" i="17"/>
  <c r="AJ4" i="13"/>
  <c r="AA101" i="14"/>
  <c r="AA99" i="14"/>
  <c r="AA107" i="14"/>
  <c r="AA105" i="14"/>
  <c r="AA104" i="14"/>
  <c r="AA102" i="14"/>
  <c r="AA100" i="14"/>
  <c r="AA98" i="14"/>
  <c r="AA106" i="14"/>
  <c r="AA108" i="14"/>
  <c r="V164" i="14"/>
  <c r="AA36" i="14"/>
  <c r="AA28" i="14"/>
  <c r="AA20" i="14"/>
  <c r="AA8" i="14"/>
  <c r="AA52" i="14"/>
  <c r="AA60" i="14"/>
  <c r="AA68" i="14"/>
  <c r="AA82" i="14"/>
  <c r="AA86" i="14"/>
  <c r="AA90" i="14"/>
  <c r="AA47" i="14"/>
  <c r="AA55" i="14"/>
  <c r="AA63" i="14"/>
  <c r="AA71" i="14"/>
  <c r="AA79" i="14"/>
  <c r="AA83" i="14"/>
  <c r="AA87" i="14"/>
  <c r="AA111" i="14"/>
  <c r="AA115" i="14"/>
  <c r="AA119" i="14"/>
  <c r="AA123" i="14"/>
  <c r="AA121" i="14"/>
  <c r="AA50" i="14"/>
  <c r="AA58" i="14"/>
  <c r="AA66" i="14"/>
  <c r="AA112" i="14"/>
  <c r="AA120" i="14"/>
  <c r="AA49" i="14"/>
  <c r="AA57" i="14"/>
  <c r="AA65" i="14"/>
  <c r="AA73" i="14"/>
  <c r="AA77" i="14"/>
  <c r="AA81" i="14"/>
  <c r="AA109" i="14"/>
  <c r="AA125" i="14"/>
  <c r="AA42" i="14"/>
  <c r="AA7" i="14"/>
  <c r="AA11" i="14"/>
  <c r="AA15" i="14"/>
  <c r="AA19" i="14"/>
  <c r="AA23" i="14"/>
  <c r="AA27" i="14"/>
  <c r="AA31" i="14"/>
  <c r="AA35" i="14"/>
  <c r="AA39" i="14"/>
  <c r="AA43" i="14"/>
  <c r="AA40" i="14"/>
  <c r="AA44" i="14"/>
  <c r="AA5" i="14"/>
  <c r="AA9" i="14"/>
  <c r="AA13" i="14"/>
  <c r="AA17" i="14"/>
  <c r="AA21" i="14"/>
  <c r="AA25" i="14"/>
  <c r="AA29" i="14"/>
  <c r="AA33" i="14"/>
  <c r="AA37" i="14"/>
  <c r="AA41" i="14"/>
  <c r="AA45" i="14"/>
  <c r="AA70" i="14"/>
  <c r="AA74" i="14"/>
  <c r="AA78" i="14"/>
  <c r="AA72" i="14"/>
  <c r="AA76" i="14"/>
  <c r="X138" i="14"/>
  <c r="X183" i="14" s="1"/>
  <c r="AA32" i="14"/>
  <c r="AA24" i="14"/>
  <c r="AA16" i="14"/>
  <c r="AA12" i="14"/>
  <c r="AA38" i="14"/>
  <c r="AA34" i="14"/>
  <c r="AA30" i="14"/>
  <c r="AA26" i="14"/>
  <c r="AA22" i="14"/>
  <c r="AA18" i="14"/>
  <c r="AA14" i="14"/>
  <c r="AA10" i="14"/>
  <c r="AA6" i="14"/>
  <c r="AA48" i="14"/>
  <c r="AA56" i="14"/>
  <c r="AA64" i="14"/>
  <c r="AA110" i="14"/>
  <c r="AA114" i="14"/>
  <c r="AA118" i="14"/>
  <c r="AA122" i="14"/>
  <c r="AA51" i="14"/>
  <c r="AA59" i="14"/>
  <c r="AA67" i="14"/>
  <c r="AA75" i="14"/>
  <c r="AA91" i="14"/>
  <c r="AA103" i="14"/>
  <c r="AA113" i="14"/>
  <c r="AA46" i="14"/>
  <c r="AA54" i="14"/>
  <c r="AA62" i="14"/>
  <c r="AA80" i="14"/>
  <c r="AA84" i="14"/>
  <c r="AA88" i="14"/>
  <c r="AA116" i="14"/>
  <c r="AA124" i="14"/>
  <c r="AA53" i="14"/>
  <c r="AA61" i="14"/>
  <c r="AA69" i="14"/>
  <c r="AA85" i="14"/>
  <c r="AA89" i="14"/>
  <c r="AA97" i="14"/>
  <c r="AA117" i="14"/>
  <c r="AD160" i="14"/>
  <c r="Y147" i="14"/>
  <c r="AD156" i="14"/>
  <c r="Y143" i="14"/>
  <c r="AB126" i="14"/>
  <c r="AD126" i="14"/>
  <c r="W126" i="14"/>
  <c r="X176" i="14" s="1"/>
  <c r="X177" i="14"/>
  <c r="V138" i="14"/>
  <c r="X181" i="14" s="1"/>
  <c r="X188" i="14"/>
  <c r="Y126" i="14"/>
  <c r="R125" i="14"/>
  <c r="R124" i="14"/>
  <c r="R123" i="14"/>
  <c r="R122" i="14"/>
  <c r="R121" i="14"/>
  <c r="R120" i="14"/>
  <c r="R119" i="14"/>
  <c r="R118" i="14"/>
  <c r="R117" i="14"/>
  <c r="R116" i="14"/>
  <c r="R115" i="14"/>
  <c r="R114" i="14"/>
  <c r="R113" i="14"/>
  <c r="R112" i="14"/>
  <c r="R111" i="14"/>
  <c r="R110" i="14"/>
  <c r="R109" i="14"/>
  <c r="R108" i="14"/>
  <c r="S108" i="14" s="1"/>
  <c r="R107" i="14"/>
  <c r="S107" i="14" s="1"/>
  <c r="R106" i="14"/>
  <c r="S106" i="14" s="1"/>
  <c r="R105" i="14"/>
  <c r="S105" i="14" s="1"/>
  <c r="R104" i="14"/>
  <c r="S104" i="14" s="1"/>
  <c r="R103" i="14"/>
  <c r="R102" i="14"/>
  <c r="S102" i="14" s="1"/>
  <c r="R101" i="14"/>
  <c r="S101" i="14" s="1"/>
  <c r="R100" i="14"/>
  <c r="S100" i="14" s="1"/>
  <c r="R99" i="14"/>
  <c r="S99" i="14" s="1"/>
  <c r="R98" i="14"/>
  <c r="S98" i="14" s="1"/>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Z126" i="14"/>
  <c r="AZ95" i="14" l="1"/>
  <c r="BB95" i="14"/>
  <c r="K45" i="10"/>
  <c r="H33" i="4"/>
  <c r="AV138" i="14"/>
  <c r="AX181" i="14" s="1"/>
  <c r="AW181" i="14" s="1"/>
  <c r="D33" i="4"/>
  <c r="F33" i="4"/>
  <c r="K33" i="10"/>
  <c r="AZ93" i="14"/>
  <c r="BB93" i="14"/>
  <c r="BI156" i="14"/>
  <c r="BI130" i="14"/>
  <c r="BI126" i="14"/>
  <c r="BK180" i="14" s="1"/>
  <c r="AN117" i="14"/>
  <c r="AX117" i="14"/>
  <c r="AN69" i="14"/>
  <c r="AX69" i="14"/>
  <c r="AN116" i="14"/>
  <c r="AX116" i="14"/>
  <c r="AN104" i="14"/>
  <c r="AX104" i="14"/>
  <c r="AN88" i="14"/>
  <c r="AX88" i="14"/>
  <c r="AN84" i="14"/>
  <c r="AX84" i="14"/>
  <c r="AN80" i="14"/>
  <c r="AX80" i="14"/>
  <c r="AN113" i="14"/>
  <c r="AX113" i="14"/>
  <c r="AN105" i="14"/>
  <c r="AX105" i="14"/>
  <c r="AN107" i="14"/>
  <c r="AX107" i="14"/>
  <c r="AN103" i="14"/>
  <c r="AX103" i="14"/>
  <c r="AN91" i="14"/>
  <c r="AX91" i="14"/>
  <c r="AN67" i="14"/>
  <c r="AX67" i="14"/>
  <c r="AN122" i="14"/>
  <c r="AX122" i="14"/>
  <c r="AN118" i="14"/>
  <c r="AX118" i="14"/>
  <c r="AN114" i="14"/>
  <c r="AX114" i="14"/>
  <c r="AN110" i="14"/>
  <c r="AX110" i="14"/>
  <c r="AN56" i="14"/>
  <c r="AX56" i="14"/>
  <c r="AN6" i="14"/>
  <c r="AX6" i="14"/>
  <c r="AN30" i="14"/>
  <c r="AX30" i="14"/>
  <c r="AN106" i="14"/>
  <c r="AX106" i="14"/>
  <c r="AN86" i="14"/>
  <c r="AX86" i="14"/>
  <c r="AN68" i="14"/>
  <c r="AX68" i="14"/>
  <c r="AR125" i="14"/>
  <c r="AR123" i="14"/>
  <c r="AR121" i="14"/>
  <c r="AR119" i="14"/>
  <c r="AR117" i="14"/>
  <c r="AR115" i="14"/>
  <c r="AR113" i="14"/>
  <c r="AR111" i="14"/>
  <c r="AR109" i="14"/>
  <c r="AR107" i="14"/>
  <c r="AR105" i="14"/>
  <c r="AR103" i="14"/>
  <c r="AR101" i="14"/>
  <c r="AR99" i="14"/>
  <c r="AR97" i="14"/>
  <c r="AR95" i="14"/>
  <c r="AR93" i="14"/>
  <c r="AR91" i="14"/>
  <c r="AR89" i="14"/>
  <c r="AR87" i="14"/>
  <c r="AR85" i="14"/>
  <c r="AR83" i="14"/>
  <c r="AR81" i="14"/>
  <c r="AR79" i="14"/>
  <c r="AR77" i="14"/>
  <c r="AR75" i="14"/>
  <c r="AR73" i="14"/>
  <c r="AR71" i="14"/>
  <c r="AR69" i="14"/>
  <c r="AR67" i="14"/>
  <c r="AR65" i="14"/>
  <c r="AR63" i="14"/>
  <c r="AR61" i="14"/>
  <c r="AR59" i="14"/>
  <c r="AR57" i="14"/>
  <c r="AR55" i="14"/>
  <c r="AR53" i="14"/>
  <c r="AR51" i="14"/>
  <c r="AR49" i="14"/>
  <c r="AR47" i="14"/>
  <c r="AR45" i="14"/>
  <c r="AR43" i="14"/>
  <c r="AR41" i="14"/>
  <c r="AR39" i="14"/>
  <c r="AR37" i="14"/>
  <c r="AR35" i="14"/>
  <c r="AR33" i="14"/>
  <c r="AR31" i="14"/>
  <c r="AR29" i="14"/>
  <c r="AR27" i="14"/>
  <c r="AR25" i="14"/>
  <c r="AR23" i="14"/>
  <c r="AR21" i="14"/>
  <c r="AR19" i="14"/>
  <c r="AR17" i="14"/>
  <c r="AR15" i="14"/>
  <c r="AR13" i="14"/>
  <c r="AR11" i="14"/>
  <c r="AR9" i="14"/>
  <c r="AR7" i="14"/>
  <c r="AR5" i="14"/>
  <c r="AR124" i="14"/>
  <c r="AR122" i="14"/>
  <c r="AR120" i="14"/>
  <c r="AR118" i="14"/>
  <c r="AR116" i="14"/>
  <c r="AR114" i="14"/>
  <c r="AR112" i="14"/>
  <c r="AR110" i="14"/>
  <c r="AR108" i="14"/>
  <c r="AR106" i="14"/>
  <c r="AR104" i="14"/>
  <c r="AR102" i="14"/>
  <c r="AR100" i="14"/>
  <c r="AR98" i="14"/>
  <c r="AR96" i="14"/>
  <c r="AR94" i="14"/>
  <c r="AR92" i="14"/>
  <c r="AR90" i="14"/>
  <c r="AR88" i="14"/>
  <c r="AR86" i="14"/>
  <c r="AR84" i="14"/>
  <c r="AR82" i="14"/>
  <c r="AR80" i="14"/>
  <c r="AR78" i="14"/>
  <c r="AR76" i="14"/>
  <c r="AR74" i="14"/>
  <c r="AR72" i="14"/>
  <c r="AR70" i="14"/>
  <c r="AR68" i="14"/>
  <c r="AR66" i="14"/>
  <c r="AR64" i="14"/>
  <c r="AR62" i="14"/>
  <c r="AR60" i="14"/>
  <c r="AR58" i="14"/>
  <c r="AR56" i="14"/>
  <c r="AR54" i="14"/>
  <c r="AR52" i="14"/>
  <c r="AR50" i="14"/>
  <c r="AR48" i="14"/>
  <c r="AR46" i="14"/>
  <c r="AR44" i="14"/>
  <c r="AR42" i="14"/>
  <c r="AR40" i="14"/>
  <c r="AR38" i="14"/>
  <c r="AR36" i="14"/>
  <c r="AR34" i="14"/>
  <c r="AR32" i="14"/>
  <c r="AR30" i="14"/>
  <c r="AR28" i="14"/>
  <c r="AR26" i="14"/>
  <c r="AR24" i="14"/>
  <c r="AR22" i="14"/>
  <c r="AR20" i="14"/>
  <c r="AR18" i="14"/>
  <c r="AR16" i="14"/>
  <c r="AR14" i="14"/>
  <c r="AR12" i="14"/>
  <c r="AR10" i="14"/>
  <c r="AR8" i="14"/>
  <c r="AR6" i="14"/>
  <c r="AF50" i="14"/>
  <c r="AG50" i="14"/>
  <c r="AH50" i="14" s="1"/>
  <c r="AP50" i="14"/>
  <c r="AF48" i="14"/>
  <c r="AG48" i="14"/>
  <c r="AH48" i="14" s="1"/>
  <c r="AP48" i="14"/>
  <c r="AF46" i="14"/>
  <c r="AG46" i="14"/>
  <c r="AH46" i="14" s="1"/>
  <c r="AP46" i="14"/>
  <c r="AF44" i="14"/>
  <c r="AG44" i="14"/>
  <c r="AH44" i="14" s="1"/>
  <c r="AP44" i="14"/>
  <c r="AF42" i="14"/>
  <c r="AG42" i="14"/>
  <c r="AH42" i="14" s="1"/>
  <c r="AP42" i="14"/>
  <c r="AF40" i="14"/>
  <c r="AG40" i="14"/>
  <c r="AH40" i="14" s="1"/>
  <c r="AP40" i="14"/>
  <c r="AF38" i="14"/>
  <c r="AG38" i="14"/>
  <c r="AH38" i="14" s="1"/>
  <c r="AP38" i="14"/>
  <c r="AF36" i="14"/>
  <c r="AG36" i="14"/>
  <c r="AH36" i="14" s="1"/>
  <c r="AP36" i="14"/>
  <c r="AF34" i="14"/>
  <c r="AG34" i="14"/>
  <c r="AH34" i="14" s="1"/>
  <c r="AP34" i="14"/>
  <c r="AF32" i="14"/>
  <c r="AG32" i="14"/>
  <c r="AH32" i="14" s="1"/>
  <c r="AP32" i="14"/>
  <c r="AF6" i="14"/>
  <c r="AP6" i="14"/>
  <c r="AG6" i="14"/>
  <c r="AH6" i="14" s="1"/>
  <c r="AF30" i="14"/>
  <c r="AP30" i="14"/>
  <c r="AG30" i="14"/>
  <c r="AH30" i="14" s="1"/>
  <c r="AF28" i="14"/>
  <c r="AF147" i="14" s="1"/>
  <c r="AG28" i="14"/>
  <c r="AH28" i="14" s="1"/>
  <c r="AP28" i="14"/>
  <c r="AF26" i="14"/>
  <c r="AG26" i="14"/>
  <c r="AH26" i="14" s="1"/>
  <c r="AP26" i="14"/>
  <c r="AF24" i="14"/>
  <c r="AG24" i="14"/>
  <c r="AH24" i="14" s="1"/>
  <c r="AP24" i="14"/>
  <c r="AF22" i="14"/>
  <c r="AG22" i="14"/>
  <c r="AH22" i="14" s="1"/>
  <c r="AP22" i="14"/>
  <c r="AF20" i="14"/>
  <c r="AG20" i="14"/>
  <c r="AH20" i="14" s="1"/>
  <c r="AP20" i="14"/>
  <c r="AF18" i="14"/>
  <c r="AG18" i="14"/>
  <c r="AH18" i="14" s="1"/>
  <c r="AP18" i="14"/>
  <c r="AF16" i="14"/>
  <c r="AG16" i="14"/>
  <c r="AH16" i="14" s="1"/>
  <c r="AP16" i="14"/>
  <c r="AF14" i="14"/>
  <c r="AG14" i="14"/>
  <c r="AH14" i="14" s="1"/>
  <c r="AP14" i="14"/>
  <c r="AF12" i="14"/>
  <c r="AG12" i="14"/>
  <c r="AH12" i="14" s="1"/>
  <c r="AP12" i="14"/>
  <c r="AF10" i="14"/>
  <c r="AG10" i="14"/>
  <c r="AH10" i="14" s="1"/>
  <c r="AP10" i="14"/>
  <c r="AF8" i="14"/>
  <c r="AG8" i="14"/>
  <c r="AH8" i="14" s="1"/>
  <c r="AP8" i="14"/>
  <c r="AF52" i="14"/>
  <c r="AG52" i="14"/>
  <c r="AH52" i="14" s="1"/>
  <c r="AP52" i="14"/>
  <c r="AP56" i="14"/>
  <c r="AG56" i="14"/>
  <c r="AH56" i="14" s="1"/>
  <c r="AF56" i="14"/>
  <c r="AP60" i="14"/>
  <c r="AG60" i="14"/>
  <c r="AH60" i="14" s="1"/>
  <c r="AF60" i="14"/>
  <c r="AP64" i="14"/>
  <c r="AG64" i="14"/>
  <c r="AH64" i="14" s="1"/>
  <c r="AF64" i="14"/>
  <c r="AP68" i="14"/>
  <c r="AG68" i="14"/>
  <c r="AH68" i="14" s="1"/>
  <c r="AF68" i="14"/>
  <c r="AP72" i="14"/>
  <c r="AG72" i="14"/>
  <c r="AH72" i="14" s="1"/>
  <c r="AF72" i="14"/>
  <c r="AP76" i="14"/>
  <c r="AG76" i="14"/>
  <c r="AH76" i="14" s="1"/>
  <c r="AF76" i="14"/>
  <c r="AF80" i="14"/>
  <c r="AP80" i="14"/>
  <c r="AG80" i="14"/>
  <c r="AH80" i="14" s="1"/>
  <c r="AF84" i="14"/>
  <c r="AP84" i="14"/>
  <c r="AG84" i="14"/>
  <c r="AH84" i="14" s="1"/>
  <c r="AF88" i="14"/>
  <c r="AP88" i="14"/>
  <c r="AG88" i="14"/>
  <c r="AH88" i="14" s="1"/>
  <c r="AF92" i="14"/>
  <c r="AP92" i="14"/>
  <c r="AG92" i="14"/>
  <c r="AH92" i="14" s="1"/>
  <c r="AF96" i="14"/>
  <c r="AP96" i="14"/>
  <c r="AG96" i="14"/>
  <c r="AH96" i="14" s="1"/>
  <c r="AF100" i="14"/>
  <c r="AP100" i="14"/>
  <c r="AG100" i="14"/>
  <c r="AH100" i="14" s="1"/>
  <c r="AF116" i="14"/>
  <c r="AP116" i="14"/>
  <c r="AG116" i="14"/>
  <c r="AH116" i="14" s="1"/>
  <c r="AF120" i="14"/>
  <c r="AP120" i="14"/>
  <c r="AG120" i="14"/>
  <c r="AH120" i="14" s="1"/>
  <c r="AF124" i="14"/>
  <c r="AP124" i="14"/>
  <c r="AG124" i="14"/>
  <c r="AH124" i="14" s="1"/>
  <c r="AP106" i="14"/>
  <c r="AG106" i="14"/>
  <c r="AH106" i="14" s="1"/>
  <c r="AF106" i="14"/>
  <c r="AP110" i="14"/>
  <c r="AG110" i="14"/>
  <c r="AH110" i="14" s="1"/>
  <c r="AF110" i="14"/>
  <c r="AP114" i="14"/>
  <c r="AG114" i="14"/>
  <c r="AH114" i="14" s="1"/>
  <c r="AF114" i="14"/>
  <c r="AF55" i="14"/>
  <c r="AG55" i="14"/>
  <c r="AH55" i="14" s="1"/>
  <c r="AP55" i="14"/>
  <c r="AG59" i="14"/>
  <c r="AH59" i="14" s="1"/>
  <c r="AF59" i="14"/>
  <c r="AP59" i="14"/>
  <c r="AG63" i="14"/>
  <c r="AH63" i="14" s="1"/>
  <c r="AF63" i="14"/>
  <c r="AP63" i="14"/>
  <c r="AG67" i="14"/>
  <c r="AH67" i="14" s="1"/>
  <c r="AF67" i="14"/>
  <c r="AP67" i="14"/>
  <c r="AG71" i="14"/>
  <c r="AH71" i="14" s="1"/>
  <c r="AF71" i="14"/>
  <c r="AP71" i="14"/>
  <c r="AG75" i="14"/>
  <c r="AH75" i="14" s="1"/>
  <c r="AF75" i="14"/>
  <c r="AP75" i="14"/>
  <c r="AP79" i="14"/>
  <c r="AG79" i="14"/>
  <c r="AH79" i="14" s="1"/>
  <c r="AF79" i="14"/>
  <c r="AP83" i="14"/>
  <c r="AG83" i="14"/>
  <c r="AH83" i="14" s="1"/>
  <c r="AF83" i="14"/>
  <c r="AP87" i="14"/>
  <c r="AG87" i="14"/>
  <c r="AH87" i="14" s="1"/>
  <c r="AF87" i="14"/>
  <c r="AP91" i="14"/>
  <c r="AG91" i="14"/>
  <c r="AH91" i="14" s="1"/>
  <c r="AF91" i="14"/>
  <c r="AP95" i="14"/>
  <c r="AG95" i="14"/>
  <c r="AH95" i="14" s="1"/>
  <c r="AF95" i="14"/>
  <c r="AP99" i="14"/>
  <c r="AG99" i="14"/>
  <c r="AH99" i="14" s="1"/>
  <c r="AF99" i="14"/>
  <c r="AP103" i="14"/>
  <c r="AG103" i="14"/>
  <c r="AH103" i="14" s="1"/>
  <c r="AF103" i="14"/>
  <c r="AP119" i="14"/>
  <c r="AG119" i="14"/>
  <c r="AH119" i="14" s="1"/>
  <c r="AF119" i="14"/>
  <c r="AP123" i="14"/>
  <c r="AG123" i="14"/>
  <c r="AH123" i="14" s="1"/>
  <c r="AF123" i="14"/>
  <c r="AG105" i="14"/>
  <c r="AH105" i="14" s="1"/>
  <c r="AP105" i="14"/>
  <c r="AF105" i="14"/>
  <c r="AG109" i="14"/>
  <c r="AH109" i="14" s="1"/>
  <c r="AF109" i="14"/>
  <c r="AP109" i="14"/>
  <c r="AG113" i="14"/>
  <c r="AH113" i="14" s="1"/>
  <c r="AF113" i="14"/>
  <c r="AP113" i="14"/>
  <c r="AL96" i="14"/>
  <c r="AJ96" i="14"/>
  <c r="AM96" i="14"/>
  <c r="AQ96" i="14"/>
  <c r="AN76" i="14"/>
  <c r="AX76" i="14"/>
  <c r="AN72" i="14"/>
  <c r="AX72" i="14"/>
  <c r="BB72" i="14" s="1"/>
  <c r="AN78" i="14"/>
  <c r="AX78" i="14"/>
  <c r="BB78" i="14" s="1"/>
  <c r="AN74" i="14"/>
  <c r="AX74" i="14"/>
  <c r="AN70" i="14"/>
  <c r="AX70" i="14"/>
  <c r="AN5" i="14"/>
  <c r="AX5" i="14"/>
  <c r="BB5" i="14" s="1"/>
  <c r="AN109" i="14"/>
  <c r="AX109" i="14"/>
  <c r="AN65" i="14"/>
  <c r="AX65" i="14"/>
  <c r="AN112" i="14"/>
  <c r="AX112" i="14"/>
  <c r="BB112" i="14" s="1"/>
  <c r="AN108" i="14"/>
  <c r="AX108" i="14"/>
  <c r="AN66" i="14"/>
  <c r="AX66" i="14"/>
  <c r="AN121" i="14"/>
  <c r="AX121" i="14"/>
  <c r="BB121" i="14" s="1"/>
  <c r="AN123" i="14"/>
  <c r="AX123" i="14"/>
  <c r="AN119" i="14"/>
  <c r="AX119" i="14"/>
  <c r="AN115" i="14"/>
  <c r="AX115" i="14"/>
  <c r="BB115" i="14" s="1"/>
  <c r="AN111" i="14"/>
  <c r="AX111" i="14"/>
  <c r="BB111" i="14" s="1"/>
  <c r="AN71" i="14"/>
  <c r="AX71" i="14"/>
  <c r="AN60" i="14"/>
  <c r="AX60" i="14"/>
  <c r="BB60" i="14" s="1"/>
  <c r="AN100" i="14"/>
  <c r="AX100" i="14"/>
  <c r="BB100" i="14" s="1"/>
  <c r="BM178" i="14"/>
  <c r="BM176" i="14"/>
  <c r="BM174" i="14"/>
  <c r="BL4" i="14"/>
  <c r="BF4" i="14"/>
  <c r="BE4" i="14"/>
  <c r="BM180" i="14"/>
  <c r="BM177" i="14"/>
  <c r="BM175" i="14"/>
  <c r="BK128" i="14"/>
  <c r="BH4" i="14"/>
  <c r="BE1" i="14" s="1"/>
  <c r="BG4" i="14"/>
  <c r="BI160" i="14"/>
  <c r="BI134" i="14"/>
  <c r="BV125" i="14"/>
  <c r="BV124" i="14"/>
  <c r="BV121" i="14"/>
  <c r="BV120" i="14"/>
  <c r="BV117" i="14"/>
  <c r="BV116" i="14"/>
  <c r="BV114" i="14"/>
  <c r="BV112" i="14"/>
  <c r="BV110" i="14"/>
  <c r="BV108" i="14"/>
  <c r="BV106" i="14"/>
  <c r="BV101" i="14"/>
  <c r="BV99" i="14"/>
  <c r="BV97" i="14"/>
  <c r="BV95" i="14"/>
  <c r="BV93" i="14"/>
  <c r="BV91" i="14"/>
  <c r="BV89" i="14"/>
  <c r="BV87" i="14"/>
  <c r="BV85" i="14"/>
  <c r="BV83" i="14"/>
  <c r="BV81" i="14"/>
  <c r="BV79" i="14"/>
  <c r="BV105" i="14"/>
  <c r="BV103" i="14"/>
  <c r="BV76" i="14"/>
  <c r="BV74" i="14"/>
  <c r="BV72" i="14"/>
  <c r="BV70" i="14"/>
  <c r="BV68" i="14"/>
  <c r="BV66" i="14"/>
  <c r="BV64" i="14"/>
  <c r="BV62" i="14"/>
  <c r="BV60" i="14"/>
  <c r="BV58" i="14"/>
  <c r="BV56" i="14"/>
  <c r="BV54" i="14"/>
  <c r="BV52" i="14"/>
  <c r="BV50" i="14"/>
  <c r="BV48" i="14"/>
  <c r="BV46" i="14"/>
  <c r="BV44" i="14"/>
  <c r="BV42" i="14"/>
  <c r="BV40" i="14"/>
  <c r="BV38" i="14"/>
  <c r="BV36" i="14"/>
  <c r="BV34" i="14"/>
  <c r="BV32" i="14"/>
  <c r="BV29" i="14"/>
  <c r="BV27" i="14"/>
  <c r="BV25" i="14"/>
  <c r="BV23" i="14"/>
  <c r="BV21" i="14"/>
  <c r="BV19" i="14"/>
  <c r="BV17" i="14"/>
  <c r="BV15" i="14"/>
  <c r="BV13" i="14"/>
  <c r="BV11" i="14"/>
  <c r="BV9" i="14"/>
  <c r="BV7" i="14"/>
  <c r="BV6" i="14"/>
  <c r="CD4" i="14"/>
  <c r="BX4" i="14"/>
  <c r="CM4" i="14"/>
  <c r="CA4" i="14"/>
  <c r="BV123" i="14"/>
  <c r="BV122" i="14"/>
  <c r="BV119" i="14"/>
  <c r="BV118" i="14"/>
  <c r="BV115" i="14"/>
  <c r="BV113" i="14"/>
  <c r="BV111" i="14"/>
  <c r="BV109" i="14"/>
  <c r="BV107" i="14"/>
  <c r="BV102" i="14"/>
  <c r="BV100" i="14"/>
  <c r="BV98" i="14"/>
  <c r="BV96" i="14"/>
  <c r="BV94" i="14"/>
  <c r="BV92" i="14"/>
  <c r="BV90" i="14"/>
  <c r="BV88" i="14"/>
  <c r="BV86" i="14"/>
  <c r="BV84" i="14"/>
  <c r="BV82" i="14"/>
  <c r="BV80" i="14"/>
  <c r="BV78" i="14"/>
  <c r="BV104" i="14"/>
  <c r="BV77" i="14"/>
  <c r="BV75" i="14"/>
  <c r="BV73" i="14"/>
  <c r="BV71" i="14"/>
  <c r="BV69" i="14"/>
  <c r="BV67" i="14"/>
  <c r="BV65" i="14"/>
  <c r="BV63" i="14"/>
  <c r="BV61" i="14"/>
  <c r="BV59" i="14"/>
  <c r="BV57" i="14"/>
  <c r="BV55" i="14"/>
  <c r="BV53" i="14"/>
  <c r="BV51" i="14"/>
  <c r="BV49" i="14"/>
  <c r="BV47" i="14"/>
  <c r="BV45" i="14"/>
  <c r="BV43" i="14"/>
  <c r="BV41" i="14"/>
  <c r="BV39" i="14"/>
  <c r="BV37" i="14"/>
  <c r="BV35" i="14"/>
  <c r="BV33" i="14"/>
  <c r="BV31" i="14"/>
  <c r="BV30" i="14"/>
  <c r="BV28" i="14"/>
  <c r="BV26" i="14"/>
  <c r="BV24" i="14"/>
  <c r="BV22" i="14"/>
  <c r="BV20" i="14"/>
  <c r="BV18" i="14"/>
  <c r="BV16" i="14"/>
  <c r="BV14" i="14"/>
  <c r="BV12" i="14"/>
  <c r="BV10" i="14"/>
  <c r="BV8" i="14"/>
  <c r="BV5" i="14"/>
  <c r="CB4" i="14"/>
  <c r="BV4" i="14"/>
  <c r="BW4" i="14" s="1"/>
  <c r="CC4" i="14"/>
  <c r="BB6" i="14"/>
  <c r="BB76" i="14"/>
  <c r="BB70" i="14"/>
  <c r="AN97" i="14"/>
  <c r="AX97" i="14"/>
  <c r="AN89" i="14"/>
  <c r="AX89" i="14"/>
  <c r="AN85" i="14"/>
  <c r="AX85" i="14"/>
  <c r="AN61" i="14"/>
  <c r="AX61" i="14"/>
  <c r="AN124" i="14"/>
  <c r="AX124" i="14"/>
  <c r="BB66" i="14"/>
  <c r="AN62" i="14"/>
  <c r="AX62" i="14"/>
  <c r="BB119" i="14"/>
  <c r="AN75" i="14"/>
  <c r="AX75" i="14"/>
  <c r="BB71" i="14"/>
  <c r="AN59" i="14"/>
  <c r="AX59" i="14"/>
  <c r="BB106" i="14"/>
  <c r="BB86" i="14"/>
  <c r="BB68" i="14"/>
  <c r="AN64" i="14"/>
  <c r="AX64" i="14"/>
  <c r="AN99" i="14"/>
  <c r="AX99" i="14"/>
  <c r="BB99" i="14" s="1"/>
  <c r="AN101" i="14"/>
  <c r="AX101" i="14"/>
  <c r="AN98" i="14"/>
  <c r="AX98" i="14"/>
  <c r="BB98" i="14" s="1"/>
  <c r="AN102" i="14"/>
  <c r="AX102" i="14"/>
  <c r="AG51" i="14"/>
  <c r="AH51" i="14" s="1"/>
  <c r="AF51" i="14"/>
  <c r="AP51" i="14"/>
  <c r="AG49" i="14"/>
  <c r="AH49" i="14" s="1"/>
  <c r="AF49" i="14"/>
  <c r="AP49" i="14"/>
  <c r="AF47" i="14"/>
  <c r="AG47" i="14"/>
  <c r="AH47" i="14" s="1"/>
  <c r="AP47" i="14"/>
  <c r="AF45" i="14"/>
  <c r="AG45" i="14"/>
  <c r="AH45" i="14" s="1"/>
  <c r="AP45" i="14"/>
  <c r="AG43" i="14"/>
  <c r="AH43" i="14" s="1"/>
  <c r="AF43" i="14"/>
  <c r="AP43" i="14"/>
  <c r="AG41" i="14"/>
  <c r="AH41" i="14" s="1"/>
  <c r="AF41" i="14"/>
  <c r="AP41" i="14"/>
  <c r="AF39" i="14"/>
  <c r="AG39" i="14"/>
  <c r="AH39" i="14" s="1"/>
  <c r="AP39" i="14"/>
  <c r="AG37" i="14"/>
  <c r="AH37" i="14" s="1"/>
  <c r="AF37" i="14"/>
  <c r="AP37" i="14"/>
  <c r="AG35" i="14"/>
  <c r="AH35" i="14" s="1"/>
  <c r="AF35" i="14"/>
  <c r="AP35" i="14"/>
  <c r="AF33" i="14"/>
  <c r="AG33" i="14"/>
  <c r="AH33" i="14" s="1"/>
  <c r="AP33" i="14"/>
  <c r="AF31" i="14"/>
  <c r="AG31" i="14"/>
  <c r="AH31" i="14" s="1"/>
  <c r="AP31" i="14"/>
  <c r="AE126" i="14"/>
  <c r="AF5" i="14"/>
  <c r="AP5" i="14"/>
  <c r="AG5" i="14"/>
  <c r="AF29" i="14"/>
  <c r="AG29" i="14"/>
  <c r="AH29" i="14" s="1"/>
  <c r="AH147" i="14" s="1"/>
  <c r="AP29" i="14"/>
  <c r="AP160" i="14" s="1"/>
  <c r="AG27" i="14"/>
  <c r="AH27" i="14" s="1"/>
  <c r="AF27" i="14"/>
  <c r="AP27" i="14"/>
  <c r="AF25" i="14"/>
  <c r="AG25" i="14"/>
  <c r="AH25" i="14" s="1"/>
  <c r="AP25" i="14"/>
  <c r="AF23" i="14"/>
  <c r="AG23" i="14"/>
  <c r="AH23" i="14" s="1"/>
  <c r="AP23" i="14"/>
  <c r="AF21" i="14"/>
  <c r="AG21" i="14"/>
  <c r="AH21" i="14" s="1"/>
  <c r="AP21" i="14"/>
  <c r="AG19" i="14"/>
  <c r="AH19" i="14" s="1"/>
  <c r="AF19" i="14"/>
  <c r="AP19" i="14"/>
  <c r="AG17" i="14"/>
  <c r="AH17" i="14" s="1"/>
  <c r="AF17" i="14"/>
  <c r="AP17" i="14"/>
  <c r="AG15" i="14"/>
  <c r="AH15" i="14" s="1"/>
  <c r="AF15" i="14"/>
  <c r="AP15" i="14"/>
  <c r="AG13" i="14"/>
  <c r="AH13" i="14" s="1"/>
  <c r="AF13" i="14"/>
  <c r="AP13" i="14"/>
  <c r="AG11" i="14"/>
  <c r="AH11" i="14" s="1"/>
  <c r="AF11" i="14"/>
  <c r="AP11" i="14"/>
  <c r="AG9" i="14"/>
  <c r="AH9" i="14" s="1"/>
  <c r="AF9" i="14"/>
  <c r="AP9" i="14"/>
  <c r="AG7" i="14"/>
  <c r="AH7" i="14" s="1"/>
  <c r="AF7" i="14"/>
  <c r="AP7" i="14"/>
  <c r="AF54" i="14"/>
  <c r="AG54" i="14"/>
  <c r="AH54" i="14" s="1"/>
  <c r="AP54" i="14"/>
  <c r="AG58" i="14"/>
  <c r="AH58" i="14" s="1"/>
  <c r="AF58" i="14"/>
  <c r="AP58" i="14"/>
  <c r="AG62" i="14"/>
  <c r="AH62" i="14" s="1"/>
  <c r="AF62" i="14"/>
  <c r="AP62" i="14"/>
  <c r="AG66" i="14"/>
  <c r="AH66" i="14" s="1"/>
  <c r="AF66" i="14"/>
  <c r="AP66" i="14"/>
  <c r="AG70" i="14"/>
  <c r="AH70" i="14" s="1"/>
  <c r="AF70" i="14"/>
  <c r="AP70" i="14"/>
  <c r="AG74" i="14"/>
  <c r="AH74" i="14" s="1"/>
  <c r="AF74" i="14"/>
  <c r="AP74" i="14"/>
  <c r="AG78" i="14"/>
  <c r="AH78" i="14" s="1"/>
  <c r="AF78" i="14"/>
  <c r="AP78" i="14"/>
  <c r="AP82" i="14"/>
  <c r="AG82" i="14"/>
  <c r="AH82" i="14" s="1"/>
  <c r="AF82" i="14"/>
  <c r="AP86" i="14"/>
  <c r="AG86" i="14"/>
  <c r="AH86" i="14" s="1"/>
  <c r="AF86" i="14"/>
  <c r="AP90" i="14"/>
  <c r="AG90" i="14"/>
  <c r="AH90" i="14" s="1"/>
  <c r="AF90" i="14"/>
  <c r="AP94" i="14"/>
  <c r="AG94" i="14"/>
  <c r="AH94" i="14" s="1"/>
  <c r="AF94" i="14"/>
  <c r="AP98" i="14"/>
  <c r="AG98" i="14"/>
  <c r="AH98" i="14" s="1"/>
  <c r="AF98" i="14"/>
  <c r="AP102" i="14"/>
  <c r="AG102" i="14"/>
  <c r="AH102" i="14" s="1"/>
  <c r="AF102" i="14"/>
  <c r="AP118" i="14"/>
  <c r="AG118" i="14"/>
  <c r="AH118" i="14" s="1"/>
  <c r="AF118" i="14"/>
  <c r="AP122" i="14"/>
  <c r="AG122" i="14"/>
  <c r="AH122" i="14" s="1"/>
  <c r="AF122" i="14"/>
  <c r="AG104" i="14"/>
  <c r="AH104" i="14" s="1"/>
  <c r="AP104" i="14"/>
  <c r="AF104" i="14"/>
  <c r="AG108" i="14"/>
  <c r="AH108" i="14" s="1"/>
  <c r="AF108" i="14"/>
  <c r="AP108" i="14"/>
  <c r="AG112" i="14"/>
  <c r="AH112" i="14" s="1"/>
  <c r="AF112" i="14"/>
  <c r="AP112" i="14"/>
  <c r="AF53" i="14"/>
  <c r="AG53" i="14"/>
  <c r="AH53" i="14" s="1"/>
  <c r="AP53" i="14"/>
  <c r="AP57" i="14"/>
  <c r="AG57" i="14"/>
  <c r="AH57" i="14" s="1"/>
  <c r="AF57" i="14"/>
  <c r="AP61" i="14"/>
  <c r="AG61" i="14"/>
  <c r="AH61" i="14" s="1"/>
  <c r="AF61" i="14"/>
  <c r="AP65" i="14"/>
  <c r="AG65" i="14"/>
  <c r="AH65" i="14" s="1"/>
  <c r="AF65" i="14"/>
  <c r="AP69" i="14"/>
  <c r="AG69" i="14"/>
  <c r="AH69" i="14" s="1"/>
  <c r="AF69" i="14"/>
  <c r="AP73" i="14"/>
  <c r="AG73" i="14"/>
  <c r="AH73" i="14" s="1"/>
  <c r="AF73" i="14"/>
  <c r="AP77" i="14"/>
  <c r="AG77" i="14"/>
  <c r="AH77" i="14" s="1"/>
  <c r="AF77" i="14"/>
  <c r="AF81" i="14"/>
  <c r="AP81" i="14"/>
  <c r="AG81" i="14"/>
  <c r="AH81" i="14" s="1"/>
  <c r="AF85" i="14"/>
  <c r="AP85" i="14"/>
  <c r="AG85" i="14"/>
  <c r="AH85" i="14" s="1"/>
  <c r="AF89" i="14"/>
  <c r="AP89" i="14"/>
  <c r="AG89" i="14"/>
  <c r="AH89" i="14" s="1"/>
  <c r="AF93" i="14"/>
  <c r="AP93" i="14"/>
  <c r="AG93" i="14"/>
  <c r="AH93" i="14" s="1"/>
  <c r="AF97" i="14"/>
  <c r="AP97" i="14"/>
  <c r="AG97" i="14"/>
  <c r="AH97" i="14" s="1"/>
  <c r="AF101" i="14"/>
  <c r="AP101" i="14"/>
  <c r="AG101" i="14"/>
  <c r="AH101" i="14" s="1"/>
  <c r="AF117" i="14"/>
  <c r="AP117" i="14"/>
  <c r="AG117" i="14"/>
  <c r="AH117" i="14" s="1"/>
  <c r="AF121" i="14"/>
  <c r="AP121" i="14"/>
  <c r="AG121" i="14"/>
  <c r="AH121" i="14" s="1"/>
  <c r="AF125" i="14"/>
  <c r="AP125" i="14"/>
  <c r="AG125" i="14"/>
  <c r="AH125" i="14" s="1"/>
  <c r="AP107" i="14"/>
  <c r="AG107" i="14"/>
  <c r="AH107" i="14" s="1"/>
  <c r="AF107" i="14"/>
  <c r="AP111" i="14"/>
  <c r="AG111" i="14"/>
  <c r="AH111" i="14" s="1"/>
  <c r="AF111" i="14"/>
  <c r="AP115" i="14"/>
  <c r="AG115" i="14"/>
  <c r="AH115" i="14" s="1"/>
  <c r="AF115" i="14"/>
  <c r="AN94" i="14"/>
  <c r="AX94" i="14"/>
  <c r="AN92" i="14"/>
  <c r="AX92" i="14"/>
  <c r="AN125" i="14"/>
  <c r="AX125" i="14"/>
  <c r="AN81" i="14"/>
  <c r="AX81" i="14"/>
  <c r="AN77" i="14"/>
  <c r="AX77" i="14"/>
  <c r="AN73" i="14"/>
  <c r="AX73" i="14"/>
  <c r="AN57" i="14"/>
  <c r="AX57" i="14"/>
  <c r="AN120" i="14"/>
  <c r="AX120" i="14"/>
  <c r="AN58" i="14"/>
  <c r="AX58" i="14"/>
  <c r="AN87" i="14"/>
  <c r="AX87" i="14"/>
  <c r="AN83" i="14"/>
  <c r="AX83" i="14"/>
  <c r="AN79" i="14"/>
  <c r="AX79" i="14"/>
  <c r="AN63" i="14"/>
  <c r="AX63" i="14"/>
  <c r="AN90" i="14"/>
  <c r="AX90" i="14"/>
  <c r="AN82" i="14"/>
  <c r="AX82" i="14"/>
  <c r="AN53" i="14"/>
  <c r="AX53" i="14"/>
  <c r="AN46" i="14"/>
  <c r="AX46" i="14"/>
  <c r="AN51" i="14"/>
  <c r="AX51" i="14"/>
  <c r="AN45" i="14"/>
  <c r="AX45" i="14"/>
  <c r="AN41" i="14"/>
  <c r="AX41" i="14"/>
  <c r="AN37" i="14"/>
  <c r="AX37" i="14"/>
  <c r="BB37" i="14" s="1"/>
  <c r="AN33" i="14"/>
  <c r="AX33" i="14"/>
  <c r="AN44" i="14"/>
  <c r="AX44" i="14"/>
  <c r="AN40" i="14"/>
  <c r="AX40" i="14"/>
  <c r="AN42" i="14"/>
  <c r="AX42" i="14"/>
  <c r="BB42" i="14" s="1"/>
  <c r="AN50" i="14"/>
  <c r="AX50" i="14"/>
  <c r="AN54" i="14"/>
  <c r="AX54" i="14"/>
  <c r="AN48" i="14"/>
  <c r="AX48" i="14"/>
  <c r="AN34" i="14"/>
  <c r="AX34" i="14"/>
  <c r="AN38" i="14"/>
  <c r="AX38" i="14"/>
  <c r="AN47" i="14"/>
  <c r="AX47" i="14"/>
  <c r="AN36" i="14"/>
  <c r="AX36" i="14"/>
  <c r="AN43" i="14"/>
  <c r="AX43" i="14"/>
  <c r="BB43" i="14" s="1"/>
  <c r="AN39" i="14"/>
  <c r="AX39" i="14"/>
  <c r="BB39" i="14" s="1"/>
  <c r="AN35" i="14"/>
  <c r="AX35" i="14"/>
  <c r="AN31" i="14"/>
  <c r="AX31" i="14"/>
  <c r="AN49" i="14"/>
  <c r="AX49" i="14"/>
  <c r="BB49" i="14" s="1"/>
  <c r="AN55" i="14"/>
  <c r="AX55" i="14"/>
  <c r="AN52" i="14"/>
  <c r="AX52" i="14"/>
  <c r="BB52" i="14" s="1"/>
  <c r="AN32" i="14"/>
  <c r="AX32" i="14"/>
  <c r="AQ156" i="14"/>
  <c r="AN7" i="14"/>
  <c r="AX7" i="14"/>
  <c r="AL143" i="14"/>
  <c r="AL151" i="14" s="1"/>
  <c r="BB7" i="14"/>
  <c r="AK138" i="14"/>
  <c r="AN27" i="14"/>
  <c r="AX27" i="14"/>
  <c r="BB27" i="14" s="1"/>
  <c r="AN23" i="14"/>
  <c r="AX23" i="14"/>
  <c r="BB23" i="14" s="1"/>
  <c r="AN19" i="14"/>
  <c r="AX19" i="14"/>
  <c r="BB19" i="14" s="1"/>
  <c r="AN15" i="14"/>
  <c r="AX15" i="14"/>
  <c r="BB15" i="14" s="1"/>
  <c r="AN11" i="14"/>
  <c r="AX11" i="14"/>
  <c r="BB11" i="14" s="1"/>
  <c r="AN12" i="14"/>
  <c r="AX12" i="14"/>
  <c r="AN20" i="14"/>
  <c r="AX20" i="14"/>
  <c r="AN28" i="14"/>
  <c r="AN147" i="14" s="1"/>
  <c r="AM147" i="14" s="1"/>
  <c r="AX28" i="14"/>
  <c r="AX134" i="14" s="1"/>
  <c r="AN10" i="14"/>
  <c r="AX10" i="14"/>
  <c r="AN14" i="14"/>
  <c r="AX14" i="14"/>
  <c r="BB14" i="14" s="1"/>
  <c r="AN18" i="14"/>
  <c r="AX18" i="14"/>
  <c r="BB18" i="14" s="1"/>
  <c r="AK182" i="14"/>
  <c r="AK177" i="14"/>
  <c r="AQ126" i="14"/>
  <c r="AO126" i="14"/>
  <c r="AN29" i="14"/>
  <c r="AX29" i="14"/>
  <c r="AN25" i="14"/>
  <c r="AX25" i="14"/>
  <c r="AN21" i="14"/>
  <c r="AX21" i="14"/>
  <c r="AN17" i="14"/>
  <c r="AX17" i="14"/>
  <c r="BB17" i="14" s="1"/>
  <c r="AN13" i="14"/>
  <c r="AX13" i="14"/>
  <c r="AN9" i="14"/>
  <c r="AX9" i="14"/>
  <c r="BB9" i="14" s="1"/>
  <c r="AN22" i="14"/>
  <c r="AX22" i="14"/>
  <c r="AN26" i="14"/>
  <c r="AX26" i="14"/>
  <c r="AL126" i="14"/>
  <c r="AJ126" i="14"/>
  <c r="AK176" i="14" s="1"/>
  <c r="AN8" i="14"/>
  <c r="AM126" i="14"/>
  <c r="AX8" i="14"/>
  <c r="AN16" i="14"/>
  <c r="AX16" i="14"/>
  <c r="AN24" i="14"/>
  <c r="AX24" i="14"/>
  <c r="BB24" i="14" s="1"/>
  <c r="AA143" i="14"/>
  <c r="E23" i="17"/>
  <c r="D25" i="17"/>
  <c r="E24" i="17"/>
  <c r="E25" i="17" s="1"/>
  <c r="W183" i="14"/>
  <c r="C27" i="17"/>
  <c r="C28" i="17" s="1"/>
  <c r="W181" i="14"/>
  <c r="C24" i="17"/>
  <c r="C25" i="17" s="1"/>
  <c r="AA126" i="14"/>
  <c r="AA147" i="14"/>
  <c r="R126" i="14"/>
  <c r="T5" i="14"/>
  <c r="S5" i="14"/>
  <c r="AC5" i="14"/>
  <c r="T7" i="14"/>
  <c r="U7" i="14" s="1"/>
  <c r="S7" i="14"/>
  <c r="AC7" i="14"/>
  <c r="T9" i="14"/>
  <c r="U9" i="14" s="1"/>
  <c r="AC9" i="14"/>
  <c r="S9" i="14"/>
  <c r="T11" i="14"/>
  <c r="U11" i="14" s="1"/>
  <c r="AC11" i="14"/>
  <c r="S11" i="14"/>
  <c r="T13" i="14"/>
  <c r="U13" i="14" s="1"/>
  <c r="AC13" i="14"/>
  <c r="S13" i="14"/>
  <c r="T15" i="14"/>
  <c r="U15" i="14" s="1"/>
  <c r="AC15" i="14"/>
  <c r="S15" i="14"/>
  <c r="T17" i="14"/>
  <c r="U17" i="14" s="1"/>
  <c r="AC17" i="14"/>
  <c r="S17" i="14"/>
  <c r="T19" i="14"/>
  <c r="U19" i="14" s="1"/>
  <c r="AC19" i="14"/>
  <c r="S19" i="14"/>
  <c r="T21" i="14"/>
  <c r="U21" i="14" s="1"/>
  <c r="AC21" i="14"/>
  <c r="S21" i="14"/>
  <c r="T23" i="14"/>
  <c r="U23" i="14" s="1"/>
  <c r="AC23" i="14"/>
  <c r="S23" i="14"/>
  <c r="T25" i="14"/>
  <c r="U25" i="14" s="1"/>
  <c r="AC25" i="14"/>
  <c r="S25" i="14"/>
  <c r="T27" i="14"/>
  <c r="U27" i="14" s="1"/>
  <c r="AC27" i="14"/>
  <c r="S27" i="14"/>
  <c r="T29" i="14"/>
  <c r="U29" i="14" s="1"/>
  <c r="AC29" i="14"/>
  <c r="S29" i="14"/>
  <c r="T31" i="14"/>
  <c r="U31" i="14" s="1"/>
  <c r="AC31" i="14"/>
  <c r="S31" i="14"/>
  <c r="T33" i="14"/>
  <c r="U33" i="14" s="1"/>
  <c r="AC33" i="14"/>
  <c r="S33" i="14"/>
  <c r="T35" i="14"/>
  <c r="U35" i="14" s="1"/>
  <c r="AC35" i="14"/>
  <c r="S35" i="14"/>
  <c r="T37" i="14"/>
  <c r="U37" i="14" s="1"/>
  <c r="AC37" i="14"/>
  <c r="S37" i="14"/>
  <c r="T39" i="14"/>
  <c r="U39" i="14" s="1"/>
  <c r="AC39" i="14"/>
  <c r="S39" i="14"/>
  <c r="T41" i="14"/>
  <c r="U41" i="14" s="1"/>
  <c r="AC41" i="14"/>
  <c r="S41" i="14"/>
  <c r="T43" i="14"/>
  <c r="U43" i="14" s="1"/>
  <c r="AC43" i="14"/>
  <c r="S43" i="14"/>
  <c r="T45" i="14"/>
  <c r="U45" i="14" s="1"/>
  <c r="AC45" i="14"/>
  <c r="S45" i="14"/>
  <c r="AC47" i="14"/>
  <c r="S47" i="14"/>
  <c r="T47" i="14"/>
  <c r="U47" i="14" s="1"/>
  <c r="AC49" i="14"/>
  <c r="S49" i="14"/>
  <c r="T49" i="14"/>
  <c r="U49" i="14" s="1"/>
  <c r="AC51" i="14"/>
  <c r="S51" i="14"/>
  <c r="T51" i="14"/>
  <c r="U51" i="14" s="1"/>
  <c r="AC53" i="14"/>
  <c r="S53" i="14"/>
  <c r="T53" i="14"/>
  <c r="U53" i="14" s="1"/>
  <c r="AC55" i="14"/>
  <c r="S55" i="14"/>
  <c r="T55" i="14"/>
  <c r="U55" i="14" s="1"/>
  <c r="AC57" i="14"/>
  <c r="S57" i="14"/>
  <c r="T57" i="14"/>
  <c r="U57" i="14" s="1"/>
  <c r="AC59" i="14"/>
  <c r="S59" i="14"/>
  <c r="T59" i="14"/>
  <c r="U59" i="14" s="1"/>
  <c r="AC61" i="14"/>
  <c r="S61" i="14"/>
  <c r="T61" i="14"/>
  <c r="U61" i="14" s="1"/>
  <c r="AC63" i="14"/>
  <c r="S63" i="14"/>
  <c r="T63" i="14"/>
  <c r="U63" i="14" s="1"/>
  <c r="AC65" i="14"/>
  <c r="S65" i="14"/>
  <c r="T65" i="14"/>
  <c r="U65" i="14" s="1"/>
  <c r="AC67" i="14"/>
  <c r="S67" i="14"/>
  <c r="T67" i="14"/>
  <c r="U67" i="14" s="1"/>
  <c r="AC69" i="14"/>
  <c r="S69" i="14"/>
  <c r="T69" i="14"/>
  <c r="U69" i="14" s="1"/>
  <c r="T71" i="14"/>
  <c r="U71" i="14" s="1"/>
  <c r="S71" i="14"/>
  <c r="AC71" i="14"/>
  <c r="T73" i="14"/>
  <c r="U73" i="14" s="1"/>
  <c r="S73" i="14"/>
  <c r="AC73" i="14"/>
  <c r="T75" i="14"/>
  <c r="U75" i="14" s="1"/>
  <c r="S75" i="14"/>
  <c r="AC75" i="14"/>
  <c r="T77" i="14"/>
  <c r="U77" i="14" s="1"/>
  <c r="S77" i="14"/>
  <c r="AC77" i="14"/>
  <c r="T79" i="14"/>
  <c r="U79" i="14" s="1"/>
  <c r="AC79" i="14"/>
  <c r="S79" i="14"/>
  <c r="T81" i="14"/>
  <c r="U81" i="14" s="1"/>
  <c r="AC81" i="14"/>
  <c r="S81" i="14"/>
  <c r="T83" i="14"/>
  <c r="U83" i="14" s="1"/>
  <c r="AC83" i="14"/>
  <c r="S83" i="14"/>
  <c r="T85" i="14"/>
  <c r="U85" i="14" s="1"/>
  <c r="AC85" i="14"/>
  <c r="S85" i="14"/>
  <c r="T87" i="14"/>
  <c r="U87" i="14" s="1"/>
  <c r="AC87" i="14"/>
  <c r="S87" i="14"/>
  <c r="T89" i="14"/>
  <c r="U89" i="14" s="1"/>
  <c r="AC89" i="14"/>
  <c r="S89" i="14"/>
  <c r="T91" i="14"/>
  <c r="U91" i="14" s="1"/>
  <c r="AC91" i="14"/>
  <c r="S91" i="14"/>
  <c r="T93" i="14"/>
  <c r="U93" i="14" s="1"/>
  <c r="AC93" i="14"/>
  <c r="S93" i="14"/>
  <c r="T95" i="14"/>
  <c r="U95" i="14" s="1"/>
  <c r="AC95" i="14"/>
  <c r="S95" i="14"/>
  <c r="T97" i="14"/>
  <c r="U97" i="14" s="1"/>
  <c r="AC97" i="14"/>
  <c r="S97" i="14"/>
  <c r="T99" i="14"/>
  <c r="U99" i="14" s="1"/>
  <c r="AC99" i="14"/>
  <c r="T101" i="14"/>
  <c r="U101" i="14" s="1"/>
  <c r="AC101" i="14"/>
  <c r="T103" i="14"/>
  <c r="U103" i="14" s="1"/>
  <c r="AC103" i="14"/>
  <c r="S103" i="14"/>
  <c r="T105" i="14"/>
  <c r="T107" i="14"/>
  <c r="T109" i="14"/>
  <c r="U109" i="14" s="1"/>
  <c r="AC109" i="14"/>
  <c r="S109" i="14"/>
  <c r="T111" i="14"/>
  <c r="U111" i="14" s="1"/>
  <c r="AC111" i="14"/>
  <c r="S111" i="14"/>
  <c r="T113" i="14"/>
  <c r="U113" i="14" s="1"/>
  <c r="AC113" i="14"/>
  <c r="S113" i="14"/>
  <c r="T115" i="14"/>
  <c r="U115" i="14" s="1"/>
  <c r="AC115" i="14"/>
  <c r="S115" i="14"/>
  <c r="T117" i="14"/>
  <c r="U117" i="14" s="1"/>
  <c r="AC117" i="14"/>
  <c r="S117" i="14"/>
  <c r="T119" i="14"/>
  <c r="U119" i="14" s="1"/>
  <c r="AC119" i="14"/>
  <c r="S119" i="14"/>
  <c r="T121" i="14"/>
  <c r="U121" i="14" s="1"/>
  <c r="AC121" i="14"/>
  <c r="S121" i="14"/>
  <c r="T123" i="14"/>
  <c r="U123" i="14" s="1"/>
  <c r="AC123" i="14"/>
  <c r="S123" i="14"/>
  <c r="T125" i="14"/>
  <c r="U125" i="14" s="1"/>
  <c r="AC125" i="14"/>
  <c r="S125" i="14"/>
  <c r="X178" i="14"/>
  <c r="C71" i="10" s="1"/>
  <c r="AD164" i="14"/>
  <c r="T6" i="14"/>
  <c r="U6" i="14" s="1"/>
  <c r="S6" i="14"/>
  <c r="AC6" i="14"/>
  <c r="T8" i="14"/>
  <c r="U8" i="14" s="1"/>
  <c r="AC8" i="14"/>
  <c r="S8" i="14"/>
  <c r="T10" i="14"/>
  <c r="U10" i="14" s="1"/>
  <c r="AC10" i="14"/>
  <c r="S10" i="14"/>
  <c r="T12" i="14"/>
  <c r="U12" i="14" s="1"/>
  <c r="AC12" i="14"/>
  <c r="S12" i="14"/>
  <c r="T14" i="14"/>
  <c r="U14" i="14" s="1"/>
  <c r="AC14" i="14"/>
  <c r="S14" i="14"/>
  <c r="T16" i="14"/>
  <c r="U16" i="14" s="1"/>
  <c r="AC16" i="14"/>
  <c r="S16" i="14"/>
  <c r="T18" i="14"/>
  <c r="U18" i="14" s="1"/>
  <c r="AC18" i="14"/>
  <c r="S18" i="14"/>
  <c r="T20" i="14"/>
  <c r="U20" i="14" s="1"/>
  <c r="AC20" i="14"/>
  <c r="S20" i="14"/>
  <c r="T22" i="14"/>
  <c r="U22" i="14" s="1"/>
  <c r="AC22" i="14"/>
  <c r="S22" i="14"/>
  <c r="T24" i="14"/>
  <c r="U24" i="14" s="1"/>
  <c r="AC24" i="14"/>
  <c r="S24" i="14"/>
  <c r="T26" i="14"/>
  <c r="U26" i="14" s="1"/>
  <c r="AC26" i="14"/>
  <c r="S26" i="14"/>
  <c r="T28" i="14"/>
  <c r="U28" i="14" s="1"/>
  <c r="AC28" i="14"/>
  <c r="S28" i="14"/>
  <c r="T30" i="14"/>
  <c r="U30" i="14" s="1"/>
  <c r="AC30" i="14"/>
  <c r="S30" i="14"/>
  <c r="T32" i="14"/>
  <c r="U32" i="14" s="1"/>
  <c r="AC32" i="14"/>
  <c r="S32" i="14"/>
  <c r="T34" i="14"/>
  <c r="U34" i="14" s="1"/>
  <c r="AC34" i="14"/>
  <c r="S34" i="14"/>
  <c r="T36" i="14"/>
  <c r="U36" i="14" s="1"/>
  <c r="AC36" i="14"/>
  <c r="S36" i="14"/>
  <c r="T38" i="14"/>
  <c r="U38" i="14" s="1"/>
  <c r="AC38" i="14"/>
  <c r="S38" i="14"/>
  <c r="T40" i="14"/>
  <c r="U40" i="14" s="1"/>
  <c r="AC40" i="14"/>
  <c r="S40" i="14"/>
  <c r="T42" i="14"/>
  <c r="U42" i="14" s="1"/>
  <c r="AC42" i="14"/>
  <c r="S42" i="14"/>
  <c r="T44" i="14"/>
  <c r="U44" i="14" s="1"/>
  <c r="AC44" i="14"/>
  <c r="S44" i="14"/>
  <c r="AC46" i="14"/>
  <c r="S46" i="14"/>
  <c r="T46" i="14"/>
  <c r="U46" i="14" s="1"/>
  <c r="AC48" i="14"/>
  <c r="S48" i="14"/>
  <c r="T48" i="14"/>
  <c r="U48" i="14" s="1"/>
  <c r="AC50" i="14"/>
  <c r="S50" i="14"/>
  <c r="T50" i="14"/>
  <c r="U50" i="14" s="1"/>
  <c r="AC52" i="14"/>
  <c r="S52" i="14"/>
  <c r="T52" i="14"/>
  <c r="U52" i="14" s="1"/>
  <c r="AC54" i="14"/>
  <c r="S54" i="14"/>
  <c r="T54" i="14"/>
  <c r="U54" i="14" s="1"/>
  <c r="AC56" i="14"/>
  <c r="S56" i="14"/>
  <c r="T56" i="14"/>
  <c r="U56" i="14" s="1"/>
  <c r="AC58" i="14"/>
  <c r="S58" i="14"/>
  <c r="T58" i="14"/>
  <c r="U58" i="14" s="1"/>
  <c r="AC60" i="14"/>
  <c r="S60" i="14"/>
  <c r="T60" i="14"/>
  <c r="U60" i="14" s="1"/>
  <c r="AC62" i="14"/>
  <c r="S62" i="14"/>
  <c r="T62" i="14"/>
  <c r="U62" i="14" s="1"/>
  <c r="AC64" i="14"/>
  <c r="S64" i="14"/>
  <c r="T64" i="14"/>
  <c r="U64" i="14" s="1"/>
  <c r="AC66" i="14"/>
  <c r="S66" i="14"/>
  <c r="T66" i="14"/>
  <c r="U66" i="14" s="1"/>
  <c r="AC68" i="14"/>
  <c r="S68" i="14"/>
  <c r="T68" i="14"/>
  <c r="U68" i="14" s="1"/>
  <c r="T70" i="14"/>
  <c r="U70" i="14" s="1"/>
  <c r="S70" i="14"/>
  <c r="AC70" i="14"/>
  <c r="T72" i="14"/>
  <c r="U72" i="14" s="1"/>
  <c r="S72" i="14"/>
  <c r="AC72" i="14"/>
  <c r="T74" i="14"/>
  <c r="U74" i="14" s="1"/>
  <c r="S74" i="14"/>
  <c r="AC74" i="14"/>
  <c r="T76" i="14"/>
  <c r="U76" i="14" s="1"/>
  <c r="S76" i="14"/>
  <c r="AC76" i="14"/>
  <c r="T78" i="14"/>
  <c r="U78" i="14" s="1"/>
  <c r="S78" i="14"/>
  <c r="AC78" i="14"/>
  <c r="T80" i="14"/>
  <c r="U80" i="14" s="1"/>
  <c r="AC80" i="14"/>
  <c r="S80" i="14"/>
  <c r="T82" i="14"/>
  <c r="U82" i="14" s="1"/>
  <c r="AC82" i="14"/>
  <c r="S82" i="14"/>
  <c r="T84" i="14"/>
  <c r="U84" i="14" s="1"/>
  <c r="AC84" i="14"/>
  <c r="S84" i="14"/>
  <c r="T86" i="14"/>
  <c r="U86" i="14" s="1"/>
  <c r="AC86" i="14"/>
  <c r="S86" i="14"/>
  <c r="T88" i="14"/>
  <c r="U88" i="14" s="1"/>
  <c r="AC88" i="14"/>
  <c r="S88" i="14"/>
  <c r="T90" i="14"/>
  <c r="U90" i="14" s="1"/>
  <c r="AC90" i="14"/>
  <c r="S90" i="14"/>
  <c r="T92" i="14"/>
  <c r="U92" i="14" s="1"/>
  <c r="AC92" i="14"/>
  <c r="S92" i="14"/>
  <c r="T94" i="14"/>
  <c r="U94" i="14" s="1"/>
  <c r="AC94" i="14"/>
  <c r="S94" i="14"/>
  <c r="T96" i="14"/>
  <c r="U96" i="14" s="1"/>
  <c r="AC96" i="14"/>
  <c r="S96" i="14"/>
  <c r="T98" i="14"/>
  <c r="U98" i="14" s="1"/>
  <c r="AC98" i="14"/>
  <c r="T100" i="14"/>
  <c r="U100" i="14" s="1"/>
  <c r="AC100" i="14"/>
  <c r="T102" i="14"/>
  <c r="U102" i="14" s="1"/>
  <c r="AC102" i="14"/>
  <c r="T104" i="14"/>
  <c r="T106" i="14"/>
  <c r="T108" i="14"/>
  <c r="AC110" i="14"/>
  <c r="T110" i="14"/>
  <c r="U110" i="14" s="1"/>
  <c r="S110" i="14"/>
  <c r="T112" i="14"/>
  <c r="U112" i="14" s="1"/>
  <c r="AC112" i="14"/>
  <c r="S112" i="14"/>
  <c r="T114" i="14"/>
  <c r="U114" i="14" s="1"/>
  <c r="AC114" i="14"/>
  <c r="S114" i="14"/>
  <c r="T116" i="14"/>
  <c r="U116" i="14" s="1"/>
  <c r="AC116" i="14"/>
  <c r="S116" i="14"/>
  <c r="T118" i="14"/>
  <c r="U118" i="14" s="1"/>
  <c r="AC118" i="14"/>
  <c r="S118" i="14"/>
  <c r="T120" i="14"/>
  <c r="U120" i="14" s="1"/>
  <c r="AC120" i="14"/>
  <c r="S120" i="14"/>
  <c r="T122" i="14"/>
  <c r="U122" i="14" s="1"/>
  <c r="AC122" i="14"/>
  <c r="S122" i="14"/>
  <c r="T124" i="14"/>
  <c r="U124" i="14" s="1"/>
  <c r="AC124" i="14"/>
  <c r="S124" i="14"/>
  <c r="X175" i="14"/>
  <c r="Y151" i="14"/>
  <c r="V141" i="12"/>
  <c r="F23" i="17" l="1"/>
  <c r="BA95" i="14"/>
  <c r="BK95" i="14"/>
  <c r="AA151" i="14"/>
  <c r="BV126" i="14"/>
  <c r="BX180" i="14" s="1"/>
  <c r="BA93" i="14"/>
  <c r="BK93" i="14"/>
  <c r="AY82" i="14"/>
  <c r="AW82" i="14"/>
  <c r="BD82" i="14"/>
  <c r="AZ82" i="14"/>
  <c r="AY90" i="14"/>
  <c r="AW90" i="14"/>
  <c r="BD90" i="14"/>
  <c r="AZ90" i="14"/>
  <c r="AY63" i="14"/>
  <c r="AW63" i="14"/>
  <c r="BD63" i="14"/>
  <c r="AZ63" i="14"/>
  <c r="AY79" i="14"/>
  <c r="AW79" i="14"/>
  <c r="BD79" i="14"/>
  <c r="AZ79" i="14"/>
  <c r="AY83" i="14"/>
  <c r="AW83" i="14"/>
  <c r="BD83" i="14"/>
  <c r="AZ83" i="14"/>
  <c r="AY87" i="14"/>
  <c r="AW87" i="14"/>
  <c r="BD87" i="14"/>
  <c r="AZ87" i="14"/>
  <c r="AY58" i="14"/>
  <c r="AW58" i="14"/>
  <c r="AZ58" i="14"/>
  <c r="BD58" i="14"/>
  <c r="AY120" i="14"/>
  <c r="AW120" i="14"/>
  <c r="AZ120" i="14"/>
  <c r="BD120" i="14"/>
  <c r="AY57" i="14"/>
  <c r="AW57" i="14"/>
  <c r="AZ57" i="14"/>
  <c r="BD57" i="14"/>
  <c r="AY73" i="14"/>
  <c r="AW73" i="14"/>
  <c r="AZ73" i="14"/>
  <c r="BD73" i="14"/>
  <c r="AY77" i="14"/>
  <c r="AW77" i="14"/>
  <c r="AZ77" i="14"/>
  <c r="BD77" i="14"/>
  <c r="AY81" i="14"/>
  <c r="AW81" i="14"/>
  <c r="AZ81" i="14"/>
  <c r="BD81" i="14"/>
  <c r="AW125" i="14"/>
  <c r="AY125" i="14"/>
  <c r="AZ125" i="14"/>
  <c r="BD125" i="14"/>
  <c r="AY92" i="14"/>
  <c r="AW92" i="14"/>
  <c r="AZ92" i="14"/>
  <c r="BD92" i="14"/>
  <c r="AY94" i="14"/>
  <c r="AW94" i="14"/>
  <c r="BD94" i="14"/>
  <c r="AZ94" i="14"/>
  <c r="AP126" i="14"/>
  <c r="AY102" i="14"/>
  <c r="AW102" i="14"/>
  <c r="BD102" i="14"/>
  <c r="AZ102" i="14"/>
  <c r="AY98" i="14"/>
  <c r="AW98" i="14"/>
  <c r="BD98" i="14"/>
  <c r="AZ98" i="14"/>
  <c r="AY101" i="14"/>
  <c r="AW101" i="14"/>
  <c r="AZ101" i="14"/>
  <c r="BD101" i="14"/>
  <c r="AY99" i="14"/>
  <c r="AW99" i="14"/>
  <c r="BD99" i="14"/>
  <c r="AZ99" i="14"/>
  <c r="AY64" i="14"/>
  <c r="AW64" i="14"/>
  <c r="BD64" i="14"/>
  <c r="AZ64" i="14"/>
  <c r="BB64" i="14"/>
  <c r="AY75" i="14"/>
  <c r="AW75" i="14"/>
  <c r="BD75" i="14"/>
  <c r="AZ75" i="14"/>
  <c r="BB75" i="14"/>
  <c r="BB83" i="14"/>
  <c r="AY62" i="14"/>
  <c r="AW62" i="14"/>
  <c r="AZ62" i="14"/>
  <c r="BD62" i="14"/>
  <c r="BB62" i="14"/>
  <c r="AY124" i="14"/>
  <c r="AW124" i="14"/>
  <c r="AZ124" i="14"/>
  <c r="BD124" i="14"/>
  <c r="BB124" i="14"/>
  <c r="BB57" i="14"/>
  <c r="BB81" i="14"/>
  <c r="BV130" i="14"/>
  <c r="BV156" i="14"/>
  <c r="CI115" i="14"/>
  <c r="CI113" i="14"/>
  <c r="CI111" i="14"/>
  <c r="CI109" i="14"/>
  <c r="CI107" i="14"/>
  <c r="CI105" i="14"/>
  <c r="CI103" i="14"/>
  <c r="CI124" i="14"/>
  <c r="CI122" i="14"/>
  <c r="CI120" i="14"/>
  <c r="CI118" i="14"/>
  <c r="CI116" i="14"/>
  <c r="CI101" i="14"/>
  <c r="CI99" i="14"/>
  <c r="CI97" i="14"/>
  <c r="CI95" i="14"/>
  <c r="CI93" i="14"/>
  <c r="CI91" i="14"/>
  <c r="CI89" i="14"/>
  <c r="CI87" i="14"/>
  <c r="CI85" i="14"/>
  <c r="CI83" i="14"/>
  <c r="CI81" i="14"/>
  <c r="CI79" i="14"/>
  <c r="CI77" i="14"/>
  <c r="CI75" i="14"/>
  <c r="CI73" i="14"/>
  <c r="CI71" i="14"/>
  <c r="CI69" i="14"/>
  <c r="CI67" i="14"/>
  <c r="CI65" i="14"/>
  <c r="CI63" i="14"/>
  <c r="CI61" i="14"/>
  <c r="CI59" i="14"/>
  <c r="CI57" i="14"/>
  <c r="CI55" i="14"/>
  <c r="CI53" i="14"/>
  <c r="CZ4" i="14"/>
  <c r="CN4" i="14"/>
  <c r="CI50" i="14"/>
  <c r="CI48" i="14"/>
  <c r="CI46" i="14"/>
  <c r="CI44" i="14"/>
  <c r="CI42" i="14"/>
  <c r="CI40" i="14"/>
  <c r="CI38" i="14"/>
  <c r="CI36" i="14"/>
  <c r="CI34" i="14"/>
  <c r="CI32" i="14"/>
  <c r="CI30" i="14"/>
  <c r="CI28" i="14"/>
  <c r="CI26" i="14"/>
  <c r="CI24" i="14"/>
  <c r="CI22" i="14"/>
  <c r="CI20" i="14"/>
  <c r="CI18" i="14"/>
  <c r="CI16" i="14"/>
  <c r="CI14" i="14"/>
  <c r="CI12" i="14"/>
  <c r="CI10" i="14"/>
  <c r="CI8" i="14"/>
  <c r="CI6" i="14"/>
  <c r="CQ4" i="14"/>
  <c r="CK4" i="14"/>
  <c r="CI114" i="14"/>
  <c r="CI112" i="14"/>
  <c r="CI110" i="14"/>
  <c r="CI108" i="14"/>
  <c r="CI106" i="14"/>
  <c r="CI104" i="14"/>
  <c r="CI125" i="14"/>
  <c r="CI123" i="14"/>
  <c r="CI121" i="14"/>
  <c r="CI119" i="14"/>
  <c r="CI117" i="14"/>
  <c r="CI102" i="14"/>
  <c r="CI100" i="14"/>
  <c r="CI98" i="14"/>
  <c r="CI96" i="14"/>
  <c r="CI94" i="14"/>
  <c r="CI92" i="14"/>
  <c r="CI90" i="14"/>
  <c r="CI88" i="14"/>
  <c r="CI86" i="14"/>
  <c r="CI84" i="14"/>
  <c r="CI82" i="14"/>
  <c r="CI80" i="14"/>
  <c r="CI78" i="14"/>
  <c r="CI76" i="14"/>
  <c r="CI74" i="14"/>
  <c r="CI72" i="14"/>
  <c r="CI70" i="14"/>
  <c r="CI68" i="14"/>
  <c r="CI66" i="14"/>
  <c r="CI64" i="14"/>
  <c r="CI62" i="14"/>
  <c r="CI60" i="14"/>
  <c r="CI58" i="14"/>
  <c r="CI56" i="14"/>
  <c r="CI54" i="14"/>
  <c r="CI52" i="14"/>
  <c r="CP4" i="14"/>
  <c r="CI51" i="14"/>
  <c r="CI49" i="14"/>
  <c r="CI47" i="14"/>
  <c r="CI45" i="14"/>
  <c r="CI43" i="14"/>
  <c r="CI41" i="14"/>
  <c r="CI39" i="14"/>
  <c r="CI37" i="14"/>
  <c r="CI35" i="14"/>
  <c r="CI33" i="14"/>
  <c r="CI31" i="14"/>
  <c r="CI29" i="14"/>
  <c r="CI27" i="14"/>
  <c r="CI25" i="14"/>
  <c r="CI23" i="14"/>
  <c r="CI21" i="14"/>
  <c r="CI19" i="14"/>
  <c r="CI17" i="14"/>
  <c r="CI15" i="14"/>
  <c r="CI13" i="14"/>
  <c r="CI11" i="14"/>
  <c r="CI9" i="14"/>
  <c r="CI7" i="14"/>
  <c r="CI5" i="14"/>
  <c r="CO4" i="14"/>
  <c r="CI4" i="14"/>
  <c r="CJ4" i="14" s="1"/>
  <c r="BB102" i="14"/>
  <c r="AN96" i="14"/>
  <c r="AX96" i="14"/>
  <c r="AH143" i="14"/>
  <c r="AH151" i="14" s="1"/>
  <c r="AS8" i="14"/>
  <c r="AT8" i="14"/>
  <c r="AU8" i="14" s="1"/>
  <c r="BC8" i="14"/>
  <c r="AS12" i="14"/>
  <c r="AT12" i="14"/>
  <c r="AU12" i="14" s="1"/>
  <c r="BC12" i="14"/>
  <c r="AS16" i="14"/>
  <c r="AT16" i="14"/>
  <c r="AU16" i="14" s="1"/>
  <c r="BC16" i="14"/>
  <c r="AS20" i="14"/>
  <c r="AT20" i="14"/>
  <c r="AU20" i="14" s="1"/>
  <c r="BC20" i="14"/>
  <c r="AS24" i="14"/>
  <c r="AT24" i="14"/>
  <c r="AU24" i="14" s="1"/>
  <c r="BC24" i="14"/>
  <c r="AS28" i="14"/>
  <c r="AS147" i="14" s="1"/>
  <c r="AT28" i="14"/>
  <c r="AU28" i="14" s="1"/>
  <c r="AU147" i="14" s="1"/>
  <c r="BC28" i="14"/>
  <c r="BC160" i="14" s="1"/>
  <c r="AT32" i="14"/>
  <c r="AU32" i="14" s="1"/>
  <c r="AS32" i="14"/>
  <c r="BC32" i="14"/>
  <c r="AT36" i="14"/>
  <c r="AU36" i="14" s="1"/>
  <c r="AS36" i="14"/>
  <c r="BC36" i="14"/>
  <c r="AT40" i="14"/>
  <c r="AU40" i="14" s="1"/>
  <c r="AS40" i="14"/>
  <c r="BC40" i="14"/>
  <c r="AT44" i="14"/>
  <c r="AU44" i="14" s="1"/>
  <c r="AS44" i="14"/>
  <c r="BC44" i="14"/>
  <c r="AT48" i="14"/>
  <c r="AU48" i="14" s="1"/>
  <c r="AS48" i="14"/>
  <c r="BC48" i="14"/>
  <c r="AS52" i="14"/>
  <c r="AT52" i="14"/>
  <c r="AU52" i="14" s="1"/>
  <c r="BC52" i="14"/>
  <c r="BC56" i="14"/>
  <c r="AT56" i="14"/>
  <c r="AU56" i="14" s="1"/>
  <c r="AS56" i="14"/>
  <c r="BC60" i="14"/>
  <c r="AT60" i="14"/>
  <c r="AU60" i="14" s="1"/>
  <c r="AS60" i="14"/>
  <c r="BC64" i="14"/>
  <c r="AT64" i="14"/>
  <c r="AU64" i="14" s="1"/>
  <c r="AS64" i="14"/>
  <c r="BC68" i="14"/>
  <c r="AT68" i="14"/>
  <c r="AU68" i="14" s="1"/>
  <c r="AS68" i="14"/>
  <c r="BC72" i="14"/>
  <c r="AT72" i="14"/>
  <c r="AU72" i="14" s="1"/>
  <c r="AS72" i="14"/>
  <c r="BC76" i="14"/>
  <c r="AT76" i="14"/>
  <c r="AU76" i="14" s="1"/>
  <c r="AS76" i="14"/>
  <c r="AT80" i="14"/>
  <c r="AU80" i="14" s="1"/>
  <c r="AS80" i="14"/>
  <c r="BC80" i="14"/>
  <c r="AT84" i="14"/>
  <c r="AU84" i="14" s="1"/>
  <c r="AS84" i="14"/>
  <c r="BC84" i="14"/>
  <c r="AT88" i="14"/>
  <c r="AU88" i="14" s="1"/>
  <c r="AS88" i="14"/>
  <c r="BC88" i="14"/>
  <c r="AT92" i="14"/>
  <c r="AU92" i="14" s="1"/>
  <c r="AS92" i="14"/>
  <c r="BC92" i="14"/>
  <c r="AT96" i="14"/>
  <c r="AU96" i="14" s="1"/>
  <c r="AS96" i="14"/>
  <c r="BC96" i="14"/>
  <c r="AT100" i="14"/>
  <c r="AU100" i="14" s="1"/>
  <c r="AS100" i="14"/>
  <c r="BC100" i="14"/>
  <c r="BC104" i="14"/>
  <c r="AT104" i="14"/>
  <c r="AU104" i="14" s="1"/>
  <c r="AS104" i="14"/>
  <c r="BC108" i="14"/>
  <c r="AT108" i="14"/>
  <c r="AU108" i="14" s="1"/>
  <c r="AS108" i="14"/>
  <c r="BC112" i="14"/>
  <c r="AT112" i="14"/>
  <c r="AU112" i="14" s="1"/>
  <c r="AS112" i="14"/>
  <c r="AT116" i="14"/>
  <c r="AU116" i="14" s="1"/>
  <c r="BC116" i="14"/>
  <c r="AS116" i="14"/>
  <c r="AT120" i="14"/>
  <c r="AU120" i="14" s="1"/>
  <c r="BC120" i="14"/>
  <c r="AS120" i="14"/>
  <c r="AT124" i="14"/>
  <c r="AU124" i="14" s="1"/>
  <c r="BC124" i="14"/>
  <c r="AS124" i="14"/>
  <c r="AS7" i="14"/>
  <c r="AT7" i="14"/>
  <c r="AU7" i="14" s="1"/>
  <c r="BC7" i="14"/>
  <c r="AS11" i="14"/>
  <c r="AT11" i="14"/>
  <c r="AU11" i="14" s="1"/>
  <c r="BC11" i="14"/>
  <c r="AS15" i="14"/>
  <c r="AT15" i="14"/>
  <c r="AU15" i="14" s="1"/>
  <c r="BC15" i="14"/>
  <c r="AS19" i="14"/>
  <c r="AT19" i="14"/>
  <c r="AU19" i="14" s="1"/>
  <c r="BC19" i="14"/>
  <c r="AS23" i="14"/>
  <c r="AT23" i="14"/>
  <c r="AU23" i="14" s="1"/>
  <c r="BC23" i="14"/>
  <c r="AS27" i="14"/>
  <c r="AT27" i="14"/>
  <c r="AU27" i="14" s="1"/>
  <c r="BC27" i="14"/>
  <c r="AS31" i="14"/>
  <c r="AT31" i="14"/>
  <c r="AU31" i="14" s="1"/>
  <c r="BC31" i="14"/>
  <c r="AS35" i="14"/>
  <c r="AT35" i="14"/>
  <c r="AU35" i="14" s="1"/>
  <c r="BC35" i="14"/>
  <c r="AS39" i="14"/>
  <c r="AT39" i="14"/>
  <c r="AU39" i="14" s="1"/>
  <c r="BC39" i="14"/>
  <c r="AS43" i="14"/>
  <c r="AT43" i="14"/>
  <c r="AU43" i="14" s="1"/>
  <c r="BC43" i="14"/>
  <c r="AS47" i="14"/>
  <c r="AT47" i="14"/>
  <c r="AU47" i="14" s="1"/>
  <c r="BC47" i="14"/>
  <c r="AS51" i="14"/>
  <c r="AT51" i="14"/>
  <c r="AU51" i="14" s="1"/>
  <c r="BC51" i="14"/>
  <c r="AT55" i="14"/>
  <c r="AU55" i="14" s="1"/>
  <c r="AS55" i="14"/>
  <c r="BC55" i="14"/>
  <c r="BC59" i="14"/>
  <c r="AT59" i="14"/>
  <c r="AU59" i="14" s="1"/>
  <c r="AS59" i="14"/>
  <c r="BC63" i="14"/>
  <c r="AT63" i="14"/>
  <c r="AU63" i="14" s="1"/>
  <c r="AS63" i="14"/>
  <c r="BC67" i="14"/>
  <c r="AT67" i="14"/>
  <c r="AU67" i="14" s="1"/>
  <c r="AS67" i="14"/>
  <c r="BC71" i="14"/>
  <c r="AT71" i="14"/>
  <c r="AU71" i="14" s="1"/>
  <c r="AS71" i="14"/>
  <c r="BC75" i="14"/>
  <c r="AT75" i="14"/>
  <c r="AU75" i="14" s="1"/>
  <c r="AS75" i="14"/>
  <c r="AT79" i="14"/>
  <c r="AU79" i="14" s="1"/>
  <c r="AS79" i="14"/>
  <c r="BC79" i="14"/>
  <c r="AT83" i="14"/>
  <c r="AU83" i="14" s="1"/>
  <c r="AS83" i="14"/>
  <c r="BC83" i="14"/>
  <c r="AT87" i="14"/>
  <c r="AU87" i="14" s="1"/>
  <c r="AS87" i="14"/>
  <c r="BC87" i="14"/>
  <c r="AT91" i="14"/>
  <c r="AU91" i="14" s="1"/>
  <c r="AS91" i="14"/>
  <c r="BC91" i="14"/>
  <c r="AT95" i="14"/>
  <c r="AU95" i="14" s="1"/>
  <c r="AS95" i="14"/>
  <c r="BC95" i="14"/>
  <c r="AT99" i="14"/>
  <c r="AU99" i="14" s="1"/>
  <c r="AS99" i="14"/>
  <c r="BC99" i="14"/>
  <c r="AT103" i="14"/>
  <c r="AU103" i="14" s="1"/>
  <c r="AS103" i="14"/>
  <c r="BC103" i="14"/>
  <c r="BC107" i="14"/>
  <c r="AT107" i="14"/>
  <c r="AU107" i="14" s="1"/>
  <c r="AS107" i="14"/>
  <c r="BC111" i="14"/>
  <c r="AT111" i="14"/>
  <c r="AU111" i="14" s="1"/>
  <c r="AS111" i="14"/>
  <c r="BC115" i="14"/>
  <c r="AT115" i="14"/>
  <c r="AU115" i="14" s="1"/>
  <c r="AS115" i="14"/>
  <c r="AT119" i="14"/>
  <c r="AU119" i="14" s="1"/>
  <c r="BC119" i="14"/>
  <c r="AS119" i="14"/>
  <c r="AT123" i="14"/>
  <c r="AU123" i="14" s="1"/>
  <c r="BC123" i="14"/>
  <c r="AS123" i="14"/>
  <c r="AY68" i="14"/>
  <c r="AW68" i="14"/>
  <c r="BD68" i="14"/>
  <c r="AZ68" i="14"/>
  <c r="AY86" i="14"/>
  <c r="AW86" i="14"/>
  <c r="BD86" i="14"/>
  <c r="AZ86" i="14"/>
  <c r="AY106" i="14"/>
  <c r="AW106" i="14"/>
  <c r="AZ106" i="14"/>
  <c r="BD106" i="14"/>
  <c r="AZ30" i="14"/>
  <c r="AW30" i="14"/>
  <c r="AY30" i="14"/>
  <c r="BD30" i="14"/>
  <c r="BB30" i="14"/>
  <c r="AZ6" i="14"/>
  <c r="AY6" i="14"/>
  <c r="AW6" i="14"/>
  <c r="BD6" i="14"/>
  <c r="AY56" i="14"/>
  <c r="AW56" i="14"/>
  <c r="BD56" i="14"/>
  <c r="AZ56" i="14"/>
  <c r="BB56" i="14"/>
  <c r="BB90" i="14"/>
  <c r="AY67" i="14"/>
  <c r="AW67" i="14"/>
  <c r="BD67" i="14"/>
  <c r="AZ67" i="14"/>
  <c r="BB67" i="14"/>
  <c r="BB79" i="14"/>
  <c r="AY91" i="14"/>
  <c r="AW91" i="14"/>
  <c r="BD91" i="14"/>
  <c r="AZ91" i="14"/>
  <c r="BB91" i="14"/>
  <c r="AY103" i="14"/>
  <c r="AW103" i="14"/>
  <c r="BD103" i="14"/>
  <c r="AZ103" i="14"/>
  <c r="BB103" i="14"/>
  <c r="AY107" i="14"/>
  <c r="AW107" i="14"/>
  <c r="AZ107" i="14"/>
  <c r="BD107" i="14"/>
  <c r="BB107" i="14"/>
  <c r="AW105" i="14"/>
  <c r="AY105" i="14"/>
  <c r="AZ105" i="14"/>
  <c r="BD105" i="14"/>
  <c r="BB105" i="14"/>
  <c r="AY113" i="14"/>
  <c r="AW113" i="14"/>
  <c r="BD113" i="14"/>
  <c r="AZ113" i="14"/>
  <c r="BB113" i="14"/>
  <c r="BB58" i="14"/>
  <c r="AY116" i="14"/>
  <c r="AW116" i="14"/>
  <c r="AZ116" i="14"/>
  <c r="BD116" i="14"/>
  <c r="BB116" i="14"/>
  <c r="BB120" i="14"/>
  <c r="AY69" i="14"/>
  <c r="AW69" i="14"/>
  <c r="AZ69" i="14"/>
  <c r="BD69" i="14"/>
  <c r="BB69" i="14"/>
  <c r="BB77" i="14"/>
  <c r="AW117" i="14"/>
  <c r="AY117" i="14"/>
  <c r="AZ117" i="14"/>
  <c r="BD117" i="14"/>
  <c r="BB117" i="14"/>
  <c r="BB92" i="14"/>
  <c r="BI164" i="14"/>
  <c r="AG126" i="14"/>
  <c r="AH5" i="14"/>
  <c r="AH126" i="14" s="1"/>
  <c r="AF126" i="14"/>
  <c r="AY59" i="14"/>
  <c r="AW59" i="14"/>
  <c r="BD59" i="14"/>
  <c r="AZ59" i="14"/>
  <c r="BB59" i="14"/>
  <c r="AY61" i="14"/>
  <c r="AW61" i="14"/>
  <c r="AZ61" i="14"/>
  <c r="BD61" i="14"/>
  <c r="BB61" i="14"/>
  <c r="BB73" i="14"/>
  <c r="AY85" i="14"/>
  <c r="AW85" i="14"/>
  <c r="AZ85" i="14"/>
  <c r="BD85" i="14"/>
  <c r="BB85" i="14"/>
  <c r="AY89" i="14"/>
  <c r="AW89" i="14"/>
  <c r="AZ89" i="14"/>
  <c r="BD89" i="14"/>
  <c r="BB89" i="14"/>
  <c r="AY97" i="14"/>
  <c r="AW97" i="14"/>
  <c r="AZ97" i="14"/>
  <c r="BD97" i="14"/>
  <c r="BB97" i="14"/>
  <c r="BB125" i="14"/>
  <c r="BV134" i="14"/>
  <c r="BV160" i="14"/>
  <c r="BZ180" i="14"/>
  <c r="BZ177" i="14"/>
  <c r="BZ175" i="14"/>
  <c r="BX128" i="14"/>
  <c r="BR4" i="14"/>
  <c r="BU4" i="14"/>
  <c r="BR1" i="14" s="1"/>
  <c r="BZ178" i="14"/>
  <c r="BZ176" i="14"/>
  <c r="BZ174" i="14"/>
  <c r="BT4" i="14"/>
  <c r="BY4" i="14"/>
  <c r="BS4" i="14"/>
  <c r="BE124" i="14"/>
  <c r="BE122" i="14"/>
  <c r="BE120" i="14"/>
  <c r="BE118" i="14"/>
  <c r="BE116" i="14"/>
  <c r="BE114" i="14"/>
  <c r="BE112" i="14"/>
  <c r="BE110" i="14"/>
  <c r="BE108" i="14"/>
  <c r="BE106" i="14"/>
  <c r="BE104" i="14"/>
  <c r="BE102" i="14"/>
  <c r="BE100" i="14"/>
  <c r="BE98" i="14"/>
  <c r="BE96" i="14"/>
  <c r="BE94" i="14"/>
  <c r="BE92" i="14"/>
  <c r="BE90" i="14"/>
  <c r="BE88" i="14"/>
  <c r="BE86" i="14"/>
  <c r="BE84" i="14"/>
  <c r="BE82" i="14"/>
  <c r="BE80" i="14"/>
  <c r="BE78" i="14"/>
  <c r="BE76" i="14"/>
  <c r="BE74" i="14"/>
  <c r="BE72" i="14"/>
  <c r="BE70" i="14"/>
  <c r="BE68" i="14"/>
  <c r="BE66" i="14"/>
  <c r="BE64" i="14"/>
  <c r="BE62" i="14"/>
  <c r="BE60" i="14"/>
  <c r="BE58" i="14"/>
  <c r="BE56" i="14"/>
  <c r="BE54" i="14"/>
  <c r="BE52" i="14"/>
  <c r="BE50" i="14"/>
  <c r="BE48" i="14"/>
  <c r="BE46" i="14"/>
  <c r="BE44" i="14"/>
  <c r="BE42" i="14"/>
  <c r="BE40" i="14"/>
  <c r="BE38" i="14"/>
  <c r="BE36" i="14"/>
  <c r="BE34" i="14"/>
  <c r="BE32" i="14"/>
  <c r="BE30" i="14"/>
  <c r="BE28" i="14"/>
  <c r="BE26" i="14"/>
  <c r="BE24" i="14"/>
  <c r="BE22" i="14"/>
  <c r="BE20" i="14"/>
  <c r="BE18" i="14"/>
  <c r="BE16" i="14"/>
  <c r="BE14" i="14"/>
  <c r="BE12" i="14"/>
  <c r="BE10" i="14"/>
  <c r="BE8" i="14"/>
  <c r="BE6" i="14"/>
  <c r="BE125" i="14"/>
  <c r="BE123" i="14"/>
  <c r="BE121" i="14"/>
  <c r="BE119" i="14"/>
  <c r="BE117" i="14"/>
  <c r="BE115" i="14"/>
  <c r="BE113" i="14"/>
  <c r="BE111" i="14"/>
  <c r="BE109" i="14"/>
  <c r="BE107" i="14"/>
  <c r="BE105" i="14"/>
  <c r="BE103" i="14"/>
  <c r="BE101" i="14"/>
  <c r="BE99" i="14"/>
  <c r="BE97" i="14"/>
  <c r="BE95" i="14"/>
  <c r="BE93" i="14"/>
  <c r="BE91" i="14"/>
  <c r="BE89" i="14"/>
  <c r="BE87" i="14"/>
  <c r="BE85" i="14"/>
  <c r="BE83" i="14"/>
  <c r="BE81" i="14"/>
  <c r="BE79" i="14"/>
  <c r="BE77" i="14"/>
  <c r="BE75" i="14"/>
  <c r="BE73" i="14"/>
  <c r="BE71" i="14"/>
  <c r="BE69" i="14"/>
  <c r="BE67" i="14"/>
  <c r="BE65" i="14"/>
  <c r="BE63" i="14"/>
  <c r="BE61" i="14"/>
  <c r="BE59" i="14"/>
  <c r="BE57" i="14"/>
  <c r="BE55" i="14"/>
  <c r="BE53" i="14"/>
  <c r="BE51" i="14"/>
  <c r="BE49" i="14"/>
  <c r="BE47" i="14"/>
  <c r="BE45" i="14"/>
  <c r="BE43" i="14"/>
  <c r="BE41" i="14"/>
  <c r="BE39" i="14"/>
  <c r="BE37" i="14"/>
  <c r="BE35" i="14"/>
  <c r="BE33" i="14"/>
  <c r="BE31" i="14"/>
  <c r="BE29" i="14"/>
  <c r="BE27" i="14"/>
  <c r="BE25" i="14"/>
  <c r="BE23" i="14"/>
  <c r="BE21" i="14"/>
  <c r="BE19" i="14"/>
  <c r="BE17" i="14"/>
  <c r="BE15" i="14"/>
  <c r="BE13" i="14"/>
  <c r="BE11" i="14"/>
  <c r="BE9" i="14"/>
  <c r="BE7" i="14"/>
  <c r="BE5" i="14"/>
  <c r="AY100" i="14"/>
  <c r="AW100" i="14"/>
  <c r="AZ100" i="14"/>
  <c r="BD100" i="14"/>
  <c r="AY60" i="14"/>
  <c r="AW60" i="14"/>
  <c r="BD60" i="14"/>
  <c r="AZ60" i="14"/>
  <c r="AY71" i="14"/>
  <c r="AW71" i="14"/>
  <c r="BD71" i="14"/>
  <c r="AZ71" i="14"/>
  <c r="AY111" i="14"/>
  <c r="AW111" i="14"/>
  <c r="AZ111" i="14"/>
  <c r="BD111" i="14"/>
  <c r="AY115" i="14"/>
  <c r="AW115" i="14"/>
  <c r="AZ115" i="14"/>
  <c r="BD115" i="14"/>
  <c r="AW119" i="14"/>
  <c r="AY119" i="14"/>
  <c r="BD119" i="14"/>
  <c r="AZ119" i="14"/>
  <c r="AW123" i="14"/>
  <c r="AY123" i="14"/>
  <c r="BD123" i="14"/>
  <c r="AZ123" i="14"/>
  <c r="AW121" i="14"/>
  <c r="AY121" i="14"/>
  <c r="AZ121" i="14"/>
  <c r="BD121" i="14"/>
  <c r="AY66" i="14"/>
  <c r="AW66" i="14"/>
  <c r="AZ66" i="14"/>
  <c r="BD66" i="14"/>
  <c r="AY108" i="14"/>
  <c r="AW108" i="14"/>
  <c r="BD108" i="14"/>
  <c r="AZ108" i="14"/>
  <c r="AY112" i="14"/>
  <c r="AW112" i="14"/>
  <c r="BD112" i="14"/>
  <c r="AZ112" i="14"/>
  <c r="AY65" i="14"/>
  <c r="AW65" i="14"/>
  <c r="AZ65" i="14"/>
  <c r="BD65" i="14"/>
  <c r="AY109" i="14"/>
  <c r="AW109" i="14"/>
  <c r="BD109" i="14"/>
  <c r="AZ109" i="14"/>
  <c r="AY5" i="14"/>
  <c r="AW5" i="14"/>
  <c r="AZ5" i="14"/>
  <c r="BD5" i="14"/>
  <c r="AY70" i="14"/>
  <c r="AW70" i="14"/>
  <c r="AZ70" i="14"/>
  <c r="BD70" i="14"/>
  <c r="AY74" i="14"/>
  <c r="AW74" i="14"/>
  <c r="AZ74" i="14"/>
  <c r="BD74" i="14"/>
  <c r="AY78" i="14"/>
  <c r="AW78" i="14"/>
  <c r="AZ78" i="14"/>
  <c r="BD78" i="14"/>
  <c r="AY72" i="14"/>
  <c r="AW72" i="14"/>
  <c r="BD72" i="14"/>
  <c r="AZ72" i="14"/>
  <c r="AY76" i="14"/>
  <c r="AW76" i="14"/>
  <c r="BD76" i="14"/>
  <c r="AZ76" i="14"/>
  <c r="BB101" i="14"/>
  <c r="AP156" i="14"/>
  <c r="AP164" i="14" s="1"/>
  <c r="AF143" i="14"/>
  <c r="AF151" i="14" s="1"/>
  <c r="AT6" i="14"/>
  <c r="AU6" i="14" s="1"/>
  <c r="AS6" i="14"/>
  <c r="BC6" i="14"/>
  <c r="AS10" i="14"/>
  <c r="AT10" i="14"/>
  <c r="AU10" i="14" s="1"/>
  <c r="BC10" i="14"/>
  <c r="AS14" i="14"/>
  <c r="AT14" i="14"/>
  <c r="AU14" i="14" s="1"/>
  <c r="BC14" i="14"/>
  <c r="AS18" i="14"/>
  <c r="AT18" i="14"/>
  <c r="AU18" i="14" s="1"/>
  <c r="BC18" i="14"/>
  <c r="AS22" i="14"/>
  <c r="AT22" i="14"/>
  <c r="AU22" i="14" s="1"/>
  <c r="BC22" i="14"/>
  <c r="AS26" i="14"/>
  <c r="AT26" i="14"/>
  <c r="AU26" i="14" s="1"/>
  <c r="BC26" i="14"/>
  <c r="BC30" i="14"/>
  <c r="AT30" i="14"/>
  <c r="AU30" i="14" s="1"/>
  <c r="AS30" i="14"/>
  <c r="AT34" i="14"/>
  <c r="AU34" i="14" s="1"/>
  <c r="AS34" i="14"/>
  <c r="BC34" i="14"/>
  <c r="AT38" i="14"/>
  <c r="AU38" i="14" s="1"/>
  <c r="AS38" i="14"/>
  <c r="BC38" i="14"/>
  <c r="AT42" i="14"/>
  <c r="AU42" i="14" s="1"/>
  <c r="AS42" i="14"/>
  <c r="BC42" i="14"/>
  <c r="AT46" i="14"/>
  <c r="AU46" i="14" s="1"/>
  <c r="AS46" i="14"/>
  <c r="BC46" i="14"/>
  <c r="AT50" i="14"/>
  <c r="AU50" i="14" s="1"/>
  <c r="AS50" i="14"/>
  <c r="BC50" i="14"/>
  <c r="AS54" i="14"/>
  <c r="AT54" i="14"/>
  <c r="AU54" i="14" s="1"/>
  <c r="BC54" i="14"/>
  <c r="AS58" i="14"/>
  <c r="BC58" i="14"/>
  <c r="AT58" i="14"/>
  <c r="AU58" i="14" s="1"/>
  <c r="AS62" i="14"/>
  <c r="BC62" i="14"/>
  <c r="AT62" i="14"/>
  <c r="AU62" i="14" s="1"/>
  <c r="AS66" i="14"/>
  <c r="BC66" i="14"/>
  <c r="AT66" i="14"/>
  <c r="AU66" i="14" s="1"/>
  <c r="AS70" i="14"/>
  <c r="BC70" i="14"/>
  <c r="AT70" i="14"/>
  <c r="AU70" i="14" s="1"/>
  <c r="AS74" i="14"/>
  <c r="BC74" i="14"/>
  <c r="AT74" i="14"/>
  <c r="AU74" i="14" s="1"/>
  <c r="AS78" i="14"/>
  <c r="BC78" i="14"/>
  <c r="AT78" i="14"/>
  <c r="AU78" i="14" s="1"/>
  <c r="BC82" i="14"/>
  <c r="AT82" i="14"/>
  <c r="AU82" i="14" s="1"/>
  <c r="AS82" i="14"/>
  <c r="BC86" i="14"/>
  <c r="AT86" i="14"/>
  <c r="AU86" i="14" s="1"/>
  <c r="AS86" i="14"/>
  <c r="BC90" i="14"/>
  <c r="AT90" i="14"/>
  <c r="AU90" i="14" s="1"/>
  <c r="AS90" i="14"/>
  <c r="BC94" i="14"/>
  <c r="AT94" i="14"/>
  <c r="AU94" i="14" s="1"/>
  <c r="AS94" i="14"/>
  <c r="BC98" i="14"/>
  <c r="AT98" i="14"/>
  <c r="AU98" i="14" s="1"/>
  <c r="AS98" i="14"/>
  <c r="BC102" i="14"/>
  <c r="AT102" i="14"/>
  <c r="AU102" i="14" s="1"/>
  <c r="AS102" i="14"/>
  <c r="AS106" i="14"/>
  <c r="BC106" i="14"/>
  <c r="AT106" i="14"/>
  <c r="AU106" i="14" s="1"/>
  <c r="AS110" i="14"/>
  <c r="BC110" i="14"/>
  <c r="AT110" i="14"/>
  <c r="AU110" i="14" s="1"/>
  <c r="AS114" i="14"/>
  <c r="BC114" i="14"/>
  <c r="AT114" i="14"/>
  <c r="AU114" i="14" s="1"/>
  <c r="AS118" i="14"/>
  <c r="AT118" i="14"/>
  <c r="AU118" i="14" s="1"/>
  <c r="BC118" i="14"/>
  <c r="AS122" i="14"/>
  <c r="AT122" i="14"/>
  <c r="AU122" i="14" s="1"/>
  <c r="BC122" i="14"/>
  <c r="AT5" i="14"/>
  <c r="AS5" i="14"/>
  <c r="AR126" i="14"/>
  <c r="BC5" i="14"/>
  <c r="AS9" i="14"/>
  <c r="AT9" i="14"/>
  <c r="AU9" i="14" s="1"/>
  <c r="BC9" i="14"/>
  <c r="AS13" i="14"/>
  <c r="AT13" i="14"/>
  <c r="AU13" i="14" s="1"/>
  <c r="BC13" i="14"/>
  <c r="AS17" i="14"/>
  <c r="AT17" i="14"/>
  <c r="AU17" i="14" s="1"/>
  <c r="BC17" i="14"/>
  <c r="AS21" i="14"/>
  <c r="AT21" i="14"/>
  <c r="AU21" i="14" s="1"/>
  <c r="BC21" i="14"/>
  <c r="AS25" i="14"/>
  <c r="AT25" i="14"/>
  <c r="AU25" i="14" s="1"/>
  <c r="BC25" i="14"/>
  <c r="AS29" i="14"/>
  <c r="AT29" i="14"/>
  <c r="AU29" i="14" s="1"/>
  <c r="BC29" i="14"/>
  <c r="AS33" i="14"/>
  <c r="AT33" i="14"/>
  <c r="AU33" i="14" s="1"/>
  <c r="BC33" i="14"/>
  <c r="AS37" i="14"/>
  <c r="AT37" i="14"/>
  <c r="AU37" i="14" s="1"/>
  <c r="BC37" i="14"/>
  <c r="AS41" i="14"/>
  <c r="AT41" i="14"/>
  <c r="AU41" i="14" s="1"/>
  <c r="BC41" i="14"/>
  <c r="AS45" i="14"/>
  <c r="AT45" i="14"/>
  <c r="AU45" i="14" s="1"/>
  <c r="BC45" i="14"/>
  <c r="AS49" i="14"/>
  <c r="AT49" i="14"/>
  <c r="AU49" i="14" s="1"/>
  <c r="BC49" i="14"/>
  <c r="AT53" i="14"/>
  <c r="AU53" i="14" s="1"/>
  <c r="AS53" i="14"/>
  <c r="BC53" i="14"/>
  <c r="AS57" i="14"/>
  <c r="BC57" i="14"/>
  <c r="AT57" i="14"/>
  <c r="AU57" i="14" s="1"/>
  <c r="AS61" i="14"/>
  <c r="BC61" i="14"/>
  <c r="AT61" i="14"/>
  <c r="AU61" i="14" s="1"/>
  <c r="AS65" i="14"/>
  <c r="BC65" i="14"/>
  <c r="AT65" i="14"/>
  <c r="AU65" i="14" s="1"/>
  <c r="AS69" i="14"/>
  <c r="BC69" i="14"/>
  <c r="AT69" i="14"/>
  <c r="AU69" i="14" s="1"/>
  <c r="AS73" i="14"/>
  <c r="BC73" i="14"/>
  <c r="AT73" i="14"/>
  <c r="AU73" i="14" s="1"/>
  <c r="AS77" i="14"/>
  <c r="BC77" i="14"/>
  <c r="AT77" i="14"/>
  <c r="AU77" i="14" s="1"/>
  <c r="BC81" i="14"/>
  <c r="AT81" i="14"/>
  <c r="AU81" i="14" s="1"/>
  <c r="AS81" i="14"/>
  <c r="BC85" i="14"/>
  <c r="AT85" i="14"/>
  <c r="AU85" i="14" s="1"/>
  <c r="AS85" i="14"/>
  <c r="BC89" i="14"/>
  <c r="AT89" i="14"/>
  <c r="AU89" i="14" s="1"/>
  <c r="AS89" i="14"/>
  <c r="BC93" i="14"/>
  <c r="AT93" i="14"/>
  <c r="AU93" i="14" s="1"/>
  <c r="AS93" i="14"/>
  <c r="BC97" i="14"/>
  <c r="AT97" i="14"/>
  <c r="AU97" i="14" s="1"/>
  <c r="AS97" i="14"/>
  <c r="BC101" i="14"/>
  <c r="AT101" i="14"/>
  <c r="AU101" i="14" s="1"/>
  <c r="AS101" i="14"/>
  <c r="AS105" i="14"/>
  <c r="BC105" i="14"/>
  <c r="AT105" i="14"/>
  <c r="AU105" i="14" s="1"/>
  <c r="AS109" i="14"/>
  <c r="BC109" i="14"/>
  <c r="AT109" i="14"/>
  <c r="AU109" i="14" s="1"/>
  <c r="AS113" i="14"/>
  <c r="BC113" i="14"/>
  <c r="AT113" i="14"/>
  <c r="AU113" i="14" s="1"/>
  <c r="AS117" i="14"/>
  <c r="AT117" i="14"/>
  <c r="AU117" i="14" s="1"/>
  <c r="BC117" i="14"/>
  <c r="AS121" i="14"/>
  <c r="AT121" i="14"/>
  <c r="AU121" i="14" s="1"/>
  <c r="BC121" i="14"/>
  <c r="AS125" i="14"/>
  <c r="AT125" i="14"/>
  <c r="AU125" i="14" s="1"/>
  <c r="BC125" i="14"/>
  <c r="BB82" i="14"/>
  <c r="AY110" i="14"/>
  <c r="AW110" i="14"/>
  <c r="AZ110" i="14"/>
  <c r="BD110" i="14"/>
  <c r="BB110" i="14"/>
  <c r="AY114" i="14"/>
  <c r="AW114" i="14"/>
  <c r="AZ114" i="14"/>
  <c r="BD114" i="14"/>
  <c r="BB114" i="14"/>
  <c r="AY118" i="14"/>
  <c r="AW118" i="14"/>
  <c r="AZ118" i="14"/>
  <c r="BD118" i="14"/>
  <c r="BB118" i="14"/>
  <c r="AY122" i="14"/>
  <c r="AW122" i="14"/>
  <c r="AZ122" i="14"/>
  <c r="BD122" i="14"/>
  <c r="BB122" i="14"/>
  <c r="BB63" i="14"/>
  <c r="BB87" i="14"/>
  <c r="BB123" i="14"/>
  <c r="AY80" i="14"/>
  <c r="AW80" i="14"/>
  <c r="AZ80" i="14"/>
  <c r="BD80" i="14"/>
  <c r="BB80" i="14"/>
  <c r="AY84" i="14"/>
  <c r="AW84" i="14"/>
  <c r="AZ84" i="14"/>
  <c r="BD84" i="14"/>
  <c r="BB84" i="14"/>
  <c r="AY88" i="14"/>
  <c r="AW88" i="14"/>
  <c r="AZ88" i="14"/>
  <c r="BD88" i="14"/>
  <c r="BB88" i="14"/>
  <c r="AY104" i="14"/>
  <c r="AW104" i="14"/>
  <c r="AZ104" i="14"/>
  <c r="BD104" i="14"/>
  <c r="BB104" i="14"/>
  <c r="BB108" i="14"/>
  <c r="BB65" i="14"/>
  <c r="BB109" i="14"/>
  <c r="BB74" i="14"/>
  <c r="BB94" i="14"/>
  <c r="BI138" i="14"/>
  <c r="BK181" i="14" s="1"/>
  <c r="BJ181" i="14" s="1"/>
  <c r="AZ36" i="14"/>
  <c r="AW36" i="14"/>
  <c r="AY36" i="14"/>
  <c r="BD36" i="14"/>
  <c r="AY47" i="14"/>
  <c r="BD47" i="14"/>
  <c r="AW47" i="14"/>
  <c r="AZ47" i="14"/>
  <c r="AZ38" i="14"/>
  <c r="AW38" i="14"/>
  <c r="AY38" i="14"/>
  <c r="BD38" i="14"/>
  <c r="AZ34" i="14"/>
  <c r="AW34" i="14"/>
  <c r="AY34" i="14"/>
  <c r="BD34" i="14"/>
  <c r="BB34" i="14"/>
  <c r="AZ48" i="14"/>
  <c r="AW48" i="14"/>
  <c r="AY48" i="14"/>
  <c r="BD48" i="14"/>
  <c r="BB48" i="14"/>
  <c r="BB47" i="14"/>
  <c r="AY54" i="14"/>
  <c r="BD54" i="14"/>
  <c r="AW54" i="14"/>
  <c r="AZ54" i="14"/>
  <c r="BB54" i="14"/>
  <c r="AZ50" i="14"/>
  <c r="AW50" i="14"/>
  <c r="AY50" i="14"/>
  <c r="BD50" i="14"/>
  <c r="AZ42" i="14"/>
  <c r="AW42" i="14"/>
  <c r="AY42" i="14"/>
  <c r="BD42" i="14"/>
  <c r="AZ40" i="14"/>
  <c r="AW40" i="14"/>
  <c r="AY40" i="14"/>
  <c r="BD40" i="14"/>
  <c r="AZ44" i="14"/>
  <c r="AW44" i="14"/>
  <c r="AY44" i="14"/>
  <c r="BD44" i="14"/>
  <c r="AY33" i="14"/>
  <c r="BD33" i="14"/>
  <c r="AW33" i="14"/>
  <c r="AZ33" i="14"/>
  <c r="AY37" i="14"/>
  <c r="BD37" i="14"/>
  <c r="AW37" i="14"/>
  <c r="AZ37" i="14"/>
  <c r="AY41" i="14"/>
  <c r="BD41" i="14"/>
  <c r="AW41" i="14"/>
  <c r="AZ41" i="14"/>
  <c r="BB41" i="14"/>
  <c r="AY45" i="14"/>
  <c r="BD45" i="14"/>
  <c r="AW45" i="14"/>
  <c r="AZ45" i="14"/>
  <c r="BB45" i="14"/>
  <c r="AZ46" i="14"/>
  <c r="AW46" i="14"/>
  <c r="AY46" i="14"/>
  <c r="BD46" i="14"/>
  <c r="BB46" i="14"/>
  <c r="BB33" i="14"/>
  <c r="AK178" i="14"/>
  <c r="E71" i="10" s="1"/>
  <c r="AZ32" i="14"/>
  <c r="AW32" i="14"/>
  <c r="AY32" i="14"/>
  <c r="BD32" i="14"/>
  <c r="AY52" i="14"/>
  <c r="BD52" i="14"/>
  <c r="AW52" i="14"/>
  <c r="AZ52" i="14"/>
  <c r="AY55" i="14"/>
  <c r="BD55" i="14"/>
  <c r="AW55" i="14"/>
  <c r="AZ55" i="14"/>
  <c r="AY49" i="14"/>
  <c r="BD49" i="14"/>
  <c r="AW49" i="14"/>
  <c r="AZ49" i="14"/>
  <c r="AZ31" i="14"/>
  <c r="AY31" i="14"/>
  <c r="BD31" i="14"/>
  <c r="AW31" i="14"/>
  <c r="AZ35" i="14"/>
  <c r="AY35" i="14"/>
  <c r="BD35" i="14"/>
  <c r="AW35" i="14"/>
  <c r="AY39" i="14"/>
  <c r="BD39" i="14"/>
  <c r="AW39" i="14"/>
  <c r="AZ39" i="14"/>
  <c r="AY43" i="14"/>
  <c r="BD43" i="14"/>
  <c r="AW43" i="14"/>
  <c r="AZ43" i="14"/>
  <c r="BB32" i="14"/>
  <c r="BB50" i="14"/>
  <c r="BB35" i="14"/>
  <c r="BB44" i="14"/>
  <c r="BB36" i="14"/>
  <c r="AY51" i="14"/>
  <c r="BD51" i="14"/>
  <c r="AW51" i="14"/>
  <c r="AZ51" i="14"/>
  <c r="BB51" i="14"/>
  <c r="BB55" i="14"/>
  <c r="AY53" i="14"/>
  <c r="BD53" i="14"/>
  <c r="AW53" i="14"/>
  <c r="AZ53" i="14"/>
  <c r="BB53" i="14"/>
  <c r="BB31" i="14"/>
  <c r="BB40" i="14"/>
  <c r="BB38" i="14"/>
  <c r="AN143" i="14"/>
  <c r="AZ7" i="14"/>
  <c r="AY7" i="14"/>
  <c r="AW7" i="14"/>
  <c r="BD7" i="14"/>
  <c r="AQ164" i="14"/>
  <c r="AX130" i="14"/>
  <c r="AK183" i="14"/>
  <c r="AJ183" i="14" s="1"/>
  <c r="AK188" i="14"/>
  <c r="AZ26" i="14"/>
  <c r="AY26" i="14"/>
  <c r="BD26" i="14"/>
  <c r="AW26" i="14"/>
  <c r="AZ22" i="14"/>
  <c r="AY22" i="14"/>
  <c r="BD22" i="14"/>
  <c r="AW22" i="14"/>
  <c r="AY9" i="14"/>
  <c r="BD9" i="14"/>
  <c r="AW9" i="14"/>
  <c r="AZ9" i="14"/>
  <c r="AY13" i="14"/>
  <c r="BD13" i="14"/>
  <c r="AW13" i="14"/>
  <c r="AZ13" i="14"/>
  <c r="AY17" i="14"/>
  <c r="BD17" i="14"/>
  <c r="AW17" i="14"/>
  <c r="AZ17" i="14"/>
  <c r="AY21" i="14"/>
  <c r="BD21" i="14"/>
  <c r="AW21" i="14"/>
  <c r="AZ21" i="14"/>
  <c r="AY25" i="14"/>
  <c r="BD25" i="14"/>
  <c r="AW25" i="14"/>
  <c r="AZ25" i="14"/>
  <c r="BB25" i="14"/>
  <c r="AY29" i="14"/>
  <c r="BD29" i="14"/>
  <c r="AW29" i="14"/>
  <c r="AZ29" i="14"/>
  <c r="BB29" i="14"/>
  <c r="AZ18" i="14"/>
  <c r="AY18" i="14"/>
  <c r="BD18" i="14"/>
  <c r="AW18" i="14"/>
  <c r="AZ14" i="14"/>
  <c r="AY14" i="14"/>
  <c r="BD14" i="14"/>
  <c r="AW14" i="14"/>
  <c r="AZ10" i="14"/>
  <c r="AY10" i="14"/>
  <c r="BD10" i="14"/>
  <c r="AW10" i="14"/>
  <c r="BB21" i="14"/>
  <c r="BB22" i="14"/>
  <c r="BB10" i="14"/>
  <c r="AZ24" i="14"/>
  <c r="AY24" i="14"/>
  <c r="BD24" i="14"/>
  <c r="AW24" i="14"/>
  <c r="AZ16" i="14"/>
  <c r="AY16" i="14"/>
  <c r="BD16" i="14"/>
  <c r="AW16" i="14"/>
  <c r="AZ8" i="14"/>
  <c r="AY8" i="14"/>
  <c r="BD8" i="14"/>
  <c r="AW8" i="14"/>
  <c r="AX174" i="14"/>
  <c r="AX126" i="14"/>
  <c r="AN126" i="14"/>
  <c r="BB8" i="14"/>
  <c r="AK175" i="14"/>
  <c r="BB13" i="14"/>
  <c r="AZ28" i="14"/>
  <c r="AY28" i="14"/>
  <c r="AY147" i="14" s="1"/>
  <c r="BD28" i="14"/>
  <c r="BD160" i="14" s="1"/>
  <c r="AW28" i="14"/>
  <c r="BB28" i="14"/>
  <c r="AZ20" i="14"/>
  <c r="AY20" i="14"/>
  <c r="BD20" i="14"/>
  <c r="AW20" i="14"/>
  <c r="BB20" i="14"/>
  <c r="AZ12" i="14"/>
  <c r="AY12" i="14"/>
  <c r="BD12" i="14"/>
  <c r="AW12" i="14"/>
  <c r="BB12" i="14"/>
  <c r="AZ11" i="14"/>
  <c r="AW11" i="14"/>
  <c r="AY11" i="14"/>
  <c r="BD11" i="14"/>
  <c r="AZ15" i="14"/>
  <c r="AW15" i="14"/>
  <c r="AY15" i="14"/>
  <c r="BD15" i="14"/>
  <c r="AZ19" i="14"/>
  <c r="AW19" i="14"/>
  <c r="AY19" i="14"/>
  <c r="BD19" i="14"/>
  <c r="AZ23" i="14"/>
  <c r="AW23" i="14"/>
  <c r="AY23" i="14"/>
  <c r="BD23" i="14"/>
  <c r="AZ27" i="14"/>
  <c r="AW27" i="14"/>
  <c r="AY27" i="14"/>
  <c r="BD27" i="14"/>
  <c r="BB16" i="14"/>
  <c r="BB26" i="14"/>
  <c r="D27" i="17"/>
  <c r="AC106" i="14"/>
  <c r="U106" i="14"/>
  <c r="AC105" i="14"/>
  <c r="U105" i="14"/>
  <c r="AC108" i="14"/>
  <c r="U108" i="14"/>
  <c r="AC104" i="14"/>
  <c r="U104" i="14"/>
  <c r="AC107" i="14"/>
  <c r="U107" i="14"/>
  <c r="S147" i="14"/>
  <c r="U147" i="14"/>
  <c r="AC156" i="14"/>
  <c r="AC160" i="14"/>
  <c r="S143" i="14"/>
  <c r="U143" i="14"/>
  <c r="S126" i="14"/>
  <c r="T126" i="14"/>
  <c r="U5" i="14"/>
  <c r="BM95" i="14" l="1"/>
  <c r="BL95" i="14"/>
  <c r="BQ95" i="14"/>
  <c r="BJ95" i="14"/>
  <c r="BO95" i="14"/>
  <c r="AC126" i="14"/>
  <c r="BO93" i="14"/>
  <c r="BM93" i="14"/>
  <c r="BL93" i="14"/>
  <c r="BQ93" i="14"/>
  <c r="BJ93" i="14"/>
  <c r="F24" i="17"/>
  <c r="F25" i="17" s="1"/>
  <c r="U126" i="14"/>
  <c r="BA104" i="14"/>
  <c r="BK104" i="14"/>
  <c r="BA84" i="14"/>
  <c r="BK84" i="14"/>
  <c r="BA118" i="14"/>
  <c r="BK118" i="14"/>
  <c r="BA110" i="14"/>
  <c r="BK110" i="14"/>
  <c r="BC126" i="14"/>
  <c r="AS126" i="14"/>
  <c r="BC156" i="14"/>
  <c r="BC164" i="14" s="1"/>
  <c r="AS143" i="14"/>
  <c r="AS151" i="14" s="1"/>
  <c r="BA78" i="14"/>
  <c r="BK78" i="14"/>
  <c r="BA74" i="14"/>
  <c r="BK74" i="14"/>
  <c r="BA70" i="14"/>
  <c r="BK70" i="14"/>
  <c r="BA5" i="14"/>
  <c r="BK5" i="14"/>
  <c r="BA65" i="14"/>
  <c r="BK65" i="14"/>
  <c r="BO65" i="14" s="1"/>
  <c r="BA66" i="14"/>
  <c r="BK66" i="14"/>
  <c r="BA121" i="14"/>
  <c r="BK121" i="14"/>
  <c r="BA115" i="14"/>
  <c r="BK115" i="14"/>
  <c r="BA111" i="14"/>
  <c r="BK111" i="14"/>
  <c r="BA100" i="14"/>
  <c r="BK100" i="14"/>
  <c r="BF7" i="14"/>
  <c r="BG7" i="14"/>
  <c r="BH7" i="14" s="1"/>
  <c r="BP7" i="14"/>
  <c r="BF11" i="14"/>
  <c r="BG11" i="14"/>
  <c r="BH11" i="14" s="1"/>
  <c r="BP11" i="14"/>
  <c r="BF15" i="14"/>
  <c r="BG15" i="14"/>
  <c r="BH15" i="14" s="1"/>
  <c r="BP15" i="14"/>
  <c r="BF19" i="14"/>
  <c r="BG19" i="14"/>
  <c r="BH19" i="14" s="1"/>
  <c r="BP19" i="14"/>
  <c r="BF23" i="14"/>
  <c r="BG23" i="14"/>
  <c r="BH23" i="14" s="1"/>
  <c r="BP23" i="14"/>
  <c r="BF27" i="14"/>
  <c r="BG27" i="14"/>
  <c r="BH27" i="14" s="1"/>
  <c r="BP27" i="14"/>
  <c r="BF31" i="14"/>
  <c r="BG31" i="14"/>
  <c r="BH31" i="14" s="1"/>
  <c r="BP31" i="14"/>
  <c r="BF35" i="14"/>
  <c r="BG35" i="14"/>
  <c r="BH35" i="14" s="1"/>
  <c r="BP35" i="14"/>
  <c r="BF39" i="14"/>
  <c r="BG39" i="14"/>
  <c r="BH39" i="14" s="1"/>
  <c r="BP39" i="14"/>
  <c r="BF43" i="14"/>
  <c r="BG43" i="14"/>
  <c r="BH43" i="14" s="1"/>
  <c r="BP43" i="14"/>
  <c r="BF47" i="14"/>
  <c r="BG47" i="14"/>
  <c r="BH47" i="14" s="1"/>
  <c r="BP47" i="14"/>
  <c r="BF51" i="14"/>
  <c r="BG51" i="14"/>
  <c r="BH51" i="14" s="1"/>
  <c r="BP51" i="14"/>
  <c r="BG55" i="14"/>
  <c r="BH55" i="14" s="1"/>
  <c r="BF55" i="14"/>
  <c r="BP55" i="14"/>
  <c r="BP59" i="14"/>
  <c r="BG59" i="14"/>
  <c r="BH59" i="14" s="1"/>
  <c r="BF59" i="14"/>
  <c r="BP63" i="14"/>
  <c r="BG63" i="14"/>
  <c r="BH63" i="14" s="1"/>
  <c r="BF63" i="14"/>
  <c r="BP67" i="14"/>
  <c r="BG67" i="14"/>
  <c r="BH67" i="14" s="1"/>
  <c r="BF67" i="14"/>
  <c r="BP71" i="14"/>
  <c r="BG71" i="14"/>
  <c r="BH71" i="14" s="1"/>
  <c r="BF71" i="14"/>
  <c r="BP75" i="14"/>
  <c r="BG75" i="14"/>
  <c r="BH75" i="14" s="1"/>
  <c r="BF75" i="14"/>
  <c r="BF79" i="14"/>
  <c r="BP79" i="14"/>
  <c r="BG79" i="14"/>
  <c r="BH79" i="14" s="1"/>
  <c r="BF83" i="14"/>
  <c r="BP83" i="14"/>
  <c r="BG83" i="14"/>
  <c r="BH83" i="14" s="1"/>
  <c r="BF87" i="14"/>
  <c r="BP87" i="14"/>
  <c r="BG87" i="14"/>
  <c r="BH87" i="14" s="1"/>
  <c r="BF91" i="14"/>
  <c r="BP91" i="14"/>
  <c r="BG91" i="14"/>
  <c r="BH91" i="14" s="1"/>
  <c r="BF95" i="14"/>
  <c r="BP95" i="14"/>
  <c r="BG95" i="14"/>
  <c r="BH95" i="14" s="1"/>
  <c r="BF99" i="14"/>
  <c r="BP99" i="14"/>
  <c r="BG99" i="14"/>
  <c r="BH99" i="14" s="1"/>
  <c r="BF103" i="14"/>
  <c r="BP103" i="14"/>
  <c r="BG103" i="14"/>
  <c r="BH103" i="14" s="1"/>
  <c r="BP107" i="14"/>
  <c r="BG107" i="14"/>
  <c r="BH107" i="14" s="1"/>
  <c r="BF107" i="14"/>
  <c r="BP111" i="14"/>
  <c r="BG111" i="14"/>
  <c r="BH111" i="14" s="1"/>
  <c r="BF111" i="14"/>
  <c r="BP115" i="14"/>
  <c r="BG115" i="14"/>
  <c r="BH115" i="14" s="1"/>
  <c r="BF115" i="14"/>
  <c r="BF119" i="14"/>
  <c r="BP119" i="14"/>
  <c r="BG119" i="14"/>
  <c r="BH119" i="14" s="1"/>
  <c r="BF123" i="14"/>
  <c r="BP123" i="14"/>
  <c r="BG123" i="14"/>
  <c r="BH123" i="14" s="1"/>
  <c r="BF6" i="14"/>
  <c r="BP6" i="14"/>
  <c r="BG6" i="14"/>
  <c r="BH6" i="14" s="1"/>
  <c r="BF10" i="14"/>
  <c r="BG10" i="14"/>
  <c r="BH10" i="14" s="1"/>
  <c r="BP10" i="14"/>
  <c r="BF14" i="14"/>
  <c r="BG14" i="14"/>
  <c r="BH14" i="14" s="1"/>
  <c r="BP14" i="14"/>
  <c r="BF18" i="14"/>
  <c r="BG18" i="14"/>
  <c r="BH18" i="14" s="1"/>
  <c r="BP18" i="14"/>
  <c r="BF22" i="14"/>
  <c r="BG22" i="14"/>
  <c r="BH22" i="14" s="1"/>
  <c r="BP22" i="14"/>
  <c r="BF26" i="14"/>
  <c r="BG26" i="14"/>
  <c r="BH26" i="14" s="1"/>
  <c r="BP26" i="14"/>
  <c r="BP30" i="14"/>
  <c r="BG30" i="14"/>
  <c r="BH30" i="14" s="1"/>
  <c r="BF30" i="14"/>
  <c r="BG34" i="14"/>
  <c r="BH34" i="14" s="1"/>
  <c r="BF34" i="14"/>
  <c r="BP34" i="14"/>
  <c r="BG38" i="14"/>
  <c r="BH38" i="14" s="1"/>
  <c r="BF38" i="14"/>
  <c r="BP38" i="14"/>
  <c r="BG42" i="14"/>
  <c r="BH42" i="14" s="1"/>
  <c r="BF42" i="14"/>
  <c r="BP42" i="14"/>
  <c r="BG46" i="14"/>
  <c r="BH46" i="14" s="1"/>
  <c r="BF46" i="14"/>
  <c r="BP46" i="14"/>
  <c r="BG50" i="14"/>
  <c r="BH50" i="14" s="1"/>
  <c r="BF50" i="14"/>
  <c r="BP50" i="14"/>
  <c r="BF54" i="14"/>
  <c r="BG54" i="14"/>
  <c r="BH54" i="14" s="1"/>
  <c r="BP54" i="14"/>
  <c r="BG58" i="14"/>
  <c r="BH58" i="14" s="1"/>
  <c r="BF58" i="14"/>
  <c r="BP58" i="14"/>
  <c r="BG62" i="14"/>
  <c r="BH62" i="14" s="1"/>
  <c r="BF62" i="14"/>
  <c r="BP62" i="14"/>
  <c r="BG66" i="14"/>
  <c r="BH66" i="14" s="1"/>
  <c r="BF66" i="14"/>
  <c r="BP66" i="14"/>
  <c r="BG70" i="14"/>
  <c r="BH70" i="14" s="1"/>
  <c r="BF70" i="14"/>
  <c r="BP70" i="14"/>
  <c r="BG74" i="14"/>
  <c r="BH74" i="14" s="1"/>
  <c r="BF74" i="14"/>
  <c r="BP74" i="14"/>
  <c r="BP78" i="14"/>
  <c r="BG78" i="14"/>
  <c r="BH78" i="14" s="1"/>
  <c r="BF78" i="14"/>
  <c r="BP82" i="14"/>
  <c r="BG82" i="14"/>
  <c r="BH82" i="14" s="1"/>
  <c r="BF82" i="14"/>
  <c r="BP86" i="14"/>
  <c r="BG86" i="14"/>
  <c r="BH86" i="14" s="1"/>
  <c r="BF86" i="14"/>
  <c r="BP90" i="14"/>
  <c r="BG90" i="14"/>
  <c r="BH90" i="14" s="1"/>
  <c r="BF90" i="14"/>
  <c r="BP94" i="14"/>
  <c r="BG94" i="14"/>
  <c r="BH94" i="14" s="1"/>
  <c r="BF94" i="14"/>
  <c r="BP98" i="14"/>
  <c r="BG98" i="14"/>
  <c r="BH98" i="14" s="1"/>
  <c r="BF98" i="14"/>
  <c r="BP102" i="14"/>
  <c r="BG102" i="14"/>
  <c r="BH102" i="14" s="1"/>
  <c r="BF102" i="14"/>
  <c r="BG106" i="14"/>
  <c r="BH106" i="14" s="1"/>
  <c r="BF106" i="14"/>
  <c r="BP106" i="14"/>
  <c r="BG110" i="14"/>
  <c r="BH110" i="14" s="1"/>
  <c r="BF110" i="14"/>
  <c r="BP110" i="14"/>
  <c r="BG114" i="14"/>
  <c r="BH114" i="14" s="1"/>
  <c r="BF114" i="14"/>
  <c r="BP114" i="14"/>
  <c r="BP118" i="14"/>
  <c r="BG118" i="14"/>
  <c r="BH118" i="14" s="1"/>
  <c r="BF118" i="14"/>
  <c r="BP122" i="14"/>
  <c r="BG122" i="14"/>
  <c r="BH122" i="14" s="1"/>
  <c r="BF122" i="14"/>
  <c r="BA89" i="14"/>
  <c r="BK89" i="14"/>
  <c r="BA117" i="14"/>
  <c r="BK117" i="14"/>
  <c r="BA69" i="14"/>
  <c r="BK69" i="14"/>
  <c r="BA116" i="14"/>
  <c r="BK116" i="14"/>
  <c r="BA107" i="14"/>
  <c r="BK107" i="14"/>
  <c r="BA103" i="14"/>
  <c r="BK103" i="14"/>
  <c r="BO103" i="14" s="1"/>
  <c r="BA6" i="14"/>
  <c r="BK6" i="14"/>
  <c r="BA86" i="14"/>
  <c r="BK86" i="14"/>
  <c r="BA68" i="14"/>
  <c r="BK68" i="14"/>
  <c r="CI134" i="14"/>
  <c r="CI160" i="14"/>
  <c r="BV138" i="14"/>
  <c r="BX181" i="14" s="1"/>
  <c r="BW181" i="14" s="1"/>
  <c r="BA64" i="14"/>
  <c r="BK64" i="14"/>
  <c r="BA99" i="14"/>
  <c r="BK99" i="14"/>
  <c r="BA98" i="14"/>
  <c r="BK98" i="14"/>
  <c r="BA102" i="14"/>
  <c r="BK102" i="14"/>
  <c r="BA92" i="14"/>
  <c r="BK92" i="14"/>
  <c r="BA87" i="14"/>
  <c r="BK87" i="14"/>
  <c r="BA83" i="14"/>
  <c r="BK83" i="14"/>
  <c r="BA79" i="14"/>
  <c r="BK79" i="14"/>
  <c r="BA63" i="14"/>
  <c r="BK63" i="14"/>
  <c r="BA90" i="14"/>
  <c r="BK90" i="14"/>
  <c r="BA82" i="14"/>
  <c r="BK82" i="14"/>
  <c r="BA88" i="14"/>
  <c r="BK88" i="14"/>
  <c r="BA80" i="14"/>
  <c r="BK80" i="14"/>
  <c r="BO87" i="14"/>
  <c r="BA122" i="14"/>
  <c r="BK122" i="14"/>
  <c r="BA114" i="14"/>
  <c r="BK114" i="14"/>
  <c r="BO82" i="14"/>
  <c r="AU5" i="14"/>
  <c r="AU126" i="14" s="1"/>
  <c r="AT126" i="14"/>
  <c r="AU143" i="14"/>
  <c r="AU151" i="14" s="1"/>
  <c r="BA76" i="14"/>
  <c r="BK76" i="14"/>
  <c r="BA72" i="14"/>
  <c r="BK72" i="14"/>
  <c r="BA109" i="14"/>
  <c r="BK109" i="14"/>
  <c r="BO109" i="14" s="1"/>
  <c r="BA112" i="14"/>
  <c r="BK112" i="14"/>
  <c r="BA108" i="14"/>
  <c r="BK108" i="14"/>
  <c r="BA123" i="14"/>
  <c r="BK123" i="14"/>
  <c r="BA119" i="14"/>
  <c r="BK119" i="14"/>
  <c r="BA71" i="14"/>
  <c r="BK71" i="14"/>
  <c r="BA60" i="14"/>
  <c r="BK60" i="14"/>
  <c r="BE126" i="14"/>
  <c r="BF5" i="14"/>
  <c r="BP5" i="14"/>
  <c r="BG5" i="14"/>
  <c r="BF9" i="14"/>
  <c r="BG9" i="14"/>
  <c r="BH9" i="14" s="1"/>
  <c r="BP9" i="14"/>
  <c r="BF13" i="14"/>
  <c r="BG13" i="14"/>
  <c r="BH13" i="14" s="1"/>
  <c r="BP13" i="14"/>
  <c r="BF17" i="14"/>
  <c r="BG17" i="14"/>
  <c r="BH17" i="14" s="1"/>
  <c r="BP17" i="14"/>
  <c r="BF21" i="14"/>
  <c r="BG21" i="14"/>
  <c r="BH21" i="14" s="1"/>
  <c r="BP21" i="14"/>
  <c r="BF25" i="14"/>
  <c r="BG25" i="14"/>
  <c r="BH25" i="14" s="1"/>
  <c r="BP25" i="14"/>
  <c r="BF29" i="14"/>
  <c r="BG29" i="14"/>
  <c r="BH29" i="14" s="1"/>
  <c r="BP29" i="14"/>
  <c r="BF33" i="14"/>
  <c r="BG33" i="14"/>
  <c r="BH33" i="14" s="1"/>
  <c r="BP33" i="14"/>
  <c r="BF37" i="14"/>
  <c r="BG37" i="14"/>
  <c r="BH37" i="14" s="1"/>
  <c r="BP37" i="14"/>
  <c r="BF41" i="14"/>
  <c r="BG41" i="14"/>
  <c r="BH41" i="14" s="1"/>
  <c r="BP41" i="14"/>
  <c r="BF45" i="14"/>
  <c r="BG45" i="14"/>
  <c r="BH45" i="14" s="1"/>
  <c r="BP45" i="14"/>
  <c r="BF49" i="14"/>
  <c r="BG49" i="14"/>
  <c r="BH49" i="14" s="1"/>
  <c r="BP49" i="14"/>
  <c r="BG53" i="14"/>
  <c r="BH53" i="14" s="1"/>
  <c r="BF53" i="14"/>
  <c r="BP53" i="14"/>
  <c r="BG57" i="14"/>
  <c r="BH57" i="14" s="1"/>
  <c r="BF57" i="14"/>
  <c r="BP57" i="14"/>
  <c r="BG61" i="14"/>
  <c r="BH61" i="14" s="1"/>
  <c r="BF61" i="14"/>
  <c r="BP61" i="14"/>
  <c r="BG65" i="14"/>
  <c r="BH65" i="14" s="1"/>
  <c r="BF65" i="14"/>
  <c r="BP65" i="14"/>
  <c r="BG69" i="14"/>
  <c r="BH69" i="14" s="1"/>
  <c r="BF69" i="14"/>
  <c r="BP69" i="14"/>
  <c r="BG73" i="14"/>
  <c r="BH73" i="14" s="1"/>
  <c r="BF73" i="14"/>
  <c r="BP73" i="14"/>
  <c r="BG77" i="14"/>
  <c r="BH77" i="14" s="1"/>
  <c r="BF77" i="14"/>
  <c r="BP77" i="14"/>
  <c r="BP81" i="14"/>
  <c r="BG81" i="14"/>
  <c r="BH81" i="14" s="1"/>
  <c r="BF81" i="14"/>
  <c r="BP85" i="14"/>
  <c r="BG85" i="14"/>
  <c r="BH85" i="14" s="1"/>
  <c r="BF85" i="14"/>
  <c r="BP89" i="14"/>
  <c r="BG89" i="14"/>
  <c r="BH89" i="14" s="1"/>
  <c r="BF89" i="14"/>
  <c r="BP93" i="14"/>
  <c r="BG93" i="14"/>
  <c r="BH93" i="14" s="1"/>
  <c r="BF93" i="14"/>
  <c r="BP97" i="14"/>
  <c r="BG97" i="14"/>
  <c r="BH97" i="14" s="1"/>
  <c r="BF97" i="14"/>
  <c r="BP101" i="14"/>
  <c r="BG101" i="14"/>
  <c r="BH101" i="14" s="1"/>
  <c r="BF101" i="14"/>
  <c r="BG105" i="14"/>
  <c r="BH105" i="14" s="1"/>
  <c r="BF105" i="14"/>
  <c r="BP105" i="14"/>
  <c r="BG109" i="14"/>
  <c r="BH109" i="14" s="1"/>
  <c r="BF109" i="14"/>
  <c r="BP109" i="14"/>
  <c r="BG113" i="14"/>
  <c r="BH113" i="14" s="1"/>
  <c r="BF113" i="14"/>
  <c r="BP113" i="14"/>
  <c r="BP117" i="14"/>
  <c r="BG117" i="14"/>
  <c r="BH117" i="14" s="1"/>
  <c r="BF117" i="14"/>
  <c r="BP121" i="14"/>
  <c r="BG121" i="14"/>
  <c r="BH121" i="14" s="1"/>
  <c r="BF121" i="14"/>
  <c r="BP125" i="14"/>
  <c r="BG125" i="14"/>
  <c r="BH125" i="14" s="1"/>
  <c r="BF125" i="14"/>
  <c r="BF8" i="14"/>
  <c r="BG8" i="14"/>
  <c r="BH8" i="14" s="1"/>
  <c r="BP8" i="14"/>
  <c r="BF12" i="14"/>
  <c r="BG12" i="14"/>
  <c r="BH12" i="14" s="1"/>
  <c r="BP12" i="14"/>
  <c r="BF16" i="14"/>
  <c r="BG16" i="14"/>
  <c r="BH16" i="14" s="1"/>
  <c r="BP16" i="14"/>
  <c r="BF20" i="14"/>
  <c r="BG20" i="14"/>
  <c r="BH20" i="14" s="1"/>
  <c r="BP20" i="14"/>
  <c r="BF24" i="14"/>
  <c r="BG24" i="14"/>
  <c r="BH24" i="14" s="1"/>
  <c r="BP24" i="14"/>
  <c r="BF28" i="14"/>
  <c r="BF147" i="14" s="1"/>
  <c r="BG28" i="14"/>
  <c r="BH28" i="14" s="1"/>
  <c r="BH147" i="14" s="1"/>
  <c r="BP28" i="14"/>
  <c r="BP160" i="14" s="1"/>
  <c r="BG32" i="14"/>
  <c r="BH32" i="14" s="1"/>
  <c r="BF32" i="14"/>
  <c r="BP32" i="14"/>
  <c r="BG36" i="14"/>
  <c r="BH36" i="14" s="1"/>
  <c r="BF36" i="14"/>
  <c r="BP36" i="14"/>
  <c r="BG40" i="14"/>
  <c r="BH40" i="14" s="1"/>
  <c r="BF40" i="14"/>
  <c r="BP40" i="14"/>
  <c r="BG44" i="14"/>
  <c r="BH44" i="14" s="1"/>
  <c r="BF44" i="14"/>
  <c r="BP44" i="14"/>
  <c r="BG48" i="14"/>
  <c r="BH48" i="14" s="1"/>
  <c r="BF48" i="14"/>
  <c r="BP48" i="14"/>
  <c r="BF52" i="14"/>
  <c r="BG52" i="14"/>
  <c r="BH52" i="14" s="1"/>
  <c r="BP52" i="14"/>
  <c r="BP56" i="14"/>
  <c r="BG56" i="14"/>
  <c r="BH56" i="14" s="1"/>
  <c r="BF56" i="14"/>
  <c r="BP60" i="14"/>
  <c r="BG60" i="14"/>
  <c r="BH60" i="14" s="1"/>
  <c r="BF60" i="14"/>
  <c r="BP64" i="14"/>
  <c r="BG64" i="14"/>
  <c r="BH64" i="14" s="1"/>
  <c r="BF64" i="14"/>
  <c r="BP68" i="14"/>
  <c r="BG68" i="14"/>
  <c r="BH68" i="14" s="1"/>
  <c r="BF68" i="14"/>
  <c r="BP72" i="14"/>
  <c r="BG72" i="14"/>
  <c r="BH72" i="14" s="1"/>
  <c r="BF72" i="14"/>
  <c r="BP76" i="14"/>
  <c r="BG76" i="14"/>
  <c r="BH76" i="14" s="1"/>
  <c r="BF76" i="14"/>
  <c r="BF80" i="14"/>
  <c r="BP80" i="14"/>
  <c r="BG80" i="14"/>
  <c r="BH80" i="14" s="1"/>
  <c r="BF84" i="14"/>
  <c r="BP84" i="14"/>
  <c r="BG84" i="14"/>
  <c r="BH84" i="14" s="1"/>
  <c r="BF88" i="14"/>
  <c r="BP88" i="14"/>
  <c r="BG88" i="14"/>
  <c r="BH88" i="14" s="1"/>
  <c r="BF92" i="14"/>
  <c r="BP92" i="14"/>
  <c r="BG92" i="14"/>
  <c r="BH92" i="14" s="1"/>
  <c r="BF96" i="14"/>
  <c r="BP96" i="14"/>
  <c r="BG96" i="14"/>
  <c r="BH96" i="14" s="1"/>
  <c r="BF100" i="14"/>
  <c r="BP100" i="14"/>
  <c r="BG100" i="14"/>
  <c r="BH100" i="14" s="1"/>
  <c r="BP104" i="14"/>
  <c r="BG104" i="14"/>
  <c r="BH104" i="14" s="1"/>
  <c r="BF104" i="14"/>
  <c r="BP108" i="14"/>
  <c r="BG108" i="14"/>
  <c r="BH108" i="14" s="1"/>
  <c r="BF108" i="14"/>
  <c r="BP112" i="14"/>
  <c r="BG112" i="14"/>
  <c r="BH112" i="14" s="1"/>
  <c r="BF112" i="14"/>
  <c r="BF116" i="14"/>
  <c r="BP116" i="14"/>
  <c r="BG116" i="14"/>
  <c r="BH116" i="14" s="1"/>
  <c r="BF120" i="14"/>
  <c r="BP120" i="14"/>
  <c r="BG120" i="14"/>
  <c r="BH120" i="14" s="1"/>
  <c r="BF124" i="14"/>
  <c r="BP124" i="14"/>
  <c r="BG124" i="14"/>
  <c r="BH124" i="14" s="1"/>
  <c r="BR125" i="14"/>
  <c r="BR123" i="14"/>
  <c r="BR121" i="14"/>
  <c r="BR119" i="14"/>
  <c r="BR117" i="14"/>
  <c r="BR115" i="14"/>
  <c r="BR113" i="14"/>
  <c r="BR111" i="14"/>
  <c r="BR109" i="14"/>
  <c r="BR107" i="14"/>
  <c r="BR103" i="14"/>
  <c r="BR101" i="14"/>
  <c r="BR99" i="14"/>
  <c r="BR97" i="14"/>
  <c r="BR95" i="14"/>
  <c r="BR93" i="14"/>
  <c r="BR91" i="14"/>
  <c r="BR89" i="14"/>
  <c r="BR87" i="14"/>
  <c r="BR85" i="14"/>
  <c r="BR83" i="14"/>
  <c r="BR81" i="14"/>
  <c r="BR79" i="14"/>
  <c r="BR105" i="14"/>
  <c r="BR77" i="14"/>
  <c r="BR75" i="14"/>
  <c r="BR73" i="14"/>
  <c r="BR71" i="14"/>
  <c r="BR69" i="14"/>
  <c r="BR67" i="14"/>
  <c r="BR65" i="14"/>
  <c r="BR63" i="14"/>
  <c r="BR61" i="14"/>
  <c r="BR59" i="14"/>
  <c r="BR57" i="14"/>
  <c r="BR55" i="14"/>
  <c r="BR53" i="14"/>
  <c r="BR51" i="14"/>
  <c r="BR49" i="14"/>
  <c r="BR47" i="14"/>
  <c r="BR45" i="14"/>
  <c r="BR43" i="14"/>
  <c r="BR41" i="14"/>
  <c r="BR39" i="14"/>
  <c r="BR37" i="14"/>
  <c r="BR35" i="14"/>
  <c r="BR33" i="14"/>
  <c r="BR31" i="14"/>
  <c r="BR29" i="14"/>
  <c r="BR27" i="14"/>
  <c r="BR25" i="14"/>
  <c r="BR23" i="14"/>
  <c r="BR21" i="14"/>
  <c r="BR19" i="14"/>
  <c r="BR17" i="14"/>
  <c r="BR15" i="14"/>
  <c r="BR13" i="14"/>
  <c r="BR11" i="14"/>
  <c r="BR9" i="14"/>
  <c r="BR7" i="14"/>
  <c r="BR5" i="14"/>
  <c r="BR124" i="14"/>
  <c r="BR122" i="14"/>
  <c r="BR120" i="14"/>
  <c r="BR118" i="14"/>
  <c r="BR116" i="14"/>
  <c r="BR114" i="14"/>
  <c r="BR112" i="14"/>
  <c r="BR110" i="14"/>
  <c r="BR108" i="14"/>
  <c r="BR106" i="14"/>
  <c r="BR102" i="14"/>
  <c r="BR100" i="14"/>
  <c r="BR98" i="14"/>
  <c r="BR96" i="14"/>
  <c r="BR94" i="14"/>
  <c r="BR92" i="14"/>
  <c r="BR90" i="14"/>
  <c r="BR88" i="14"/>
  <c r="BR86" i="14"/>
  <c r="BR84" i="14"/>
  <c r="BR82" i="14"/>
  <c r="BR80" i="14"/>
  <c r="BR78" i="14"/>
  <c r="BR104" i="14"/>
  <c r="BR76" i="14"/>
  <c r="BR74" i="14"/>
  <c r="BR72" i="14"/>
  <c r="BR70" i="14"/>
  <c r="BR68" i="14"/>
  <c r="BR66" i="14"/>
  <c r="BR64" i="14"/>
  <c r="BR62" i="14"/>
  <c r="BR60" i="14"/>
  <c r="BR58" i="14"/>
  <c r="BR56" i="14"/>
  <c r="BR54" i="14"/>
  <c r="BR52" i="14"/>
  <c r="BR50" i="14"/>
  <c r="BR48" i="14"/>
  <c r="BR46" i="14"/>
  <c r="BR44" i="14"/>
  <c r="BR42" i="14"/>
  <c r="BR40" i="14"/>
  <c r="BR38" i="14"/>
  <c r="BR36" i="14"/>
  <c r="BR34" i="14"/>
  <c r="BR32" i="14"/>
  <c r="BR30" i="14"/>
  <c r="BR28" i="14"/>
  <c r="BR26" i="14"/>
  <c r="BR24" i="14"/>
  <c r="BR22" i="14"/>
  <c r="BR20" i="14"/>
  <c r="BR18" i="14"/>
  <c r="BR16" i="14"/>
  <c r="BR14" i="14"/>
  <c r="BR12" i="14"/>
  <c r="BR10" i="14"/>
  <c r="BR8" i="14"/>
  <c r="BR6" i="14"/>
  <c r="BA97" i="14"/>
  <c r="BK97" i="14"/>
  <c r="BA85" i="14"/>
  <c r="BK85" i="14"/>
  <c r="BA61" i="14"/>
  <c r="BK61" i="14"/>
  <c r="BA59" i="14"/>
  <c r="BK59" i="14"/>
  <c r="BO92" i="14"/>
  <c r="BA113" i="14"/>
  <c r="BK113" i="14"/>
  <c r="BA105" i="14"/>
  <c r="BK105" i="14"/>
  <c r="BA91" i="14"/>
  <c r="BK91" i="14"/>
  <c r="BO79" i="14"/>
  <c r="BA67" i="14"/>
  <c r="BK67" i="14"/>
  <c r="BO67" i="14" s="1"/>
  <c r="BO90" i="14"/>
  <c r="BA56" i="14"/>
  <c r="BK56" i="14"/>
  <c r="BA30" i="14"/>
  <c r="BK30" i="14"/>
  <c r="BA106" i="14"/>
  <c r="BK106" i="14"/>
  <c r="AY96" i="14"/>
  <c r="AY126" i="14" s="1"/>
  <c r="AW96" i="14"/>
  <c r="AW126" i="14" s="1"/>
  <c r="AX176" i="14" s="1"/>
  <c r="AZ96" i="14"/>
  <c r="BD96" i="14"/>
  <c r="BD126" i="14" s="1"/>
  <c r="BB96" i="14"/>
  <c r="BB126" i="14" s="1"/>
  <c r="BO102" i="14"/>
  <c r="CI126" i="14"/>
  <c r="CK180" i="14" s="1"/>
  <c r="CM178" i="14"/>
  <c r="CM176" i="14"/>
  <c r="CM174" i="14"/>
  <c r="CL4" i="14"/>
  <c r="CF4" i="14"/>
  <c r="CE4" i="14"/>
  <c r="CM180" i="14"/>
  <c r="CM177" i="14"/>
  <c r="CM175" i="14"/>
  <c r="CK128" i="14"/>
  <c r="CH4" i="14"/>
  <c r="CE1" i="14" s="1"/>
  <c r="CG4" i="14"/>
  <c r="CI130" i="14"/>
  <c r="CI138" i="14" s="1"/>
  <c r="CK181" i="14" s="1"/>
  <c r="CI156" i="14"/>
  <c r="CV123" i="14"/>
  <c r="CV121" i="14"/>
  <c r="CV120" i="14"/>
  <c r="CV117" i="14"/>
  <c r="CV116" i="14"/>
  <c r="CV114" i="14"/>
  <c r="CV112" i="14"/>
  <c r="CV110" i="14"/>
  <c r="CV108" i="14"/>
  <c r="CV106" i="14"/>
  <c r="CV104" i="14"/>
  <c r="CV102" i="14"/>
  <c r="CV100" i="14"/>
  <c r="CV98" i="14"/>
  <c r="CV96" i="14"/>
  <c r="CV94" i="14"/>
  <c r="CV92" i="14"/>
  <c r="CV90" i="14"/>
  <c r="CV88" i="14"/>
  <c r="CV86" i="14"/>
  <c r="CV84" i="14"/>
  <c r="CV82" i="14"/>
  <c r="CV80" i="14"/>
  <c r="CV78" i="14"/>
  <c r="CV76" i="14"/>
  <c r="CV74" i="14"/>
  <c r="CV72" i="14"/>
  <c r="CV70" i="14"/>
  <c r="CV68" i="14"/>
  <c r="CV66" i="14"/>
  <c r="CV64" i="14"/>
  <c r="CV62" i="14"/>
  <c r="CV60" i="14"/>
  <c r="CV58" i="14"/>
  <c r="CV56" i="14"/>
  <c r="CV54" i="14"/>
  <c r="CV52" i="14"/>
  <c r="CV50" i="14"/>
  <c r="CV48" i="14"/>
  <c r="CV46" i="14"/>
  <c r="CV44" i="14"/>
  <c r="CV42" i="14"/>
  <c r="CV40" i="14"/>
  <c r="CV38" i="14"/>
  <c r="CV36" i="14"/>
  <c r="CV34" i="14"/>
  <c r="CV32" i="14"/>
  <c r="CV30" i="14"/>
  <c r="CV28" i="14"/>
  <c r="CV26" i="14"/>
  <c r="CV24" i="14"/>
  <c r="CV22" i="14"/>
  <c r="CV20" i="14"/>
  <c r="CV18" i="14"/>
  <c r="CV16" i="14"/>
  <c r="CV14" i="14"/>
  <c r="CV12" i="14"/>
  <c r="CV10" i="14"/>
  <c r="CV8" i="14"/>
  <c r="CV6" i="14"/>
  <c r="DD4" i="14"/>
  <c r="CX4" i="14"/>
  <c r="DM4" i="14"/>
  <c r="DA4" i="14"/>
  <c r="CV125" i="14"/>
  <c r="CV124" i="14"/>
  <c r="CV122" i="14"/>
  <c r="CV119" i="14"/>
  <c r="CV118" i="14"/>
  <c r="CV115" i="14"/>
  <c r="CV113" i="14"/>
  <c r="CV111" i="14"/>
  <c r="CV109" i="14"/>
  <c r="CV107" i="14"/>
  <c r="CV105" i="14"/>
  <c r="CV103" i="14"/>
  <c r="CV101" i="14"/>
  <c r="CV99" i="14"/>
  <c r="CV97" i="14"/>
  <c r="CV95" i="14"/>
  <c r="CV93" i="14"/>
  <c r="CV91" i="14"/>
  <c r="CV89" i="14"/>
  <c r="CV87" i="14"/>
  <c r="CV85" i="14"/>
  <c r="CV83" i="14"/>
  <c r="CV81" i="14"/>
  <c r="CV79" i="14"/>
  <c r="CV77" i="14"/>
  <c r="CV75" i="14"/>
  <c r="CV73" i="14"/>
  <c r="CV71" i="14"/>
  <c r="CV69" i="14"/>
  <c r="CV67" i="14"/>
  <c r="CV65" i="14"/>
  <c r="CV63" i="14"/>
  <c r="CV61" i="14"/>
  <c r="CV59" i="14"/>
  <c r="CV57" i="14"/>
  <c r="CV55" i="14"/>
  <c r="CV53" i="14"/>
  <c r="CV51" i="14"/>
  <c r="CV49" i="14"/>
  <c r="CV47" i="14"/>
  <c r="CV45" i="14"/>
  <c r="CV43" i="14"/>
  <c r="CV41" i="14"/>
  <c r="CV39" i="14"/>
  <c r="CV37" i="14"/>
  <c r="CV35" i="14"/>
  <c r="CV33" i="14"/>
  <c r="CV31" i="14"/>
  <c r="CV29" i="14"/>
  <c r="CV27" i="14"/>
  <c r="CV25" i="14"/>
  <c r="CV23" i="14"/>
  <c r="CV21" i="14"/>
  <c r="CV19" i="14"/>
  <c r="CV17" i="14"/>
  <c r="CV15" i="14"/>
  <c r="CV13" i="14"/>
  <c r="CV11" i="14"/>
  <c r="CV9" i="14"/>
  <c r="CV7" i="14"/>
  <c r="CV5" i="14"/>
  <c r="DB4" i="14"/>
  <c r="CV4" i="14"/>
  <c r="CW4" i="14" s="1"/>
  <c r="DC4" i="14"/>
  <c r="BV164" i="14"/>
  <c r="BA124" i="14"/>
  <c r="BK124" i="14"/>
  <c r="BA62" i="14"/>
  <c r="BK62" i="14"/>
  <c r="BO83" i="14"/>
  <c r="BA75" i="14"/>
  <c r="BK75" i="14"/>
  <c r="BO64" i="14"/>
  <c r="BA101" i="14"/>
  <c r="BK101" i="14"/>
  <c r="BA94" i="14"/>
  <c r="BK94" i="14"/>
  <c r="BO94" i="14" s="1"/>
  <c r="BA125" i="14"/>
  <c r="BK125" i="14"/>
  <c r="BO125" i="14" s="1"/>
  <c r="BA81" i="14"/>
  <c r="BK81" i="14"/>
  <c r="BA77" i="14"/>
  <c r="BK77" i="14"/>
  <c r="BA73" i="14"/>
  <c r="BK73" i="14"/>
  <c r="BO73" i="14" s="1"/>
  <c r="BA57" i="14"/>
  <c r="BK57" i="14"/>
  <c r="BA120" i="14"/>
  <c r="BK120" i="14"/>
  <c r="BA58" i="14"/>
  <c r="BK58" i="14"/>
  <c r="BO58" i="14" s="1"/>
  <c r="BA43" i="14"/>
  <c r="BK43" i="14"/>
  <c r="BA39" i="14"/>
  <c r="BK39" i="14"/>
  <c r="BA49" i="14"/>
  <c r="BK49" i="14"/>
  <c r="BA55" i="14"/>
  <c r="BK55" i="14"/>
  <c r="BO55" i="14" s="1"/>
  <c r="BA52" i="14"/>
  <c r="BK52" i="14"/>
  <c r="BA46" i="14"/>
  <c r="BK46" i="14"/>
  <c r="BA45" i="14"/>
  <c r="BK45" i="14"/>
  <c r="BO45" i="14" s="1"/>
  <c r="BA44" i="14"/>
  <c r="BK44" i="14"/>
  <c r="BA40" i="14"/>
  <c r="BK40" i="14"/>
  <c r="BA42" i="14"/>
  <c r="BK42" i="14"/>
  <c r="BA50" i="14"/>
  <c r="BK50" i="14"/>
  <c r="BA54" i="14"/>
  <c r="BK54" i="14"/>
  <c r="BO54" i="14" s="1"/>
  <c r="BA34" i="14"/>
  <c r="BK34" i="14"/>
  <c r="BA38" i="14"/>
  <c r="BK38" i="14"/>
  <c r="BO38" i="14" s="1"/>
  <c r="BA36" i="14"/>
  <c r="BK36" i="14"/>
  <c r="BO36" i="14" s="1"/>
  <c r="BA53" i="14"/>
  <c r="BK53" i="14"/>
  <c r="BA51" i="14"/>
  <c r="BK51" i="14"/>
  <c r="BO51" i="14" s="1"/>
  <c r="BA35" i="14"/>
  <c r="BK35" i="14"/>
  <c r="BO35" i="14" s="1"/>
  <c r="BA31" i="14"/>
  <c r="BK31" i="14"/>
  <c r="BA32" i="14"/>
  <c r="BK32" i="14"/>
  <c r="BA41" i="14"/>
  <c r="BK41" i="14"/>
  <c r="BA37" i="14"/>
  <c r="BK37" i="14"/>
  <c r="BA33" i="14"/>
  <c r="BK33" i="14"/>
  <c r="BA48" i="14"/>
  <c r="BK48" i="14"/>
  <c r="BA47" i="14"/>
  <c r="BK47" i="14"/>
  <c r="BO47" i="14" s="1"/>
  <c r="BD156" i="14"/>
  <c r="AX138" i="14"/>
  <c r="BA7" i="14"/>
  <c r="BK7" i="14"/>
  <c r="AY143" i="14"/>
  <c r="AY151" i="14" s="1"/>
  <c r="AM143" i="14"/>
  <c r="AN151" i="14"/>
  <c r="BA12" i="14"/>
  <c r="BK12" i="14"/>
  <c r="BA28" i="14"/>
  <c r="BA147" i="14" s="1"/>
  <c r="AZ147" i="14" s="1"/>
  <c r="BK28" i="14"/>
  <c r="BK134" i="14" s="1"/>
  <c r="BA8" i="14"/>
  <c r="AZ126" i="14"/>
  <c r="BK8" i="14"/>
  <c r="BO8" i="14" s="1"/>
  <c r="BA16" i="14"/>
  <c r="BK16" i="14"/>
  <c r="BA24" i="14"/>
  <c r="BK24" i="14"/>
  <c r="BA10" i="14"/>
  <c r="BK10" i="14"/>
  <c r="BO10" i="14" s="1"/>
  <c r="BA14" i="14"/>
  <c r="BK14" i="14"/>
  <c r="BA18" i="14"/>
  <c r="BK18" i="14"/>
  <c r="BA29" i="14"/>
  <c r="BK29" i="14"/>
  <c r="BA22" i="14"/>
  <c r="BK22" i="14"/>
  <c r="BA26" i="14"/>
  <c r="BK26" i="14"/>
  <c r="BA27" i="14"/>
  <c r="BK27" i="14"/>
  <c r="BA23" i="14"/>
  <c r="BK23" i="14"/>
  <c r="BA19" i="14"/>
  <c r="BK19" i="14"/>
  <c r="BA15" i="14"/>
  <c r="BK15" i="14"/>
  <c r="BA11" i="14"/>
  <c r="BK11" i="14"/>
  <c r="BA20" i="14"/>
  <c r="BK20" i="14"/>
  <c r="AX182" i="14"/>
  <c r="AX177" i="14"/>
  <c r="BA25" i="14"/>
  <c r="BK25" i="14"/>
  <c r="BA21" i="14"/>
  <c r="BK21" i="14"/>
  <c r="BA17" i="14"/>
  <c r="BK17" i="14"/>
  <c r="BA13" i="14"/>
  <c r="BK13" i="14"/>
  <c r="BA9" i="14"/>
  <c r="BK9" i="14"/>
  <c r="BD164" i="14"/>
  <c r="Z147" i="14"/>
  <c r="D26" i="17"/>
  <c r="D28" i="17" s="1"/>
  <c r="H23" i="17"/>
  <c r="G23" i="17"/>
  <c r="H24" i="17"/>
  <c r="AC164" i="14"/>
  <c r="U151" i="14"/>
  <c r="S151" i="14"/>
  <c r="Z143" i="14"/>
  <c r="E14" i="7"/>
  <c r="H14" i="7" s="1"/>
  <c r="G24" i="17" l="1"/>
  <c r="G25" i="17" s="1"/>
  <c r="BN95" i="14"/>
  <c r="BX95" i="14"/>
  <c r="CI164" i="14"/>
  <c r="BN93" i="14"/>
  <c r="BX93" i="14"/>
  <c r="CB93" i="14" s="1"/>
  <c r="CV126" i="14"/>
  <c r="CX180" i="14" s="1"/>
  <c r="BJ57" i="14"/>
  <c r="BL57" i="14"/>
  <c r="BQ57" i="14"/>
  <c r="BM57" i="14"/>
  <c r="BJ75" i="14"/>
  <c r="BL75" i="14"/>
  <c r="BM75" i="14"/>
  <c r="BQ75" i="14"/>
  <c r="BJ124" i="14"/>
  <c r="BL124" i="14"/>
  <c r="BM124" i="14"/>
  <c r="BQ124" i="14"/>
  <c r="BO124" i="14"/>
  <c r="CZ180" i="14"/>
  <c r="CZ177" i="14"/>
  <c r="CZ175" i="14"/>
  <c r="CX128" i="14"/>
  <c r="CR4" i="14"/>
  <c r="CU4" i="14"/>
  <c r="CR1" i="14" s="1"/>
  <c r="CZ178" i="14"/>
  <c r="CZ176" i="14"/>
  <c r="CZ174" i="14"/>
  <c r="CT4" i="14"/>
  <c r="CY4" i="14"/>
  <c r="CS4" i="14"/>
  <c r="CV130" i="14"/>
  <c r="CV156" i="14"/>
  <c r="CE125" i="14"/>
  <c r="CE123" i="14"/>
  <c r="CE121" i="14"/>
  <c r="CE119" i="14"/>
  <c r="CE117" i="14"/>
  <c r="CE114" i="14"/>
  <c r="CE112" i="14"/>
  <c r="CE110" i="14"/>
  <c r="CE108" i="14"/>
  <c r="CE106" i="14"/>
  <c r="CE104" i="14"/>
  <c r="CE102" i="14"/>
  <c r="CE100" i="14"/>
  <c r="CE98" i="14"/>
  <c r="CE96" i="14"/>
  <c r="CE94" i="14"/>
  <c r="CE92" i="14"/>
  <c r="CE90" i="14"/>
  <c r="CE88" i="14"/>
  <c r="CE86" i="14"/>
  <c r="CE84" i="14"/>
  <c r="CE82" i="14"/>
  <c r="CE80" i="14"/>
  <c r="CE78" i="14"/>
  <c r="CE76" i="14"/>
  <c r="CE74" i="14"/>
  <c r="CE72" i="14"/>
  <c r="CE70" i="14"/>
  <c r="CE68" i="14"/>
  <c r="CE66" i="14"/>
  <c r="CE64" i="14"/>
  <c r="CE62" i="14"/>
  <c r="CE60" i="14"/>
  <c r="CE58" i="14"/>
  <c r="CE56" i="14"/>
  <c r="CE54" i="14"/>
  <c r="CE52" i="14"/>
  <c r="CE50" i="14"/>
  <c r="CE48" i="14"/>
  <c r="CE46" i="14"/>
  <c r="CE44" i="14"/>
  <c r="CE42" i="14"/>
  <c r="CE40" i="14"/>
  <c r="CE38" i="14"/>
  <c r="CE36" i="14"/>
  <c r="CE34" i="14"/>
  <c r="CE32" i="14"/>
  <c r="CE30" i="14"/>
  <c r="CE28" i="14"/>
  <c r="CE26" i="14"/>
  <c r="CE24" i="14"/>
  <c r="CE22" i="14"/>
  <c r="CE20" i="14"/>
  <c r="CE18" i="14"/>
  <c r="CE16" i="14"/>
  <c r="CE14" i="14"/>
  <c r="CE12" i="14"/>
  <c r="CE10" i="14"/>
  <c r="CE8" i="14"/>
  <c r="CE6" i="14"/>
  <c r="CE115" i="14"/>
  <c r="CE124" i="14"/>
  <c r="CE122" i="14"/>
  <c r="CE120" i="14"/>
  <c r="CE118" i="14"/>
  <c r="CE116" i="14"/>
  <c r="CE113" i="14"/>
  <c r="CE111" i="14"/>
  <c r="CE109" i="14"/>
  <c r="CE107" i="14"/>
  <c r="CE105" i="14"/>
  <c r="CE103" i="14"/>
  <c r="CE101" i="14"/>
  <c r="CE99" i="14"/>
  <c r="CE97" i="14"/>
  <c r="CE95" i="14"/>
  <c r="CE93" i="14"/>
  <c r="CE91" i="14"/>
  <c r="CE89" i="14"/>
  <c r="CE87" i="14"/>
  <c r="CE85" i="14"/>
  <c r="CE83" i="14"/>
  <c r="CE81" i="14"/>
  <c r="CE79" i="14"/>
  <c r="CE77" i="14"/>
  <c r="CE75" i="14"/>
  <c r="CE73" i="14"/>
  <c r="CE71" i="14"/>
  <c r="CE69" i="14"/>
  <c r="CE67" i="14"/>
  <c r="CE65" i="14"/>
  <c r="CE63" i="14"/>
  <c r="CE61" i="14"/>
  <c r="CE59" i="14"/>
  <c r="CE57" i="14"/>
  <c r="CE55" i="14"/>
  <c r="CE53" i="14"/>
  <c r="CE51" i="14"/>
  <c r="CE49" i="14"/>
  <c r="CE47" i="14"/>
  <c r="CE45" i="14"/>
  <c r="CE43" i="14"/>
  <c r="CE41" i="14"/>
  <c r="CE39" i="14"/>
  <c r="CE37" i="14"/>
  <c r="CE35" i="14"/>
  <c r="CE33" i="14"/>
  <c r="CE31" i="14"/>
  <c r="CE29" i="14"/>
  <c r="CE27" i="14"/>
  <c r="CE25" i="14"/>
  <c r="CE23" i="14"/>
  <c r="CE21" i="14"/>
  <c r="CE19" i="14"/>
  <c r="CE17" i="14"/>
  <c r="CE15" i="14"/>
  <c r="CE13" i="14"/>
  <c r="CE11" i="14"/>
  <c r="CE9" i="14"/>
  <c r="CE7" i="14"/>
  <c r="CE5" i="14"/>
  <c r="CJ181" i="14"/>
  <c r="BA96" i="14"/>
  <c r="BK96" i="14"/>
  <c r="BK174" i="14" s="1"/>
  <c r="BL56" i="14"/>
  <c r="BJ56" i="14"/>
  <c r="BM56" i="14"/>
  <c r="BQ56" i="14"/>
  <c r="BL91" i="14"/>
  <c r="BJ91" i="14"/>
  <c r="BM91" i="14"/>
  <c r="BQ91" i="14"/>
  <c r="BL113" i="14"/>
  <c r="BJ113" i="14"/>
  <c r="BM113" i="14"/>
  <c r="BQ113" i="14"/>
  <c r="BJ85" i="14"/>
  <c r="BL85" i="14"/>
  <c r="BM85" i="14"/>
  <c r="BQ85" i="14"/>
  <c r="BO85" i="14"/>
  <c r="BT6" i="14"/>
  <c r="BU6" i="14" s="1"/>
  <c r="BS6" i="14"/>
  <c r="CC6" i="14"/>
  <c r="BS10" i="14"/>
  <c r="BT10" i="14"/>
  <c r="BU10" i="14" s="1"/>
  <c r="CC10" i="14"/>
  <c r="BS14" i="14"/>
  <c r="BT14" i="14"/>
  <c r="BU14" i="14" s="1"/>
  <c r="CC14" i="14"/>
  <c r="BS18" i="14"/>
  <c r="BT18" i="14"/>
  <c r="BU18" i="14" s="1"/>
  <c r="CC18" i="14"/>
  <c r="BS22" i="14"/>
  <c r="BT22" i="14"/>
  <c r="BU22" i="14" s="1"/>
  <c r="CC22" i="14"/>
  <c r="BS26" i="14"/>
  <c r="BT26" i="14"/>
  <c r="BU26" i="14" s="1"/>
  <c r="CC26" i="14"/>
  <c r="CC30" i="14"/>
  <c r="BT30" i="14"/>
  <c r="BU30" i="14" s="1"/>
  <c r="BS30" i="14"/>
  <c r="BT34" i="14"/>
  <c r="BU34" i="14" s="1"/>
  <c r="BS34" i="14"/>
  <c r="CC34" i="14"/>
  <c r="BT38" i="14"/>
  <c r="BU38" i="14" s="1"/>
  <c r="BS38" i="14"/>
  <c r="CC38" i="14"/>
  <c r="BT42" i="14"/>
  <c r="BU42" i="14" s="1"/>
  <c r="BS42" i="14"/>
  <c r="CC42" i="14"/>
  <c r="BT46" i="14"/>
  <c r="BU46" i="14" s="1"/>
  <c r="BS46" i="14"/>
  <c r="CC46" i="14"/>
  <c r="BT50" i="14"/>
  <c r="BU50" i="14" s="1"/>
  <c r="BS50" i="14"/>
  <c r="CC50" i="14"/>
  <c r="BS54" i="14"/>
  <c r="BT54" i="14"/>
  <c r="BU54" i="14" s="1"/>
  <c r="CC54" i="14"/>
  <c r="BS58" i="14"/>
  <c r="CC58" i="14"/>
  <c r="BT58" i="14"/>
  <c r="BU58" i="14" s="1"/>
  <c r="BS62" i="14"/>
  <c r="CC62" i="14"/>
  <c r="BT62" i="14"/>
  <c r="BU62" i="14" s="1"/>
  <c r="BS66" i="14"/>
  <c r="CC66" i="14"/>
  <c r="BT66" i="14"/>
  <c r="BU66" i="14" s="1"/>
  <c r="BS70" i="14"/>
  <c r="CC70" i="14"/>
  <c r="BT70" i="14"/>
  <c r="BU70" i="14" s="1"/>
  <c r="BS74" i="14"/>
  <c r="CC74" i="14"/>
  <c r="BT74" i="14"/>
  <c r="BU74" i="14" s="1"/>
  <c r="BS104" i="14"/>
  <c r="CC104" i="14"/>
  <c r="BT104" i="14"/>
  <c r="BU104" i="14" s="1"/>
  <c r="CC80" i="14"/>
  <c r="BT80" i="14"/>
  <c r="BU80" i="14" s="1"/>
  <c r="BS80" i="14"/>
  <c r="CC84" i="14"/>
  <c r="BT84" i="14"/>
  <c r="BU84" i="14" s="1"/>
  <c r="BS84" i="14"/>
  <c r="CC88" i="14"/>
  <c r="BT88" i="14"/>
  <c r="BU88" i="14" s="1"/>
  <c r="BS88" i="14"/>
  <c r="CC92" i="14"/>
  <c r="BT92" i="14"/>
  <c r="BU92" i="14" s="1"/>
  <c r="BS92" i="14"/>
  <c r="CC96" i="14"/>
  <c r="BT96" i="14"/>
  <c r="BU96" i="14" s="1"/>
  <c r="BS96" i="14"/>
  <c r="CC100" i="14"/>
  <c r="BT100" i="14"/>
  <c r="BU100" i="14" s="1"/>
  <c r="BS100" i="14"/>
  <c r="BS106" i="14"/>
  <c r="CC106" i="14"/>
  <c r="BT106" i="14"/>
  <c r="BU106" i="14" s="1"/>
  <c r="BS110" i="14"/>
  <c r="CC110" i="14"/>
  <c r="BT110" i="14"/>
  <c r="BU110" i="14" s="1"/>
  <c r="BS114" i="14"/>
  <c r="CC114" i="14"/>
  <c r="BT114" i="14"/>
  <c r="BU114" i="14" s="1"/>
  <c r="CC118" i="14"/>
  <c r="BT118" i="14"/>
  <c r="BU118" i="14" s="1"/>
  <c r="BS118" i="14"/>
  <c r="CC122" i="14"/>
  <c r="BT122" i="14"/>
  <c r="BU122" i="14" s="1"/>
  <c r="BS122" i="14"/>
  <c r="BR126" i="14"/>
  <c r="CC5" i="14"/>
  <c r="BT5" i="14"/>
  <c r="BS5" i="14"/>
  <c r="BT9" i="14"/>
  <c r="BU9" i="14" s="1"/>
  <c r="BS9" i="14"/>
  <c r="CC9" i="14"/>
  <c r="BT13" i="14"/>
  <c r="BU13" i="14" s="1"/>
  <c r="BS13" i="14"/>
  <c r="CC13" i="14"/>
  <c r="BT17" i="14"/>
  <c r="BU17" i="14" s="1"/>
  <c r="BS17" i="14"/>
  <c r="CC17" i="14"/>
  <c r="BT21" i="14"/>
  <c r="BU21" i="14" s="1"/>
  <c r="BS21" i="14"/>
  <c r="CC21" i="14"/>
  <c r="BT25" i="14"/>
  <c r="BU25" i="14" s="1"/>
  <c r="BS25" i="14"/>
  <c r="CC25" i="14"/>
  <c r="BT29" i="14"/>
  <c r="BU29" i="14" s="1"/>
  <c r="BS29" i="14"/>
  <c r="CC29" i="14"/>
  <c r="BT33" i="14"/>
  <c r="BU33" i="14" s="1"/>
  <c r="BS33" i="14"/>
  <c r="CC33" i="14"/>
  <c r="BT37" i="14"/>
  <c r="BU37" i="14" s="1"/>
  <c r="BS37" i="14"/>
  <c r="CC37" i="14"/>
  <c r="BT41" i="14"/>
  <c r="BU41" i="14" s="1"/>
  <c r="BS41" i="14"/>
  <c r="CC41" i="14"/>
  <c r="BT45" i="14"/>
  <c r="BU45" i="14" s="1"/>
  <c r="BS45" i="14"/>
  <c r="CC45" i="14"/>
  <c r="BT49" i="14"/>
  <c r="BU49" i="14" s="1"/>
  <c r="BS49" i="14"/>
  <c r="CC49" i="14"/>
  <c r="BS53" i="14"/>
  <c r="BT53" i="14"/>
  <c r="BU53" i="14" s="1"/>
  <c r="CC53" i="14"/>
  <c r="CC57" i="14"/>
  <c r="BT57" i="14"/>
  <c r="BU57" i="14" s="1"/>
  <c r="BS57" i="14"/>
  <c r="CC61" i="14"/>
  <c r="BT61" i="14"/>
  <c r="BU61" i="14" s="1"/>
  <c r="BS61" i="14"/>
  <c r="CC65" i="14"/>
  <c r="BT65" i="14"/>
  <c r="BU65" i="14" s="1"/>
  <c r="BS65" i="14"/>
  <c r="CC69" i="14"/>
  <c r="BT69" i="14"/>
  <c r="BU69" i="14" s="1"/>
  <c r="BS69" i="14"/>
  <c r="CC73" i="14"/>
  <c r="BT73" i="14"/>
  <c r="BU73" i="14" s="1"/>
  <c r="BS73" i="14"/>
  <c r="CC77" i="14"/>
  <c r="BT77" i="14"/>
  <c r="BU77" i="14" s="1"/>
  <c r="BS77" i="14"/>
  <c r="BT79" i="14"/>
  <c r="BU79" i="14" s="1"/>
  <c r="BS79" i="14"/>
  <c r="CC79" i="14"/>
  <c r="BT83" i="14"/>
  <c r="BU83" i="14" s="1"/>
  <c r="BS83" i="14"/>
  <c r="CC83" i="14"/>
  <c r="BT87" i="14"/>
  <c r="BU87" i="14" s="1"/>
  <c r="BS87" i="14"/>
  <c r="CC87" i="14"/>
  <c r="BT91" i="14"/>
  <c r="BU91" i="14" s="1"/>
  <c r="BS91" i="14"/>
  <c r="CC91" i="14"/>
  <c r="BT95" i="14"/>
  <c r="BU95" i="14" s="1"/>
  <c r="BS95" i="14"/>
  <c r="CC95" i="14"/>
  <c r="BT99" i="14"/>
  <c r="BU99" i="14" s="1"/>
  <c r="BS99" i="14"/>
  <c r="CC99" i="14"/>
  <c r="CC103" i="14"/>
  <c r="BS103" i="14"/>
  <c r="BT103" i="14"/>
  <c r="BU103" i="14" s="1"/>
  <c r="CC109" i="14"/>
  <c r="BT109" i="14"/>
  <c r="BU109" i="14" s="1"/>
  <c r="BS109" i="14"/>
  <c r="CC113" i="14"/>
  <c r="BT113" i="14"/>
  <c r="BU113" i="14" s="1"/>
  <c r="BS113" i="14"/>
  <c r="BT117" i="14"/>
  <c r="BU117" i="14" s="1"/>
  <c r="BS117" i="14"/>
  <c r="CC117" i="14"/>
  <c r="BT121" i="14"/>
  <c r="BU121" i="14" s="1"/>
  <c r="BS121" i="14"/>
  <c r="CC121" i="14"/>
  <c r="BT125" i="14"/>
  <c r="BU125" i="14" s="1"/>
  <c r="BS125" i="14"/>
  <c r="CC125" i="14"/>
  <c r="BP126" i="14"/>
  <c r="BO122" i="14"/>
  <c r="BJ122" i="14"/>
  <c r="BL122" i="14"/>
  <c r="BM122" i="14"/>
  <c r="BQ122" i="14"/>
  <c r="BL88" i="14"/>
  <c r="BJ88" i="14"/>
  <c r="BQ88" i="14"/>
  <c r="BM88" i="14"/>
  <c r="BO88" i="14"/>
  <c r="BJ82" i="14"/>
  <c r="BL82" i="14"/>
  <c r="BQ82" i="14"/>
  <c r="BM82" i="14"/>
  <c r="BJ90" i="14"/>
  <c r="BL90" i="14"/>
  <c r="BQ90" i="14"/>
  <c r="BM90" i="14"/>
  <c r="BJ63" i="14"/>
  <c r="BL63" i="14"/>
  <c r="BM63" i="14"/>
  <c r="BQ63" i="14"/>
  <c r="BL79" i="14"/>
  <c r="BJ79" i="14"/>
  <c r="BM79" i="14"/>
  <c r="BQ79" i="14"/>
  <c r="BL83" i="14"/>
  <c r="BJ83" i="14"/>
  <c r="BM83" i="14"/>
  <c r="BQ83" i="14"/>
  <c r="BL87" i="14"/>
  <c r="BJ87" i="14"/>
  <c r="BM87" i="14"/>
  <c r="BQ87" i="14"/>
  <c r="BL92" i="14"/>
  <c r="BJ92" i="14"/>
  <c r="BQ92" i="14"/>
  <c r="BM92" i="14"/>
  <c r="BJ102" i="14"/>
  <c r="BL102" i="14"/>
  <c r="BQ102" i="14"/>
  <c r="BM102" i="14"/>
  <c r="BJ98" i="14"/>
  <c r="BL98" i="14"/>
  <c r="BQ98" i="14"/>
  <c r="BM98" i="14"/>
  <c r="BO98" i="14"/>
  <c r="BL99" i="14"/>
  <c r="BJ99" i="14"/>
  <c r="BM99" i="14"/>
  <c r="BQ99" i="14"/>
  <c r="BO99" i="14"/>
  <c r="BL64" i="14"/>
  <c r="BJ64" i="14"/>
  <c r="BM64" i="14"/>
  <c r="BQ64" i="14"/>
  <c r="BO75" i="14"/>
  <c r="BL103" i="14"/>
  <c r="BJ103" i="14"/>
  <c r="BM103" i="14"/>
  <c r="BQ103" i="14"/>
  <c r="BJ107" i="14"/>
  <c r="BL107" i="14"/>
  <c r="BM107" i="14"/>
  <c r="BQ107" i="14"/>
  <c r="BO107" i="14"/>
  <c r="BJ116" i="14"/>
  <c r="BL116" i="14"/>
  <c r="BM116" i="14"/>
  <c r="BQ116" i="14"/>
  <c r="BO116" i="14"/>
  <c r="BJ117" i="14"/>
  <c r="BL117" i="14"/>
  <c r="BM117" i="14"/>
  <c r="BQ117" i="14"/>
  <c r="BO117" i="14"/>
  <c r="BH143" i="14"/>
  <c r="BH151" i="14" s="1"/>
  <c r="BL110" i="14"/>
  <c r="BJ110" i="14"/>
  <c r="BQ110" i="14"/>
  <c r="BM110" i="14"/>
  <c r="BO110" i="14"/>
  <c r="BO63" i="14"/>
  <c r="BL84" i="14"/>
  <c r="BJ84" i="14"/>
  <c r="BQ84" i="14"/>
  <c r="BM84" i="14"/>
  <c r="BO84" i="14"/>
  <c r="BJ58" i="14"/>
  <c r="BL58" i="14"/>
  <c r="BM58" i="14"/>
  <c r="BQ58" i="14"/>
  <c r="BO120" i="14"/>
  <c r="BJ120" i="14"/>
  <c r="BL120" i="14"/>
  <c r="BM120" i="14"/>
  <c r="BQ120" i="14"/>
  <c r="BJ73" i="14"/>
  <c r="BL73" i="14"/>
  <c r="BQ73" i="14"/>
  <c r="BM73" i="14"/>
  <c r="BJ77" i="14"/>
  <c r="BL77" i="14"/>
  <c r="BQ77" i="14"/>
  <c r="BM77" i="14"/>
  <c r="BJ81" i="14"/>
  <c r="BL81" i="14"/>
  <c r="BM81" i="14"/>
  <c r="BQ81" i="14"/>
  <c r="BJ125" i="14"/>
  <c r="BL125" i="14"/>
  <c r="BM125" i="14"/>
  <c r="BQ125" i="14"/>
  <c r="BJ94" i="14"/>
  <c r="BL94" i="14"/>
  <c r="BQ94" i="14"/>
  <c r="BM94" i="14"/>
  <c r="BJ101" i="14"/>
  <c r="BL101" i="14"/>
  <c r="BM101" i="14"/>
  <c r="BQ101" i="14"/>
  <c r="BJ62" i="14"/>
  <c r="BL62" i="14"/>
  <c r="BM62" i="14"/>
  <c r="BQ62" i="14"/>
  <c r="BO62" i="14"/>
  <c r="BO81" i="14"/>
  <c r="DI125" i="14"/>
  <c r="DI123" i="14"/>
  <c r="DI121" i="14"/>
  <c r="DI119" i="14"/>
  <c r="DI117" i="14"/>
  <c r="DI115" i="14"/>
  <c r="DI113" i="14"/>
  <c r="DI111" i="14"/>
  <c r="DI109" i="14"/>
  <c r="DI107" i="14"/>
  <c r="DI105" i="14"/>
  <c r="DI103" i="14"/>
  <c r="DI101" i="14"/>
  <c r="DI99" i="14"/>
  <c r="DI97" i="14"/>
  <c r="DI95" i="14"/>
  <c r="DI93" i="14"/>
  <c r="DI91" i="14"/>
  <c r="DI89" i="14"/>
  <c r="DI87" i="14"/>
  <c r="DI85" i="14"/>
  <c r="DI83" i="14"/>
  <c r="DI81" i="14"/>
  <c r="DI79" i="14"/>
  <c r="DI77" i="14"/>
  <c r="DI75" i="14"/>
  <c r="DI73" i="14"/>
  <c r="DI71" i="14"/>
  <c r="DI69" i="14"/>
  <c r="DI67" i="14"/>
  <c r="DI65" i="14"/>
  <c r="DI63" i="14"/>
  <c r="DI61" i="14"/>
  <c r="DI59" i="14"/>
  <c r="DI57" i="14"/>
  <c r="DI55" i="14"/>
  <c r="DI53" i="14"/>
  <c r="DZ4" i="14"/>
  <c r="DN4" i="14"/>
  <c r="DI50" i="14"/>
  <c r="DI48" i="14"/>
  <c r="DI46" i="14"/>
  <c r="DI44" i="14"/>
  <c r="DI42" i="14"/>
  <c r="DI40" i="14"/>
  <c r="DI38" i="14"/>
  <c r="DI36" i="14"/>
  <c r="DI34" i="14"/>
  <c r="DI32" i="14"/>
  <c r="DI30" i="14"/>
  <c r="DI28" i="14"/>
  <c r="DI26" i="14"/>
  <c r="DI24" i="14"/>
  <c r="DI22" i="14"/>
  <c r="DI20" i="14"/>
  <c r="DI18" i="14"/>
  <c r="DI16" i="14"/>
  <c r="DI14" i="14"/>
  <c r="DI12" i="14"/>
  <c r="DI10" i="14"/>
  <c r="DI8" i="14"/>
  <c r="DI6" i="14"/>
  <c r="DQ4" i="14"/>
  <c r="DK4" i="14"/>
  <c r="DI124" i="14"/>
  <c r="DI122" i="14"/>
  <c r="DI120" i="14"/>
  <c r="DI118" i="14"/>
  <c r="DI116" i="14"/>
  <c r="DI114" i="14"/>
  <c r="DI112" i="14"/>
  <c r="DI110" i="14"/>
  <c r="DI108" i="14"/>
  <c r="DI106" i="14"/>
  <c r="DI104" i="14"/>
  <c r="DI102" i="14"/>
  <c r="DI100" i="14"/>
  <c r="DI98" i="14"/>
  <c r="DI96" i="14"/>
  <c r="DI94" i="14"/>
  <c r="DI92" i="14"/>
  <c r="DI90" i="14"/>
  <c r="DI88" i="14"/>
  <c r="DI86" i="14"/>
  <c r="DI84" i="14"/>
  <c r="DI82" i="14"/>
  <c r="DI80" i="14"/>
  <c r="DI78" i="14"/>
  <c r="DI76" i="14"/>
  <c r="DI74" i="14"/>
  <c r="DI72" i="14"/>
  <c r="DI70" i="14"/>
  <c r="DI68" i="14"/>
  <c r="DI66" i="14"/>
  <c r="DI64" i="14"/>
  <c r="DI62" i="14"/>
  <c r="DI60" i="14"/>
  <c r="DI58" i="14"/>
  <c r="DI56" i="14"/>
  <c r="DI54" i="14"/>
  <c r="DI52" i="14"/>
  <c r="DP4" i="14"/>
  <c r="DI51" i="14"/>
  <c r="DI49" i="14"/>
  <c r="DI47" i="14"/>
  <c r="DI45" i="14"/>
  <c r="DI43" i="14"/>
  <c r="DI41" i="14"/>
  <c r="DI39" i="14"/>
  <c r="DI37" i="14"/>
  <c r="DI35" i="14"/>
  <c r="DI33" i="14"/>
  <c r="DI31" i="14"/>
  <c r="DI29" i="14"/>
  <c r="DI27" i="14"/>
  <c r="DI25" i="14"/>
  <c r="DI23" i="14"/>
  <c r="DI21" i="14"/>
  <c r="DI19" i="14"/>
  <c r="DI17" i="14"/>
  <c r="DI15" i="14"/>
  <c r="DI13" i="14"/>
  <c r="DI11" i="14"/>
  <c r="DI9" i="14"/>
  <c r="DI7" i="14"/>
  <c r="DI5" i="14"/>
  <c r="DO4" i="14"/>
  <c r="DI4" i="14"/>
  <c r="DJ4" i="14" s="1"/>
  <c r="CV134" i="14"/>
  <c r="CV160" i="14"/>
  <c r="BL106" i="14"/>
  <c r="BJ106" i="14"/>
  <c r="BQ106" i="14"/>
  <c r="BM106" i="14"/>
  <c r="BO106" i="14"/>
  <c r="BL30" i="14"/>
  <c r="BJ30" i="14"/>
  <c r="BM30" i="14"/>
  <c r="BQ30" i="14"/>
  <c r="BO30" i="14"/>
  <c r="BJ67" i="14"/>
  <c r="BL67" i="14"/>
  <c r="BM67" i="14"/>
  <c r="BQ67" i="14"/>
  <c r="BL105" i="14"/>
  <c r="BJ105" i="14"/>
  <c r="BM105" i="14"/>
  <c r="BQ105" i="14"/>
  <c r="BO105" i="14"/>
  <c r="BO77" i="14"/>
  <c r="BL59" i="14"/>
  <c r="BJ59" i="14"/>
  <c r="BQ59" i="14"/>
  <c r="BM59" i="14"/>
  <c r="BJ61" i="14"/>
  <c r="BL61" i="14"/>
  <c r="BQ61" i="14"/>
  <c r="BM61" i="14"/>
  <c r="BO61" i="14"/>
  <c r="BJ97" i="14"/>
  <c r="BL97" i="14"/>
  <c r="BM97" i="14"/>
  <c r="BQ97" i="14"/>
  <c r="BO97" i="14"/>
  <c r="BS8" i="14"/>
  <c r="BT8" i="14"/>
  <c r="BU8" i="14" s="1"/>
  <c r="CC8" i="14"/>
  <c r="BS12" i="14"/>
  <c r="BT12" i="14"/>
  <c r="BU12" i="14" s="1"/>
  <c r="CC12" i="14"/>
  <c r="BS16" i="14"/>
  <c r="BT16" i="14"/>
  <c r="BU16" i="14" s="1"/>
  <c r="CC16" i="14"/>
  <c r="BS20" i="14"/>
  <c r="BT20" i="14"/>
  <c r="BU20" i="14" s="1"/>
  <c r="CC20" i="14"/>
  <c r="BS24" i="14"/>
  <c r="BT24" i="14"/>
  <c r="BU24" i="14" s="1"/>
  <c r="CC24" i="14"/>
  <c r="BS28" i="14"/>
  <c r="BS147" i="14" s="1"/>
  <c r="BT28" i="14"/>
  <c r="BU28" i="14" s="1"/>
  <c r="BU147" i="14" s="1"/>
  <c r="CC28" i="14"/>
  <c r="CC160" i="14" s="1"/>
  <c r="BT32" i="14"/>
  <c r="BU32" i="14" s="1"/>
  <c r="BS32" i="14"/>
  <c r="CC32" i="14"/>
  <c r="BT36" i="14"/>
  <c r="BU36" i="14" s="1"/>
  <c r="BS36" i="14"/>
  <c r="CC36" i="14"/>
  <c r="BT40" i="14"/>
  <c r="BU40" i="14" s="1"/>
  <c r="BS40" i="14"/>
  <c r="CC40" i="14"/>
  <c r="BT44" i="14"/>
  <c r="BU44" i="14" s="1"/>
  <c r="BS44" i="14"/>
  <c r="CC44" i="14"/>
  <c r="BT48" i="14"/>
  <c r="BU48" i="14" s="1"/>
  <c r="BS48" i="14"/>
  <c r="CC48" i="14"/>
  <c r="BS52" i="14"/>
  <c r="BT52" i="14"/>
  <c r="BU52" i="14" s="1"/>
  <c r="CC52" i="14"/>
  <c r="CC56" i="14"/>
  <c r="BT56" i="14"/>
  <c r="BU56" i="14" s="1"/>
  <c r="BS56" i="14"/>
  <c r="CC60" i="14"/>
  <c r="BT60" i="14"/>
  <c r="BU60" i="14" s="1"/>
  <c r="BS60" i="14"/>
  <c r="CC64" i="14"/>
  <c r="BT64" i="14"/>
  <c r="BU64" i="14" s="1"/>
  <c r="BS64" i="14"/>
  <c r="CC68" i="14"/>
  <c r="BT68" i="14"/>
  <c r="BU68" i="14" s="1"/>
  <c r="BS68" i="14"/>
  <c r="CC72" i="14"/>
  <c r="BT72" i="14"/>
  <c r="BU72" i="14" s="1"/>
  <c r="BS72" i="14"/>
  <c r="CC76" i="14"/>
  <c r="BT76" i="14"/>
  <c r="BU76" i="14" s="1"/>
  <c r="BS76" i="14"/>
  <c r="BT78" i="14"/>
  <c r="BU78" i="14" s="1"/>
  <c r="BS78" i="14"/>
  <c r="CC78" i="14"/>
  <c r="BT82" i="14"/>
  <c r="BU82" i="14" s="1"/>
  <c r="BS82" i="14"/>
  <c r="CC82" i="14"/>
  <c r="BT86" i="14"/>
  <c r="BU86" i="14" s="1"/>
  <c r="BS86" i="14"/>
  <c r="CC86" i="14"/>
  <c r="BT90" i="14"/>
  <c r="BU90" i="14" s="1"/>
  <c r="BS90" i="14"/>
  <c r="CC90" i="14"/>
  <c r="BT94" i="14"/>
  <c r="BU94" i="14" s="1"/>
  <c r="BS94" i="14"/>
  <c r="CC94" i="14"/>
  <c r="BT98" i="14"/>
  <c r="BU98" i="14" s="1"/>
  <c r="BS98" i="14"/>
  <c r="CC98" i="14"/>
  <c r="BT102" i="14"/>
  <c r="BU102" i="14" s="1"/>
  <c r="BS102" i="14"/>
  <c r="CC102" i="14"/>
  <c r="CC108" i="14"/>
  <c r="BT108" i="14"/>
  <c r="BU108" i="14" s="1"/>
  <c r="BS108" i="14"/>
  <c r="CC112" i="14"/>
  <c r="BT112" i="14"/>
  <c r="BU112" i="14" s="1"/>
  <c r="BS112" i="14"/>
  <c r="BT116" i="14"/>
  <c r="BU116" i="14" s="1"/>
  <c r="BS116" i="14"/>
  <c r="CC116" i="14"/>
  <c r="BT120" i="14"/>
  <c r="BU120" i="14" s="1"/>
  <c r="BS120" i="14"/>
  <c r="CC120" i="14"/>
  <c r="BT124" i="14"/>
  <c r="BU124" i="14" s="1"/>
  <c r="BS124" i="14"/>
  <c r="CC124" i="14"/>
  <c r="BT7" i="14"/>
  <c r="BU7" i="14" s="1"/>
  <c r="BS7" i="14"/>
  <c r="CC7" i="14"/>
  <c r="BT11" i="14"/>
  <c r="BU11" i="14" s="1"/>
  <c r="BS11" i="14"/>
  <c r="CC11" i="14"/>
  <c r="BT15" i="14"/>
  <c r="BU15" i="14" s="1"/>
  <c r="BS15" i="14"/>
  <c r="CC15" i="14"/>
  <c r="BT19" i="14"/>
  <c r="BU19" i="14" s="1"/>
  <c r="BS19" i="14"/>
  <c r="CC19" i="14"/>
  <c r="BT23" i="14"/>
  <c r="BU23" i="14" s="1"/>
  <c r="BS23" i="14"/>
  <c r="CC23" i="14"/>
  <c r="BT27" i="14"/>
  <c r="BU27" i="14" s="1"/>
  <c r="BS27" i="14"/>
  <c r="CC27" i="14"/>
  <c r="BT31" i="14"/>
  <c r="BU31" i="14" s="1"/>
  <c r="BS31" i="14"/>
  <c r="CC31" i="14"/>
  <c r="BT35" i="14"/>
  <c r="BU35" i="14" s="1"/>
  <c r="BS35" i="14"/>
  <c r="CC35" i="14"/>
  <c r="BT39" i="14"/>
  <c r="BU39" i="14" s="1"/>
  <c r="BS39" i="14"/>
  <c r="CC39" i="14"/>
  <c r="BT43" i="14"/>
  <c r="BU43" i="14" s="1"/>
  <c r="BS43" i="14"/>
  <c r="CC43" i="14"/>
  <c r="BT47" i="14"/>
  <c r="BU47" i="14" s="1"/>
  <c r="BS47" i="14"/>
  <c r="CC47" i="14"/>
  <c r="BT51" i="14"/>
  <c r="BU51" i="14" s="1"/>
  <c r="BS51" i="14"/>
  <c r="CC51" i="14"/>
  <c r="BS55" i="14"/>
  <c r="BT55" i="14"/>
  <c r="BU55" i="14" s="1"/>
  <c r="CC55" i="14"/>
  <c r="BS59" i="14"/>
  <c r="CC59" i="14"/>
  <c r="BT59" i="14"/>
  <c r="BU59" i="14" s="1"/>
  <c r="BS63" i="14"/>
  <c r="CC63" i="14"/>
  <c r="BT63" i="14"/>
  <c r="BU63" i="14" s="1"/>
  <c r="BS67" i="14"/>
  <c r="CC67" i="14"/>
  <c r="BT67" i="14"/>
  <c r="BU67" i="14" s="1"/>
  <c r="BS71" i="14"/>
  <c r="CC71" i="14"/>
  <c r="BT71" i="14"/>
  <c r="BU71" i="14" s="1"/>
  <c r="BS75" i="14"/>
  <c r="CC75" i="14"/>
  <c r="BT75" i="14"/>
  <c r="BU75" i="14" s="1"/>
  <c r="BS105" i="14"/>
  <c r="CC105" i="14"/>
  <c r="BT105" i="14"/>
  <c r="BU105" i="14" s="1"/>
  <c r="CC81" i="14"/>
  <c r="BT81" i="14"/>
  <c r="BU81" i="14" s="1"/>
  <c r="BS81" i="14"/>
  <c r="CC85" i="14"/>
  <c r="BT85" i="14"/>
  <c r="BU85" i="14" s="1"/>
  <c r="BS85" i="14"/>
  <c r="CC89" i="14"/>
  <c r="BT89" i="14"/>
  <c r="BU89" i="14" s="1"/>
  <c r="BS89" i="14"/>
  <c r="CC93" i="14"/>
  <c r="BT93" i="14"/>
  <c r="BU93" i="14" s="1"/>
  <c r="BS93" i="14"/>
  <c r="CC97" i="14"/>
  <c r="BT97" i="14"/>
  <c r="BU97" i="14" s="1"/>
  <c r="BS97" i="14"/>
  <c r="CC101" i="14"/>
  <c r="BT101" i="14"/>
  <c r="BU101" i="14" s="1"/>
  <c r="BS101" i="14"/>
  <c r="BS107" i="14"/>
  <c r="CC107" i="14"/>
  <c r="BT107" i="14"/>
  <c r="BU107" i="14" s="1"/>
  <c r="BS111" i="14"/>
  <c r="CC111" i="14"/>
  <c r="BT111" i="14"/>
  <c r="BU111" i="14" s="1"/>
  <c r="BS115" i="14"/>
  <c r="CC115" i="14"/>
  <c r="BT115" i="14"/>
  <c r="BU115" i="14" s="1"/>
  <c r="CC119" i="14"/>
  <c r="BT119" i="14"/>
  <c r="BU119" i="14" s="1"/>
  <c r="BS119" i="14"/>
  <c r="CC123" i="14"/>
  <c r="BT123" i="14"/>
  <c r="BU123" i="14" s="1"/>
  <c r="BS123" i="14"/>
  <c r="BG126" i="14"/>
  <c r="BH5" i="14"/>
  <c r="BH126" i="14" s="1"/>
  <c r="BF126" i="14"/>
  <c r="BL60" i="14"/>
  <c r="BJ60" i="14"/>
  <c r="BM60" i="14"/>
  <c r="BQ60" i="14"/>
  <c r="BO60" i="14"/>
  <c r="BJ71" i="14"/>
  <c r="BL71" i="14"/>
  <c r="BM71" i="14"/>
  <c r="BQ71" i="14"/>
  <c r="BO71" i="14"/>
  <c r="BJ119" i="14"/>
  <c r="BL119" i="14"/>
  <c r="BQ119" i="14"/>
  <c r="BM119" i="14"/>
  <c r="BO119" i="14"/>
  <c r="BJ123" i="14"/>
  <c r="BL123" i="14"/>
  <c r="BQ123" i="14"/>
  <c r="BM123" i="14"/>
  <c r="BJ108" i="14"/>
  <c r="BL108" i="14"/>
  <c r="BQ108" i="14"/>
  <c r="BM108" i="14"/>
  <c r="BJ112" i="14"/>
  <c r="BL112" i="14"/>
  <c r="BQ112" i="14"/>
  <c r="BM112" i="14"/>
  <c r="BO112" i="14"/>
  <c r="BL109" i="14"/>
  <c r="BJ109" i="14"/>
  <c r="BM109" i="14"/>
  <c r="BQ109" i="14"/>
  <c r="BL72" i="14"/>
  <c r="BJ72" i="14"/>
  <c r="BM72" i="14"/>
  <c r="BQ72" i="14"/>
  <c r="BO72" i="14"/>
  <c r="BL76" i="14"/>
  <c r="BJ76" i="14"/>
  <c r="BM76" i="14"/>
  <c r="BQ76" i="14"/>
  <c r="BO76" i="14"/>
  <c r="BL114" i="14"/>
  <c r="BJ114" i="14"/>
  <c r="BQ114" i="14"/>
  <c r="BM114" i="14"/>
  <c r="BO114" i="14"/>
  <c r="BL80" i="14"/>
  <c r="BJ80" i="14"/>
  <c r="BQ80" i="14"/>
  <c r="BM80" i="14"/>
  <c r="BO80" i="14"/>
  <c r="BO108" i="14"/>
  <c r="BO57" i="14"/>
  <c r="BL68" i="14"/>
  <c r="BJ68" i="14"/>
  <c r="BM68" i="14"/>
  <c r="BQ68" i="14"/>
  <c r="BO68" i="14"/>
  <c r="BJ86" i="14"/>
  <c r="BL86" i="14"/>
  <c r="BQ86" i="14"/>
  <c r="BM86" i="14"/>
  <c r="BO86" i="14"/>
  <c r="BO6" i="14"/>
  <c r="BJ6" i="14"/>
  <c r="BL6" i="14"/>
  <c r="BQ6" i="14"/>
  <c r="BM6" i="14"/>
  <c r="BO56" i="14"/>
  <c r="BO91" i="14"/>
  <c r="BO113" i="14"/>
  <c r="BJ69" i="14"/>
  <c r="BL69" i="14"/>
  <c r="BQ69" i="14"/>
  <c r="BM69" i="14"/>
  <c r="BO69" i="14"/>
  <c r="BO59" i="14"/>
  <c r="BJ89" i="14"/>
  <c r="BL89" i="14"/>
  <c r="BM89" i="14"/>
  <c r="BQ89" i="14"/>
  <c r="BO89" i="14"/>
  <c r="BP156" i="14"/>
  <c r="BP164" i="14" s="1"/>
  <c r="BF143" i="14"/>
  <c r="BF151" i="14" s="1"/>
  <c r="BL100" i="14"/>
  <c r="BJ100" i="14"/>
  <c r="BQ100" i="14"/>
  <c r="BM100" i="14"/>
  <c r="BO100" i="14"/>
  <c r="BJ111" i="14"/>
  <c r="BL111" i="14"/>
  <c r="BM111" i="14"/>
  <c r="BQ111" i="14"/>
  <c r="BO111" i="14"/>
  <c r="BJ115" i="14"/>
  <c r="BL115" i="14"/>
  <c r="BM115" i="14"/>
  <c r="BQ115" i="14"/>
  <c r="BO115" i="14"/>
  <c r="BJ121" i="14"/>
  <c r="BL121" i="14"/>
  <c r="BM121" i="14"/>
  <c r="BQ121" i="14"/>
  <c r="BO121" i="14"/>
  <c r="BJ66" i="14"/>
  <c r="BL66" i="14"/>
  <c r="BM66" i="14"/>
  <c r="BQ66" i="14"/>
  <c r="BO66" i="14"/>
  <c r="BJ65" i="14"/>
  <c r="BL65" i="14"/>
  <c r="BQ65" i="14"/>
  <c r="BM65" i="14"/>
  <c r="BJ5" i="14"/>
  <c r="BL5" i="14"/>
  <c r="BQ5" i="14"/>
  <c r="BM5" i="14"/>
  <c r="BO5" i="14"/>
  <c r="BJ70" i="14"/>
  <c r="BL70" i="14"/>
  <c r="BM70" i="14"/>
  <c r="BQ70" i="14"/>
  <c r="BO70" i="14"/>
  <c r="BJ74" i="14"/>
  <c r="BL74" i="14"/>
  <c r="BM74" i="14"/>
  <c r="BQ74" i="14"/>
  <c r="BJ78" i="14"/>
  <c r="BL78" i="14"/>
  <c r="BM78" i="14"/>
  <c r="BQ78" i="14"/>
  <c r="BO78" i="14"/>
  <c r="BO101" i="14"/>
  <c r="BJ118" i="14"/>
  <c r="BL118" i="14"/>
  <c r="BQ118" i="14"/>
  <c r="BM118" i="14"/>
  <c r="BO118" i="14"/>
  <c r="BO123" i="14"/>
  <c r="BL104" i="14"/>
  <c r="BJ104" i="14"/>
  <c r="BQ104" i="14"/>
  <c r="BM104" i="14"/>
  <c r="BO104" i="14"/>
  <c r="BO74" i="14"/>
  <c r="BJ33" i="14"/>
  <c r="BM33" i="14"/>
  <c r="BL33" i="14"/>
  <c r="BQ33" i="14"/>
  <c r="BJ37" i="14"/>
  <c r="BM37" i="14"/>
  <c r="BL37" i="14"/>
  <c r="BQ37" i="14"/>
  <c r="BO37" i="14"/>
  <c r="BJ41" i="14"/>
  <c r="BM41" i="14"/>
  <c r="BL41" i="14"/>
  <c r="BQ41" i="14"/>
  <c r="BM32" i="14"/>
  <c r="BL32" i="14"/>
  <c r="BQ32" i="14"/>
  <c r="BJ32" i="14"/>
  <c r="BM31" i="14"/>
  <c r="BJ31" i="14"/>
  <c r="BL31" i="14"/>
  <c r="BQ31" i="14"/>
  <c r="BM35" i="14"/>
  <c r="BL35" i="14"/>
  <c r="BQ35" i="14"/>
  <c r="BJ35" i="14"/>
  <c r="BO32" i="14"/>
  <c r="BL53" i="14"/>
  <c r="BM53" i="14"/>
  <c r="BJ53" i="14"/>
  <c r="BQ53" i="14"/>
  <c r="BO31" i="14"/>
  <c r="BM36" i="14"/>
  <c r="BJ36" i="14"/>
  <c r="BL36" i="14"/>
  <c r="BQ36" i="14"/>
  <c r="BM38" i="14"/>
  <c r="BL38" i="14"/>
  <c r="BQ38" i="14"/>
  <c r="BJ38" i="14"/>
  <c r="BO34" i="14"/>
  <c r="BM34" i="14"/>
  <c r="BJ34" i="14"/>
  <c r="BL34" i="14"/>
  <c r="BQ34" i="14"/>
  <c r="BJ45" i="14"/>
  <c r="BM45" i="14"/>
  <c r="BL45" i="14"/>
  <c r="BQ45" i="14"/>
  <c r="BM46" i="14"/>
  <c r="BL46" i="14"/>
  <c r="BQ46" i="14"/>
  <c r="BJ46" i="14"/>
  <c r="BO46" i="14"/>
  <c r="BJ47" i="14"/>
  <c r="BM47" i="14"/>
  <c r="BL47" i="14"/>
  <c r="BQ47" i="14"/>
  <c r="BO48" i="14"/>
  <c r="BM48" i="14"/>
  <c r="BJ48" i="14"/>
  <c r="BL48" i="14"/>
  <c r="BQ48" i="14"/>
  <c r="BO33" i="14"/>
  <c r="BJ51" i="14"/>
  <c r="BM51" i="14"/>
  <c r="BL51" i="14"/>
  <c r="BQ51" i="14"/>
  <c r="BL54" i="14"/>
  <c r="BM54" i="14"/>
  <c r="BJ54" i="14"/>
  <c r="BQ54" i="14"/>
  <c r="BO50" i="14"/>
  <c r="BM50" i="14"/>
  <c r="BL50" i="14"/>
  <c r="BQ50" i="14"/>
  <c r="BJ50" i="14"/>
  <c r="BO42" i="14"/>
  <c r="BM42" i="14"/>
  <c r="BL42" i="14"/>
  <c r="BQ42" i="14"/>
  <c r="BJ42" i="14"/>
  <c r="BO40" i="14"/>
  <c r="BM40" i="14"/>
  <c r="BJ40" i="14"/>
  <c r="BL40" i="14"/>
  <c r="BQ40" i="14"/>
  <c r="BM44" i="14"/>
  <c r="BJ44" i="14"/>
  <c r="BL44" i="14"/>
  <c r="BQ44" i="14"/>
  <c r="BO41" i="14"/>
  <c r="BJ52" i="14"/>
  <c r="BQ52" i="14"/>
  <c r="BL52" i="14"/>
  <c r="BM52" i="14"/>
  <c r="BO52" i="14"/>
  <c r="BJ55" i="14"/>
  <c r="BQ55" i="14"/>
  <c r="BL55" i="14"/>
  <c r="BM55" i="14"/>
  <c r="BJ49" i="14"/>
  <c r="BM49" i="14"/>
  <c r="BL49" i="14"/>
  <c r="BQ49" i="14"/>
  <c r="BO49" i="14"/>
  <c r="BJ39" i="14"/>
  <c r="BM39" i="14"/>
  <c r="BL39" i="14"/>
  <c r="BQ39" i="14"/>
  <c r="BO39" i="14"/>
  <c r="BJ43" i="14"/>
  <c r="BM43" i="14"/>
  <c r="BL43" i="14"/>
  <c r="BQ43" i="14"/>
  <c r="BO43" i="14"/>
  <c r="BO44" i="14"/>
  <c r="BO53" i="14"/>
  <c r="BK130" i="14"/>
  <c r="AX188" i="14"/>
  <c r="AX183" i="14"/>
  <c r="E27" i="17" s="1"/>
  <c r="AX178" i="14"/>
  <c r="G71" i="10" s="1"/>
  <c r="BA143" i="14"/>
  <c r="AM151" i="14"/>
  <c r="BM7" i="14"/>
  <c r="BJ7" i="14"/>
  <c r="BL7" i="14"/>
  <c r="BQ7" i="14"/>
  <c r="BO7" i="14"/>
  <c r="BM20" i="14"/>
  <c r="BL20" i="14"/>
  <c r="BQ20" i="14"/>
  <c r="BJ20" i="14"/>
  <c r="BO20" i="14"/>
  <c r="BM26" i="14"/>
  <c r="BL26" i="14"/>
  <c r="BQ26" i="14"/>
  <c r="BJ26" i="14"/>
  <c r="BO22" i="14"/>
  <c r="BM22" i="14"/>
  <c r="BJ22" i="14"/>
  <c r="BL22" i="14"/>
  <c r="BQ22" i="14"/>
  <c r="BJ29" i="14"/>
  <c r="BM29" i="14"/>
  <c r="BL29" i="14"/>
  <c r="BQ29" i="14"/>
  <c r="BM18" i="14"/>
  <c r="BL18" i="14"/>
  <c r="BQ18" i="14"/>
  <c r="BJ18" i="14"/>
  <c r="BO18" i="14"/>
  <c r="BO14" i="14"/>
  <c r="BM14" i="14"/>
  <c r="BJ14" i="14"/>
  <c r="BL14" i="14"/>
  <c r="BQ14" i="14"/>
  <c r="BM10" i="14"/>
  <c r="BL10" i="14"/>
  <c r="BQ10" i="14"/>
  <c r="BJ10" i="14"/>
  <c r="BM24" i="14"/>
  <c r="BJ24" i="14"/>
  <c r="BL24" i="14"/>
  <c r="BQ24" i="14"/>
  <c r="BO24" i="14"/>
  <c r="BM16" i="14"/>
  <c r="BJ16" i="14"/>
  <c r="BL16" i="14"/>
  <c r="BQ16" i="14"/>
  <c r="BM8" i="14"/>
  <c r="BJ8" i="14"/>
  <c r="BL8" i="14"/>
  <c r="BQ8" i="14"/>
  <c r="BK126" i="14"/>
  <c r="BA126" i="14"/>
  <c r="AX175" i="14"/>
  <c r="BM12" i="14"/>
  <c r="BL12" i="14"/>
  <c r="BQ12" i="14"/>
  <c r="BJ12" i="14"/>
  <c r="BO12" i="14"/>
  <c r="BL9" i="14"/>
  <c r="BQ9" i="14"/>
  <c r="BJ9" i="14"/>
  <c r="BM9" i="14"/>
  <c r="BO9" i="14"/>
  <c r="BJ13" i="14"/>
  <c r="BM13" i="14"/>
  <c r="BL13" i="14"/>
  <c r="BQ13" i="14"/>
  <c r="BL17" i="14"/>
  <c r="BQ17" i="14"/>
  <c r="BJ17" i="14"/>
  <c r="BM17" i="14"/>
  <c r="BO17" i="14"/>
  <c r="BO21" i="14"/>
  <c r="BJ21" i="14"/>
  <c r="BM21" i="14"/>
  <c r="BL21" i="14"/>
  <c r="BQ21" i="14"/>
  <c r="BO25" i="14"/>
  <c r="BJ25" i="14"/>
  <c r="BM25" i="14"/>
  <c r="BL25" i="14"/>
  <c r="BQ25" i="14"/>
  <c r="BO29" i="14"/>
  <c r="BO13" i="14"/>
  <c r="BM11" i="14"/>
  <c r="BJ11" i="14"/>
  <c r="BL11" i="14"/>
  <c r="BQ11" i="14"/>
  <c r="BO11" i="14"/>
  <c r="BM15" i="14"/>
  <c r="BL15" i="14"/>
  <c r="BQ15" i="14"/>
  <c r="BJ15" i="14"/>
  <c r="BO15" i="14"/>
  <c r="BM19" i="14"/>
  <c r="BJ19" i="14"/>
  <c r="BL19" i="14"/>
  <c r="BQ19" i="14"/>
  <c r="BO19" i="14"/>
  <c r="BM23" i="14"/>
  <c r="BL23" i="14"/>
  <c r="BQ23" i="14"/>
  <c r="BJ23" i="14"/>
  <c r="BO23" i="14"/>
  <c r="BM27" i="14"/>
  <c r="BJ27" i="14"/>
  <c r="BL27" i="14"/>
  <c r="BQ27" i="14"/>
  <c r="BO27" i="14"/>
  <c r="BO16" i="14"/>
  <c r="BM28" i="14"/>
  <c r="BL28" i="14"/>
  <c r="BL147" i="14" s="1"/>
  <c r="BQ28" i="14"/>
  <c r="BQ160" i="14" s="1"/>
  <c r="BJ28" i="14"/>
  <c r="BO28" i="14"/>
  <c r="BO26" i="14"/>
  <c r="H25" i="17"/>
  <c r="E26" i="17"/>
  <c r="I23" i="17"/>
  <c r="Z151" i="14"/>
  <c r="D19" i="7"/>
  <c r="H21" i="7"/>
  <c r="I21" i="7" s="1"/>
  <c r="J21" i="7" s="1"/>
  <c r="K21" i="7" s="1"/>
  <c r="C21" i="7"/>
  <c r="D21" i="7" s="1"/>
  <c r="E21" i="7" s="1"/>
  <c r="F21" i="7" s="1"/>
  <c r="G21" i="7" s="1"/>
  <c r="H20" i="7"/>
  <c r="I20" i="7" s="1"/>
  <c r="J20" i="7" s="1"/>
  <c r="K20" i="7" s="1"/>
  <c r="D20" i="7"/>
  <c r="E20" i="7" s="1"/>
  <c r="F20" i="7" s="1"/>
  <c r="G20" i="7" s="1"/>
  <c r="C20" i="7"/>
  <c r="H19" i="7"/>
  <c r="C19" i="7"/>
  <c r="E19" i="7" l="1"/>
  <c r="CD95" i="14"/>
  <c r="BZ95" i="14"/>
  <c r="BY95" i="14"/>
  <c r="BW95" i="14"/>
  <c r="CB95" i="14"/>
  <c r="CD93" i="14"/>
  <c r="BZ93" i="14"/>
  <c r="BY93" i="14"/>
  <c r="BW93" i="14"/>
  <c r="BN104" i="14"/>
  <c r="BX104" i="14"/>
  <c r="BN118" i="14"/>
  <c r="BX118" i="14"/>
  <c r="BN70" i="14"/>
  <c r="BX70" i="14"/>
  <c r="BN5" i="14"/>
  <c r="BX5" i="14"/>
  <c r="BN65" i="14"/>
  <c r="BX65" i="14"/>
  <c r="BN66" i="14"/>
  <c r="BX66" i="14"/>
  <c r="BN115" i="14"/>
  <c r="BX115" i="14"/>
  <c r="BN69" i="14"/>
  <c r="BX69" i="14"/>
  <c r="BN80" i="14"/>
  <c r="BX80" i="14"/>
  <c r="CB80" i="14" s="1"/>
  <c r="BN72" i="14"/>
  <c r="BX72" i="14"/>
  <c r="BN109" i="14"/>
  <c r="BX109" i="14"/>
  <c r="BN112" i="14"/>
  <c r="BX112" i="14"/>
  <c r="BN108" i="14"/>
  <c r="BX108" i="14"/>
  <c r="BN123" i="14"/>
  <c r="BX123" i="14"/>
  <c r="CB123" i="14" s="1"/>
  <c r="BN60" i="14"/>
  <c r="BX60" i="14"/>
  <c r="BN97" i="14"/>
  <c r="BX97" i="14"/>
  <c r="BN61" i="14"/>
  <c r="BX61" i="14"/>
  <c r="CB61" i="14" s="1"/>
  <c r="BN59" i="14"/>
  <c r="BX59" i="14"/>
  <c r="BN67" i="14"/>
  <c r="BX67" i="14"/>
  <c r="DI134" i="14"/>
  <c r="DI160" i="14"/>
  <c r="BN62" i="14"/>
  <c r="BX62" i="14"/>
  <c r="BN94" i="14"/>
  <c r="BX94" i="14"/>
  <c r="BN77" i="14"/>
  <c r="BX77" i="14"/>
  <c r="BN73" i="14"/>
  <c r="BX73" i="14"/>
  <c r="BN58" i="14"/>
  <c r="BX58" i="14"/>
  <c r="BN84" i="14"/>
  <c r="BX84" i="14"/>
  <c r="BN110" i="14"/>
  <c r="BX110" i="14"/>
  <c r="BN116" i="14"/>
  <c r="BX116" i="14"/>
  <c r="BN64" i="14"/>
  <c r="BX64" i="14"/>
  <c r="BN87" i="14"/>
  <c r="BX87" i="14"/>
  <c r="BN83" i="14"/>
  <c r="BX83" i="14"/>
  <c r="BN79" i="14"/>
  <c r="BX79" i="14"/>
  <c r="BN63" i="14"/>
  <c r="BX63" i="14"/>
  <c r="CB63" i="14" s="1"/>
  <c r="BN88" i="14"/>
  <c r="BX88" i="14"/>
  <c r="BN122" i="14"/>
  <c r="BX122" i="14"/>
  <c r="BS126" i="14"/>
  <c r="CC126" i="14"/>
  <c r="CC156" i="14"/>
  <c r="CC164" i="14" s="1"/>
  <c r="BS143" i="14"/>
  <c r="BS151" i="14" s="1"/>
  <c r="BN85" i="14"/>
  <c r="BX85" i="14"/>
  <c r="BN91" i="14"/>
  <c r="BX91" i="14"/>
  <c r="BL96" i="14"/>
  <c r="BJ96" i="14"/>
  <c r="BQ96" i="14"/>
  <c r="BM96" i="14"/>
  <c r="BO96" i="14"/>
  <c r="CP5" i="14"/>
  <c r="CG5" i="14"/>
  <c r="CE126" i="14"/>
  <c r="CF5" i="14"/>
  <c r="CG9" i="14"/>
  <c r="CH9" i="14" s="1"/>
  <c r="CF9" i="14"/>
  <c r="CP9" i="14"/>
  <c r="CG13" i="14"/>
  <c r="CH13" i="14" s="1"/>
  <c r="CF13" i="14"/>
  <c r="CP13" i="14"/>
  <c r="CG17" i="14"/>
  <c r="CH17" i="14" s="1"/>
  <c r="CF17" i="14"/>
  <c r="CP17" i="14"/>
  <c r="CG21" i="14"/>
  <c r="CH21" i="14" s="1"/>
  <c r="CF21" i="14"/>
  <c r="CP21" i="14"/>
  <c r="CG25" i="14"/>
  <c r="CH25" i="14" s="1"/>
  <c r="CF25" i="14"/>
  <c r="CP25" i="14"/>
  <c r="CG29" i="14"/>
  <c r="CH29" i="14" s="1"/>
  <c r="CF29" i="14"/>
  <c r="CP29" i="14"/>
  <c r="CG33" i="14"/>
  <c r="CH33" i="14" s="1"/>
  <c r="CF33" i="14"/>
  <c r="CP33" i="14"/>
  <c r="CG37" i="14"/>
  <c r="CH37" i="14" s="1"/>
  <c r="CF37" i="14"/>
  <c r="CP37" i="14"/>
  <c r="CG41" i="14"/>
  <c r="CH41" i="14" s="1"/>
  <c r="CF41" i="14"/>
  <c r="CP41" i="14"/>
  <c r="CG45" i="14"/>
  <c r="CH45" i="14" s="1"/>
  <c r="CF45" i="14"/>
  <c r="CP45" i="14"/>
  <c r="CG49" i="14"/>
  <c r="CH49" i="14" s="1"/>
  <c r="CF49" i="14"/>
  <c r="CP49" i="14"/>
  <c r="CF53" i="14"/>
  <c r="CG53" i="14"/>
  <c r="CH53" i="14" s="1"/>
  <c r="CP53" i="14"/>
  <c r="CP57" i="14"/>
  <c r="CG57" i="14"/>
  <c r="CH57" i="14" s="1"/>
  <c r="CF57" i="14"/>
  <c r="CP61" i="14"/>
  <c r="CG61" i="14"/>
  <c r="CH61" i="14" s="1"/>
  <c r="CF61" i="14"/>
  <c r="CP65" i="14"/>
  <c r="CG65" i="14"/>
  <c r="CH65" i="14" s="1"/>
  <c r="CF65" i="14"/>
  <c r="CP69" i="14"/>
  <c r="CG69" i="14"/>
  <c r="CH69" i="14" s="1"/>
  <c r="CF69" i="14"/>
  <c r="CP73" i="14"/>
  <c r="CG73" i="14"/>
  <c r="CH73" i="14" s="1"/>
  <c r="CF73" i="14"/>
  <c r="CP77" i="14"/>
  <c r="CG77" i="14"/>
  <c r="CH77" i="14" s="1"/>
  <c r="CF77" i="14"/>
  <c r="CF81" i="14"/>
  <c r="CP81" i="14"/>
  <c r="CG81" i="14"/>
  <c r="CH81" i="14" s="1"/>
  <c r="CF85" i="14"/>
  <c r="CP85" i="14"/>
  <c r="CG85" i="14"/>
  <c r="CH85" i="14" s="1"/>
  <c r="CF89" i="14"/>
  <c r="CP89" i="14"/>
  <c r="CG89" i="14"/>
  <c r="CH89" i="14" s="1"/>
  <c r="CF93" i="14"/>
  <c r="CP93" i="14"/>
  <c r="CG93" i="14"/>
  <c r="CH93" i="14" s="1"/>
  <c r="CF97" i="14"/>
  <c r="CP97" i="14"/>
  <c r="CG97" i="14"/>
  <c r="CH97" i="14" s="1"/>
  <c r="CF101" i="14"/>
  <c r="CP101" i="14"/>
  <c r="CG101" i="14"/>
  <c r="CH101" i="14" s="1"/>
  <c r="CP105" i="14"/>
  <c r="CG105" i="14"/>
  <c r="CH105" i="14" s="1"/>
  <c r="CF105" i="14"/>
  <c r="CP109" i="14"/>
  <c r="CG109" i="14"/>
  <c r="CH109" i="14" s="1"/>
  <c r="CF109" i="14"/>
  <c r="CP113" i="14"/>
  <c r="CG113" i="14"/>
  <c r="CH113" i="14" s="1"/>
  <c r="CF113" i="14"/>
  <c r="CF118" i="14"/>
  <c r="CP118" i="14"/>
  <c r="CG118" i="14"/>
  <c r="CH118" i="14" s="1"/>
  <c r="CF122" i="14"/>
  <c r="CP122" i="14"/>
  <c r="CG122" i="14"/>
  <c r="CH122" i="14" s="1"/>
  <c r="CF115" i="14"/>
  <c r="CG115" i="14"/>
  <c r="CH115" i="14" s="1"/>
  <c r="CP115" i="14"/>
  <c r="CG8" i="14"/>
  <c r="CH8" i="14" s="1"/>
  <c r="CF8" i="14"/>
  <c r="CP8" i="14"/>
  <c r="CG12" i="14"/>
  <c r="CH12" i="14" s="1"/>
  <c r="CF12" i="14"/>
  <c r="CP12" i="14"/>
  <c r="CG16" i="14"/>
  <c r="CH16" i="14" s="1"/>
  <c r="CF16" i="14"/>
  <c r="CP16" i="14"/>
  <c r="CG20" i="14"/>
  <c r="CH20" i="14" s="1"/>
  <c r="CF20" i="14"/>
  <c r="CP20" i="14"/>
  <c r="CG24" i="14"/>
  <c r="CH24" i="14" s="1"/>
  <c r="CF24" i="14"/>
  <c r="CP24" i="14"/>
  <c r="CG28" i="14"/>
  <c r="CH28" i="14" s="1"/>
  <c r="CH147" i="14" s="1"/>
  <c r="CF28" i="14"/>
  <c r="CF147" i="14" s="1"/>
  <c r="CP28" i="14"/>
  <c r="CP160" i="14" s="1"/>
  <c r="CF32" i="14"/>
  <c r="CG32" i="14"/>
  <c r="CH32" i="14" s="1"/>
  <c r="CP32" i="14"/>
  <c r="CF36" i="14"/>
  <c r="CG36" i="14"/>
  <c r="CH36" i="14" s="1"/>
  <c r="CP36" i="14"/>
  <c r="CF40" i="14"/>
  <c r="CG40" i="14"/>
  <c r="CH40" i="14" s="1"/>
  <c r="CP40" i="14"/>
  <c r="CF44" i="14"/>
  <c r="CG44" i="14"/>
  <c r="CH44" i="14" s="1"/>
  <c r="CP44" i="14"/>
  <c r="CF48" i="14"/>
  <c r="CG48" i="14"/>
  <c r="CH48" i="14" s="1"/>
  <c r="CP48" i="14"/>
  <c r="CG52" i="14"/>
  <c r="CH52" i="14" s="1"/>
  <c r="CF52" i="14"/>
  <c r="CP52" i="14"/>
  <c r="CG56" i="14"/>
  <c r="CH56" i="14" s="1"/>
  <c r="CF56" i="14"/>
  <c r="CP56" i="14"/>
  <c r="CG60" i="14"/>
  <c r="CH60" i="14" s="1"/>
  <c r="CF60" i="14"/>
  <c r="CP60" i="14"/>
  <c r="CG64" i="14"/>
  <c r="CH64" i="14" s="1"/>
  <c r="CF64" i="14"/>
  <c r="CP64" i="14"/>
  <c r="CG68" i="14"/>
  <c r="CH68" i="14" s="1"/>
  <c r="CF68" i="14"/>
  <c r="CP68" i="14"/>
  <c r="CG72" i="14"/>
  <c r="CH72" i="14" s="1"/>
  <c r="CF72" i="14"/>
  <c r="CP72" i="14"/>
  <c r="CG76" i="14"/>
  <c r="CH76" i="14" s="1"/>
  <c r="CF76" i="14"/>
  <c r="CP76" i="14"/>
  <c r="CP80" i="14"/>
  <c r="CG80" i="14"/>
  <c r="CH80" i="14" s="1"/>
  <c r="CF80" i="14"/>
  <c r="CP84" i="14"/>
  <c r="CG84" i="14"/>
  <c r="CH84" i="14" s="1"/>
  <c r="CF84" i="14"/>
  <c r="CP88" i="14"/>
  <c r="CG88" i="14"/>
  <c r="CH88" i="14" s="1"/>
  <c r="CF88" i="14"/>
  <c r="CP92" i="14"/>
  <c r="CG92" i="14"/>
  <c r="CH92" i="14" s="1"/>
  <c r="CF92" i="14"/>
  <c r="CP96" i="14"/>
  <c r="CG96" i="14"/>
  <c r="CH96" i="14" s="1"/>
  <c r="CF96" i="14"/>
  <c r="CP100" i="14"/>
  <c r="CG100" i="14"/>
  <c r="CH100" i="14" s="1"/>
  <c r="CF100" i="14"/>
  <c r="CG104" i="14"/>
  <c r="CH104" i="14" s="1"/>
  <c r="CP104" i="14"/>
  <c r="CF104" i="14"/>
  <c r="CG108" i="14"/>
  <c r="CH108" i="14" s="1"/>
  <c r="CF108" i="14"/>
  <c r="CP108" i="14"/>
  <c r="CG112" i="14"/>
  <c r="CH112" i="14" s="1"/>
  <c r="CF112" i="14"/>
  <c r="CP112" i="14"/>
  <c r="CP117" i="14"/>
  <c r="CG117" i="14"/>
  <c r="CH117" i="14" s="1"/>
  <c r="CF117" i="14"/>
  <c r="CP121" i="14"/>
  <c r="CG121" i="14"/>
  <c r="CH121" i="14" s="1"/>
  <c r="CF121" i="14"/>
  <c r="CP125" i="14"/>
  <c r="CG125" i="14"/>
  <c r="CH125" i="14" s="1"/>
  <c r="CF125" i="14"/>
  <c r="CV138" i="14"/>
  <c r="CX181" i="14" s="1"/>
  <c r="CW181" i="14" s="1"/>
  <c r="CR124" i="14"/>
  <c r="CR122" i="14"/>
  <c r="CR120" i="14"/>
  <c r="CR118" i="14"/>
  <c r="CR116" i="14"/>
  <c r="CR114" i="14"/>
  <c r="CR112" i="14"/>
  <c r="CR110" i="14"/>
  <c r="CR108" i="14"/>
  <c r="CR106" i="14"/>
  <c r="CR104" i="14"/>
  <c r="CR102" i="14"/>
  <c r="CR100" i="14"/>
  <c r="CR98" i="14"/>
  <c r="CR96" i="14"/>
  <c r="CR94" i="14"/>
  <c r="CR92" i="14"/>
  <c r="CR90" i="14"/>
  <c r="CR88" i="14"/>
  <c r="CR86" i="14"/>
  <c r="CR84" i="14"/>
  <c r="CR82" i="14"/>
  <c r="CR80" i="14"/>
  <c r="CR78" i="14"/>
  <c r="CR76" i="14"/>
  <c r="CR74" i="14"/>
  <c r="CR72" i="14"/>
  <c r="CR70" i="14"/>
  <c r="CR68" i="14"/>
  <c r="CR66" i="14"/>
  <c r="CR64" i="14"/>
  <c r="CR62" i="14"/>
  <c r="CR60" i="14"/>
  <c r="CR58" i="14"/>
  <c r="CR56" i="14"/>
  <c r="CR54" i="14"/>
  <c r="CR52" i="14"/>
  <c r="CR50" i="14"/>
  <c r="CR48" i="14"/>
  <c r="CR46" i="14"/>
  <c r="CR44" i="14"/>
  <c r="CR42" i="14"/>
  <c r="CR40" i="14"/>
  <c r="CR38" i="14"/>
  <c r="CR36" i="14"/>
  <c r="CR34" i="14"/>
  <c r="CR32" i="14"/>
  <c r="CR30" i="14"/>
  <c r="CR28" i="14"/>
  <c r="CR26" i="14"/>
  <c r="CR24" i="14"/>
  <c r="CR22" i="14"/>
  <c r="CR20" i="14"/>
  <c r="CR18" i="14"/>
  <c r="CR16" i="14"/>
  <c r="CR14" i="14"/>
  <c r="CR12" i="14"/>
  <c r="CR10" i="14"/>
  <c r="CR8" i="14"/>
  <c r="CR6" i="14"/>
  <c r="CR125" i="14"/>
  <c r="CR123" i="14"/>
  <c r="CR121" i="14"/>
  <c r="CR119" i="14"/>
  <c r="CR117" i="14"/>
  <c r="CR115" i="14"/>
  <c r="CR113" i="14"/>
  <c r="CR111" i="14"/>
  <c r="CR109" i="14"/>
  <c r="CR107" i="14"/>
  <c r="CR105" i="14"/>
  <c r="CR103" i="14"/>
  <c r="CR101" i="14"/>
  <c r="CR99" i="14"/>
  <c r="CR97" i="14"/>
  <c r="CR95" i="14"/>
  <c r="CR93" i="14"/>
  <c r="CR91" i="14"/>
  <c r="CR89" i="14"/>
  <c r="CR87" i="14"/>
  <c r="CR85" i="14"/>
  <c r="CR83" i="14"/>
  <c r="CR81" i="14"/>
  <c r="CR79" i="14"/>
  <c r="CR77" i="14"/>
  <c r="CR75" i="14"/>
  <c r="CR73" i="14"/>
  <c r="CR71" i="14"/>
  <c r="CR69" i="14"/>
  <c r="CR67" i="14"/>
  <c r="CR65" i="14"/>
  <c r="CR63" i="14"/>
  <c r="CR61" i="14"/>
  <c r="CR59" i="14"/>
  <c r="CR57" i="14"/>
  <c r="CR55" i="14"/>
  <c r="CR53" i="14"/>
  <c r="CR51" i="14"/>
  <c r="CR49" i="14"/>
  <c r="CR47" i="14"/>
  <c r="CR45" i="14"/>
  <c r="CR43" i="14"/>
  <c r="CR41" i="14"/>
  <c r="CR39" i="14"/>
  <c r="CR37" i="14"/>
  <c r="CR35" i="14"/>
  <c r="CR33" i="14"/>
  <c r="CR31" i="14"/>
  <c r="CR29" i="14"/>
  <c r="CR27" i="14"/>
  <c r="CR25" i="14"/>
  <c r="CR23" i="14"/>
  <c r="CR21" i="14"/>
  <c r="CR19" i="14"/>
  <c r="CR17" i="14"/>
  <c r="CR15" i="14"/>
  <c r="CR13" i="14"/>
  <c r="CR11" i="14"/>
  <c r="CR9" i="14"/>
  <c r="CR7" i="14"/>
  <c r="CR5" i="14"/>
  <c r="BN75" i="14"/>
  <c r="BX75" i="14"/>
  <c r="CB75" i="14" s="1"/>
  <c r="CB104" i="14"/>
  <c r="CB118" i="14"/>
  <c r="BN78" i="14"/>
  <c r="BX78" i="14"/>
  <c r="BN74" i="14"/>
  <c r="BX74" i="14"/>
  <c r="CB5" i="14"/>
  <c r="BN121" i="14"/>
  <c r="BX121" i="14"/>
  <c r="BN111" i="14"/>
  <c r="BX111" i="14"/>
  <c r="BN100" i="14"/>
  <c r="BX100" i="14"/>
  <c r="BN89" i="14"/>
  <c r="BX89" i="14"/>
  <c r="CB69" i="14"/>
  <c r="CB91" i="14"/>
  <c r="BN6" i="14"/>
  <c r="BX6" i="14"/>
  <c r="CB6" i="14" s="1"/>
  <c r="BN86" i="14"/>
  <c r="BX86" i="14"/>
  <c r="BN68" i="14"/>
  <c r="BX68" i="14"/>
  <c r="BN114" i="14"/>
  <c r="BX114" i="14"/>
  <c r="CB114" i="14" s="1"/>
  <c r="BN76" i="14"/>
  <c r="BX76" i="14"/>
  <c r="CB112" i="14"/>
  <c r="BN119" i="14"/>
  <c r="BX119" i="14"/>
  <c r="CB119" i="14" s="1"/>
  <c r="BN71" i="14"/>
  <c r="BX71" i="14"/>
  <c r="BN105" i="14"/>
  <c r="BX105" i="14"/>
  <c r="BN30" i="14"/>
  <c r="BX30" i="14"/>
  <c r="BN106" i="14"/>
  <c r="BX106" i="14"/>
  <c r="DI126" i="14"/>
  <c r="DK180" i="14" s="1"/>
  <c r="DM180" i="14"/>
  <c r="DM177" i="14"/>
  <c r="DM175" i="14"/>
  <c r="DK128" i="14"/>
  <c r="DH4" i="14"/>
  <c r="DE1" i="14" s="1"/>
  <c r="DG4" i="14"/>
  <c r="DM178" i="14"/>
  <c r="DM176" i="14"/>
  <c r="DM174" i="14"/>
  <c r="DL4" i="14"/>
  <c r="DF4" i="14"/>
  <c r="DE4" i="14"/>
  <c r="DI130" i="14"/>
  <c r="DI138" i="14" s="1"/>
  <c r="DK181" i="14" s="1"/>
  <c r="DI156" i="14"/>
  <c r="DI164" i="14" s="1"/>
  <c r="DV124" i="14"/>
  <c r="DV122" i="14"/>
  <c r="DV120" i="14"/>
  <c r="DV118" i="14"/>
  <c r="DV116" i="14"/>
  <c r="DV114" i="14"/>
  <c r="DV112" i="14"/>
  <c r="DV110" i="14"/>
  <c r="DV108" i="14"/>
  <c r="DV106" i="14"/>
  <c r="DV102" i="14"/>
  <c r="DV100" i="14"/>
  <c r="DV98" i="14"/>
  <c r="DV96" i="14"/>
  <c r="DV94" i="14"/>
  <c r="DV92" i="14"/>
  <c r="DV90" i="14"/>
  <c r="DV88" i="14"/>
  <c r="DV86" i="14"/>
  <c r="DV84" i="14"/>
  <c r="DV82" i="14"/>
  <c r="DV80" i="14"/>
  <c r="DV78" i="14"/>
  <c r="DV103" i="14"/>
  <c r="DV76" i="14"/>
  <c r="DV74" i="14"/>
  <c r="DV72" i="14"/>
  <c r="DV70" i="14"/>
  <c r="DV68" i="14"/>
  <c r="DV66" i="14"/>
  <c r="DV64" i="14"/>
  <c r="DV62" i="14"/>
  <c r="DV60" i="14"/>
  <c r="DV58" i="14"/>
  <c r="DV56" i="14"/>
  <c r="DV54" i="14"/>
  <c r="DV52" i="14"/>
  <c r="DV50" i="14"/>
  <c r="DV48" i="14"/>
  <c r="DV46" i="14"/>
  <c r="DV44" i="14"/>
  <c r="DV42" i="14"/>
  <c r="DV40" i="14"/>
  <c r="DV38" i="14"/>
  <c r="DV36" i="14"/>
  <c r="DV34" i="14"/>
  <c r="DV32" i="14"/>
  <c r="DV30" i="14"/>
  <c r="DV28" i="14"/>
  <c r="DV26" i="14"/>
  <c r="DV24" i="14"/>
  <c r="DV22" i="14"/>
  <c r="DV20" i="14"/>
  <c r="DV18" i="14"/>
  <c r="DV16" i="14"/>
  <c r="DV14" i="14"/>
  <c r="DV12" i="14"/>
  <c r="DV10" i="14"/>
  <c r="DV8" i="14"/>
  <c r="DV6" i="14"/>
  <c r="ED4" i="14"/>
  <c r="DX4" i="14"/>
  <c r="EC4" i="14"/>
  <c r="DV125" i="14"/>
  <c r="DV123" i="14"/>
  <c r="DV121" i="14"/>
  <c r="DV119" i="14"/>
  <c r="DV117" i="14"/>
  <c r="DV115" i="14"/>
  <c r="DV113" i="14"/>
  <c r="DV111" i="14"/>
  <c r="DV109" i="14"/>
  <c r="DV107" i="14"/>
  <c r="DV105" i="14"/>
  <c r="DV101" i="14"/>
  <c r="DV99" i="14"/>
  <c r="DV97" i="14"/>
  <c r="DV95" i="14"/>
  <c r="DV93" i="14"/>
  <c r="DV91" i="14"/>
  <c r="DV89" i="14"/>
  <c r="DV87" i="14"/>
  <c r="DV85" i="14"/>
  <c r="DV83" i="14"/>
  <c r="DV81" i="14"/>
  <c r="DV79" i="14"/>
  <c r="DV104" i="14"/>
  <c r="DV77" i="14"/>
  <c r="DV75" i="14"/>
  <c r="DV73" i="14"/>
  <c r="DV71" i="14"/>
  <c r="DV69" i="14"/>
  <c r="DV67" i="14"/>
  <c r="DV65" i="14"/>
  <c r="DV63" i="14"/>
  <c r="DV61" i="14"/>
  <c r="DV59" i="14"/>
  <c r="DV57" i="14"/>
  <c r="DV55" i="14"/>
  <c r="DV53" i="14"/>
  <c r="DV51" i="14"/>
  <c r="DV49" i="14"/>
  <c r="DV47" i="14"/>
  <c r="DV45" i="14"/>
  <c r="DV43" i="14"/>
  <c r="DV41" i="14"/>
  <c r="DV39" i="14"/>
  <c r="DV37" i="14"/>
  <c r="DV35" i="14"/>
  <c r="DV33" i="14"/>
  <c r="DV31" i="14"/>
  <c r="DV29" i="14"/>
  <c r="DV27" i="14"/>
  <c r="DV25" i="14"/>
  <c r="DV23" i="14"/>
  <c r="DV21" i="14"/>
  <c r="DV19" i="14"/>
  <c r="DV17" i="14"/>
  <c r="DV15" i="14"/>
  <c r="DV13" i="14"/>
  <c r="DV11" i="14"/>
  <c r="DV9" i="14"/>
  <c r="DV7" i="14"/>
  <c r="DV5" i="14"/>
  <c r="EB4" i="14"/>
  <c r="DV4" i="14"/>
  <c r="DW4" i="14" s="1"/>
  <c r="EA4" i="14"/>
  <c r="BN101" i="14"/>
  <c r="BX101" i="14"/>
  <c r="BN125" i="14"/>
  <c r="BX125" i="14"/>
  <c r="BN81" i="14"/>
  <c r="BX81" i="14"/>
  <c r="BN120" i="14"/>
  <c r="BX120" i="14"/>
  <c r="CB84" i="14"/>
  <c r="CB110" i="14"/>
  <c r="BN117" i="14"/>
  <c r="BX117" i="14"/>
  <c r="BN107" i="14"/>
  <c r="BX107" i="14"/>
  <c r="BN103" i="14"/>
  <c r="BX103" i="14"/>
  <c r="BN99" i="14"/>
  <c r="BX99" i="14"/>
  <c r="BN98" i="14"/>
  <c r="BX98" i="14"/>
  <c r="BN102" i="14"/>
  <c r="BX102" i="14"/>
  <c r="BN92" i="14"/>
  <c r="BX92" i="14"/>
  <c r="BN90" i="14"/>
  <c r="BX90" i="14"/>
  <c r="BN82" i="14"/>
  <c r="BX82" i="14"/>
  <c r="CB88" i="14"/>
  <c r="BT126" i="14"/>
  <c r="BU5" i="14"/>
  <c r="BU126" i="14" s="1"/>
  <c r="BU143" i="14"/>
  <c r="BU151" i="14" s="1"/>
  <c r="BN113" i="14"/>
  <c r="BX113" i="14"/>
  <c r="BN56" i="14"/>
  <c r="BX56" i="14"/>
  <c r="CB56" i="14" s="1"/>
  <c r="CG7" i="14"/>
  <c r="CH7" i="14" s="1"/>
  <c r="CF7" i="14"/>
  <c r="CP7" i="14"/>
  <c r="CG11" i="14"/>
  <c r="CH11" i="14" s="1"/>
  <c r="CF11" i="14"/>
  <c r="CP11" i="14"/>
  <c r="CG15" i="14"/>
  <c r="CH15" i="14" s="1"/>
  <c r="CF15" i="14"/>
  <c r="CP15" i="14"/>
  <c r="CG19" i="14"/>
  <c r="CH19" i="14" s="1"/>
  <c r="CF19" i="14"/>
  <c r="CP19" i="14"/>
  <c r="CG23" i="14"/>
  <c r="CH23" i="14" s="1"/>
  <c r="CF23" i="14"/>
  <c r="CP23" i="14"/>
  <c r="CG27" i="14"/>
  <c r="CH27" i="14" s="1"/>
  <c r="CF27" i="14"/>
  <c r="CP27" i="14"/>
  <c r="CG31" i="14"/>
  <c r="CH31" i="14" s="1"/>
  <c r="CF31" i="14"/>
  <c r="CP31" i="14"/>
  <c r="CG35" i="14"/>
  <c r="CH35" i="14" s="1"/>
  <c r="CF35" i="14"/>
  <c r="CP35" i="14"/>
  <c r="CG39" i="14"/>
  <c r="CH39" i="14" s="1"/>
  <c r="CF39" i="14"/>
  <c r="CP39" i="14"/>
  <c r="CG43" i="14"/>
  <c r="CH43" i="14" s="1"/>
  <c r="CF43" i="14"/>
  <c r="CP43" i="14"/>
  <c r="CG47" i="14"/>
  <c r="CH47" i="14" s="1"/>
  <c r="CF47" i="14"/>
  <c r="CP47" i="14"/>
  <c r="CG51" i="14"/>
  <c r="CH51" i="14" s="1"/>
  <c r="CF51" i="14"/>
  <c r="CP51" i="14"/>
  <c r="CF55" i="14"/>
  <c r="CG55" i="14"/>
  <c r="CH55" i="14" s="1"/>
  <c r="CP55" i="14"/>
  <c r="CG59" i="14"/>
  <c r="CH59" i="14" s="1"/>
  <c r="CF59" i="14"/>
  <c r="CP59" i="14"/>
  <c r="CG63" i="14"/>
  <c r="CH63" i="14" s="1"/>
  <c r="CF63" i="14"/>
  <c r="CP63" i="14"/>
  <c r="CG67" i="14"/>
  <c r="CH67" i="14" s="1"/>
  <c r="CF67" i="14"/>
  <c r="CP67" i="14"/>
  <c r="CG71" i="14"/>
  <c r="CH71" i="14" s="1"/>
  <c r="CF71" i="14"/>
  <c r="CP71" i="14"/>
  <c r="CG75" i="14"/>
  <c r="CH75" i="14" s="1"/>
  <c r="CF75" i="14"/>
  <c r="CP75" i="14"/>
  <c r="CP79" i="14"/>
  <c r="CG79" i="14"/>
  <c r="CH79" i="14" s="1"/>
  <c r="CF79" i="14"/>
  <c r="CP83" i="14"/>
  <c r="CG83" i="14"/>
  <c r="CH83" i="14" s="1"/>
  <c r="CF83" i="14"/>
  <c r="CP87" i="14"/>
  <c r="CG87" i="14"/>
  <c r="CH87" i="14" s="1"/>
  <c r="CF87" i="14"/>
  <c r="CP91" i="14"/>
  <c r="CG91" i="14"/>
  <c r="CH91" i="14" s="1"/>
  <c r="CF91" i="14"/>
  <c r="CP95" i="14"/>
  <c r="CG95" i="14"/>
  <c r="CH95" i="14" s="1"/>
  <c r="CF95" i="14"/>
  <c r="CP99" i="14"/>
  <c r="CG99" i="14"/>
  <c r="CH99" i="14" s="1"/>
  <c r="CF99" i="14"/>
  <c r="CG103" i="14"/>
  <c r="CH103" i="14" s="1"/>
  <c r="CP103" i="14"/>
  <c r="CF103" i="14"/>
  <c r="CG107" i="14"/>
  <c r="CH107" i="14" s="1"/>
  <c r="CF107" i="14"/>
  <c r="CP107" i="14"/>
  <c r="CG111" i="14"/>
  <c r="CH111" i="14" s="1"/>
  <c r="CF111" i="14"/>
  <c r="CP111" i="14"/>
  <c r="CP116" i="14"/>
  <c r="CG116" i="14"/>
  <c r="CH116" i="14" s="1"/>
  <c r="CF116" i="14"/>
  <c r="CP120" i="14"/>
  <c r="CG120" i="14"/>
  <c r="CH120" i="14" s="1"/>
  <c r="CF120" i="14"/>
  <c r="CP124" i="14"/>
  <c r="CG124" i="14"/>
  <c r="CH124" i="14" s="1"/>
  <c r="CF124" i="14"/>
  <c r="CP6" i="14"/>
  <c r="CG6" i="14"/>
  <c r="CH6" i="14" s="1"/>
  <c r="CF6" i="14"/>
  <c r="CG10" i="14"/>
  <c r="CH10" i="14" s="1"/>
  <c r="CF10" i="14"/>
  <c r="CP10" i="14"/>
  <c r="CG14" i="14"/>
  <c r="CH14" i="14" s="1"/>
  <c r="CF14" i="14"/>
  <c r="CP14" i="14"/>
  <c r="CG18" i="14"/>
  <c r="CH18" i="14" s="1"/>
  <c r="CF18" i="14"/>
  <c r="CP18" i="14"/>
  <c r="CG22" i="14"/>
  <c r="CH22" i="14" s="1"/>
  <c r="CF22" i="14"/>
  <c r="CP22" i="14"/>
  <c r="CG26" i="14"/>
  <c r="CH26" i="14" s="1"/>
  <c r="CF26" i="14"/>
  <c r="CP26" i="14"/>
  <c r="CF30" i="14"/>
  <c r="CP30" i="14"/>
  <c r="CG30" i="14"/>
  <c r="CH30" i="14" s="1"/>
  <c r="CF34" i="14"/>
  <c r="CG34" i="14"/>
  <c r="CH34" i="14" s="1"/>
  <c r="CP34" i="14"/>
  <c r="CF38" i="14"/>
  <c r="CG38" i="14"/>
  <c r="CH38" i="14" s="1"/>
  <c r="CP38" i="14"/>
  <c r="CF42" i="14"/>
  <c r="CG42" i="14"/>
  <c r="CH42" i="14" s="1"/>
  <c r="CP42" i="14"/>
  <c r="CF46" i="14"/>
  <c r="CG46" i="14"/>
  <c r="CH46" i="14" s="1"/>
  <c r="CP46" i="14"/>
  <c r="CF50" i="14"/>
  <c r="CG50" i="14"/>
  <c r="CH50" i="14" s="1"/>
  <c r="CP50" i="14"/>
  <c r="CG54" i="14"/>
  <c r="CH54" i="14" s="1"/>
  <c r="CF54" i="14"/>
  <c r="CP54" i="14"/>
  <c r="CP58" i="14"/>
  <c r="CG58" i="14"/>
  <c r="CH58" i="14" s="1"/>
  <c r="CF58" i="14"/>
  <c r="CP62" i="14"/>
  <c r="CG62" i="14"/>
  <c r="CH62" i="14" s="1"/>
  <c r="CF62" i="14"/>
  <c r="CP66" i="14"/>
  <c r="CG66" i="14"/>
  <c r="CH66" i="14" s="1"/>
  <c r="CF66" i="14"/>
  <c r="CP70" i="14"/>
  <c r="CG70" i="14"/>
  <c r="CH70" i="14" s="1"/>
  <c r="CF70" i="14"/>
  <c r="CP74" i="14"/>
  <c r="CG74" i="14"/>
  <c r="CH74" i="14" s="1"/>
  <c r="CF74" i="14"/>
  <c r="CF78" i="14"/>
  <c r="CP78" i="14"/>
  <c r="CG78" i="14"/>
  <c r="CH78" i="14" s="1"/>
  <c r="CF82" i="14"/>
  <c r="CP82" i="14"/>
  <c r="CG82" i="14"/>
  <c r="CH82" i="14" s="1"/>
  <c r="CF86" i="14"/>
  <c r="CP86" i="14"/>
  <c r="CG86" i="14"/>
  <c r="CH86" i="14" s="1"/>
  <c r="CF90" i="14"/>
  <c r="CP90" i="14"/>
  <c r="CG90" i="14"/>
  <c r="CH90" i="14" s="1"/>
  <c r="CF94" i="14"/>
  <c r="CP94" i="14"/>
  <c r="CG94" i="14"/>
  <c r="CH94" i="14" s="1"/>
  <c r="CF98" i="14"/>
  <c r="CP98" i="14"/>
  <c r="CG98" i="14"/>
  <c r="CH98" i="14" s="1"/>
  <c r="CF102" i="14"/>
  <c r="CP102" i="14"/>
  <c r="CG102" i="14"/>
  <c r="CH102" i="14" s="1"/>
  <c r="CP106" i="14"/>
  <c r="CG106" i="14"/>
  <c r="CH106" i="14" s="1"/>
  <c r="CF106" i="14"/>
  <c r="CP110" i="14"/>
  <c r="CG110" i="14"/>
  <c r="CH110" i="14" s="1"/>
  <c r="CF110" i="14"/>
  <c r="CP114" i="14"/>
  <c r="CG114" i="14"/>
  <c r="CH114" i="14" s="1"/>
  <c r="CF114" i="14"/>
  <c r="CF119" i="14"/>
  <c r="CP119" i="14"/>
  <c r="CG119" i="14"/>
  <c r="CH119" i="14" s="1"/>
  <c r="CF123" i="14"/>
  <c r="CP123" i="14"/>
  <c r="CG123" i="14"/>
  <c r="CH123" i="14" s="1"/>
  <c r="CV164" i="14"/>
  <c r="BN124" i="14"/>
  <c r="BX124" i="14"/>
  <c r="BN57" i="14"/>
  <c r="BX57" i="14"/>
  <c r="CB57" i="14" s="1"/>
  <c r="E28" i="17"/>
  <c r="BN43" i="14"/>
  <c r="BX43" i="14"/>
  <c r="CB43" i="14" s="1"/>
  <c r="BN49" i="14"/>
  <c r="BX49" i="14"/>
  <c r="CB49" i="14" s="1"/>
  <c r="BN55" i="14"/>
  <c r="BX55" i="14"/>
  <c r="BN42" i="14"/>
  <c r="BX42" i="14"/>
  <c r="BN45" i="14"/>
  <c r="BX45" i="14"/>
  <c r="BN38" i="14"/>
  <c r="BX38" i="14"/>
  <c r="BN36" i="14"/>
  <c r="BX36" i="14"/>
  <c r="BN53" i="14"/>
  <c r="BX53" i="14"/>
  <c r="CB53" i="14" s="1"/>
  <c r="BN37" i="14"/>
  <c r="BX37" i="14"/>
  <c r="CB37" i="14" s="1"/>
  <c r="BN33" i="14"/>
  <c r="BX33" i="14"/>
  <c r="BN39" i="14"/>
  <c r="BX39" i="14"/>
  <c r="CB39" i="14" s="1"/>
  <c r="BN52" i="14"/>
  <c r="BX52" i="14"/>
  <c r="BN44" i="14"/>
  <c r="BX44" i="14"/>
  <c r="BN40" i="14"/>
  <c r="BX40" i="14"/>
  <c r="CB40" i="14" s="1"/>
  <c r="BN50" i="14"/>
  <c r="BX50" i="14"/>
  <c r="BN54" i="14"/>
  <c r="BX54" i="14"/>
  <c r="BN51" i="14"/>
  <c r="BX51" i="14"/>
  <c r="BN48" i="14"/>
  <c r="BX48" i="14"/>
  <c r="CB48" i="14" s="1"/>
  <c r="BN47" i="14"/>
  <c r="BX47" i="14"/>
  <c r="BN46" i="14"/>
  <c r="BX46" i="14"/>
  <c r="BN34" i="14"/>
  <c r="BX34" i="14"/>
  <c r="BN35" i="14"/>
  <c r="BX35" i="14"/>
  <c r="BN31" i="14"/>
  <c r="BX31" i="14"/>
  <c r="CB31" i="14" s="1"/>
  <c r="BN32" i="14"/>
  <c r="BX32" i="14"/>
  <c r="BN41" i="14"/>
  <c r="BX41" i="14"/>
  <c r="BQ156" i="14"/>
  <c r="AW183" i="14"/>
  <c r="BL143" i="14"/>
  <c r="BL151" i="14" s="1"/>
  <c r="BN7" i="14"/>
  <c r="BX7" i="14"/>
  <c r="BA151" i="14"/>
  <c r="AZ143" i="14"/>
  <c r="BK138" i="14"/>
  <c r="BN28" i="14"/>
  <c r="BN147" i="14" s="1"/>
  <c r="BM147" i="14" s="1"/>
  <c r="BX28" i="14"/>
  <c r="BX134" i="14" s="1"/>
  <c r="BN27" i="14"/>
  <c r="BX27" i="14"/>
  <c r="BN19" i="14"/>
  <c r="BX19" i="14"/>
  <c r="BN11" i="14"/>
  <c r="BX11" i="14"/>
  <c r="BN21" i="14"/>
  <c r="BX21" i="14"/>
  <c r="CB21" i="14" s="1"/>
  <c r="BN17" i="14"/>
  <c r="BX17" i="14"/>
  <c r="CB17" i="14" s="1"/>
  <c r="BN13" i="14"/>
  <c r="BX13" i="14"/>
  <c r="BK182" i="14"/>
  <c r="BK177" i="14"/>
  <c r="BQ126" i="14"/>
  <c r="BJ126" i="14"/>
  <c r="BK176" i="14" s="1"/>
  <c r="BK178" i="14" s="1"/>
  <c r="BN24" i="14"/>
  <c r="BX24" i="14"/>
  <c r="BN10" i="14"/>
  <c r="BX10" i="14"/>
  <c r="BN14" i="14"/>
  <c r="BX14" i="14"/>
  <c r="CB14" i="14" s="1"/>
  <c r="BN18" i="14"/>
  <c r="BX18" i="14"/>
  <c r="BN22" i="14"/>
  <c r="BX22" i="14"/>
  <c r="CB22" i="14" s="1"/>
  <c r="BN20" i="14"/>
  <c r="BX20" i="14"/>
  <c r="BN23" i="14"/>
  <c r="BX23" i="14"/>
  <c r="BN15" i="14"/>
  <c r="BX15" i="14"/>
  <c r="BN25" i="14"/>
  <c r="BX25" i="14"/>
  <c r="CB25" i="14" s="1"/>
  <c r="BN9" i="14"/>
  <c r="BX9" i="14"/>
  <c r="BN12" i="14"/>
  <c r="BX12" i="14"/>
  <c r="BL126" i="14"/>
  <c r="BN8" i="14"/>
  <c r="BM126" i="14"/>
  <c r="BX8" i="14"/>
  <c r="BN16" i="14"/>
  <c r="BX16" i="14"/>
  <c r="BN29" i="14"/>
  <c r="BX29" i="14"/>
  <c r="BN26" i="14"/>
  <c r="BX26" i="14"/>
  <c r="BO126" i="14"/>
  <c r="J23" i="17"/>
  <c r="I24" i="17"/>
  <c r="I25" i="17" s="1"/>
  <c r="I19" i="7"/>
  <c r="F19" i="7" l="1"/>
  <c r="CA95" i="14"/>
  <c r="CK95" i="14"/>
  <c r="CA93" i="14"/>
  <c r="CK93" i="14"/>
  <c r="DV126" i="14"/>
  <c r="DX180" i="14" s="1"/>
  <c r="CF143" i="14"/>
  <c r="CF151" i="14" s="1"/>
  <c r="BY103" i="14"/>
  <c r="BW103" i="14"/>
  <c r="CD103" i="14"/>
  <c r="BZ103" i="14"/>
  <c r="CB103" i="14"/>
  <c r="BW107" i="14"/>
  <c r="BY107" i="14"/>
  <c r="BZ107" i="14"/>
  <c r="CD107" i="14"/>
  <c r="CB107" i="14"/>
  <c r="BZ120" i="14"/>
  <c r="BW120" i="14"/>
  <c r="BY120" i="14"/>
  <c r="CD120" i="14"/>
  <c r="BY81" i="14"/>
  <c r="BW81" i="14"/>
  <c r="CD81" i="14"/>
  <c r="BZ81" i="14"/>
  <c r="BY125" i="14"/>
  <c r="BW125" i="14"/>
  <c r="BZ125" i="14"/>
  <c r="CD125" i="14"/>
  <c r="CB125" i="14"/>
  <c r="BY101" i="14"/>
  <c r="BW101" i="14"/>
  <c r="CD101" i="14"/>
  <c r="BZ101" i="14"/>
  <c r="CB81" i="14"/>
  <c r="DV160" i="14"/>
  <c r="DV134" i="14"/>
  <c r="BW105" i="14"/>
  <c r="BY105" i="14"/>
  <c r="BZ105" i="14"/>
  <c r="CD105" i="14"/>
  <c r="CB105" i="14"/>
  <c r="BW71" i="14"/>
  <c r="BY71" i="14"/>
  <c r="CD71" i="14"/>
  <c r="BZ71" i="14"/>
  <c r="CB71" i="14"/>
  <c r="BY76" i="14"/>
  <c r="BW76" i="14"/>
  <c r="CD76" i="14"/>
  <c r="BZ76" i="14"/>
  <c r="CB76" i="14"/>
  <c r="BY86" i="14"/>
  <c r="BW86" i="14"/>
  <c r="CD86" i="14"/>
  <c r="BZ86" i="14"/>
  <c r="BW100" i="14"/>
  <c r="BY100" i="14"/>
  <c r="BZ100" i="14"/>
  <c r="CD100" i="14"/>
  <c r="BW111" i="14"/>
  <c r="BY111" i="14"/>
  <c r="BZ111" i="14"/>
  <c r="CD111" i="14"/>
  <c r="CB111" i="14"/>
  <c r="CS7" i="14"/>
  <c r="CT7" i="14"/>
  <c r="CU7" i="14" s="1"/>
  <c r="DC7" i="14"/>
  <c r="CS11" i="14"/>
  <c r="CT11" i="14"/>
  <c r="CU11" i="14" s="1"/>
  <c r="DC11" i="14"/>
  <c r="CS15" i="14"/>
  <c r="CT15" i="14"/>
  <c r="CU15" i="14" s="1"/>
  <c r="DC15" i="14"/>
  <c r="CS19" i="14"/>
  <c r="CT19" i="14"/>
  <c r="CU19" i="14" s="1"/>
  <c r="DC19" i="14"/>
  <c r="CS23" i="14"/>
  <c r="CT23" i="14"/>
  <c r="CU23" i="14" s="1"/>
  <c r="DC23" i="14"/>
  <c r="CS27" i="14"/>
  <c r="CT27" i="14"/>
  <c r="CU27" i="14" s="1"/>
  <c r="DC27" i="14"/>
  <c r="CS31" i="14"/>
  <c r="CT31" i="14"/>
  <c r="CU31" i="14" s="1"/>
  <c r="DC31" i="14"/>
  <c r="CS35" i="14"/>
  <c r="CT35" i="14"/>
  <c r="CU35" i="14" s="1"/>
  <c r="DC35" i="14"/>
  <c r="CS39" i="14"/>
  <c r="CT39" i="14"/>
  <c r="CU39" i="14" s="1"/>
  <c r="DC39" i="14"/>
  <c r="CS43" i="14"/>
  <c r="CT43" i="14"/>
  <c r="CU43" i="14" s="1"/>
  <c r="DC43" i="14"/>
  <c r="CS47" i="14"/>
  <c r="CT47" i="14"/>
  <c r="CU47" i="14" s="1"/>
  <c r="DC47" i="14"/>
  <c r="CS51" i="14"/>
  <c r="CT51" i="14"/>
  <c r="CU51" i="14" s="1"/>
  <c r="DC51" i="14"/>
  <c r="CT55" i="14"/>
  <c r="CU55" i="14" s="1"/>
  <c r="CS55" i="14"/>
  <c r="DC55" i="14"/>
  <c r="DC59" i="14"/>
  <c r="CT59" i="14"/>
  <c r="CU59" i="14" s="1"/>
  <c r="CS59" i="14"/>
  <c r="DC63" i="14"/>
  <c r="CT63" i="14"/>
  <c r="CU63" i="14" s="1"/>
  <c r="CS63" i="14"/>
  <c r="DC67" i="14"/>
  <c r="CT67" i="14"/>
  <c r="CU67" i="14" s="1"/>
  <c r="CS67" i="14"/>
  <c r="DC71" i="14"/>
  <c r="CT71" i="14"/>
  <c r="CU71" i="14" s="1"/>
  <c r="CS71" i="14"/>
  <c r="DC75" i="14"/>
  <c r="CT75" i="14"/>
  <c r="CU75" i="14" s="1"/>
  <c r="CS75" i="14"/>
  <c r="CT79" i="14"/>
  <c r="CU79" i="14" s="1"/>
  <c r="CS79" i="14"/>
  <c r="DC79" i="14"/>
  <c r="CT83" i="14"/>
  <c r="CU83" i="14" s="1"/>
  <c r="CS83" i="14"/>
  <c r="DC83" i="14"/>
  <c r="CT87" i="14"/>
  <c r="CU87" i="14" s="1"/>
  <c r="CS87" i="14"/>
  <c r="DC87" i="14"/>
  <c r="CT91" i="14"/>
  <c r="CU91" i="14" s="1"/>
  <c r="CS91" i="14"/>
  <c r="DC91" i="14"/>
  <c r="CT95" i="14"/>
  <c r="CU95" i="14" s="1"/>
  <c r="CS95" i="14"/>
  <c r="DC95" i="14"/>
  <c r="CT99" i="14"/>
  <c r="CU99" i="14" s="1"/>
  <c r="CS99" i="14"/>
  <c r="DC99" i="14"/>
  <c r="DC103" i="14"/>
  <c r="CT103" i="14"/>
  <c r="CU103" i="14" s="1"/>
  <c r="CS103" i="14"/>
  <c r="DC107" i="14"/>
  <c r="CT107" i="14"/>
  <c r="CU107" i="14" s="1"/>
  <c r="CS107" i="14"/>
  <c r="DC111" i="14"/>
  <c r="CT111" i="14"/>
  <c r="CU111" i="14" s="1"/>
  <c r="CS111" i="14"/>
  <c r="DC115" i="14"/>
  <c r="CT115" i="14"/>
  <c r="CU115" i="14" s="1"/>
  <c r="CS115" i="14"/>
  <c r="CT119" i="14"/>
  <c r="CU119" i="14" s="1"/>
  <c r="DC119" i="14"/>
  <c r="CS119" i="14"/>
  <c r="CT123" i="14"/>
  <c r="CU123" i="14" s="1"/>
  <c r="DC123" i="14"/>
  <c r="CS123" i="14"/>
  <c r="DC6" i="14"/>
  <c r="CT6" i="14"/>
  <c r="CU6" i="14" s="1"/>
  <c r="CS6" i="14"/>
  <c r="CT10" i="14"/>
  <c r="CU10" i="14" s="1"/>
  <c r="CS10" i="14"/>
  <c r="DC10" i="14"/>
  <c r="CT14" i="14"/>
  <c r="CU14" i="14" s="1"/>
  <c r="CS14" i="14"/>
  <c r="DC14" i="14"/>
  <c r="CT18" i="14"/>
  <c r="CU18" i="14" s="1"/>
  <c r="CS18" i="14"/>
  <c r="DC18" i="14"/>
  <c r="CT22" i="14"/>
  <c r="CU22" i="14" s="1"/>
  <c r="CS22" i="14"/>
  <c r="DC22" i="14"/>
  <c r="CT26" i="14"/>
  <c r="CU26" i="14" s="1"/>
  <c r="CS26" i="14"/>
  <c r="DC26" i="14"/>
  <c r="CT30" i="14"/>
  <c r="CU30" i="14" s="1"/>
  <c r="CS30" i="14"/>
  <c r="DC30" i="14"/>
  <c r="CS34" i="14"/>
  <c r="CT34" i="14"/>
  <c r="CU34" i="14" s="1"/>
  <c r="DC34" i="14"/>
  <c r="CS38" i="14"/>
  <c r="CT38" i="14"/>
  <c r="CU38" i="14" s="1"/>
  <c r="DC38" i="14"/>
  <c r="CS42" i="14"/>
  <c r="CT42" i="14"/>
  <c r="CU42" i="14" s="1"/>
  <c r="DC42" i="14"/>
  <c r="CS46" i="14"/>
  <c r="CT46" i="14"/>
  <c r="CU46" i="14" s="1"/>
  <c r="DC46" i="14"/>
  <c r="CS50" i="14"/>
  <c r="CT50" i="14"/>
  <c r="CU50" i="14" s="1"/>
  <c r="DC50" i="14"/>
  <c r="CT54" i="14"/>
  <c r="CU54" i="14" s="1"/>
  <c r="CS54" i="14"/>
  <c r="DC54" i="14"/>
  <c r="DC58" i="14"/>
  <c r="CT58" i="14"/>
  <c r="CU58" i="14" s="1"/>
  <c r="CS58" i="14"/>
  <c r="DC62" i="14"/>
  <c r="CT62" i="14"/>
  <c r="CU62" i="14" s="1"/>
  <c r="CS62" i="14"/>
  <c r="DC66" i="14"/>
  <c r="CT66" i="14"/>
  <c r="CU66" i="14" s="1"/>
  <c r="CS66" i="14"/>
  <c r="DC70" i="14"/>
  <c r="CT70" i="14"/>
  <c r="CU70" i="14" s="1"/>
  <c r="CS70" i="14"/>
  <c r="DC74" i="14"/>
  <c r="CT74" i="14"/>
  <c r="CU74" i="14" s="1"/>
  <c r="CS74" i="14"/>
  <c r="CT78" i="14"/>
  <c r="CU78" i="14" s="1"/>
  <c r="CS78" i="14"/>
  <c r="DC78" i="14"/>
  <c r="CT82" i="14"/>
  <c r="CU82" i="14" s="1"/>
  <c r="CS82" i="14"/>
  <c r="DC82" i="14"/>
  <c r="CT86" i="14"/>
  <c r="CU86" i="14" s="1"/>
  <c r="CS86" i="14"/>
  <c r="DC86" i="14"/>
  <c r="CT90" i="14"/>
  <c r="CU90" i="14" s="1"/>
  <c r="CS90" i="14"/>
  <c r="DC90" i="14"/>
  <c r="CT94" i="14"/>
  <c r="CU94" i="14" s="1"/>
  <c r="CS94" i="14"/>
  <c r="DC94" i="14"/>
  <c r="CT98" i="14"/>
  <c r="CU98" i="14" s="1"/>
  <c r="CS98" i="14"/>
  <c r="DC98" i="14"/>
  <c r="CT102" i="14"/>
  <c r="CU102" i="14" s="1"/>
  <c r="CS102" i="14"/>
  <c r="DC102" i="14"/>
  <c r="DC106" i="14"/>
  <c r="CT106" i="14"/>
  <c r="CU106" i="14" s="1"/>
  <c r="CS106" i="14"/>
  <c r="DC110" i="14"/>
  <c r="CT110" i="14"/>
  <c r="CU110" i="14" s="1"/>
  <c r="CS110" i="14"/>
  <c r="DC114" i="14"/>
  <c r="CT114" i="14"/>
  <c r="CU114" i="14" s="1"/>
  <c r="CS114" i="14"/>
  <c r="CT118" i="14"/>
  <c r="CU118" i="14" s="1"/>
  <c r="DC118" i="14"/>
  <c r="CS118" i="14"/>
  <c r="CT122" i="14"/>
  <c r="CU122" i="14" s="1"/>
  <c r="DC122" i="14"/>
  <c r="CS122" i="14"/>
  <c r="CP126" i="14"/>
  <c r="BN96" i="14"/>
  <c r="BX96" i="14"/>
  <c r="BY91" i="14"/>
  <c r="BW91" i="14"/>
  <c r="BZ91" i="14"/>
  <c r="CD91" i="14"/>
  <c r="BY85" i="14"/>
  <c r="BW85" i="14"/>
  <c r="CD85" i="14"/>
  <c r="BZ85" i="14"/>
  <c r="CB85" i="14"/>
  <c r="BW64" i="14"/>
  <c r="BY64" i="14"/>
  <c r="BZ64" i="14"/>
  <c r="CD64" i="14"/>
  <c r="CB64" i="14"/>
  <c r="BY110" i="14"/>
  <c r="BW110" i="14"/>
  <c r="CD110" i="14"/>
  <c r="BZ110" i="14"/>
  <c r="BW73" i="14"/>
  <c r="BY73" i="14"/>
  <c r="BZ73" i="14"/>
  <c r="CD73" i="14"/>
  <c r="CB73" i="14"/>
  <c r="CB77" i="14"/>
  <c r="BW77" i="14"/>
  <c r="BY77" i="14"/>
  <c r="BZ77" i="14"/>
  <c r="CD77" i="14"/>
  <c r="BW94" i="14"/>
  <c r="BY94" i="14"/>
  <c r="CD94" i="14"/>
  <c r="BZ94" i="14"/>
  <c r="CB94" i="14"/>
  <c r="BW62" i="14"/>
  <c r="BY62" i="14"/>
  <c r="BZ62" i="14"/>
  <c r="CD62" i="14"/>
  <c r="CB62" i="14"/>
  <c r="BW67" i="14"/>
  <c r="BY67" i="14"/>
  <c r="CD67" i="14"/>
  <c r="BZ67" i="14"/>
  <c r="CB67" i="14"/>
  <c r="BY59" i="14"/>
  <c r="BW59" i="14"/>
  <c r="CD59" i="14"/>
  <c r="BZ59" i="14"/>
  <c r="BW61" i="14"/>
  <c r="BY61" i="14"/>
  <c r="BZ61" i="14"/>
  <c r="CD61" i="14"/>
  <c r="BY97" i="14"/>
  <c r="BW97" i="14"/>
  <c r="CD97" i="14"/>
  <c r="BZ97" i="14"/>
  <c r="CB97" i="14"/>
  <c r="BW69" i="14"/>
  <c r="BY69" i="14"/>
  <c r="BZ69" i="14"/>
  <c r="CD69" i="14"/>
  <c r="CB59" i="14"/>
  <c r="BY115" i="14"/>
  <c r="BW115" i="14"/>
  <c r="BZ115" i="14"/>
  <c r="CD115" i="14"/>
  <c r="CB115" i="14"/>
  <c r="BW65" i="14"/>
  <c r="BY65" i="14"/>
  <c r="BZ65" i="14"/>
  <c r="CD65" i="14"/>
  <c r="CB65" i="14"/>
  <c r="BY5" i="14"/>
  <c r="BW5" i="14"/>
  <c r="CD5" i="14"/>
  <c r="BZ5" i="14"/>
  <c r="BY70" i="14"/>
  <c r="BW70" i="14"/>
  <c r="BZ70" i="14"/>
  <c r="CD70" i="14"/>
  <c r="CB70" i="14"/>
  <c r="BZ118" i="14"/>
  <c r="BW118" i="14"/>
  <c r="BY118" i="14"/>
  <c r="CD118" i="14"/>
  <c r="BW57" i="14"/>
  <c r="BY57" i="14"/>
  <c r="BZ57" i="14"/>
  <c r="CD57" i="14"/>
  <c r="BZ124" i="14"/>
  <c r="BW124" i="14"/>
  <c r="BY124" i="14"/>
  <c r="CD124" i="14"/>
  <c r="CB124" i="14"/>
  <c r="CP156" i="14"/>
  <c r="CP164" i="14" s="1"/>
  <c r="CH143" i="14"/>
  <c r="CH151" i="14" s="1"/>
  <c r="BY56" i="14"/>
  <c r="BW56" i="14"/>
  <c r="BZ56" i="14"/>
  <c r="CD56" i="14"/>
  <c r="BW113" i="14"/>
  <c r="BY113" i="14"/>
  <c r="BZ113" i="14"/>
  <c r="CD113" i="14"/>
  <c r="BY82" i="14"/>
  <c r="BW82" i="14"/>
  <c r="CD82" i="14"/>
  <c r="BZ82" i="14"/>
  <c r="CB82" i="14"/>
  <c r="BW90" i="14"/>
  <c r="BY90" i="14"/>
  <c r="CD90" i="14"/>
  <c r="BZ90" i="14"/>
  <c r="CB90" i="14"/>
  <c r="BY92" i="14"/>
  <c r="BW92" i="14"/>
  <c r="BZ92" i="14"/>
  <c r="CD92" i="14"/>
  <c r="CB92" i="14"/>
  <c r="BY102" i="14"/>
  <c r="BW102" i="14"/>
  <c r="CD102" i="14"/>
  <c r="BZ102" i="14"/>
  <c r="CB102" i="14"/>
  <c r="BY98" i="14"/>
  <c r="BW98" i="14"/>
  <c r="CD98" i="14"/>
  <c r="BZ98" i="14"/>
  <c r="BW99" i="14"/>
  <c r="BY99" i="14"/>
  <c r="BZ99" i="14"/>
  <c r="CD99" i="14"/>
  <c r="CB99" i="14"/>
  <c r="BY117" i="14"/>
  <c r="BW117" i="14"/>
  <c r="BZ117" i="14"/>
  <c r="CD117" i="14"/>
  <c r="CB117" i="14"/>
  <c r="DZ178" i="14"/>
  <c r="DZ176" i="14"/>
  <c r="DZ174" i="14"/>
  <c r="DT4" i="14"/>
  <c r="DY4" i="14"/>
  <c r="DS4" i="14"/>
  <c r="DZ180" i="14"/>
  <c r="DZ177" i="14"/>
  <c r="DZ175" i="14"/>
  <c r="DX128" i="14"/>
  <c r="DR4" i="14"/>
  <c r="DU4" i="14"/>
  <c r="DR1" i="14" s="1"/>
  <c r="DV156" i="14"/>
  <c r="DV164" i="14" s="1"/>
  <c r="DV130" i="14"/>
  <c r="DV138" i="14" s="1"/>
  <c r="DX181" i="14" s="1"/>
  <c r="DE125" i="14"/>
  <c r="DE123" i="14"/>
  <c r="DE121" i="14"/>
  <c r="DE119" i="14"/>
  <c r="DE117" i="14"/>
  <c r="DE115" i="14"/>
  <c r="DE113" i="14"/>
  <c r="DE111" i="14"/>
  <c r="DE109" i="14"/>
  <c r="DE107" i="14"/>
  <c r="DE105" i="14"/>
  <c r="DE103" i="14"/>
  <c r="DE101" i="14"/>
  <c r="DE99" i="14"/>
  <c r="DE97" i="14"/>
  <c r="DE95" i="14"/>
  <c r="DE93" i="14"/>
  <c r="DE91" i="14"/>
  <c r="DE89" i="14"/>
  <c r="DE87" i="14"/>
  <c r="DE85" i="14"/>
  <c r="DE83" i="14"/>
  <c r="DE81" i="14"/>
  <c r="DE79" i="14"/>
  <c r="DE77" i="14"/>
  <c r="DE75" i="14"/>
  <c r="DE73" i="14"/>
  <c r="DE71" i="14"/>
  <c r="DE69" i="14"/>
  <c r="DE67" i="14"/>
  <c r="DE65" i="14"/>
  <c r="DE63" i="14"/>
  <c r="DE61" i="14"/>
  <c r="DE59" i="14"/>
  <c r="DE57" i="14"/>
  <c r="DE55" i="14"/>
  <c r="DE53" i="14"/>
  <c r="DE51" i="14"/>
  <c r="DE49" i="14"/>
  <c r="DE47" i="14"/>
  <c r="DE45" i="14"/>
  <c r="DE43" i="14"/>
  <c r="DE41" i="14"/>
  <c r="DE39" i="14"/>
  <c r="DE37" i="14"/>
  <c r="DE35" i="14"/>
  <c r="DE33" i="14"/>
  <c r="DE31" i="14"/>
  <c r="DE29" i="14"/>
  <c r="DE27" i="14"/>
  <c r="DE25" i="14"/>
  <c r="DE23" i="14"/>
  <c r="DE21" i="14"/>
  <c r="DE19" i="14"/>
  <c r="DE17" i="14"/>
  <c r="DE15" i="14"/>
  <c r="DE13" i="14"/>
  <c r="DE11" i="14"/>
  <c r="DE9" i="14"/>
  <c r="DE7" i="14"/>
  <c r="DE5" i="14"/>
  <c r="DE124" i="14"/>
  <c r="DE122" i="14"/>
  <c r="DE120" i="14"/>
  <c r="DE118" i="14"/>
  <c r="DE116" i="14"/>
  <c r="DE114" i="14"/>
  <c r="DE112" i="14"/>
  <c r="DE110" i="14"/>
  <c r="DE108" i="14"/>
  <c r="DE106" i="14"/>
  <c r="DE104" i="14"/>
  <c r="DE102" i="14"/>
  <c r="DE100" i="14"/>
  <c r="DE98" i="14"/>
  <c r="DE96" i="14"/>
  <c r="DE94" i="14"/>
  <c r="DE92" i="14"/>
  <c r="DE90" i="14"/>
  <c r="DE88" i="14"/>
  <c r="DE86" i="14"/>
  <c r="DE84" i="14"/>
  <c r="DE82" i="14"/>
  <c r="DE80" i="14"/>
  <c r="DE78" i="14"/>
  <c r="DE76" i="14"/>
  <c r="DE74" i="14"/>
  <c r="DE72" i="14"/>
  <c r="DE70" i="14"/>
  <c r="DE68" i="14"/>
  <c r="DE66" i="14"/>
  <c r="DE64" i="14"/>
  <c r="DE62" i="14"/>
  <c r="DE60" i="14"/>
  <c r="DE58" i="14"/>
  <c r="DE56" i="14"/>
  <c r="DE54" i="14"/>
  <c r="DE52" i="14"/>
  <c r="DE50" i="14"/>
  <c r="DE48" i="14"/>
  <c r="DE46" i="14"/>
  <c r="DE44" i="14"/>
  <c r="DE42" i="14"/>
  <c r="DE40" i="14"/>
  <c r="DE38" i="14"/>
  <c r="DE36" i="14"/>
  <c r="DE34" i="14"/>
  <c r="DE32" i="14"/>
  <c r="DE30" i="14"/>
  <c r="DE28" i="14"/>
  <c r="DE26" i="14"/>
  <c r="DE24" i="14"/>
  <c r="DE22" i="14"/>
  <c r="DE20" i="14"/>
  <c r="DE18" i="14"/>
  <c r="DE16" i="14"/>
  <c r="DE14" i="14"/>
  <c r="DE12" i="14"/>
  <c r="DE10" i="14"/>
  <c r="DE8" i="14"/>
  <c r="DE6" i="14"/>
  <c r="DJ181" i="14"/>
  <c r="BW106" i="14"/>
  <c r="BY106" i="14"/>
  <c r="BZ106" i="14"/>
  <c r="CD106" i="14"/>
  <c r="BW30" i="14"/>
  <c r="BY30" i="14"/>
  <c r="CD30" i="14"/>
  <c r="BZ30" i="14"/>
  <c r="CB30" i="14"/>
  <c r="BY119" i="14"/>
  <c r="BW119" i="14"/>
  <c r="CD119" i="14"/>
  <c r="BZ119" i="14"/>
  <c r="BY114" i="14"/>
  <c r="BW114" i="14"/>
  <c r="BZ114" i="14"/>
  <c r="CD114" i="14"/>
  <c r="BW68" i="14"/>
  <c r="BY68" i="14"/>
  <c r="CD68" i="14"/>
  <c r="BZ68" i="14"/>
  <c r="CB68" i="14"/>
  <c r="BY6" i="14"/>
  <c r="BW6" i="14"/>
  <c r="CD6" i="14"/>
  <c r="BZ6" i="14"/>
  <c r="BW89" i="14"/>
  <c r="BY89" i="14"/>
  <c r="CD89" i="14"/>
  <c r="BZ89" i="14"/>
  <c r="CB89" i="14"/>
  <c r="BW121" i="14"/>
  <c r="BY121" i="14"/>
  <c r="BZ121" i="14"/>
  <c r="CD121" i="14"/>
  <c r="CB121" i="14"/>
  <c r="BW74" i="14"/>
  <c r="BY74" i="14"/>
  <c r="BZ74" i="14"/>
  <c r="CD74" i="14"/>
  <c r="BW78" i="14"/>
  <c r="BY78" i="14"/>
  <c r="CD78" i="14"/>
  <c r="BZ78" i="14"/>
  <c r="CB78" i="14"/>
  <c r="BW75" i="14"/>
  <c r="BY75" i="14"/>
  <c r="CD75" i="14"/>
  <c r="BZ75" i="14"/>
  <c r="CT5" i="14"/>
  <c r="CS5" i="14"/>
  <c r="CR126" i="14"/>
  <c r="DC5" i="14"/>
  <c r="CS9" i="14"/>
  <c r="CT9" i="14"/>
  <c r="CU9" i="14" s="1"/>
  <c r="DC9" i="14"/>
  <c r="CS13" i="14"/>
  <c r="CT13" i="14"/>
  <c r="CU13" i="14" s="1"/>
  <c r="DC13" i="14"/>
  <c r="CS17" i="14"/>
  <c r="CT17" i="14"/>
  <c r="CU17" i="14" s="1"/>
  <c r="DC17" i="14"/>
  <c r="CS21" i="14"/>
  <c r="CT21" i="14"/>
  <c r="CU21" i="14" s="1"/>
  <c r="DC21" i="14"/>
  <c r="CS25" i="14"/>
  <c r="CT25" i="14"/>
  <c r="CU25" i="14" s="1"/>
  <c r="DC25" i="14"/>
  <c r="CS29" i="14"/>
  <c r="CT29" i="14"/>
  <c r="CU29" i="14" s="1"/>
  <c r="DC29" i="14"/>
  <c r="CS33" i="14"/>
  <c r="CT33" i="14"/>
  <c r="CU33" i="14" s="1"/>
  <c r="DC33" i="14"/>
  <c r="CS37" i="14"/>
  <c r="CT37" i="14"/>
  <c r="CU37" i="14" s="1"/>
  <c r="DC37" i="14"/>
  <c r="CS41" i="14"/>
  <c r="CT41" i="14"/>
  <c r="CU41" i="14" s="1"/>
  <c r="DC41" i="14"/>
  <c r="CS45" i="14"/>
  <c r="CT45" i="14"/>
  <c r="CU45" i="14" s="1"/>
  <c r="DC45" i="14"/>
  <c r="CS49" i="14"/>
  <c r="CT49" i="14"/>
  <c r="CU49" i="14" s="1"/>
  <c r="DC49" i="14"/>
  <c r="CT53" i="14"/>
  <c r="CU53" i="14" s="1"/>
  <c r="CS53" i="14"/>
  <c r="DC53" i="14"/>
  <c r="CS57" i="14"/>
  <c r="DC57" i="14"/>
  <c r="CT57" i="14"/>
  <c r="CU57" i="14" s="1"/>
  <c r="CS61" i="14"/>
  <c r="DC61" i="14"/>
  <c r="CT61" i="14"/>
  <c r="CU61" i="14" s="1"/>
  <c r="CS65" i="14"/>
  <c r="DC65" i="14"/>
  <c r="CT65" i="14"/>
  <c r="CU65" i="14" s="1"/>
  <c r="CS69" i="14"/>
  <c r="DC69" i="14"/>
  <c r="CT69" i="14"/>
  <c r="CU69" i="14" s="1"/>
  <c r="CS73" i="14"/>
  <c r="DC73" i="14"/>
  <c r="CT73" i="14"/>
  <c r="CU73" i="14" s="1"/>
  <c r="CS77" i="14"/>
  <c r="DC77" i="14"/>
  <c r="CT77" i="14"/>
  <c r="CU77" i="14" s="1"/>
  <c r="DC81" i="14"/>
  <c r="CT81" i="14"/>
  <c r="CU81" i="14" s="1"/>
  <c r="CS81" i="14"/>
  <c r="DC85" i="14"/>
  <c r="CT85" i="14"/>
  <c r="CU85" i="14" s="1"/>
  <c r="CS85" i="14"/>
  <c r="DC89" i="14"/>
  <c r="CT89" i="14"/>
  <c r="CU89" i="14" s="1"/>
  <c r="CS89" i="14"/>
  <c r="DC93" i="14"/>
  <c r="CT93" i="14"/>
  <c r="CU93" i="14" s="1"/>
  <c r="CS93" i="14"/>
  <c r="DC97" i="14"/>
  <c r="CT97" i="14"/>
  <c r="CU97" i="14" s="1"/>
  <c r="CS97" i="14"/>
  <c r="DC101" i="14"/>
  <c r="CT101" i="14"/>
  <c r="CU101" i="14" s="1"/>
  <c r="CS101" i="14"/>
  <c r="CS105" i="14"/>
  <c r="DC105" i="14"/>
  <c r="CT105" i="14"/>
  <c r="CU105" i="14" s="1"/>
  <c r="CS109" i="14"/>
  <c r="DC109" i="14"/>
  <c r="CT109" i="14"/>
  <c r="CU109" i="14" s="1"/>
  <c r="CS113" i="14"/>
  <c r="DC113" i="14"/>
  <c r="CT113" i="14"/>
  <c r="CU113" i="14" s="1"/>
  <c r="CS117" i="14"/>
  <c r="CT117" i="14"/>
  <c r="CU117" i="14" s="1"/>
  <c r="DC117" i="14"/>
  <c r="CS121" i="14"/>
  <c r="CT121" i="14"/>
  <c r="CU121" i="14" s="1"/>
  <c r="DC121" i="14"/>
  <c r="CS125" i="14"/>
  <c r="CT125" i="14"/>
  <c r="CU125" i="14" s="1"/>
  <c r="DC125" i="14"/>
  <c r="CT8" i="14"/>
  <c r="CU8" i="14" s="1"/>
  <c r="CS8" i="14"/>
  <c r="DC8" i="14"/>
  <c r="CT12" i="14"/>
  <c r="CU12" i="14" s="1"/>
  <c r="CS12" i="14"/>
  <c r="DC12" i="14"/>
  <c r="CT16" i="14"/>
  <c r="CU16" i="14" s="1"/>
  <c r="CS16" i="14"/>
  <c r="DC16" i="14"/>
  <c r="CT20" i="14"/>
  <c r="CU20" i="14" s="1"/>
  <c r="CS20" i="14"/>
  <c r="DC20" i="14"/>
  <c r="CT24" i="14"/>
  <c r="CU24" i="14" s="1"/>
  <c r="CS24" i="14"/>
  <c r="DC24" i="14"/>
  <c r="CT28" i="14"/>
  <c r="CU28" i="14" s="1"/>
  <c r="CU147" i="14" s="1"/>
  <c r="CS28" i="14"/>
  <c r="CS147" i="14" s="1"/>
  <c r="DC28" i="14"/>
  <c r="DC160" i="14" s="1"/>
  <c r="CS32" i="14"/>
  <c r="CT32" i="14"/>
  <c r="CU32" i="14" s="1"/>
  <c r="DC32" i="14"/>
  <c r="CS36" i="14"/>
  <c r="CT36" i="14"/>
  <c r="CU36" i="14" s="1"/>
  <c r="DC36" i="14"/>
  <c r="CS40" i="14"/>
  <c r="CT40" i="14"/>
  <c r="CU40" i="14" s="1"/>
  <c r="DC40" i="14"/>
  <c r="CS44" i="14"/>
  <c r="CT44" i="14"/>
  <c r="CU44" i="14" s="1"/>
  <c r="DC44" i="14"/>
  <c r="CS48" i="14"/>
  <c r="CT48" i="14"/>
  <c r="CU48" i="14" s="1"/>
  <c r="DC48" i="14"/>
  <c r="CT52" i="14"/>
  <c r="CU52" i="14" s="1"/>
  <c r="CS52" i="14"/>
  <c r="DC52" i="14"/>
  <c r="CS56" i="14"/>
  <c r="DC56" i="14"/>
  <c r="CT56" i="14"/>
  <c r="CU56" i="14" s="1"/>
  <c r="CS60" i="14"/>
  <c r="DC60" i="14"/>
  <c r="CT60" i="14"/>
  <c r="CU60" i="14" s="1"/>
  <c r="CS64" i="14"/>
  <c r="DC64" i="14"/>
  <c r="CT64" i="14"/>
  <c r="CU64" i="14" s="1"/>
  <c r="CS68" i="14"/>
  <c r="DC68" i="14"/>
  <c r="CT68" i="14"/>
  <c r="CU68" i="14" s="1"/>
  <c r="CS72" i="14"/>
  <c r="DC72" i="14"/>
  <c r="CT72" i="14"/>
  <c r="CU72" i="14" s="1"/>
  <c r="CS76" i="14"/>
  <c r="DC76" i="14"/>
  <c r="CT76" i="14"/>
  <c r="CU76" i="14" s="1"/>
  <c r="DC80" i="14"/>
  <c r="CT80" i="14"/>
  <c r="CU80" i="14" s="1"/>
  <c r="CS80" i="14"/>
  <c r="DC84" i="14"/>
  <c r="CT84" i="14"/>
  <c r="CU84" i="14" s="1"/>
  <c r="CS84" i="14"/>
  <c r="DC88" i="14"/>
  <c r="CT88" i="14"/>
  <c r="CU88" i="14" s="1"/>
  <c r="CS88" i="14"/>
  <c r="DC92" i="14"/>
  <c r="CT92" i="14"/>
  <c r="CU92" i="14" s="1"/>
  <c r="CS92" i="14"/>
  <c r="DC96" i="14"/>
  <c r="CT96" i="14"/>
  <c r="CU96" i="14" s="1"/>
  <c r="CS96" i="14"/>
  <c r="DC100" i="14"/>
  <c r="CT100" i="14"/>
  <c r="CU100" i="14" s="1"/>
  <c r="CS100" i="14"/>
  <c r="CS104" i="14"/>
  <c r="DC104" i="14"/>
  <c r="CT104" i="14"/>
  <c r="CU104" i="14" s="1"/>
  <c r="CS108" i="14"/>
  <c r="DC108" i="14"/>
  <c r="CT108" i="14"/>
  <c r="CU108" i="14" s="1"/>
  <c r="CS112" i="14"/>
  <c r="DC112" i="14"/>
  <c r="CT112" i="14"/>
  <c r="CU112" i="14" s="1"/>
  <c r="CS116" i="14"/>
  <c r="CT116" i="14"/>
  <c r="CU116" i="14" s="1"/>
  <c r="DC116" i="14"/>
  <c r="CS120" i="14"/>
  <c r="CT120" i="14"/>
  <c r="CU120" i="14" s="1"/>
  <c r="DC120" i="14"/>
  <c r="CS124" i="14"/>
  <c r="CT124" i="14"/>
  <c r="CU124" i="14" s="1"/>
  <c r="DC124" i="14"/>
  <c r="CF126" i="14"/>
  <c r="CH5" i="14"/>
  <c r="CH126" i="14" s="1"/>
  <c r="CG126" i="14"/>
  <c r="CB96" i="14"/>
  <c r="CB122" i="14"/>
  <c r="BW122" i="14"/>
  <c r="BY122" i="14"/>
  <c r="BZ122" i="14"/>
  <c r="CD122" i="14"/>
  <c r="BW88" i="14"/>
  <c r="BY88" i="14"/>
  <c r="CD88" i="14"/>
  <c r="BZ88" i="14"/>
  <c r="BW63" i="14"/>
  <c r="BY63" i="14"/>
  <c r="CD63" i="14"/>
  <c r="BZ63" i="14"/>
  <c r="BW79" i="14"/>
  <c r="BY79" i="14"/>
  <c r="CD79" i="14"/>
  <c r="BZ79" i="14"/>
  <c r="CB79" i="14"/>
  <c r="BW83" i="14"/>
  <c r="BY83" i="14"/>
  <c r="BZ83" i="14"/>
  <c r="CD83" i="14"/>
  <c r="CB83" i="14"/>
  <c r="BY87" i="14"/>
  <c r="BW87" i="14"/>
  <c r="CD87" i="14"/>
  <c r="BZ87" i="14"/>
  <c r="CB87" i="14"/>
  <c r="CB98" i="14"/>
  <c r="BZ116" i="14"/>
  <c r="BW116" i="14"/>
  <c r="BY116" i="14"/>
  <c r="CD116" i="14"/>
  <c r="CB116" i="14"/>
  <c r="BW84" i="14"/>
  <c r="BY84" i="14"/>
  <c r="BZ84" i="14"/>
  <c r="CD84" i="14"/>
  <c r="BW58" i="14"/>
  <c r="BY58" i="14"/>
  <c r="BZ58" i="14"/>
  <c r="CD58" i="14"/>
  <c r="CB58" i="14"/>
  <c r="CB120" i="14"/>
  <c r="CB106" i="14"/>
  <c r="BY60" i="14"/>
  <c r="BW60" i="14"/>
  <c r="CD60" i="14"/>
  <c r="BZ60" i="14"/>
  <c r="CB60" i="14"/>
  <c r="BW123" i="14"/>
  <c r="BY123" i="14"/>
  <c r="BZ123" i="14"/>
  <c r="CD123" i="14"/>
  <c r="BW108" i="14"/>
  <c r="BY108" i="14"/>
  <c r="BZ108" i="14"/>
  <c r="CD108" i="14"/>
  <c r="BW112" i="14"/>
  <c r="BY112" i="14"/>
  <c r="BZ112" i="14"/>
  <c r="CD112" i="14"/>
  <c r="BY109" i="14"/>
  <c r="BW109" i="14"/>
  <c r="CD109" i="14"/>
  <c r="BZ109" i="14"/>
  <c r="CB109" i="14"/>
  <c r="BY72" i="14"/>
  <c r="BW72" i="14"/>
  <c r="BZ72" i="14"/>
  <c r="CD72" i="14"/>
  <c r="CB72" i="14"/>
  <c r="BY80" i="14"/>
  <c r="BW80" i="14"/>
  <c r="CD80" i="14"/>
  <c r="BZ80" i="14"/>
  <c r="CB108" i="14"/>
  <c r="CB86" i="14"/>
  <c r="CB113" i="14"/>
  <c r="CB100" i="14"/>
  <c r="BY66" i="14"/>
  <c r="BW66" i="14"/>
  <c r="BZ66" i="14"/>
  <c r="CD66" i="14"/>
  <c r="CB66" i="14"/>
  <c r="CB101" i="14"/>
  <c r="BW104" i="14"/>
  <c r="BY104" i="14"/>
  <c r="CD104" i="14"/>
  <c r="BZ104" i="14"/>
  <c r="CB74" i="14"/>
  <c r="BK175" i="14"/>
  <c r="BW41" i="14"/>
  <c r="CD41" i="14"/>
  <c r="BY41" i="14"/>
  <c r="BZ41" i="14"/>
  <c r="BW32" i="14"/>
  <c r="BZ32" i="14"/>
  <c r="BY32" i="14"/>
  <c r="CD32" i="14"/>
  <c r="BY31" i="14"/>
  <c r="CD31" i="14"/>
  <c r="BW31" i="14"/>
  <c r="BZ31" i="14"/>
  <c r="BW35" i="14"/>
  <c r="BZ35" i="14"/>
  <c r="BY35" i="14"/>
  <c r="CD35" i="14"/>
  <c r="CB35" i="14"/>
  <c r="CB32" i="14"/>
  <c r="BY34" i="14"/>
  <c r="CD34" i="14"/>
  <c r="BW34" i="14"/>
  <c r="BZ34" i="14"/>
  <c r="BZ46" i="14"/>
  <c r="BY46" i="14"/>
  <c r="CD46" i="14"/>
  <c r="BW46" i="14"/>
  <c r="CB46" i="14"/>
  <c r="BW52" i="14"/>
  <c r="BZ52" i="14"/>
  <c r="BY52" i="14"/>
  <c r="CD52" i="14"/>
  <c r="BW45" i="14"/>
  <c r="BZ45" i="14"/>
  <c r="BY45" i="14"/>
  <c r="CD45" i="14"/>
  <c r="CB45" i="14"/>
  <c r="CB42" i="14"/>
  <c r="BZ42" i="14"/>
  <c r="BY42" i="14"/>
  <c r="CD42" i="14"/>
  <c r="BW42" i="14"/>
  <c r="BW55" i="14"/>
  <c r="BZ55" i="14"/>
  <c r="BY55" i="14"/>
  <c r="CD55" i="14"/>
  <c r="CB55" i="14"/>
  <c r="BW49" i="14"/>
  <c r="BZ49" i="14"/>
  <c r="BY49" i="14"/>
  <c r="CD49" i="14"/>
  <c r="BW47" i="14"/>
  <c r="BZ47" i="14"/>
  <c r="BY47" i="14"/>
  <c r="CD47" i="14"/>
  <c r="CB47" i="14"/>
  <c r="BZ48" i="14"/>
  <c r="BW48" i="14"/>
  <c r="BY48" i="14"/>
  <c r="CD48" i="14"/>
  <c r="BW51" i="14"/>
  <c r="BZ51" i="14"/>
  <c r="BY51" i="14"/>
  <c r="CD51" i="14"/>
  <c r="CB51" i="14"/>
  <c r="BW54" i="14"/>
  <c r="BZ54" i="14"/>
  <c r="BY54" i="14"/>
  <c r="CD54" i="14"/>
  <c r="CB54" i="14"/>
  <c r="CB50" i="14"/>
  <c r="BY50" i="14"/>
  <c r="CD50" i="14"/>
  <c r="BZ50" i="14"/>
  <c r="BW50" i="14"/>
  <c r="BY40" i="14"/>
  <c r="CD40" i="14"/>
  <c r="BW40" i="14"/>
  <c r="BZ40" i="14"/>
  <c r="BZ44" i="14"/>
  <c r="BW44" i="14"/>
  <c r="BY44" i="14"/>
  <c r="CD44" i="14"/>
  <c r="CB41" i="14"/>
  <c r="BW39" i="14"/>
  <c r="CD39" i="14"/>
  <c r="BY39" i="14"/>
  <c r="BZ39" i="14"/>
  <c r="BW33" i="14"/>
  <c r="CD33" i="14"/>
  <c r="BY33" i="14"/>
  <c r="BZ33" i="14"/>
  <c r="BW37" i="14"/>
  <c r="CD37" i="14"/>
  <c r="BY37" i="14"/>
  <c r="BZ37" i="14"/>
  <c r="BW53" i="14"/>
  <c r="BZ53" i="14"/>
  <c r="BY53" i="14"/>
  <c r="CD53" i="14"/>
  <c r="BY36" i="14"/>
  <c r="CD36" i="14"/>
  <c r="BW36" i="14"/>
  <c r="BZ36" i="14"/>
  <c r="CB36" i="14"/>
  <c r="BW38" i="14"/>
  <c r="BZ38" i="14"/>
  <c r="BY38" i="14"/>
  <c r="CD38" i="14"/>
  <c r="CB38" i="14"/>
  <c r="CB34" i="14"/>
  <c r="CB33" i="14"/>
  <c r="CB52" i="14"/>
  <c r="BW43" i="14"/>
  <c r="BZ43" i="14"/>
  <c r="BY43" i="14"/>
  <c r="CD43" i="14"/>
  <c r="CB44" i="14"/>
  <c r="BN143" i="14"/>
  <c r="BK183" i="14"/>
  <c r="BJ183" i="14" s="1"/>
  <c r="BK188" i="14"/>
  <c r="AZ151" i="14"/>
  <c r="BW7" i="14"/>
  <c r="BZ7" i="14"/>
  <c r="BY7" i="14"/>
  <c r="CD7" i="14"/>
  <c r="CB7" i="14"/>
  <c r="BX130" i="14"/>
  <c r="BQ164" i="14"/>
  <c r="BW29" i="14"/>
  <c r="CD29" i="14"/>
  <c r="BY29" i="14"/>
  <c r="BZ29" i="14"/>
  <c r="BY26" i="14"/>
  <c r="CD26" i="14"/>
  <c r="BW26" i="14"/>
  <c r="BZ26" i="14"/>
  <c r="BW16" i="14"/>
  <c r="BZ16" i="14"/>
  <c r="BY16" i="14"/>
  <c r="CD16" i="14"/>
  <c r="BW8" i="14"/>
  <c r="BZ8" i="14"/>
  <c r="BY8" i="14"/>
  <c r="CD8" i="14"/>
  <c r="BX174" i="14"/>
  <c r="BX126" i="14"/>
  <c r="CB8" i="14"/>
  <c r="BN126" i="14"/>
  <c r="BY23" i="14"/>
  <c r="CD23" i="14"/>
  <c r="BW23" i="14"/>
  <c r="BZ23" i="14"/>
  <c r="CB23" i="14"/>
  <c r="BW22" i="14"/>
  <c r="BZ22" i="14"/>
  <c r="BY22" i="14"/>
  <c r="CD22" i="14"/>
  <c r="BY18" i="14"/>
  <c r="CD18" i="14"/>
  <c r="BW18" i="14"/>
  <c r="BZ18" i="14"/>
  <c r="CB18" i="14"/>
  <c r="CB13" i="14"/>
  <c r="BW13" i="14"/>
  <c r="CD13" i="14"/>
  <c r="BY13" i="14"/>
  <c r="BZ13" i="14"/>
  <c r="BY17" i="14"/>
  <c r="BZ17" i="14"/>
  <c r="BW17" i="14"/>
  <c r="CD17" i="14"/>
  <c r="BW11" i="14"/>
  <c r="BZ11" i="14"/>
  <c r="BY11" i="14"/>
  <c r="CD11" i="14"/>
  <c r="CB11" i="14"/>
  <c r="BW27" i="14"/>
  <c r="BZ27" i="14"/>
  <c r="BY27" i="14"/>
  <c r="CD27" i="14"/>
  <c r="CB27" i="14"/>
  <c r="CB16" i="14"/>
  <c r="BY12" i="14"/>
  <c r="CD12" i="14"/>
  <c r="BW12" i="14"/>
  <c r="BZ12" i="14"/>
  <c r="CB12" i="14"/>
  <c r="BW9" i="14"/>
  <c r="CD9" i="14"/>
  <c r="BY9" i="14"/>
  <c r="BZ9" i="14"/>
  <c r="BW25" i="14"/>
  <c r="CD25" i="14"/>
  <c r="BY25" i="14"/>
  <c r="BZ25" i="14"/>
  <c r="BY15" i="14"/>
  <c r="CD15" i="14"/>
  <c r="BW15" i="14"/>
  <c r="BZ15" i="14"/>
  <c r="CB15" i="14"/>
  <c r="BY20" i="14"/>
  <c r="CD20" i="14"/>
  <c r="BW20" i="14"/>
  <c r="BZ20" i="14"/>
  <c r="CB20" i="14"/>
  <c r="BW14" i="14"/>
  <c r="BZ14" i="14"/>
  <c r="BY14" i="14"/>
  <c r="CD14" i="14"/>
  <c r="BY10" i="14"/>
  <c r="CD10" i="14"/>
  <c r="BW10" i="14"/>
  <c r="BZ10" i="14"/>
  <c r="CB10" i="14"/>
  <c r="BW24" i="14"/>
  <c r="BZ24" i="14"/>
  <c r="BY24" i="14"/>
  <c r="CD24" i="14"/>
  <c r="CB24" i="14"/>
  <c r="CB9" i="14"/>
  <c r="BY21" i="14"/>
  <c r="BZ21" i="14"/>
  <c r="BW21" i="14"/>
  <c r="CD21" i="14"/>
  <c r="CB29" i="14"/>
  <c r="BW19" i="14"/>
  <c r="BZ19" i="14"/>
  <c r="BY19" i="14"/>
  <c r="CD19" i="14"/>
  <c r="CB19" i="14"/>
  <c r="BY28" i="14"/>
  <c r="BY147" i="14" s="1"/>
  <c r="CD28" i="14"/>
  <c r="CD160" i="14" s="1"/>
  <c r="BW28" i="14"/>
  <c r="BZ28" i="14"/>
  <c r="CB28" i="14"/>
  <c r="CB26" i="14"/>
  <c r="F27" i="17"/>
  <c r="I71" i="10"/>
  <c r="J19" i="7"/>
  <c r="N126" i="12"/>
  <c r="P126" i="12"/>
  <c r="L125" i="12"/>
  <c r="K125" i="12"/>
  <c r="L124" i="12"/>
  <c r="K124" i="12"/>
  <c r="L123" i="12"/>
  <c r="K123" i="12"/>
  <c r="L122" i="12"/>
  <c r="K122" i="12"/>
  <c r="L121" i="12"/>
  <c r="K121" i="12"/>
  <c r="L120" i="12"/>
  <c r="K120" i="12"/>
  <c r="L119" i="12"/>
  <c r="K119" i="12"/>
  <c r="L118" i="12"/>
  <c r="K118" i="12"/>
  <c r="L117" i="12"/>
  <c r="K117" i="12"/>
  <c r="L116" i="12"/>
  <c r="K116" i="12"/>
  <c r="L115" i="12"/>
  <c r="K115" i="12"/>
  <c r="L114" i="12"/>
  <c r="K114" i="12"/>
  <c r="L113" i="12"/>
  <c r="K113" i="12"/>
  <c r="L112" i="12"/>
  <c r="K112" i="12"/>
  <c r="L111" i="12"/>
  <c r="K111" i="12"/>
  <c r="L110" i="12"/>
  <c r="K110" i="12"/>
  <c r="L109" i="12"/>
  <c r="K109" i="12"/>
  <c r="K108" i="12"/>
  <c r="K107" i="12"/>
  <c r="K106" i="12"/>
  <c r="K105" i="12"/>
  <c r="K104" i="12"/>
  <c r="L103" i="12"/>
  <c r="K103" i="12"/>
  <c r="K102" i="12"/>
  <c r="K101" i="12"/>
  <c r="K100" i="12"/>
  <c r="K99" i="12"/>
  <c r="K98" i="12"/>
  <c r="K97" i="12"/>
  <c r="K96" i="12"/>
  <c r="K95" i="12"/>
  <c r="K94" i="12"/>
  <c r="K93" i="12"/>
  <c r="K92" i="12"/>
  <c r="L91" i="12"/>
  <c r="K91" i="12"/>
  <c r="L90" i="12"/>
  <c r="K90" i="12"/>
  <c r="L89" i="12"/>
  <c r="K89" i="12"/>
  <c r="L88" i="12"/>
  <c r="K88" i="12"/>
  <c r="L87" i="12"/>
  <c r="K87" i="12"/>
  <c r="L86" i="12"/>
  <c r="K86" i="12"/>
  <c r="L85" i="12"/>
  <c r="K85" i="12"/>
  <c r="L84" i="12"/>
  <c r="K84" i="12"/>
  <c r="L83" i="12"/>
  <c r="K83" i="12"/>
  <c r="L82" i="12"/>
  <c r="K82" i="12"/>
  <c r="L81" i="12"/>
  <c r="K81" i="12"/>
  <c r="L80" i="12"/>
  <c r="K80" i="12"/>
  <c r="L79" i="12"/>
  <c r="K79" i="12"/>
  <c r="L78" i="12"/>
  <c r="K78" i="12"/>
  <c r="L77" i="12"/>
  <c r="K77" i="12"/>
  <c r="L76" i="12"/>
  <c r="K76" i="12"/>
  <c r="L75" i="12"/>
  <c r="K75" i="12"/>
  <c r="L74" i="12"/>
  <c r="K74" i="12"/>
  <c r="L73" i="12"/>
  <c r="K73" i="12"/>
  <c r="L72" i="12"/>
  <c r="K72" i="12"/>
  <c r="L71" i="12"/>
  <c r="K71" i="12"/>
  <c r="L70" i="12"/>
  <c r="K70" i="12"/>
  <c r="L69" i="12"/>
  <c r="K69" i="12"/>
  <c r="L68" i="12"/>
  <c r="K68" i="12"/>
  <c r="L67"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K31" i="12"/>
  <c r="L31" i="12" s="1"/>
  <c r="K30" i="12"/>
  <c r="L30" i="12" s="1"/>
  <c r="K29" i="12"/>
  <c r="L29" i="12" s="1"/>
  <c r="K28" i="12"/>
  <c r="L28" i="12" s="1"/>
  <c r="K27" i="12"/>
  <c r="L27" i="12" s="1"/>
  <c r="K26" i="12"/>
  <c r="L26" i="12" s="1"/>
  <c r="K25" i="12"/>
  <c r="L25" i="12" s="1"/>
  <c r="K24" i="12"/>
  <c r="L24" i="12" s="1"/>
  <c r="K23" i="12"/>
  <c r="L23" i="12" s="1"/>
  <c r="K22" i="12"/>
  <c r="L22" i="12" s="1"/>
  <c r="K21" i="12"/>
  <c r="L21" i="12" s="1"/>
  <c r="K20" i="12"/>
  <c r="L20" i="12" s="1"/>
  <c r="K19" i="12"/>
  <c r="L19" i="12" s="1"/>
  <c r="K18" i="12"/>
  <c r="L18" i="12" s="1"/>
  <c r="K17" i="12"/>
  <c r="L17" i="12" s="1"/>
  <c r="K16" i="12"/>
  <c r="L16" i="12" s="1"/>
  <c r="K15" i="12"/>
  <c r="L15" i="12" s="1"/>
  <c r="K14" i="12"/>
  <c r="L14" i="12" s="1"/>
  <c r="K13" i="12"/>
  <c r="L13" i="12" s="1"/>
  <c r="K12" i="12"/>
  <c r="L12" i="12" s="1"/>
  <c r="K11" i="12"/>
  <c r="L11" i="12" s="1"/>
  <c r="K10" i="12"/>
  <c r="L10" i="12" s="1"/>
  <c r="K9" i="12"/>
  <c r="L9" i="12" s="1"/>
  <c r="K8" i="12"/>
  <c r="L8" i="12" s="1"/>
  <c r="L7" i="12"/>
  <c r="K7" i="12"/>
  <c r="L6" i="12"/>
  <c r="K6" i="12"/>
  <c r="DW181" i="14" l="1"/>
  <c r="G19" i="7"/>
  <c r="CQ95" i="14"/>
  <c r="CL95" i="14"/>
  <c r="CJ95" i="14"/>
  <c r="CM95" i="14"/>
  <c r="CO95" i="14"/>
  <c r="CM93" i="14"/>
  <c r="CL93" i="14"/>
  <c r="CJ93" i="14"/>
  <c r="CQ93" i="14"/>
  <c r="CO93" i="14"/>
  <c r="CA117" i="14"/>
  <c r="CK117" i="14"/>
  <c r="CA98" i="14"/>
  <c r="CK98" i="14"/>
  <c r="CO98" i="14" s="1"/>
  <c r="CA82" i="14"/>
  <c r="CK82" i="14"/>
  <c r="CA124" i="14"/>
  <c r="CK124" i="14"/>
  <c r="CA57" i="14"/>
  <c r="CK57" i="14"/>
  <c r="CA118" i="14"/>
  <c r="CK118" i="14"/>
  <c r="CA5" i="14"/>
  <c r="CK5" i="14"/>
  <c r="CA65" i="14"/>
  <c r="CK65" i="14"/>
  <c r="CA69" i="14"/>
  <c r="CK69" i="14"/>
  <c r="CA97" i="14"/>
  <c r="CK97" i="14"/>
  <c r="CA59" i="14"/>
  <c r="CK59" i="14"/>
  <c r="CA77" i="14"/>
  <c r="CK77" i="14"/>
  <c r="CA73" i="14"/>
  <c r="CK73" i="14"/>
  <c r="CA91" i="14"/>
  <c r="CK91" i="14"/>
  <c r="DC156" i="14"/>
  <c r="DC164" i="14" s="1"/>
  <c r="CU143" i="14"/>
  <c r="CU151" i="14" s="1"/>
  <c r="CA111" i="14"/>
  <c r="CK111" i="14"/>
  <c r="CA100" i="14"/>
  <c r="CK100" i="14"/>
  <c r="CA86" i="14"/>
  <c r="CK86" i="14"/>
  <c r="CO86" i="14" s="1"/>
  <c r="CA71" i="14"/>
  <c r="CK71" i="14"/>
  <c r="CA105" i="14"/>
  <c r="CK105" i="14"/>
  <c r="CA81" i="14"/>
  <c r="CK81" i="14"/>
  <c r="CA66" i="14"/>
  <c r="CK66" i="14"/>
  <c r="CA112" i="14"/>
  <c r="CK112" i="14"/>
  <c r="CA108" i="14"/>
  <c r="CK108" i="14"/>
  <c r="CA123" i="14"/>
  <c r="CK123" i="14"/>
  <c r="CA60" i="14"/>
  <c r="CK60" i="14"/>
  <c r="CO60" i="14" s="1"/>
  <c r="CA58" i="14"/>
  <c r="CK58" i="14"/>
  <c r="CA84" i="14"/>
  <c r="CK84" i="14"/>
  <c r="CA87" i="14"/>
  <c r="CK87" i="14"/>
  <c r="CA83" i="14"/>
  <c r="CK83" i="14"/>
  <c r="CA79" i="14"/>
  <c r="CK79" i="14"/>
  <c r="CO79" i="14" s="1"/>
  <c r="CA63" i="14"/>
  <c r="CK63" i="14"/>
  <c r="CA88" i="14"/>
  <c r="CK88" i="14"/>
  <c r="CU5" i="14"/>
  <c r="CU126" i="14" s="1"/>
  <c r="CT126" i="14"/>
  <c r="CA74" i="14"/>
  <c r="CK74" i="14"/>
  <c r="CO74" i="14" s="1"/>
  <c r="CA6" i="14"/>
  <c r="CK6" i="14"/>
  <c r="CA106" i="14"/>
  <c r="CK106" i="14"/>
  <c r="DP6" i="14"/>
  <c r="DG6" i="14"/>
  <c r="DH6" i="14" s="1"/>
  <c r="DF6" i="14"/>
  <c r="DG10" i="14"/>
  <c r="DH10" i="14" s="1"/>
  <c r="DF10" i="14"/>
  <c r="DP10" i="14"/>
  <c r="DG14" i="14"/>
  <c r="DH14" i="14" s="1"/>
  <c r="DF14" i="14"/>
  <c r="DP14" i="14"/>
  <c r="DG18" i="14"/>
  <c r="DH18" i="14" s="1"/>
  <c r="DF18" i="14"/>
  <c r="DP18" i="14"/>
  <c r="DG22" i="14"/>
  <c r="DH22" i="14" s="1"/>
  <c r="DF22" i="14"/>
  <c r="DP22" i="14"/>
  <c r="DG26" i="14"/>
  <c r="DH26" i="14" s="1"/>
  <c r="DF26" i="14"/>
  <c r="DP26" i="14"/>
  <c r="DF30" i="14"/>
  <c r="DP30" i="14"/>
  <c r="DG30" i="14"/>
  <c r="DH30" i="14" s="1"/>
  <c r="DF34" i="14"/>
  <c r="DG34" i="14"/>
  <c r="DH34" i="14" s="1"/>
  <c r="DP34" i="14"/>
  <c r="DF38" i="14"/>
  <c r="DG38" i="14"/>
  <c r="DH38" i="14" s="1"/>
  <c r="DP38" i="14"/>
  <c r="DF42" i="14"/>
  <c r="DG42" i="14"/>
  <c r="DH42" i="14" s="1"/>
  <c r="DP42" i="14"/>
  <c r="DF46" i="14"/>
  <c r="DG46" i="14"/>
  <c r="DH46" i="14" s="1"/>
  <c r="DP46" i="14"/>
  <c r="DF50" i="14"/>
  <c r="DG50" i="14"/>
  <c r="DH50" i="14" s="1"/>
  <c r="DP50" i="14"/>
  <c r="DG54" i="14"/>
  <c r="DH54" i="14" s="1"/>
  <c r="DF54" i="14"/>
  <c r="DP54" i="14"/>
  <c r="DP58" i="14"/>
  <c r="DG58" i="14"/>
  <c r="DH58" i="14" s="1"/>
  <c r="DF58" i="14"/>
  <c r="DP62" i="14"/>
  <c r="DG62" i="14"/>
  <c r="DH62" i="14" s="1"/>
  <c r="DF62" i="14"/>
  <c r="DP66" i="14"/>
  <c r="DG66" i="14"/>
  <c r="DH66" i="14" s="1"/>
  <c r="DF66" i="14"/>
  <c r="DP70" i="14"/>
  <c r="DG70" i="14"/>
  <c r="DH70" i="14" s="1"/>
  <c r="DF70" i="14"/>
  <c r="DP74" i="14"/>
  <c r="DG74" i="14"/>
  <c r="DH74" i="14" s="1"/>
  <c r="DF74" i="14"/>
  <c r="DF78" i="14"/>
  <c r="DP78" i="14"/>
  <c r="DG78" i="14"/>
  <c r="DH78" i="14" s="1"/>
  <c r="DF82" i="14"/>
  <c r="DP82" i="14"/>
  <c r="DG82" i="14"/>
  <c r="DH82" i="14" s="1"/>
  <c r="DF86" i="14"/>
  <c r="DP86" i="14"/>
  <c r="DG86" i="14"/>
  <c r="DH86" i="14" s="1"/>
  <c r="DF90" i="14"/>
  <c r="DP90" i="14"/>
  <c r="DG90" i="14"/>
  <c r="DH90" i="14" s="1"/>
  <c r="DF94" i="14"/>
  <c r="DP94" i="14"/>
  <c r="DG94" i="14"/>
  <c r="DH94" i="14" s="1"/>
  <c r="DF98" i="14"/>
  <c r="DP98" i="14"/>
  <c r="DG98" i="14"/>
  <c r="DH98" i="14" s="1"/>
  <c r="DF102" i="14"/>
  <c r="DP102" i="14"/>
  <c r="DG102" i="14"/>
  <c r="DH102" i="14" s="1"/>
  <c r="DP106" i="14"/>
  <c r="DG106" i="14"/>
  <c r="DH106" i="14" s="1"/>
  <c r="DF106" i="14"/>
  <c r="DP110" i="14"/>
  <c r="DG110" i="14"/>
  <c r="DH110" i="14" s="1"/>
  <c r="DF110" i="14"/>
  <c r="DP114" i="14"/>
  <c r="DG114" i="14"/>
  <c r="DH114" i="14" s="1"/>
  <c r="DF114" i="14"/>
  <c r="DF118" i="14"/>
  <c r="DP118" i="14"/>
  <c r="DG118" i="14"/>
  <c r="DH118" i="14" s="1"/>
  <c r="DF122" i="14"/>
  <c r="DP122" i="14"/>
  <c r="DG122" i="14"/>
  <c r="DH122" i="14" s="1"/>
  <c r="DP5" i="14"/>
  <c r="DG5" i="14"/>
  <c r="DE126" i="14"/>
  <c r="DF5" i="14"/>
  <c r="DG9" i="14"/>
  <c r="DH9" i="14" s="1"/>
  <c r="DF9" i="14"/>
  <c r="DP9" i="14"/>
  <c r="DG13" i="14"/>
  <c r="DH13" i="14" s="1"/>
  <c r="DF13" i="14"/>
  <c r="DP13" i="14"/>
  <c r="DG17" i="14"/>
  <c r="DH17" i="14" s="1"/>
  <c r="DF17" i="14"/>
  <c r="DP17" i="14"/>
  <c r="DG21" i="14"/>
  <c r="DH21" i="14" s="1"/>
  <c r="DF21" i="14"/>
  <c r="DP21" i="14"/>
  <c r="DG25" i="14"/>
  <c r="DH25" i="14" s="1"/>
  <c r="DF25" i="14"/>
  <c r="DP25" i="14"/>
  <c r="DG29" i="14"/>
  <c r="DH29" i="14" s="1"/>
  <c r="DF29" i="14"/>
  <c r="DP29" i="14"/>
  <c r="DG33" i="14"/>
  <c r="DH33" i="14" s="1"/>
  <c r="DF33" i="14"/>
  <c r="DP33" i="14"/>
  <c r="DG37" i="14"/>
  <c r="DH37" i="14" s="1"/>
  <c r="DF37" i="14"/>
  <c r="DP37" i="14"/>
  <c r="DG41" i="14"/>
  <c r="DH41" i="14" s="1"/>
  <c r="DF41" i="14"/>
  <c r="DP41" i="14"/>
  <c r="DG45" i="14"/>
  <c r="DH45" i="14" s="1"/>
  <c r="DF45" i="14"/>
  <c r="DP45" i="14"/>
  <c r="DG49" i="14"/>
  <c r="DH49" i="14" s="1"/>
  <c r="DF49" i="14"/>
  <c r="DP49" i="14"/>
  <c r="DF53" i="14"/>
  <c r="DG53" i="14"/>
  <c r="DH53" i="14" s="1"/>
  <c r="DP53" i="14"/>
  <c r="DP57" i="14"/>
  <c r="DG57" i="14"/>
  <c r="DH57" i="14" s="1"/>
  <c r="DF57" i="14"/>
  <c r="DP61" i="14"/>
  <c r="DG61" i="14"/>
  <c r="DH61" i="14" s="1"/>
  <c r="DF61" i="14"/>
  <c r="DP65" i="14"/>
  <c r="DG65" i="14"/>
  <c r="DH65" i="14" s="1"/>
  <c r="DF65" i="14"/>
  <c r="DP69" i="14"/>
  <c r="DG69" i="14"/>
  <c r="DH69" i="14" s="1"/>
  <c r="DF69" i="14"/>
  <c r="DP73" i="14"/>
  <c r="DG73" i="14"/>
  <c r="DH73" i="14" s="1"/>
  <c r="DF73" i="14"/>
  <c r="DP77" i="14"/>
  <c r="DG77" i="14"/>
  <c r="DH77" i="14" s="1"/>
  <c r="DF77" i="14"/>
  <c r="DF81" i="14"/>
  <c r="DP81" i="14"/>
  <c r="DG81" i="14"/>
  <c r="DH81" i="14" s="1"/>
  <c r="DF85" i="14"/>
  <c r="DP85" i="14"/>
  <c r="DG85" i="14"/>
  <c r="DH85" i="14" s="1"/>
  <c r="DF89" i="14"/>
  <c r="DP89" i="14"/>
  <c r="DG89" i="14"/>
  <c r="DH89" i="14" s="1"/>
  <c r="DF93" i="14"/>
  <c r="DP93" i="14"/>
  <c r="DG93" i="14"/>
  <c r="DH93" i="14" s="1"/>
  <c r="DF97" i="14"/>
  <c r="DP97" i="14"/>
  <c r="DG97" i="14"/>
  <c r="DH97" i="14" s="1"/>
  <c r="DF101" i="14"/>
  <c r="DP101" i="14"/>
  <c r="DG101" i="14"/>
  <c r="DH101" i="14" s="1"/>
  <c r="DP105" i="14"/>
  <c r="DG105" i="14"/>
  <c r="DH105" i="14" s="1"/>
  <c r="DF105" i="14"/>
  <c r="DP109" i="14"/>
  <c r="DG109" i="14"/>
  <c r="DH109" i="14" s="1"/>
  <c r="DF109" i="14"/>
  <c r="DP113" i="14"/>
  <c r="DG113" i="14"/>
  <c r="DH113" i="14" s="1"/>
  <c r="DF113" i="14"/>
  <c r="DF117" i="14"/>
  <c r="DP117" i="14"/>
  <c r="DG117" i="14"/>
  <c r="DH117" i="14" s="1"/>
  <c r="DF121" i="14"/>
  <c r="DP121" i="14"/>
  <c r="DG121" i="14"/>
  <c r="DH121" i="14" s="1"/>
  <c r="DF125" i="14"/>
  <c r="DP125" i="14"/>
  <c r="DG125" i="14"/>
  <c r="DH125" i="14" s="1"/>
  <c r="DR125" i="14"/>
  <c r="DR123" i="14"/>
  <c r="DR121" i="14"/>
  <c r="DR119" i="14"/>
  <c r="DR117" i="14"/>
  <c r="DR115" i="14"/>
  <c r="DR113" i="14"/>
  <c r="DR111" i="14"/>
  <c r="DR109" i="14"/>
  <c r="DR107" i="14"/>
  <c r="DR105" i="14"/>
  <c r="DR101" i="14"/>
  <c r="DR99" i="14"/>
  <c r="DR97" i="14"/>
  <c r="DR95" i="14"/>
  <c r="DR93" i="14"/>
  <c r="DR91" i="14"/>
  <c r="DR89" i="14"/>
  <c r="DR87" i="14"/>
  <c r="DR85" i="14"/>
  <c r="DR83" i="14"/>
  <c r="DR81" i="14"/>
  <c r="DR79" i="14"/>
  <c r="DR104" i="14"/>
  <c r="DR77" i="14"/>
  <c r="DR75" i="14"/>
  <c r="DR73" i="14"/>
  <c r="DR71" i="14"/>
  <c r="DR69" i="14"/>
  <c r="DR67" i="14"/>
  <c r="DR65" i="14"/>
  <c r="DR63" i="14"/>
  <c r="DR61" i="14"/>
  <c r="DR59" i="14"/>
  <c r="DR57" i="14"/>
  <c r="DR55" i="14"/>
  <c r="DR53" i="14"/>
  <c r="DR51" i="14"/>
  <c r="DR49" i="14"/>
  <c r="DR47" i="14"/>
  <c r="DR45" i="14"/>
  <c r="DR43" i="14"/>
  <c r="DR41" i="14"/>
  <c r="DR39" i="14"/>
  <c r="DR37" i="14"/>
  <c r="DR35" i="14"/>
  <c r="DR33" i="14"/>
  <c r="DR31" i="14"/>
  <c r="DR29" i="14"/>
  <c r="DR27" i="14"/>
  <c r="DR25" i="14"/>
  <c r="DR23" i="14"/>
  <c r="DR21" i="14"/>
  <c r="DR19" i="14"/>
  <c r="DR17" i="14"/>
  <c r="DR15" i="14"/>
  <c r="DR13" i="14"/>
  <c r="DR11" i="14"/>
  <c r="DR9" i="14"/>
  <c r="DR7" i="14"/>
  <c r="DR5" i="14"/>
  <c r="DR124" i="14"/>
  <c r="DR122" i="14"/>
  <c r="DR120" i="14"/>
  <c r="DR118" i="14"/>
  <c r="DR116" i="14"/>
  <c r="DR114" i="14"/>
  <c r="DR112" i="14"/>
  <c r="DR110" i="14"/>
  <c r="DR108" i="14"/>
  <c r="DR106" i="14"/>
  <c r="DR102" i="14"/>
  <c r="DR100" i="14"/>
  <c r="DR98" i="14"/>
  <c r="DR96" i="14"/>
  <c r="DR94" i="14"/>
  <c r="DR92" i="14"/>
  <c r="DR90" i="14"/>
  <c r="DR88" i="14"/>
  <c r="DR86" i="14"/>
  <c r="DR84" i="14"/>
  <c r="DR82" i="14"/>
  <c r="DR80" i="14"/>
  <c r="DR78" i="14"/>
  <c r="DR103" i="14"/>
  <c r="DR76" i="14"/>
  <c r="DR74" i="14"/>
  <c r="DR72" i="14"/>
  <c r="DR70" i="14"/>
  <c r="DR68" i="14"/>
  <c r="DR66" i="14"/>
  <c r="DR64" i="14"/>
  <c r="DR62" i="14"/>
  <c r="DR60" i="14"/>
  <c r="DR58" i="14"/>
  <c r="DR56" i="14"/>
  <c r="DR54" i="14"/>
  <c r="DR52" i="14"/>
  <c r="DR50" i="14"/>
  <c r="DR48" i="14"/>
  <c r="DR46" i="14"/>
  <c r="DR44" i="14"/>
  <c r="DR42" i="14"/>
  <c r="DR40" i="14"/>
  <c r="DR38" i="14"/>
  <c r="DR36" i="14"/>
  <c r="DR34" i="14"/>
  <c r="DR32" i="14"/>
  <c r="DR30" i="14"/>
  <c r="DR28" i="14"/>
  <c r="DR26" i="14"/>
  <c r="DR24" i="14"/>
  <c r="DR22" i="14"/>
  <c r="DR20" i="14"/>
  <c r="DR18" i="14"/>
  <c r="DR16" i="14"/>
  <c r="DR14" i="14"/>
  <c r="DR12" i="14"/>
  <c r="DR10" i="14"/>
  <c r="DR8" i="14"/>
  <c r="DR6" i="14"/>
  <c r="CA104" i="14"/>
  <c r="CK104" i="14"/>
  <c r="CO100" i="14"/>
  <c r="CA80" i="14"/>
  <c r="CK80" i="14"/>
  <c r="CA72" i="14"/>
  <c r="CK72" i="14"/>
  <c r="CA109" i="14"/>
  <c r="CK109" i="14"/>
  <c r="CO109" i="14" s="1"/>
  <c r="CA116" i="14"/>
  <c r="CK116" i="14"/>
  <c r="CO87" i="14"/>
  <c r="CA122" i="14"/>
  <c r="CK122" i="14"/>
  <c r="DC126" i="14"/>
  <c r="CS126" i="14"/>
  <c r="CA75" i="14"/>
  <c r="CK75" i="14"/>
  <c r="CA78" i="14"/>
  <c r="CK78" i="14"/>
  <c r="CA121" i="14"/>
  <c r="CK121" i="14"/>
  <c r="CA89" i="14"/>
  <c r="CK89" i="14"/>
  <c r="CO89" i="14" s="1"/>
  <c r="CA68" i="14"/>
  <c r="CK68" i="14"/>
  <c r="CA114" i="14"/>
  <c r="CK114" i="14"/>
  <c r="CA119" i="14"/>
  <c r="CK119" i="14"/>
  <c r="CA30" i="14"/>
  <c r="CK30" i="14"/>
  <c r="CO30" i="14" s="1"/>
  <c r="DG8" i="14"/>
  <c r="DH8" i="14" s="1"/>
  <c r="DF8" i="14"/>
  <c r="DP8" i="14"/>
  <c r="DG12" i="14"/>
  <c r="DH12" i="14" s="1"/>
  <c r="DF12" i="14"/>
  <c r="DP12" i="14"/>
  <c r="DG16" i="14"/>
  <c r="DH16" i="14" s="1"/>
  <c r="DF16" i="14"/>
  <c r="DP16" i="14"/>
  <c r="DG20" i="14"/>
  <c r="DH20" i="14" s="1"/>
  <c r="DF20" i="14"/>
  <c r="DP20" i="14"/>
  <c r="DG24" i="14"/>
  <c r="DH24" i="14" s="1"/>
  <c r="DF24" i="14"/>
  <c r="DP24" i="14"/>
  <c r="DG28" i="14"/>
  <c r="DH28" i="14" s="1"/>
  <c r="DH147" i="14" s="1"/>
  <c r="DF28" i="14"/>
  <c r="DF147" i="14" s="1"/>
  <c r="DP28" i="14"/>
  <c r="DP160" i="14" s="1"/>
  <c r="DF32" i="14"/>
  <c r="DG32" i="14"/>
  <c r="DH32" i="14" s="1"/>
  <c r="DP32" i="14"/>
  <c r="DF36" i="14"/>
  <c r="DG36" i="14"/>
  <c r="DH36" i="14" s="1"/>
  <c r="DP36" i="14"/>
  <c r="DF40" i="14"/>
  <c r="DG40" i="14"/>
  <c r="DH40" i="14" s="1"/>
  <c r="DP40" i="14"/>
  <c r="DF44" i="14"/>
  <c r="DG44" i="14"/>
  <c r="DH44" i="14" s="1"/>
  <c r="DP44" i="14"/>
  <c r="DF48" i="14"/>
  <c r="DG48" i="14"/>
  <c r="DH48" i="14" s="1"/>
  <c r="DP48" i="14"/>
  <c r="DG52" i="14"/>
  <c r="DH52" i="14" s="1"/>
  <c r="DF52" i="14"/>
  <c r="DP52" i="14"/>
  <c r="DG56" i="14"/>
  <c r="DH56" i="14" s="1"/>
  <c r="DF56" i="14"/>
  <c r="DP56" i="14"/>
  <c r="DG60" i="14"/>
  <c r="DH60" i="14" s="1"/>
  <c r="DF60" i="14"/>
  <c r="DP60" i="14"/>
  <c r="DG64" i="14"/>
  <c r="DH64" i="14" s="1"/>
  <c r="DF64" i="14"/>
  <c r="DP64" i="14"/>
  <c r="DG68" i="14"/>
  <c r="DH68" i="14" s="1"/>
  <c r="DF68" i="14"/>
  <c r="DP68" i="14"/>
  <c r="DG72" i="14"/>
  <c r="DH72" i="14" s="1"/>
  <c r="DF72" i="14"/>
  <c r="DP72" i="14"/>
  <c r="DG76" i="14"/>
  <c r="DH76" i="14" s="1"/>
  <c r="DF76" i="14"/>
  <c r="DP76" i="14"/>
  <c r="DP80" i="14"/>
  <c r="DG80" i="14"/>
  <c r="DH80" i="14" s="1"/>
  <c r="DF80" i="14"/>
  <c r="DP84" i="14"/>
  <c r="DG84" i="14"/>
  <c r="DH84" i="14" s="1"/>
  <c r="DF84" i="14"/>
  <c r="DP88" i="14"/>
  <c r="DG88" i="14"/>
  <c r="DH88" i="14" s="1"/>
  <c r="DF88" i="14"/>
  <c r="DP92" i="14"/>
  <c r="DG92" i="14"/>
  <c r="DH92" i="14" s="1"/>
  <c r="DF92" i="14"/>
  <c r="DP96" i="14"/>
  <c r="DG96" i="14"/>
  <c r="DH96" i="14" s="1"/>
  <c r="DF96" i="14"/>
  <c r="DP100" i="14"/>
  <c r="DG100" i="14"/>
  <c r="DH100" i="14" s="1"/>
  <c r="DF100" i="14"/>
  <c r="DG104" i="14"/>
  <c r="DH104" i="14" s="1"/>
  <c r="DF104" i="14"/>
  <c r="DP104" i="14"/>
  <c r="DG108" i="14"/>
  <c r="DH108" i="14" s="1"/>
  <c r="DF108" i="14"/>
  <c r="DP108" i="14"/>
  <c r="DG112" i="14"/>
  <c r="DH112" i="14" s="1"/>
  <c r="DF112" i="14"/>
  <c r="DP112" i="14"/>
  <c r="DP116" i="14"/>
  <c r="DG116" i="14"/>
  <c r="DH116" i="14" s="1"/>
  <c r="DF116" i="14"/>
  <c r="DP120" i="14"/>
  <c r="DG120" i="14"/>
  <c r="DH120" i="14" s="1"/>
  <c r="DF120" i="14"/>
  <c r="DP124" i="14"/>
  <c r="DG124" i="14"/>
  <c r="DH124" i="14" s="1"/>
  <c r="DF124" i="14"/>
  <c r="DG7" i="14"/>
  <c r="DH7" i="14" s="1"/>
  <c r="DF7" i="14"/>
  <c r="DP7" i="14"/>
  <c r="DG11" i="14"/>
  <c r="DH11" i="14" s="1"/>
  <c r="DF11" i="14"/>
  <c r="DP11" i="14"/>
  <c r="DG15" i="14"/>
  <c r="DH15" i="14" s="1"/>
  <c r="DF15" i="14"/>
  <c r="DP15" i="14"/>
  <c r="DG19" i="14"/>
  <c r="DH19" i="14" s="1"/>
  <c r="DF19" i="14"/>
  <c r="DP19" i="14"/>
  <c r="DG23" i="14"/>
  <c r="DH23" i="14" s="1"/>
  <c r="DF23" i="14"/>
  <c r="DP23" i="14"/>
  <c r="DG27" i="14"/>
  <c r="DH27" i="14" s="1"/>
  <c r="DF27" i="14"/>
  <c r="DP27" i="14"/>
  <c r="DG31" i="14"/>
  <c r="DH31" i="14" s="1"/>
  <c r="DF31" i="14"/>
  <c r="DP31" i="14"/>
  <c r="DG35" i="14"/>
  <c r="DH35" i="14" s="1"/>
  <c r="DF35" i="14"/>
  <c r="DP35" i="14"/>
  <c r="DG39" i="14"/>
  <c r="DH39" i="14" s="1"/>
  <c r="DF39" i="14"/>
  <c r="DP39" i="14"/>
  <c r="DG43" i="14"/>
  <c r="DH43" i="14" s="1"/>
  <c r="DF43" i="14"/>
  <c r="DP43" i="14"/>
  <c r="DG47" i="14"/>
  <c r="DH47" i="14" s="1"/>
  <c r="DF47" i="14"/>
  <c r="DP47" i="14"/>
  <c r="DG51" i="14"/>
  <c r="DH51" i="14" s="1"/>
  <c r="DF51" i="14"/>
  <c r="DP51" i="14"/>
  <c r="DF55" i="14"/>
  <c r="DG55" i="14"/>
  <c r="DH55" i="14" s="1"/>
  <c r="DP55" i="14"/>
  <c r="DG59" i="14"/>
  <c r="DH59" i="14" s="1"/>
  <c r="DF59" i="14"/>
  <c r="DP59" i="14"/>
  <c r="DG63" i="14"/>
  <c r="DH63" i="14" s="1"/>
  <c r="DF63" i="14"/>
  <c r="DP63" i="14"/>
  <c r="DG67" i="14"/>
  <c r="DH67" i="14" s="1"/>
  <c r="DF67" i="14"/>
  <c r="DP67" i="14"/>
  <c r="DG71" i="14"/>
  <c r="DH71" i="14" s="1"/>
  <c r="DF71" i="14"/>
  <c r="DP71" i="14"/>
  <c r="DG75" i="14"/>
  <c r="DH75" i="14" s="1"/>
  <c r="DF75" i="14"/>
  <c r="DP75" i="14"/>
  <c r="DP79" i="14"/>
  <c r="DG79" i="14"/>
  <c r="DH79" i="14" s="1"/>
  <c r="DF79" i="14"/>
  <c r="DP83" i="14"/>
  <c r="DG83" i="14"/>
  <c r="DH83" i="14" s="1"/>
  <c r="DF83" i="14"/>
  <c r="DP87" i="14"/>
  <c r="DG87" i="14"/>
  <c r="DH87" i="14" s="1"/>
  <c r="DF87" i="14"/>
  <c r="DP91" i="14"/>
  <c r="DG91" i="14"/>
  <c r="DH91" i="14" s="1"/>
  <c r="DF91" i="14"/>
  <c r="DP95" i="14"/>
  <c r="DG95" i="14"/>
  <c r="DH95" i="14" s="1"/>
  <c r="DF95" i="14"/>
  <c r="DP99" i="14"/>
  <c r="DG99" i="14"/>
  <c r="DH99" i="14" s="1"/>
  <c r="DF99" i="14"/>
  <c r="DG103" i="14"/>
  <c r="DH103" i="14" s="1"/>
  <c r="DF103" i="14"/>
  <c r="DP103" i="14"/>
  <c r="DG107" i="14"/>
  <c r="DH107" i="14" s="1"/>
  <c r="DF107" i="14"/>
  <c r="DP107" i="14"/>
  <c r="DG111" i="14"/>
  <c r="DH111" i="14" s="1"/>
  <c r="DF111" i="14"/>
  <c r="DP111" i="14"/>
  <c r="DP115" i="14"/>
  <c r="DF115" i="14"/>
  <c r="DG115" i="14"/>
  <c r="DH115" i="14" s="1"/>
  <c r="DP119" i="14"/>
  <c r="DG119" i="14"/>
  <c r="DH119" i="14" s="1"/>
  <c r="DF119" i="14"/>
  <c r="DP123" i="14"/>
  <c r="DG123" i="14"/>
  <c r="DH123" i="14" s="1"/>
  <c r="DF123" i="14"/>
  <c r="CA99" i="14"/>
  <c r="CK99" i="14"/>
  <c r="CA102" i="14"/>
  <c r="CK102" i="14"/>
  <c r="CA92" i="14"/>
  <c r="CK92" i="14"/>
  <c r="CA90" i="14"/>
  <c r="CK90" i="14"/>
  <c r="CO82" i="14"/>
  <c r="CA113" i="14"/>
  <c r="CK113" i="14"/>
  <c r="CA56" i="14"/>
  <c r="CK56" i="14"/>
  <c r="CA70" i="14"/>
  <c r="CK70" i="14"/>
  <c r="CA115" i="14"/>
  <c r="CK115" i="14"/>
  <c r="CO97" i="14"/>
  <c r="CA61" i="14"/>
  <c r="CK61" i="14"/>
  <c r="CA67" i="14"/>
  <c r="CK67" i="14"/>
  <c r="CA62" i="14"/>
  <c r="CK62" i="14"/>
  <c r="CA94" i="14"/>
  <c r="CK94" i="14"/>
  <c r="CO94" i="14" s="1"/>
  <c r="CO77" i="14"/>
  <c r="CA110" i="14"/>
  <c r="CK110" i="14"/>
  <c r="CA64" i="14"/>
  <c r="CK64" i="14"/>
  <c r="CA85" i="14"/>
  <c r="CK85" i="14"/>
  <c r="CO85" i="14" s="1"/>
  <c r="BY96" i="14"/>
  <c r="BW96" i="14"/>
  <c r="CD96" i="14"/>
  <c r="BZ96" i="14"/>
  <c r="CS143" i="14"/>
  <c r="CS151" i="14" s="1"/>
  <c r="CA76" i="14"/>
  <c r="CK76" i="14"/>
  <c r="CO71" i="14"/>
  <c r="CA101" i="14"/>
  <c r="CK101" i="14"/>
  <c r="CO101" i="14" s="1"/>
  <c r="CA125" i="14"/>
  <c r="CK125" i="14"/>
  <c r="CA120" i="14"/>
  <c r="CK120" i="14"/>
  <c r="CA107" i="14"/>
  <c r="CK107" i="14"/>
  <c r="CA103" i="14"/>
  <c r="CK103" i="14"/>
  <c r="CA36" i="14"/>
  <c r="CK36" i="14"/>
  <c r="CO36" i="14" s="1"/>
  <c r="CA53" i="14"/>
  <c r="CK53" i="14"/>
  <c r="CA37" i="14"/>
  <c r="CK37" i="14"/>
  <c r="CA33" i="14"/>
  <c r="CK33" i="14"/>
  <c r="CO33" i="14" s="1"/>
  <c r="CA39" i="14"/>
  <c r="CK39" i="14"/>
  <c r="CA44" i="14"/>
  <c r="CK44" i="14"/>
  <c r="CA50" i="14"/>
  <c r="CK50" i="14"/>
  <c r="CO50" i="14" s="1"/>
  <c r="CA51" i="14"/>
  <c r="CK51" i="14"/>
  <c r="CO51" i="14" s="1"/>
  <c r="CA49" i="14"/>
  <c r="CK49" i="14"/>
  <c r="CA42" i="14"/>
  <c r="CK42" i="14"/>
  <c r="CO42" i="14" s="1"/>
  <c r="CA34" i="14"/>
  <c r="CK34" i="14"/>
  <c r="CA35" i="14"/>
  <c r="CK35" i="14"/>
  <c r="CO35" i="14" s="1"/>
  <c r="CA31" i="14"/>
  <c r="CK31" i="14"/>
  <c r="CA32" i="14"/>
  <c r="CK32" i="14"/>
  <c r="CA41" i="14"/>
  <c r="CK41" i="14"/>
  <c r="CO41" i="14" s="1"/>
  <c r="CA43" i="14"/>
  <c r="CK43" i="14"/>
  <c r="CA38" i="14"/>
  <c r="CK38" i="14"/>
  <c r="CA40" i="14"/>
  <c r="CK40" i="14"/>
  <c r="CA54" i="14"/>
  <c r="CK54" i="14"/>
  <c r="CA48" i="14"/>
  <c r="CK48" i="14"/>
  <c r="CA47" i="14"/>
  <c r="CK47" i="14"/>
  <c r="CA55" i="14"/>
  <c r="CK55" i="14"/>
  <c r="CA45" i="14"/>
  <c r="CK45" i="14"/>
  <c r="CA52" i="14"/>
  <c r="CK52" i="14"/>
  <c r="CA46" i="14"/>
  <c r="CK46" i="14"/>
  <c r="BM143" i="14"/>
  <c r="BN151" i="14"/>
  <c r="CD156" i="14"/>
  <c r="BY143" i="14"/>
  <c r="BY151" i="14" s="1"/>
  <c r="BX138" i="14"/>
  <c r="CA7" i="14"/>
  <c r="CK7" i="14"/>
  <c r="CA10" i="14"/>
  <c r="CK10" i="14"/>
  <c r="CA14" i="14"/>
  <c r="CK14" i="14"/>
  <c r="CA15" i="14"/>
  <c r="CK15" i="14"/>
  <c r="CA25" i="14"/>
  <c r="CK25" i="14"/>
  <c r="CA12" i="14"/>
  <c r="CK12" i="14"/>
  <c r="CA11" i="14"/>
  <c r="CK11" i="14"/>
  <c r="CO11" i="14" s="1"/>
  <c r="CA17" i="14"/>
  <c r="CK17" i="14"/>
  <c r="CA13" i="14"/>
  <c r="CK13" i="14"/>
  <c r="CO13" i="14" s="1"/>
  <c r="CA18" i="14"/>
  <c r="CK18" i="14"/>
  <c r="CO18" i="14" s="1"/>
  <c r="CA22" i="14"/>
  <c r="CK22" i="14"/>
  <c r="CB126" i="14"/>
  <c r="BY126" i="14"/>
  <c r="BW126" i="14"/>
  <c r="BX176" i="14" s="1"/>
  <c r="CA26" i="14"/>
  <c r="CK26" i="14"/>
  <c r="CA29" i="14"/>
  <c r="CK29" i="14"/>
  <c r="CA19" i="14"/>
  <c r="CK19" i="14"/>
  <c r="CA28" i="14"/>
  <c r="CA147" i="14" s="1"/>
  <c r="BZ147" i="14" s="1"/>
  <c r="CK28" i="14"/>
  <c r="CK134" i="14" s="1"/>
  <c r="CA21" i="14"/>
  <c r="CK21" i="14"/>
  <c r="CA24" i="14"/>
  <c r="CK24" i="14"/>
  <c r="CA20" i="14"/>
  <c r="CK20" i="14"/>
  <c r="CO20" i="14" s="1"/>
  <c r="CA9" i="14"/>
  <c r="CK9" i="14"/>
  <c r="CO12" i="14"/>
  <c r="CA27" i="14"/>
  <c r="CK27" i="14"/>
  <c r="CA23" i="14"/>
  <c r="CK23" i="14"/>
  <c r="BX182" i="14"/>
  <c r="BX177" i="14"/>
  <c r="CD126" i="14"/>
  <c r="CA8" i="14"/>
  <c r="BZ126" i="14"/>
  <c r="CK8" i="14"/>
  <c r="CA16" i="14"/>
  <c r="CK16" i="14"/>
  <c r="F26" i="17"/>
  <c r="F28" i="17" s="1"/>
  <c r="K24" i="17"/>
  <c r="L93" i="12"/>
  <c r="L95" i="12"/>
  <c r="L97" i="12"/>
  <c r="L99" i="12"/>
  <c r="L101" i="12"/>
  <c r="L104" i="12"/>
  <c r="L106" i="12"/>
  <c r="L108" i="12"/>
  <c r="L92" i="12"/>
  <c r="L94" i="12"/>
  <c r="L96" i="12"/>
  <c r="L98" i="12"/>
  <c r="L100" i="12"/>
  <c r="L102" i="12"/>
  <c r="L105" i="12"/>
  <c r="L107" i="12"/>
  <c r="K19" i="7"/>
  <c r="M4" i="12"/>
  <c r="O61" i="12" s="1"/>
  <c r="K5" i="12"/>
  <c r="L5" i="12" s="1"/>
  <c r="CN95" i="14" l="1"/>
  <c r="CX95" i="14"/>
  <c r="CN93" i="14"/>
  <c r="CX93" i="14"/>
  <c r="CQ120" i="14"/>
  <c r="CJ120" i="14"/>
  <c r="CL120" i="14"/>
  <c r="CM120" i="14"/>
  <c r="CJ125" i="14"/>
  <c r="CL125" i="14"/>
  <c r="CM125" i="14"/>
  <c r="CQ125" i="14"/>
  <c r="CO125" i="14"/>
  <c r="CJ76" i="14"/>
  <c r="CL76" i="14"/>
  <c r="CQ76" i="14"/>
  <c r="CM76" i="14"/>
  <c r="CJ110" i="14"/>
  <c r="CL110" i="14"/>
  <c r="CM110" i="14"/>
  <c r="CQ110" i="14"/>
  <c r="CO110" i="14"/>
  <c r="CL67" i="14"/>
  <c r="CJ67" i="14"/>
  <c r="CM67" i="14"/>
  <c r="CQ67" i="14"/>
  <c r="CJ61" i="14"/>
  <c r="CL61" i="14"/>
  <c r="CM61" i="14"/>
  <c r="CQ61" i="14"/>
  <c r="CO61" i="14"/>
  <c r="CO56" i="14"/>
  <c r="CJ56" i="14"/>
  <c r="CL56" i="14"/>
  <c r="CM56" i="14"/>
  <c r="CQ56" i="14"/>
  <c r="CL113" i="14"/>
  <c r="CJ113" i="14"/>
  <c r="CQ113" i="14"/>
  <c r="CM113" i="14"/>
  <c r="CJ102" i="14"/>
  <c r="CL102" i="14"/>
  <c r="CQ102" i="14"/>
  <c r="CM102" i="14"/>
  <c r="CL99" i="14"/>
  <c r="CJ99" i="14"/>
  <c r="CQ99" i="14"/>
  <c r="CM99" i="14"/>
  <c r="CO99" i="14"/>
  <c r="CL122" i="14"/>
  <c r="CJ122" i="14"/>
  <c r="CM122" i="14"/>
  <c r="CQ122" i="14"/>
  <c r="CQ116" i="14"/>
  <c r="CJ116" i="14"/>
  <c r="CL116" i="14"/>
  <c r="CM116" i="14"/>
  <c r="CO116" i="14"/>
  <c r="CL80" i="14"/>
  <c r="CJ80" i="14"/>
  <c r="CM80" i="14"/>
  <c r="CQ80" i="14"/>
  <c r="CO80" i="14"/>
  <c r="DT8" i="14"/>
  <c r="DU8" i="14" s="1"/>
  <c r="DS8" i="14"/>
  <c r="EC8" i="14"/>
  <c r="DT12" i="14"/>
  <c r="DU12" i="14" s="1"/>
  <c r="DS12" i="14"/>
  <c r="EC12" i="14"/>
  <c r="DT16" i="14"/>
  <c r="DU16" i="14" s="1"/>
  <c r="DS16" i="14"/>
  <c r="EC16" i="14"/>
  <c r="DT20" i="14"/>
  <c r="DU20" i="14" s="1"/>
  <c r="DS20" i="14"/>
  <c r="EC20" i="14"/>
  <c r="DT24" i="14"/>
  <c r="DU24" i="14" s="1"/>
  <c r="DS24" i="14"/>
  <c r="EC24" i="14"/>
  <c r="DT28" i="14"/>
  <c r="DU28" i="14" s="1"/>
  <c r="DU147" i="14" s="1"/>
  <c r="DS28" i="14"/>
  <c r="DS147" i="14" s="1"/>
  <c r="EC28" i="14"/>
  <c r="EC160" i="14" s="1"/>
  <c r="DS32" i="14"/>
  <c r="DT32" i="14"/>
  <c r="DU32" i="14" s="1"/>
  <c r="EC32" i="14"/>
  <c r="DS36" i="14"/>
  <c r="DT36" i="14"/>
  <c r="DU36" i="14" s="1"/>
  <c r="EC36" i="14"/>
  <c r="DS40" i="14"/>
  <c r="DT40" i="14"/>
  <c r="DU40" i="14" s="1"/>
  <c r="EC40" i="14"/>
  <c r="DS44" i="14"/>
  <c r="DT44" i="14"/>
  <c r="DU44" i="14" s="1"/>
  <c r="EC44" i="14"/>
  <c r="DS48" i="14"/>
  <c r="DT48" i="14"/>
  <c r="DU48" i="14" s="1"/>
  <c r="EC48" i="14"/>
  <c r="DT52" i="14"/>
  <c r="DU52" i="14" s="1"/>
  <c r="DS52" i="14"/>
  <c r="EC52" i="14"/>
  <c r="DS56" i="14"/>
  <c r="EC56" i="14"/>
  <c r="DT56" i="14"/>
  <c r="DU56" i="14" s="1"/>
  <c r="DS60" i="14"/>
  <c r="EC60" i="14"/>
  <c r="DT60" i="14"/>
  <c r="DU60" i="14" s="1"/>
  <c r="DS64" i="14"/>
  <c r="EC64" i="14"/>
  <c r="DT64" i="14"/>
  <c r="DU64" i="14" s="1"/>
  <c r="DS68" i="14"/>
  <c r="EC68" i="14"/>
  <c r="DT68" i="14"/>
  <c r="DU68" i="14" s="1"/>
  <c r="DS72" i="14"/>
  <c r="EC72" i="14"/>
  <c r="DT72" i="14"/>
  <c r="DU72" i="14" s="1"/>
  <c r="DS76" i="14"/>
  <c r="EC76" i="14"/>
  <c r="DT76" i="14"/>
  <c r="DU76" i="14" s="1"/>
  <c r="EC78" i="14"/>
  <c r="DT78" i="14"/>
  <c r="DU78" i="14" s="1"/>
  <c r="DS78" i="14"/>
  <c r="EC82" i="14"/>
  <c r="DT82" i="14"/>
  <c r="DU82" i="14" s="1"/>
  <c r="DS82" i="14"/>
  <c r="EC86" i="14"/>
  <c r="DT86" i="14"/>
  <c r="DU86" i="14" s="1"/>
  <c r="DS86" i="14"/>
  <c r="EC90" i="14"/>
  <c r="DT90" i="14"/>
  <c r="DU90" i="14" s="1"/>
  <c r="DS90" i="14"/>
  <c r="EC94" i="14"/>
  <c r="DT94" i="14"/>
  <c r="DU94" i="14" s="1"/>
  <c r="DS94" i="14"/>
  <c r="EC98" i="14"/>
  <c r="DT98" i="14"/>
  <c r="DU98" i="14" s="1"/>
  <c r="DS98" i="14"/>
  <c r="EC102" i="14"/>
  <c r="DT102" i="14"/>
  <c r="DU102" i="14" s="1"/>
  <c r="DS102" i="14"/>
  <c r="DS108" i="14"/>
  <c r="EC108" i="14"/>
  <c r="DT108" i="14"/>
  <c r="DU108" i="14" s="1"/>
  <c r="DS112" i="14"/>
  <c r="EC112" i="14"/>
  <c r="DT112" i="14"/>
  <c r="DU112" i="14" s="1"/>
  <c r="EC116" i="14"/>
  <c r="DT116" i="14"/>
  <c r="DU116" i="14" s="1"/>
  <c r="DS116" i="14"/>
  <c r="EC120" i="14"/>
  <c r="DT120" i="14"/>
  <c r="DU120" i="14" s="1"/>
  <c r="DS120" i="14"/>
  <c r="EC124" i="14"/>
  <c r="DT124" i="14"/>
  <c r="DU124" i="14" s="1"/>
  <c r="DS124" i="14"/>
  <c r="DS7" i="14"/>
  <c r="DT7" i="14"/>
  <c r="DU7" i="14" s="1"/>
  <c r="EC7" i="14"/>
  <c r="DS11" i="14"/>
  <c r="DT11" i="14"/>
  <c r="DU11" i="14" s="1"/>
  <c r="EC11" i="14"/>
  <c r="DS15" i="14"/>
  <c r="DT15" i="14"/>
  <c r="DU15" i="14" s="1"/>
  <c r="EC15" i="14"/>
  <c r="DS19" i="14"/>
  <c r="DT19" i="14"/>
  <c r="DU19" i="14" s="1"/>
  <c r="EC19" i="14"/>
  <c r="DS23" i="14"/>
  <c r="DT23" i="14"/>
  <c r="DU23" i="14" s="1"/>
  <c r="EC23" i="14"/>
  <c r="DS27" i="14"/>
  <c r="DT27" i="14"/>
  <c r="DU27" i="14" s="1"/>
  <c r="EC27" i="14"/>
  <c r="DS31" i="14"/>
  <c r="DT31" i="14"/>
  <c r="DU31" i="14" s="1"/>
  <c r="EC31" i="14"/>
  <c r="DS35" i="14"/>
  <c r="DT35" i="14"/>
  <c r="DU35" i="14" s="1"/>
  <c r="EC35" i="14"/>
  <c r="DS39" i="14"/>
  <c r="DT39" i="14"/>
  <c r="DU39" i="14" s="1"/>
  <c r="EC39" i="14"/>
  <c r="DS43" i="14"/>
  <c r="DT43" i="14"/>
  <c r="DU43" i="14" s="1"/>
  <c r="EC43" i="14"/>
  <c r="DS47" i="14"/>
  <c r="DT47" i="14"/>
  <c r="DU47" i="14" s="1"/>
  <c r="EC47" i="14"/>
  <c r="DS51" i="14"/>
  <c r="DT51" i="14"/>
  <c r="DU51" i="14" s="1"/>
  <c r="EC51" i="14"/>
  <c r="DT55" i="14"/>
  <c r="DU55" i="14" s="1"/>
  <c r="DS55" i="14"/>
  <c r="EC55" i="14"/>
  <c r="EC59" i="14"/>
  <c r="DT59" i="14"/>
  <c r="DU59" i="14" s="1"/>
  <c r="DS59" i="14"/>
  <c r="EC63" i="14"/>
  <c r="DT63" i="14"/>
  <c r="DU63" i="14" s="1"/>
  <c r="DS63" i="14"/>
  <c r="EC67" i="14"/>
  <c r="DT67" i="14"/>
  <c r="DU67" i="14" s="1"/>
  <c r="DS67" i="14"/>
  <c r="EC71" i="14"/>
  <c r="DT71" i="14"/>
  <c r="DU71" i="14" s="1"/>
  <c r="DS71" i="14"/>
  <c r="EC75" i="14"/>
  <c r="DT75" i="14"/>
  <c r="DU75" i="14" s="1"/>
  <c r="DS75" i="14"/>
  <c r="EC104" i="14"/>
  <c r="DT104" i="14"/>
  <c r="DU104" i="14" s="1"/>
  <c r="DS104" i="14"/>
  <c r="DT81" i="14"/>
  <c r="DU81" i="14" s="1"/>
  <c r="DS81" i="14"/>
  <c r="EC81" i="14"/>
  <c r="DT85" i="14"/>
  <c r="DU85" i="14" s="1"/>
  <c r="DS85" i="14"/>
  <c r="EC85" i="14"/>
  <c r="DT89" i="14"/>
  <c r="DU89" i="14" s="1"/>
  <c r="DS89" i="14"/>
  <c r="EC89" i="14"/>
  <c r="DT93" i="14"/>
  <c r="DU93" i="14" s="1"/>
  <c r="DS93" i="14"/>
  <c r="EC93" i="14"/>
  <c r="DT97" i="14"/>
  <c r="DU97" i="14" s="1"/>
  <c r="DS97" i="14"/>
  <c r="EC97" i="14"/>
  <c r="DT101" i="14"/>
  <c r="DU101" i="14" s="1"/>
  <c r="DS101" i="14"/>
  <c r="EC101" i="14"/>
  <c r="EC107" i="14"/>
  <c r="DT107" i="14"/>
  <c r="DU107" i="14" s="1"/>
  <c r="DS107" i="14"/>
  <c r="EC111" i="14"/>
  <c r="DT111" i="14"/>
  <c r="DU111" i="14" s="1"/>
  <c r="DS111" i="14"/>
  <c r="DT115" i="14"/>
  <c r="DU115" i="14" s="1"/>
  <c r="DS115" i="14"/>
  <c r="EC115" i="14"/>
  <c r="DT119" i="14"/>
  <c r="DU119" i="14" s="1"/>
  <c r="DS119" i="14"/>
  <c r="EC119" i="14"/>
  <c r="DT123" i="14"/>
  <c r="DU123" i="14" s="1"/>
  <c r="DS123" i="14"/>
  <c r="EC123" i="14"/>
  <c r="DF126" i="14"/>
  <c r="DH5" i="14"/>
  <c r="DH126" i="14" s="1"/>
  <c r="DG126" i="14"/>
  <c r="DP156" i="14"/>
  <c r="DP164" i="14" s="1"/>
  <c r="DH143" i="14"/>
  <c r="DH151" i="14" s="1"/>
  <c r="CO106" i="14"/>
  <c r="CJ106" i="14"/>
  <c r="CL106" i="14"/>
  <c r="CQ106" i="14"/>
  <c r="CM106" i="14"/>
  <c r="CL6" i="14"/>
  <c r="CJ6" i="14"/>
  <c r="CQ6" i="14"/>
  <c r="CM6" i="14"/>
  <c r="CO6" i="14"/>
  <c r="CO122" i="14"/>
  <c r="CL87" i="14"/>
  <c r="CJ87" i="14"/>
  <c r="CM87" i="14"/>
  <c r="CQ87" i="14"/>
  <c r="CJ60" i="14"/>
  <c r="CL60" i="14"/>
  <c r="CM60" i="14"/>
  <c r="CQ60" i="14"/>
  <c r="CJ123" i="14"/>
  <c r="CL123" i="14"/>
  <c r="CQ123" i="14"/>
  <c r="CM123" i="14"/>
  <c r="CO123" i="14"/>
  <c r="CL108" i="14"/>
  <c r="CJ108" i="14"/>
  <c r="CM108" i="14"/>
  <c r="CQ108" i="14"/>
  <c r="CJ112" i="14"/>
  <c r="CL112" i="14"/>
  <c r="CM112" i="14"/>
  <c r="CQ112" i="14"/>
  <c r="CO112" i="14"/>
  <c r="CO113" i="14"/>
  <c r="CJ81" i="14"/>
  <c r="CL81" i="14"/>
  <c r="CM81" i="14"/>
  <c r="CQ81" i="14"/>
  <c r="CO81" i="14"/>
  <c r="CL71" i="14"/>
  <c r="CJ71" i="14"/>
  <c r="CM71" i="14"/>
  <c r="CQ71" i="14"/>
  <c r="CO76" i="14"/>
  <c r="CJ91" i="14"/>
  <c r="CL91" i="14"/>
  <c r="CQ91" i="14"/>
  <c r="CM91" i="14"/>
  <c r="CO91" i="14"/>
  <c r="CL77" i="14"/>
  <c r="CJ77" i="14"/>
  <c r="CQ77" i="14"/>
  <c r="CM77" i="14"/>
  <c r="CL59" i="14"/>
  <c r="CJ59" i="14"/>
  <c r="CQ59" i="14"/>
  <c r="CM59" i="14"/>
  <c r="CL97" i="14"/>
  <c r="CJ97" i="14"/>
  <c r="CM97" i="14"/>
  <c r="CQ97" i="14"/>
  <c r="CJ69" i="14"/>
  <c r="CL69" i="14"/>
  <c r="CM69" i="14"/>
  <c r="CQ69" i="14"/>
  <c r="CO69" i="14"/>
  <c r="CO59" i="14"/>
  <c r="CJ5" i="14"/>
  <c r="CL5" i="14"/>
  <c r="CM5" i="14"/>
  <c r="CQ5" i="14"/>
  <c r="CO5" i="14"/>
  <c r="CQ118" i="14"/>
  <c r="CJ118" i="14"/>
  <c r="CL118" i="14"/>
  <c r="CM118" i="14"/>
  <c r="CO118" i="14"/>
  <c r="CJ57" i="14"/>
  <c r="CL57" i="14"/>
  <c r="CQ57" i="14"/>
  <c r="CM57" i="14"/>
  <c r="CO57" i="14"/>
  <c r="CQ124" i="14"/>
  <c r="CL124" i="14"/>
  <c r="CJ124" i="14"/>
  <c r="CM124" i="14"/>
  <c r="CO124" i="14"/>
  <c r="CO102" i="14"/>
  <c r="CJ103" i="14"/>
  <c r="CL103" i="14"/>
  <c r="CM103" i="14"/>
  <c r="CQ103" i="14"/>
  <c r="CL107" i="14"/>
  <c r="CJ107" i="14"/>
  <c r="CQ107" i="14"/>
  <c r="CM107" i="14"/>
  <c r="CO107" i="14"/>
  <c r="CJ101" i="14"/>
  <c r="CL101" i="14"/>
  <c r="CQ101" i="14"/>
  <c r="CM101" i="14"/>
  <c r="CA96" i="14"/>
  <c r="CA126" i="14" s="1"/>
  <c r="CK96" i="14"/>
  <c r="CJ85" i="14"/>
  <c r="CL85" i="14"/>
  <c r="CM85" i="14"/>
  <c r="CQ85" i="14"/>
  <c r="CJ64" i="14"/>
  <c r="CL64" i="14"/>
  <c r="CM64" i="14"/>
  <c r="CQ64" i="14"/>
  <c r="CO64" i="14"/>
  <c r="CL94" i="14"/>
  <c r="CJ94" i="14"/>
  <c r="CQ94" i="14"/>
  <c r="CM94" i="14"/>
  <c r="CL62" i="14"/>
  <c r="CJ62" i="14"/>
  <c r="CM62" i="14"/>
  <c r="CQ62" i="14"/>
  <c r="CO62" i="14"/>
  <c r="CO115" i="14"/>
  <c r="CL115" i="14"/>
  <c r="CJ115" i="14"/>
  <c r="CM115" i="14"/>
  <c r="CQ115" i="14"/>
  <c r="CL70" i="14"/>
  <c r="CJ70" i="14"/>
  <c r="CQ70" i="14"/>
  <c r="CM70" i="14"/>
  <c r="CO70" i="14"/>
  <c r="CL90" i="14"/>
  <c r="CJ90" i="14"/>
  <c r="CM90" i="14"/>
  <c r="CQ90" i="14"/>
  <c r="CJ92" i="14"/>
  <c r="CL92" i="14"/>
  <c r="CQ92" i="14"/>
  <c r="CM92" i="14"/>
  <c r="CO92" i="14"/>
  <c r="CL30" i="14"/>
  <c r="CJ30" i="14"/>
  <c r="CQ30" i="14"/>
  <c r="CM30" i="14"/>
  <c r="CL119" i="14"/>
  <c r="CJ119" i="14"/>
  <c r="CQ119" i="14"/>
  <c r="CM119" i="14"/>
  <c r="CO119" i="14"/>
  <c r="CL114" i="14"/>
  <c r="CJ114" i="14"/>
  <c r="CQ114" i="14"/>
  <c r="CM114" i="14"/>
  <c r="CO114" i="14"/>
  <c r="CL68" i="14"/>
  <c r="CJ68" i="14"/>
  <c r="CQ68" i="14"/>
  <c r="CM68" i="14"/>
  <c r="CJ89" i="14"/>
  <c r="CL89" i="14"/>
  <c r="CQ89" i="14"/>
  <c r="CM89" i="14"/>
  <c r="CO121" i="14"/>
  <c r="CJ121" i="14"/>
  <c r="CL121" i="14"/>
  <c r="CM121" i="14"/>
  <c r="CQ121" i="14"/>
  <c r="CJ78" i="14"/>
  <c r="CL78" i="14"/>
  <c r="CQ78" i="14"/>
  <c r="CM78" i="14"/>
  <c r="CJ75" i="14"/>
  <c r="CL75" i="14"/>
  <c r="CQ75" i="14"/>
  <c r="CM75" i="14"/>
  <c r="CO75" i="14"/>
  <c r="CO120" i="14"/>
  <c r="CL109" i="14"/>
  <c r="CJ109" i="14"/>
  <c r="CM109" i="14"/>
  <c r="CQ109" i="14"/>
  <c r="CL72" i="14"/>
  <c r="CJ72" i="14"/>
  <c r="CM72" i="14"/>
  <c r="CQ72" i="14"/>
  <c r="CO72" i="14"/>
  <c r="CL104" i="14"/>
  <c r="CJ104" i="14"/>
  <c r="CM104" i="14"/>
  <c r="CQ104" i="14"/>
  <c r="CO104" i="14"/>
  <c r="EC6" i="14"/>
  <c r="DT6" i="14"/>
  <c r="DU6" i="14" s="1"/>
  <c r="DS6" i="14"/>
  <c r="DT10" i="14"/>
  <c r="DU10" i="14" s="1"/>
  <c r="DS10" i="14"/>
  <c r="EC10" i="14"/>
  <c r="DT14" i="14"/>
  <c r="DU14" i="14" s="1"/>
  <c r="DS14" i="14"/>
  <c r="EC14" i="14"/>
  <c r="DT18" i="14"/>
  <c r="DU18" i="14" s="1"/>
  <c r="DS18" i="14"/>
  <c r="EC18" i="14"/>
  <c r="DT22" i="14"/>
  <c r="DU22" i="14" s="1"/>
  <c r="DS22" i="14"/>
  <c r="EC22" i="14"/>
  <c r="DT26" i="14"/>
  <c r="DU26" i="14" s="1"/>
  <c r="DS26" i="14"/>
  <c r="EC26" i="14"/>
  <c r="DT30" i="14"/>
  <c r="DU30" i="14" s="1"/>
  <c r="DS30" i="14"/>
  <c r="EC30" i="14"/>
  <c r="DS34" i="14"/>
  <c r="DT34" i="14"/>
  <c r="DU34" i="14" s="1"/>
  <c r="EC34" i="14"/>
  <c r="DS38" i="14"/>
  <c r="DT38" i="14"/>
  <c r="DU38" i="14" s="1"/>
  <c r="EC38" i="14"/>
  <c r="DS42" i="14"/>
  <c r="DT42" i="14"/>
  <c r="DU42" i="14" s="1"/>
  <c r="EC42" i="14"/>
  <c r="DS46" i="14"/>
  <c r="DT46" i="14"/>
  <c r="DU46" i="14" s="1"/>
  <c r="EC46" i="14"/>
  <c r="DS50" i="14"/>
  <c r="DT50" i="14"/>
  <c r="DU50" i="14" s="1"/>
  <c r="EC50" i="14"/>
  <c r="DT54" i="14"/>
  <c r="DU54" i="14" s="1"/>
  <c r="DS54" i="14"/>
  <c r="EC54" i="14"/>
  <c r="EC58" i="14"/>
  <c r="DT58" i="14"/>
  <c r="DU58" i="14" s="1"/>
  <c r="DS58" i="14"/>
  <c r="EC62" i="14"/>
  <c r="DT62" i="14"/>
  <c r="DU62" i="14" s="1"/>
  <c r="DS62" i="14"/>
  <c r="EC66" i="14"/>
  <c r="DT66" i="14"/>
  <c r="DU66" i="14" s="1"/>
  <c r="DS66" i="14"/>
  <c r="EC70" i="14"/>
  <c r="DT70" i="14"/>
  <c r="DU70" i="14" s="1"/>
  <c r="DS70" i="14"/>
  <c r="EC74" i="14"/>
  <c r="DT74" i="14"/>
  <c r="DU74" i="14" s="1"/>
  <c r="DS74" i="14"/>
  <c r="EC103" i="14"/>
  <c r="DT103" i="14"/>
  <c r="DU103" i="14" s="1"/>
  <c r="DS103" i="14"/>
  <c r="DT80" i="14"/>
  <c r="DU80" i="14" s="1"/>
  <c r="DS80" i="14"/>
  <c r="EC80" i="14"/>
  <c r="DT84" i="14"/>
  <c r="DU84" i="14" s="1"/>
  <c r="DS84" i="14"/>
  <c r="EC84" i="14"/>
  <c r="DT88" i="14"/>
  <c r="DU88" i="14" s="1"/>
  <c r="DS88" i="14"/>
  <c r="EC88" i="14"/>
  <c r="DT92" i="14"/>
  <c r="DU92" i="14" s="1"/>
  <c r="DS92" i="14"/>
  <c r="EC92" i="14"/>
  <c r="DT96" i="14"/>
  <c r="DU96" i="14" s="1"/>
  <c r="DS96" i="14"/>
  <c r="EC96" i="14"/>
  <c r="DT100" i="14"/>
  <c r="DU100" i="14" s="1"/>
  <c r="DS100" i="14"/>
  <c r="EC100" i="14"/>
  <c r="EC106" i="14"/>
  <c r="DT106" i="14"/>
  <c r="DU106" i="14" s="1"/>
  <c r="DS106" i="14"/>
  <c r="EC110" i="14"/>
  <c r="DT110" i="14"/>
  <c r="DU110" i="14" s="1"/>
  <c r="DS110" i="14"/>
  <c r="EC114" i="14"/>
  <c r="DT114" i="14"/>
  <c r="DU114" i="14" s="1"/>
  <c r="DS114" i="14"/>
  <c r="DT118" i="14"/>
  <c r="DU118" i="14" s="1"/>
  <c r="DS118" i="14"/>
  <c r="EC118" i="14"/>
  <c r="DT122" i="14"/>
  <c r="DU122" i="14" s="1"/>
  <c r="DS122" i="14"/>
  <c r="EC122" i="14"/>
  <c r="DT5" i="14"/>
  <c r="DS5" i="14"/>
  <c r="DR126" i="14"/>
  <c r="EC5" i="14"/>
  <c r="DS9" i="14"/>
  <c r="DT9" i="14"/>
  <c r="DU9" i="14" s="1"/>
  <c r="EC9" i="14"/>
  <c r="DS13" i="14"/>
  <c r="DT13" i="14"/>
  <c r="DU13" i="14" s="1"/>
  <c r="EC13" i="14"/>
  <c r="DS17" i="14"/>
  <c r="DT17" i="14"/>
  <c r="DU17" i="14" s="1"/>
  <c r="EC17" i="14"/>
  <c r="DS21" i="14"/>
  <c r="DT21" i="14"/>
  <c r="DU21" i="14" s="1"/>
  <c r="EC21" i="14"/>
  <c r="DS25" i="14"/>
  <c r="DT25" i="14"/>
  <c r="DU25" i="14" s="1"/>
  <c r="EC25" i="14"/>
  <c r="DS29" i="14"/>
  <c r="DT29" i="14"/>
  <c r="DU29" i="14" s="1"/>
  <c r="EC29" i="14"/>
  <c r="DS33" i="14"/>
  <c r="DT33" i="14"/>
  <c r="DU33" i="14" s="1"/>
  <c r="EC33" i="14"/>
  <c r="DS37" i="14"/>
  <c r="DT37" i="14"/>
  <c r="DU37" i="14" s="1"/>
  <c r="EC37" i="14"/>
  <c r="DS41" i="14"/>
  <c r="DT41" i="14"/>
  <c r="DU41" i="14" s="1"/>
  <c r="EC41" i="14"/>
  <c r="DS45" i="14"/>
  <c r="DT45" i="14"/>
  <c r="DU45" i="14" s="1"/>
  <c r="EC45" i="14"/>
  <c r="DS49" i="14"/>
  <c r="DT49" i="14"/>
  <c r="DU49" i="14" s="1"/>
  <c r="EC49" i="14"/>
  <c r="DT53" i="14"/>
  <c r="DU53" i="14" s="1"/>
  <c r="DS53" i="14"/>
  <c r="EC53" i="14"/>
  <c r="DS57" i="14"/>
  <c r="EC57" i="14"/>
  <c r="DT57" i="14"/>
  <c r="DU57" i="14" s="1"/>
  <c r="DS61" i="14"/>
  <c r="EC61" i="14"/>
  <c r="DT61" i="14"/>
  <c r="DU61" i="14" s="1"/>
  <c r="DS65" i="14"/>
  <c r="EC65" i="14"/>
  <c r="DT65" i="14"/>
  <c r="DU65" i="14" s="1"/>
  <c r="DS69" i="14"/>
  <c r="EC69" i="14"/>
  <c r="DT69" i="14"/>
  <c r="DU69" i="14" s="1"/>
  <c r="DS73" i="14"/>
  <c r="EC73" i="14"/>
  <c r="DT73" i="14"/>
  <c r="DU73" i="14" s="1"/>
  <c r="DS77" i="14"/>
  <c r="EC77" i="14"/>
  <c r="DT77" i="14"/>
  <c r="DU77" i="14" s="1"/>
  <c r="EC79" i="14"/>
  <c r="DT79" i="14"/>
  <c r="DU79" i="14" s="1"/>
  <c r="DS79" i="14"/>
  <c r="EC83" i="14"/>
  <c r="DT83" i="14"/>
  <c r="DU83" i="14" s="1"/>
  <c r="DS83" i="14"/>
  <c r="EC87" i="14"/>
  <c r="DT87" i="14"/>
  <c r="DU87" i="14" s="1"/>
  <c r="DS87" i="14"/>
  <c r="EC91" i="14"/>
  <c r="DT91" i="14"/>
  <c r="DU91" i="14" s="1"/>
  <c r="DS91" i="14"/>
  <c r="EC95" i="14"/>
  <c r="DT95" i="14"/>
  <c r="DU95" i="14" s="1"/>
  <c r="DS95" i="14"/>
  <c r="EC99" i="14"/>
  <c r="DT99" i="14"/>
  <c r="DU99" i="14" s="1"/>
  <c r="DS99" i="14"/>
  <c r="DS105" i="14"/>
  <c r="EC105" i="14"/>
  <c r="DT105" i="14"/>
  <c r="DU105" i="14" s="1"/>
  <c r="DS109" i="14"/>
  <c r="EC109" i="14"/>
  <c r="DT109" i="14"/>
  <c r="DU109" i="14" s="1"/>
  <c r="DS113" i="14"/>
  <c r="EC113" i="14"/>
  <c r="DT113" i="14"/>
  <c r="DU113" i="14" s="1"/>
  <c r="EC117" i="14"/>
  <c r="DT117" i="14"/>
  <c r="DU117" i="14" s="1"/>
  <c r="DS117" i="14"/>
  <c r="EC121" i="14"/>
  <c r="DT121" i="14"/>
  <c r="DU121" i="14" s="1"/>
  <c r="DS121" i="14"/>
  <c r="EC125" i="14"/>
  <c r="DT125" i="14"/>
  <c r="DU125" i="14" s="1"/>
  <c r="DS125" i="14"/>
  <c r="DP126" i="14"/>
  <c r="DF143" i="14"/>
  <c r="DF151" i="14" s="1"/>
  <c r="CO68" i="14"/>
  <c r="CJ74" i="14"/>
  <c r="CL74" i="14"/>
  <c r="CM74" i="14"/>
  <c r="CQ74" i="14"/>
  <c r="CO78" i="14"/>
  <c r="CJ88" i="14"/>
  <c r="CL88" i="14"/>
  <c r="CQ88" i="14"/>
  <c r="CM88" i="14"/>
  <c r="CO88" i="14"/>
  <c r="CJ63" i="14"/>
  <c r="CL63" i="14"/>
  <c r="CQ63" i="14"/>
  <c r="CM63" i="14"/>
  <c r="CO63" i="14"/>
  <c r="CL79" i="14"/>
  <c r="CJ79" i="14"/>
  <c r="CM79" i="14"/>
  <c r="CQ79" i="14"/>
  <c r="CL83" i="14"/>
  <c r="CJ83" i="14"/>
  <c r="CM83" i="14"/>
  <c r="CQ83" i="14"/>
  <c r="CO83" i="14"/>
  <c r="CJ84" i="14"/>
  <c r="CL84" i="14"/>
  <c r="CM84" i="14"/>
  <c r="CQ84" i="14"/>
  <c r="CO84" i="14"/>
  <c r="CL58" i="14"/>
  <c r="CJ58" i="14"/>
  <c r="CM58" i="14"/>
  <c r="CQ58" i="14"/>
  <c r="CO58" i="14"/>
  <c r="CO108" i="14"/>
  <c r="CL66" i="14"/>
  <c r="CJ66" i="14"/>
  <c r="CQ66" i="14"/>
  <c r="CM66" i="14"/>
  <c r="CO66" i="14"/>
  <c r="CO103" i="14"/>
  <c r="CL105" i="14"/>
  <c r="CJ105" i="14"/>
  <c r="CQ105" i="14"/>
  <c r="CM105" i="14"/>
  <c r="CO105" i="14"/>
  <c r="CJ86" i="14"/>
  <c r="CL86" i="14"/>
  <c r="CQ86" i="14"/>
  <c r="CM86" i="14"/>
  <c r="CJ100" i="14"/>
  <c r="CL100" i="14"/>
  <c r="CQ100" i="14"/>
  <c r="CM100" i="14"/>
  <c r="CJ111" i="14"/>
  <c r="CL111" i="14"/>
  <c r="CM111" i="14"/>
  <c r="CQ111" i="14"/>
  <c r="CO111" i="14"/>
  <c r="CJ73" i="14"/>
  <c r="CL73" i="14"/>
  <c r="CM73" i="14"/>
  <c r="CQ73" i="14"/>
  <c r="CO73" i="14"/>
  <c r="CO67" i="14"/>
  <c r="CJ65" i="14"/>
  <c r="CL65" i="14"/>
  <c r="CM65" i="14"/>
  <c r="CQ65" i="14"/>
  <c r="CO65" i="14"/>
  <c r="CJ82" i="14"/>
  <c r="CL82" i="14"/>
  <c r="CQ82" i="14"/>
  <c r="CM82" i="14"/>
  <c r="CO90" i="14"/>
  <c r="CL98" i="14"/>
  <c r="CJ98" i="14"/>
  <c r="CQ98" i="14"/>
  <c r="CM98" i="14"/>
  <c r="CJ117" i="14"/>
  <c r="CL117" i="14"/>
  <c r="CQ117" i="14"/>
  <c r="CM117" i="14"/>
  <c r="CO117" i="14"/>
  <c r="CO52" i="14"/>
  <c r="CJ52" i="14"/>
  <c r="CQ52" i="14"/>
  <c r="CL52" i="14"/>
  <c r="CM52" i="14"/>
  <c r="CL45" i="14"/>
  <c r="CQ45" i="14"/>
  <c r="CJ45" i="14"/>
  <c r="CM45" i="14"/>
  <c r="CJ54" i="14"/>
  <c r="CQ54" i="14"/>
  <c r="CL54" i="14"/>
  <c r="CM54" i="14"/>
  <c r="CL38" i="14"/>
  <c r="CQ38" i="14"/>
  <c r="CM38" i="14"/>
  <c r="CJ38" i="14"/>
  <c r="CO43" i="14"/>
  <c r="CL43" i="14"/>
  <c r="CQ43" i="14"/>
  <c r="CJ43" i="14"/>
  <c r="CM43" i="14"/>
  <c r="CO34" i="14"/>
  <c r="CJ34" i="14"/>
  <c r="CM34" i="14"/>
  <c r="CL34" i="14"/>
  <c r="CQ34" i="14"/>
  <c r="CO45" i="14"/>
  <c r="CL50" i="14"/>
  <c r="CQ50" i="14"/>
  <c r="CM50" i="14"/>
  <c r="CJ50" i="14"/>
  <c r="CM44" i="14"/>
  <c r="CL44" i="14"/>
  <c r="CQ44" i="14"/>
  <c r="CJ44" i="14"/>
  <c r="CM46" i="14"/>
  <c r="CJ46" i="14"/>
  <c r="CL46" i="14"/>
  <c r="CQ46" i="14"/>
  <c r="CO46" i="14"/>
  <c r="CO55" i="14"/>
  <c r="CL55" i="14"/>
  <c r="CM55" i="14"/>
  <c r="CJ55" i="14"/>
  <c r="CQ55" i="14"/>
  <c r="CO47" i="14"/>
  <c r="CL47" i="14"/>
  <c r="CQ47" i="14"/>
  <c r="CJ47" i="14"/>
  <c r="CM47" i="14"/>
  <c r="CM48" i="14"/>
  <c r="CL48" i="14"/>
  <c r="CQ48" i="14"/>
  <c r="CJ48" i="14"/>
  <c r="CO48" i="14"/>
  <c r="CO40" i="14"/>
  <c r="CL40" i="14"/>
  <c r="CQ40" i="14"/>
  <c r="CJ40" i="14"/>
  <c r="CM40" i="14"/>
  <c r="CJ41" i="14"/>
  <c r="CM41" i="14"/>
  <c r="CL41" i="14"/>
  <c r="CQ41" i="14"/>
  <c r="CJ32" i="14"/>
  <c r="CL32" i="14"/>
  <c r="CQ32" i="14"/>
  <c r="CM32" i="14"/>
  <c r="CJ31" i="14"/>
  <c r="CL31" i="14"/>
  <c r="CQ31" i="14"/>
  <c r="CM31" i="14"/>
  <c r="CO31" i="14"/>
  <c r="CJ35" i="14"/>
  <c r="CM35" i="14"/>
  <c r="CL35" i="14"/>
  <c r="CQ35" i="14"/>
  <c r="CO32" i="14"/>
  <c r="CJ42" i="14"/>
  <c r="CQ42" i="14"/>
  <c r="CL42" i="14"/>
  <c r="CM42" i="14"/>
  <c r="CO49" i="14"/>
  <c r="CL49" i="14"/>
  <c r="CQ49" i="14"/>
  <c r="CJ49" i="14"/>
  <c r="CM49" i="14"/>
  <c r="CJ51" i="14"/>
  <c r="CM51" i="14"/>
  <c r="CL51" i="14"/>
  <c r="CQ51" i="14"/>
  <c r="CO54" i="14"/>
  <c r="CJ39" i="14"/>
  <c r="CM39" i="14"/>
  <c r="CL39" i="14"/>
  <c r="CQ39" i="14"/>
  <c r="CO39" i="14"/>
  <c r="CJ33" i="14"/>
  <c r="CM33" i="14"/>
  <c r="CL33" i="14"/>
  <c r="CQ33" i="14"/>
  <c r="CJ37" i="14"/>
  <c r="CM37" i="14"/>
  <c r="CL37" i="14"/>
  <c r="CQ37" i="14"/>
  <c r="CO37" i="14"/>
  <c r="CL53" i="14"/>
  <c r="CM53" i="14"/>
  <c r="CJ53" i="14"/>
  <c r="CQ53" i="14"/>
  <c r="CO53" i="14"/>
  <c r="CL36" i="14"/>
  <c r="CQ36" i="14"/>
  <c r="CM36" i="14"/>
  <c r="CJ36" i="14"/>
  <c r="CO38" i="14"/>
  <c r="CO44" i="14"/>
  <c r="CK130" i="14"/>
  <c r="CO7" i="14"/>
  <c r="CJ7" i="14"/>
  <c r="CM7" i="14"/>
  <c r="CL7" i="14"/>
  <c r="CQ7" i="14"/>
  <c r="CD164" i="14"/>
  <c r="CA143" i="14"/>
  <c r="BX183" i="14"/>
  <c r="BW183" i="14" s="1"/>
  <c r="BX188" i="14"/>
  <c r="BM151" i="14"/>
  <c r="CL8" i="14"/>
  <c r="CQ8" i="14"/>
  <c r="CM8" i="14"/>
  <c r="CJ8" i="14"/>
  <c r="CK126" i="14"/>
  <c r="CK174" i="14"/>
  <c r="CJ23" i="14"/>
  <c r="CM23" i="14"/>
  <c r="CL23" i="14"/>
  <c r="CQ23" i="14"/>
  <c r="CL9" i="14"/>
  <c r="CQ9" i="14"/>
  <c r="CJ9" i="14"/>
  <c r="CM9" i="14"/>
  <c r="CJ24" i="14"/>
  <c r="CM24" i="14"/>
  <c r="CL24" i="14"/>
  <c r="CQ24" i="14"/>
  <c r="CO9" i="14"/>
  <c r="CJ19" i="14"/>
  <c r="CL19" i="14"/>
  <c r="CQ19" i="14"/>
  <c r="CM19" i="14"/>
  <c r="CO29" i="14"/>
  <c r="CL29" i="14"/>
  <c r="CQ29" i="14"/>
  <c r="CJ29" i="14"/>
  <c r="CM29" i="14"/>
  <c r="CO26" i="14"/>
  <c r="CJ26" i="14"/>
  <c r="CM26" i="14"/>
  <c r="CL26" i="14"/>
  <c r="CQ26" i="14"/>
  <c r="BX178" i="14"/>
  <c r="K71" i="10" s="1"/>
  <c r="BX175" i="14"/>
  <c r="CO8" i="14"/>
  <c r="CJ22" i="14"/>
  <c r="CM22" i="14"/>
  <c r="CL22" i="14"/>
  <c r="CQ22" i="14"/>
  <c r="CO22" i="14"/>
  <c r="CL18" i="14"/>
  <c r="CQ18" i="14"/>
  <c r="CJ18" i="14"/>
  <c r="CM18" i="14"/>
  <c r="CJ12" i="14"/>
  <c r="CQ12" i="14"/>
  <c r="CL12" i="14"/>
  <c r="CM12" i="14"/>
  <c r="CL25" i="14"/>
  <c r="CQ25" i="14"/>
  <c r="CJ25" i="14"/>
  <c r="CM25" i="14"/>
  <c r="CO25" i="14"/>
  <c r="CO15" i="14"/>
  <c r="CJ15" i="14"/>
  <c r="CM15" i="14"/>
  <c r="CL15" i="14"/>
  <c r="CQ15" i="14"/>
  <c r="CL16" i="14"/>
  <c r="CQ16" i="14"/>
  <c r="CJ16" i="14"/>
  <c r="CM16" i="14"/>
  <c r="CL27" i="14"/>
  <c r="CQ27" i="14"/>
  <c r="CJ27" i="14"/>
  <c r="CM27" i="14"/>
  <c r="CO16" i="14"/>
  <c r="CJ20" i="14"/>
  <c r="CM20" i="14"/>
  <c r="CL20" i="14"/>
  <c r="CQ20" i="14"/>
  <c r="CO28" i="14"/>
  <c r="CJ28" i="14"/>
  <c r="CM28" i="14"/>
  <c r="CL28" i="14"/>
  <c r="CL147" i="14" s="1"/>
  <c r="CQ28" i="14"/>
  <c r="CQ160" i="14" s="1"/>
  <c r="CJ21" i="14"/>
  <c r="CM21" i="14"/>
  <c r="CL21" i="14"/>
  <c r="CQ21" i="14"/>
  <c r="CO21" i="14"/>
  <c r="CO19" i="14"/>
  <c r="CO23" i="14"/>
  <c r="CL13" i="14"/>
  <c r="CQ13" i="14"/>
  <c r="CJ13" i="14"/>
  <c r="CM13" i="14"/>
  <c r="CL17" i="14"/>
  <c r="CQ17" i="14"/>
  <c r="CJ17" i="14"/>
  <c r="CM17" i="14"/>
  <c r="CO17" i="14"/>
  <c r="CL11" i="14"/>
  <c r="CQ11" i="14"/>
  <c r="CJ11" i="14"/>
  <c r="CM11" i="14"/>
  <c r="CO27" i="14"/>
  <c r="CL14" i="14"/>
  <c r="CQ14" i="14"/>
  <c r="CJ14" i="14"/>
  <c r="CM14" i="14"/>
  <c r="CO14" i="14"/>
  <c r="CO10" i="14"/>
  <c r="CL10" i="14"/>
  <c r="CQ10" i="14"/>
  <c r="CJ10" i="14"/>
  <c r="CM10" i="14"/>
  <c r="CO24" i="14"/>
  <c r="G27" i="17"/>
  <c r="O113" i="12"/>
  <c r="M113" i="12" s="1"/>
  <c r="O111" i="12"/>
  <c r="O109" i="12"/>
  <c r="M109" i="12" s="1"/>
  <c r="O73" i="12"/>
  <c r="O69" i="12"/>
  <c r="M69" i="12" s="1"/>
  <c r="O65" i="12"/>
  <c r="O103" i="12"/>
  <c r="O101" i="12"/>
  <c r="O99" i="12"/>
  <c r="O97" i="12"/>
  <c r="M97" i="12" s="1"/>
  <c r="O95" i="12"/>
  <c r="O93" i="12"/>
  <c r="O91" i="12"/>
  <c r="O89" i="12"/>
  <c r="O87" i="12"/>
  <c r="O85" i="12"/>
  <c r="O83" i="12"/>
  <c r="O81" i="12"/>
  <c r="O77" i="12"/>
  <c r="O79" i="12"/>
  <c r="M79" i="12" s="1"/>
  <c r="O45" i="12"/>
  <c r="O43" i="12"/>
  <c r="O41" i="12"/>
  <c r="O39" i="12"/>
  <c r="O37" i="12"/>
  <c r="O35" i="12"/>
  <c r="O33" i="12"/>
  <c r="O31" i="12"/>
  <c r="O29" i="12"/>
  <c r="O27" i="12"/>
  <c r="O25" i="12"/>
  <c r="O23" i="12"/>
  <c r="O48" i="12"/>
  <c r="M48" i="12" s="1"/>
  <c r="O52" i="12"/>
  <c r="M52" i="12" s="1"/>
  <c r="O22" i="12"/>
  <c r="M22" i="12" s="1"/>
  <c r="O26" i="12"/>
  <c r="M26" i="12" s="1"/>
  <c r="O30" i="12"/>
  <c r="M30" i="12" s="1"/>
  <c r="O34" i="12"/>
  <c r="M34" i="12" s="1"/>
  <c r="O38" i="12"/>
  <c r="M38" i="12" s="1"/>
  <c r="O42" i="12"/>
  <c r="M42" i="12" s="1"/>
  <c r="O46" i="12"/>
  <c r="M46" i="12" s="1"/>
  <c r="O49" i="12"/>
  <c r="O53" i="12"/>
  <c r="O57" i="12"/>
  <c r="O78" i="12"/>
  <c r="O84" i="12"/>
  <c r="M84" i="12" s="1"/>
  <c r="O88" i="12"/>
  <c r="M88" i="12" s="1"/>
  <c r="O92" i="12"/>
  <c r="M92" i="12" s="1"/>
  <c r="O58" i="12"/>
  <c r="M58" i="12" s="1"/>
  <c r="O80" i="12"/>
  <c r="O98" i="12"/>
  <c r="O102" i="12"/>
  <c r="M102" i="12" s="1"/>
  <c r="O106" i="12"/>
  <c r="O115" i="12"/>
  <c r="M115" i="12" s="1"/>
  <c r="O117" i="12"/>
  <c r="M117" i="12" s="1"/>
  <c r="O119" i="12"/>
  <c r="M119" i="12" s="1"/>
  <c r="O121" i="12"/>
  <c r="O125" i="12"/>
  <c r="M125" i="12" s="1"/>
  <c r="O105" i="12"/>
  <c r="M105" i="12" s="1"/>
  <c r="O122" i="12"/>
  <c r="O6" i="12"/>
  <c r="M6" i="12" s="1"/>
  <c r="O8" i="12"/>
  <c r="M8" i="12" s="1"/>
  <c r="O10" i="12"/>
  <c r="M10" i="12" s="1"/>
  <c r="O12" i="12"/>
  <c r="O14" i="12"/>
  <c r="M14" i="12" s="1"/>
  <c r="O16" i="12"/>
  <c r="M16" i="12" s="1"/>
  <c r="O18" i="12"/>
  <c r="M18" i="12" s="1"/>
  <c r="O20" i="12"/>
  <c r="O60" i="12"/>
  <c r="M60" i="12" s="1"/>
  <c r="O62" i="12"/>
  <c r="M62" i="12" s="1"/>
  <c r="O64" i="12"/>
  <c r="M64" i="12" s="1"/>
  <c r="O66" i="12"/>
  <c r="O68" i="12"/>
  <c r="M68" i="12" s="1"/>
  <c r="O70" i="12"/>
  <c r="M70" i="12" s="1"/>
  <c r="O72" i="12"/>
  <c r="M72" i="12" s="1"/>
  <c r="O74" i="12"/>
  <c r="O50" i="12"/>
  <c r="M50" i="12" s="1"/>
  <c r="O54" i="12"/>
  <c r="M54" i="12" s="1"/>
  <c r="O24" i="12"/>
  <c r="O28" i="12"/>
  <c r="M28" i="12" s="1"/>
  <c r="O32" i="12"/>
  <c r="M32" i="12" s="1"/>
  <c r="O36" i="12"/>
  <c r="M36" i="12" s="1"/>
  <c r="O40" i="12"/>
  <c r="M40" i="12" s="1"/>
  <c r="O44" i="12"/>
  <c r="M44" i="12" s="1"/>
  <c r="O47" i="12"/>
  <c r="M47" i="12" s="1"/>
  <c r="O51" i="12"/>
  <c r="O55" i="12"/>
  <c r="O82" i="12"/>
  <c r="M82" i="12" s="1"/>
  <c r="O86" i="12"/>
  <c r="M86" i="12" s="1"/>
  <c r="O90" i="12"/>
  <c r="M90" i="12" s="1"/>
  <c r="O56" i="12"/>
  <c r="M56" i="12" s="1"/>
  <c r="O76" i="12"/>
  <c r="O96" i="12"/>
  <c r="O100" i="12"/>
  <c r="O104" i="12"/>
  <c r="O114" i="12"/>
  <c r="M114" i="12" s="1"/>
  <c r="O116" i="12"/>
  <c r="M116" i="12" s="1"/>
  <c r="O118" i="12"/>
  <c r="M118" i="12" s="1"/>
  <c r="O120" i="12"/>
  <c r="M120" i="12" s="1"/>
  <c r="O123" i="12"/>
  <c r="O94" i="12"/>
  <c r="M94" i="12" s="1"/>
  <c r="O107" i="12"/>
  <c r="M107" i="12" s="1"/>
  <c r="O124" i="12"/>
  <c r="O7" i="12"/>
  <c r="M7" i="12" s="1"/>
  <c r="O9" i="12"/>
  <c r="M9" i="12" s="1"/>
  <c r="O11" i="12"/>
  <c r="M11" i="12" s="1"/>
  <c r="O13" i="12"/>
  <c r="M13" i="12" s="1"/>
  <c r="O15" i="12"/>
  <c r="M15" i="12" s="1"/>
  <c r="O17" i="12"/>
  <c r="M17" i="12" s="1"/>
  <c r="O19" i="12"/>
  <c r="M19" i="12" s="1"/>
  <c r="O21" i="12"/>
  <c r="M21" i="12" s="1"/>
  <c r="O112" i="12"/>
  <c r="M112" i="12" s="1"/>
  <c r="O110" i="12"/>
  <c r="M110" i="12" s="1"/>
  <c r="O108" i="12"/>
  <c r="M108" i="12" s="1"/>
  <c r="O75" i="12"/>
  <c r="M75" i="12" s="1"/>
  <c r="O71" i="12"/>
  <c r="M71" i="12" s="1"/>
  <c r="O67" i="12"/>
  <c r="M67" i="12" s="1"/>
  <c r="O63" i="12"/>
  <c r="M63" i="12" s="1"/>
  <c r="O59" i="12"/>
  <c r="M59" i="12" s="1"/>
  <c r="M74" i="12"/>
  <c r="M66" i="12"/>
  <c r="M111" i="12"/>
  <c r="M73" i="12"/>
  <c r="M65" i="12"/>
  <c r="M61" i="12"/>
  <c r="M20" i="12"/>
  <c r="M12" i="12"/>
  <c r="O5" i="12"/>
  <c r="Z4" i="12"/>
  <c r="AM4" i="12" s="1"/>
  <c r="Q4" i="12"/>
  <c r="O4" i="12"/>
  <c r="CW95" i="14" l="1"/>
  <c r="CZ95" i="14"/>
  <c r="CY95" i="14"/>
  <c r="DD95" i="14"/>
  <c r="DB95" i="14"/>
  <c r="CZ93" i="14"/>
  <c r="DD93" i="14"/>
  <c r="CW93" i="14"/>
  <c r="CY93" i="14"/>
  <c r="DB93" i="14"/>
  <c r="AZ4" i="12"/>
  <c r="AK4" i="12"/>
  <c r="AI4" i="12"/>
  <c r="AJ4" i="12" s="1"/>
  <c r="AN4" i="12"/>
  <c r="AI125" i="12"/>
  <c r="AI124" i="12"/>
  <c r="AI123" i="12"/>
  <c r="AI122" i="12"/>
  <c r="AI121" i="12"/>
  <c r="AI120" i="12"/>
  <c r="AI119" i="12"/>
  <c r="AI117" i="12"/>
  <c r="AI115" i="12"/>
  <c r="AI113" i="12"/>
  <c r="AI111" i="12"/>
  <c r="AI109" i="12"/>
  <c r="AI107" i="12"/>
  <c r="AI105" i="12"/>
  <c r="AI103" i="12"/>
  <c r="AI101" i="12"/>
  <c r="AI99" i="12"/>
  <c r="AI97" i="12"/>
  <c r="AI95" i="12"/>
  <c r="AI93" i="12"/>
  <c r="AP4" i="12"/>
  <c r="AI118" i="12"/>
  <c r="AI116" i="12"/>
  <c r="AI114" i="12"/>
  <c r="AI112" i="12"/>
  <c r="AI110" i="12"/>
  <c r="AI108" i="12"/>
  <c r="AI106" i="12"/>
  <c r="AI104" i="12"/>
  <c r="AI102" i="12"/>
  <c r="AI100" i="12"/>
  <c r="AI98" i="12"/>
  <c r="AI96" i="12"/>
  <c r="AI94" i="12"/>
  <c r="AI91" i="12"/>
  <c r="AI89" i="12"/>
  <c r="AI87" i="12"/>
  <c r="AI85" i="12"/>
  <c r="AI83" i="12"/>
  <c r="AI81" i="12"/>
  <c r="AI79" i="12"/>
  <c r="AI77" i="12"/>
  <c r="AI75" i="12"/>
  <c r="AI73" i="12"/>
  <c r="AI71" i="12"/>
  <c r="AI69" i="12"/>
  <c r="AI67" i="12"/>
  <c r="AI65" i="12"/>
  <c r="AI63" i="12"/>
  <c r="AI61" i="12"/>
  <c r="AI59" i="12"/>
  <c r="AI57" i="12"/>
  <c r="AI55" i="12"/>
  <c r="AI53" i="12"/>
  <c r="AI51" i="12"/>
  <c r="AI49" i="12"/>
  <c r="AI47" i="12"/>
  <c r="AI45" i="12"/>
  <c r="AI43" i="12"/>
  <c r="AI41" i="12"/>
  <c r="AQ4" i="12"/>
  <c r="AI5" i="12"/>
  <c r="AI8" i="12"/>
  <c r="AI9" i="12"/>
  <c r="AI12" i="12"/>
  <c r="AI13" i="12"/>
  <c r="AI16" i="12"/>
  <c r="AI17" i="12"/>
  <c r="AI20" i="12"/>
  <c r="AI21" i="12"/>
  <c r="AI24" i="12"/>
  <c r="AI25" i="12"/>
  <c r="AI28" i="12"/>
  <c r="AI29" i="12"/>
  <c r="AI32" i="12"/>
  <c r="AI33" i="12"/>
  <c r="AI36" i="12"/>
  <c r="AI37" i="12"/>
  <c r="AI40" i="12"/>
  <c r="AI92" i="12"/>
  <c r="AI90" i="12"/>
  <c r="AI88" i="12"/>
  <c r="AI86" i="12"/>
  <c r="AI84" i="12"/>
  <c r="AI82" i="12"/>
  <c r="AI80" i="12"/>
  <c r="AI78" i="12"/>
  <c r="AI76" i="12"/>
  <c r="AI74" i="12"/>
  <c r="AI72" i="12"/>
  <c r="AI70" i="12"/>
  <c r="AI68" i="12"/>
  <c r="AI66" i="12"/>
  <c r="AI64" i="12"/>
  <c r="AI62" i="12"/>
  <c r="AI60" i="12"/>
  <c r="AI58" i="12"/>
  <c r="AI56" i="12"/>
  <c r="AI54" i="12"/>
  <c r="AI52" i="12"/>
  <c r="AI50" i="12"/>
  <c r="AI48" i="12"/>
  <c r="AI46" i="12"/>
  <c r="AI44" i="12"/>
  <c r="AI42" i="12"/>
  <c r="AO4" i="12"/>
  <c r="AI6" i="12"/>
  <c r="AI7" i="12"/>
  <c r="AI10" i="12"/>
  <c r="AI11" i="12"/>
  <c r="AI14" i="12"/>
  <c r="AI15" i="12"/>
  <c r="AI18" i="12"/>
  <c r="AI19" i="12"/>
  <c r="AI22" i="12"/>
  <c r="AI23" i="12"/>
  <c r="AI26" i="12"/>
  <c r="AI27" i="12"/>
  <c r="AI30" i="12"/>
  <c r="AI31" i="12"/>
  <c r="AI34" i="12"/>
  <c r="AI35" i="12"/>
  <c r="AI38" i="12"/>
  <c r="AI39" i="12"/>
  <c r="CN82" i="14"/>
  <c r="CX82" i="14"/>
  <c r="CN65" i="14"/>
  <c r="CX65" i="14"/>
  <c r="CN73" i="14"/>
  <c r="CX73" i="14"/>
  <c r="CN100" i="14"/>
  <c r="CX100" i="14"/>
  <c r="CN86" i="14"/>
  <c r="CX86" i="14"/>
  <c r="CN58" i="14"/>
  <c r="CX58" i="14"/>
  <c r="CN83" i="14"/>
  <c r="CX83" i="14"/>
  <c r="CN79" i="14"/>
  <c r="CX79" i="14"/>
  <c r="CN63" i="14"/>
  <c r="CX63" i="14"/>
  <c r="DU5" i="14"/>
  <c r="DU126" i="14" s="1"/>
  <c r="DT126" i="14"/>
  <c r="DS143" i="14"/>
  <c r="DS151" i="14" s="1"/>
  <c r="CN121" i="14"/>
  <c r="CX121" i="14"/>
  <c r="CN89" i="14"/>
  <c r="CX89" i="14"/>
  <c r="CN68" i="14"/>
  <c r="CX68" i="14"/>
  <c r="CN119" i="14"/>
  <c r="CX119" i="14"/>
  <c r="CN30" i="14"/>
  <c r="CX30" i="14"/>
  <c r="CN90" i="14"/>
  <c r="CX90" i="14"/>
  <c r="DB90" i="14" s="1"/>
  <c r="CN70" i="14"/>
  <c r="CX70" i="14"/>
  <c r="DB70" i="14" s="1"/>
  <c r="CN94" i="14"/>
  <c r="CX94" i="14"/>
  <c r="CN64" i="14"/>
  <c r="CX64" i="14"/>
  <c r="CN85" i="14"/>
  <c r="CX85" i="14"/>
  <c r="CN101" i="14"/>
  <c r="CX101" i="14"/>
  <c r="CN103" i="14"/>
  <c r="CX103" i="14"/>
  <c r="DB103" i="14" s="1"/>
  <c r="CN57" i="14"/>
  <c r="CX57" i="14"/>
  <c r="DB57" i="14" s="1"/>
  <c r="CN59" i="14"/>
  <c r="CX59" i="14"/>
  <c r="CN77" i="14"/>
  <c r="CX77" i="14"/>
  <c r="CN81" i="14"/>
  <c r="CX81" i="14"/>
  <c r="CN112" i="14"/>
  <c r="CX112" i="14"/>
  <c r="CN108" i="14"/>
  <c r="CX108" i="14"/>
  <c r="DB108" i="14" s="1"/>
  <c r="CN123" i="14"/>
  <c r="CX123" i="14"/>
  <c r="DB123" i="14" s="1"/>
  <c r="CN87" i="14"/>
  <c r="CX87" i="14"/>
  <c r="CN80" i="14"/>
  <c r="CX80" i="14"/>
  <c r="CN113" i="14"/>
  <c r="CX113" i="14"/>
  <c r="DB113" i="14" s="1"/>
  <c r="CN61" i="14"/>
  <c r="CX61" i="14"/>
  <c r="CN67" i="14"/>
  <c r="CX67" i="14"/>
  <c r="DB67" i="14" s="1"/>
  <c r="CN110" i="14"/>
  <c r="CX110" i="14"/>
  <c r="CN120" i="14"/>
  <c r="CX120" i="14"/>
  <c r="CN117" i="14"/>
  <c r="CX117" i="14"/>
  <c r="CN98" i="14"/>
  <c r="CX98" i="14"/>
  <c r="CN111" i="14"/>
  <c r="CX111" i="14"/>
  <c r="CN105" i="14"/>
  <c r="CX105" i="14"/>
  <c r="CN66" i="14"/>
  <c r="CX66" i="14"/>
  <c r="CN84" i="14"/>
  <c r="CX84" i="14"/>
  <c r="CN88" i="14"/>
  <c r="CX88" i="14"/>
  <c r="CN74" i="14"/>
  <c r="CX74" i="14"/>
  <c r="EC126" i="14"/>
  <c r="DS126" i="14"/>
  <c r="EC156" i="14"/>
  <c r="EC164" i="14" s="1"/>
  <c r="DU143" i="14"/>
  <c r="DU151" i="14" s="1"/>
  <c r="CN104" i="14"/>
  <c r="CX104" i="14"/>
  <c r="CN72" i="14"/>
  <c r="CX72" i="14"/>
  <c r="CN109" i="14"/>
  <c r="CX109" i="14"/>
  <c r="CN75" i="14"/>
  <c r="CX75" i="14"/>
  <c r="DB75" i="14" s="1"/>
  <c r="CN78" i="14"/>
  <c r="CX78" i="14"/>
  <c r="DB121" i="14"/>
  <c r="CN114" i="14"/>
  <c r="CX114" i="14"/>
  <c r="DB119" i="14"/>
  <c r="CN92" i="14"/>
  <c r="CX92" i="14"/>
  <c r="DB92" i="14" s="1"/>
  <c r="CN115" i="14"/>
  <c r="CX115" i="14"/>
  <c r="CN62" i="14"/>
  <c r="CX62" i="14"/>
  <c r="CJ96" i="14"/>
  <c r="CL96" i="14"/>
  <c r="CM96" i="14"/>
  <c r="CQ96" i="14"/>
  <c r="CO96" i="14"/>
  <c r="CN107" i="14"/>
  <c r="CX107" i="14"/>
  <c r="CN124" i="14"/>
  <c r="CX124" i="14"/>
  <c r="DB124" i="14" s="1"/>
  <c r="CN118" i="14"/>
  <c r="CX118" i="14"/>
  <c r="CN5" i="14"/>
  <c r="CX5" i="14"/>
  <c r="CN69" i="14"/>
  <c r="CX69" i="14"/>
  <c r="CN97" i="14"/>
  <c r="CX97" i="14"/>
  <c r="CN91" i="14"/>
  <c r="CX91" i="14"/>
  <c r="CN71" i="14"/>
  <c r="CX71" i="14"/>
  <c r="CN60" i="14"/>
  <c r="CX60" i="14"/>
  <c r="CN6" i="14"/>
  <c r="CX6" i="14"/>
  <c r="CN106" i="14"/>
  <c r="CX106" i="14"/>
  <c r="CN116" i="14"/>
  <c r="CX116" i="14"/>
  <c r="DB116" i="14" s="1"/>
  <c r="CN122" i="14"/>
  <c r="CX122" i="14"/>
  <c r="DB122" i="14" s="1"/>
  <c r="CN99" i="14"/>
  <c r="CX99" i="14"/>
  <c r="CN102" i="14"/>
  <c r="CX102" i="14"/>
  <c r="CN56" i="14"/>
  <c r="CX56" i="14"/>
  <c r="DB56" i="14" s="1"/>
  <c r="CN76" i="14"/>
  <c r="CX76" i="14"/>
  <c r="CN125" i="14"/>
  <c r="CX125" i="14"/>
  <c r="CN37" i="14"/>
  <c r="CX37" i="14"/>
  <c r="DB37" i="14" s="1"/>
  <c r="CN33" i="14"/>
  <c r="CX33" i="14"/>
  <c r="CN51" i="14"/>
  <c r="CX51" i="14"/>
  <c r="CN49" i="14"/>
  <c r="CX49" i="14"/>
  <c r="DB49" i="14" s="1"/>
  <c r="CN35" i="14"/>
  <c r="CX35" i="14"/>
  <c r="CN40" i="14"/>
  <c r="CX40" i="14"/>
  <c r="DB40" i="14" s="1"/>
  <c r="CN48" i="14"/>
  <c r="CX48" i="14"/>
  <c r="CN55" i="14"/>
  <c r="CX55" i="14"/>
  <c r="DB55" i="14" s="1"/>
  <c r="CN43" i="14"/>
  <c r="CX43" i="14"/>
  <c r="DB43" i="14" s="1"/>
  <c r="CN38" i="14"/>
  <c r="CX38" i="14"/>
  <c r="DB38" i="14" s="1"/>
  <c r="CN54" i="14"/>
  <c r="CX54" i="14"/>
  <c r="DB54" i="14" s="1"/>
  <c r="CN45" i="14"/>
  <c r="CX45" i="14"/>
  <c r="CN52" i="14"/>
  <c r="CX52" i="14"/>
  <c r="CN36" i="14"/>
  <c r="CX36" i="14"/>
  <c r="CN53" i="14"/>
  <c r="CX53" i="14"/>
  <c r="CN39" i="14"/>
  <c r="CX39" i="14"/>
  <c r="CN42" i="14"/>
  <c r="CX42" i="14"/>
  <c r="CN31" i="14"/>
  <c r="CX31" i="14"/>
  <c r="CN32" i="14"/>
  <c r="CX32" i="14"/>
  <c r="CN41" i="14"/>
  <c r="CX41" i="14"/>
  <c r="CN47" i="14"/>
  <c r="CX47" i="14"/>
  <c r="DB47" i="14" s="1"/>
  <c r="CN46" i="14"/>
  <c r="CX46" i="14"/>
  <c r="CN44" i="14"/>
  <c r="CX44" i="14"/>
  <c r="CN50" i="14"/>
  <c r="CX50" i="14"/>
  <c r="CN34" i="14"/>
  <c r="CX34" i="14"/>
  <c r="DB34" i="14" s="1"/>
  <c r="CQ156" i="14"/>
  <c r="BZ143" i="14"/>
  <c r="CA151" i="14"/>
  <c r="CN7" i="14"/>
  <c r="CX7" i="14"/>
  <c r="CL143" i="14"/>
  <c r="CL151" i="14" s="1"/>
  <c r="CK138" i="14"/>
  <c r="CN10" i="14"/>
  <c r="CX10" i="14"/>
  <c r="CN17" i="14"/>
  <c r="CX17" i="14"/>
  <c r="CN13" i="14"/>
  <c r="CX13" i="14"/>
  <c r="CN28" i="14"/>
  <c r="CN147" i="14" s="1"/>
  <c r="CM147" i="14" s="1"/>
  <c r="CX28" i="14"/>
  <c r="CN27" i="14"/>
  <c r="CX27" i="14"/>
  <c r="DB27" i="14" s="1"/>
  <c r="CN16" i="14"/>
  <c r="CX16" i="14"/>
  <c r="DB16" i="14" s="1"/>
  <c r="CN15" i="14"/>
  <c r="CX15" i="14"/>
  <c r="CN25" i="14"/>
  <c r="CX25" i="14"/>
  <c r="DB25" i="14" s="1"/>
  <c r="CN12" i="14"/>
  <c r="CX12" i="14"/>
  <c r="CN18" i="14"/>
  <c r="CX18" i="14"/>
  <c r="CN26" i="14"/>
  <c r="CX26" i="14"/>
  <c r="DB26" i="14" s="1"/>
  <c r="CN19" i="14"/>
  <c r="CX19" i="14"/>
  <c r="DB19" i="14" s="1"/>
  <c r="CN23" i="14"/>
  <c r="CX23" i="14"/>
  <c r="CJ126" i="14"/>
  <c r="CK176" i="14" s="1"/>
  <c r="CQ126" i="14"/>
  <c r="CN14" i="14"/>
  <c r="CX14" i="14"/>
  <c r="DB14" i="14" s="1"/>
  <c r="CN11" i="14"/>
  <c r="CX11" i="14"/>
  <c r="CN21" i="14"/>
  <c r="CX21" i="14"/>
  <c r="CN20" i="14"/>
  <c r="CX20" i="14"/>
  <c r="CN22" i="14"/>
  <c r="CX22" i="14"/>
  <c r="CO126" i="14"/>
  <c r="CN29" i="14"/>
  <c r="CX29" i="14"/>
  <c r="CN24" i="14"/>
  <c r="CX24" i="14"/>
  <c r="DB24" i="14" s="1"/>
  <c r="CN9" i="14"/>
  <c r="CX9" i="14"/>
  <c r="DB9" i="14" s="1"/>
  <c r="CK177" i="14"/>
  <c r="CK182" i="14"/>
  <c r="CN8" i="14"/>
  <c r="CM126" i="14"/>
  <c r="CX8" i="14"/>
  <c r="CL126" i="14"/>
  <c r="G26" i="17"/>
  <c r="G28" i="17" s="1"/>
  <c r="O126" i="12"/>
  <c r="AD4" i="12"/>
  <c r="V125" i="12"/>
  <c r="V123" i="12"/>
  <c r="V121" i="12"/>
  <c r="V112" i="12"/>
  <c r="V110" i="12"/>
  <c r="V108" i="12"/>
  <c r="V106" i="12"/>
  <c r="V104" i="12"/>
  <c r="V94" i="12"/>
  <c r="V93" i="12"/>
  <c r="V92" i="12"/>
  <c r="V124" i="12"/>
  <c r="V122" i="12"/>
  <c r="V120" i="12"/>
  <c r="V119" i="12"/>
  <c r="V118" i="12"/>
  <c r="V117" i="12"/>
  <c r="V116" i="12"/>
  <c r="V115" i="12"/>
  <c r="V114" i="12"/>
  <c r="V113" i="12"/>
  <c r="V111" i="12"/>
  <c r="V109" i="12"/>
  <c r="V107" i="12"/>
  <c r="V105" i="12"/>
  <c r="V103" i="12"/>
  <c r="V102" i="12"/>
  <c r="V101" i="12"/>
  <c r="V100" i="12"/>
  <c r="V99" i="12"/>
  <c r="V98" i="12"/>
  <c r="V97" i="12"/>
  <c r="V96" i="12"/>
  <c r="V95" i="12"/>
  <c r="V80" i="12"/>
  <c r="V79" i="12"/>
  <c r="V76" i="12"/>
  <c r="V75" i="12"/>
  <c r="V73" i="12"/>
  <c r="V71" i="12"/>
  <c r="V69" i="12"/>
  <c r="V67" i="12"/>
  <c r="V65" i="12"/>
  <c r="V63" i="12"/>
  <c r="V61" i="12"/>
  <c r="V57" i="12"/>
  <c r="V55" i="12"/>
  <c r="V91" i="12"/>
  <c r="V90" i="12"/>
  <c r="V89" i="12"/>
  <c r="V88" i="12"/>
  <c r="V87" i="12"/>
  <c r="V86" i="12"/>
  <c r="V85" i="12"/>
  <c r="V84" i="12"/>
  <c r="V83" i="12"/>
  <c r="V82" i="12"/>
  <c r="V81" i="12"/>
  <c r="V78" i="12"/>
  <c r="V77" i="12"/>
  <c r="V74" i="12"/>
  <c r="V72" i="12"/>
  <c r="V70" i="12"/>
  <c r="V68" i="12"/>
  <c r="V66" i="12"/>
  <c r="V64" i="12"/>
  <c r="V62" i="12"/>
  <c r="V60" i="12"/>
  <c r="V59" i="12"/>
  <c r="V58" i="12"/>
  <c r="V56" i="12"/>
  <c r="V54" i="12"/>
  <c r="V52" i="12"/>
  <c r="V50" i="12"/>
  <c r="V48"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19" i="12"/>
  <c r="V17" i="12"/>
  <c r="V15" i="12"/>
  <c r="V13" i="12"/>
  <c r="V11" i="12"/>
  <c r="V9" i="12"/>
  <c r="V7" i="12"/>
  <c r="V53" i="12"/>
  <c r="V51" i="12"/>
  <c r="V49" i="12"/>
  <c r="V47" i="12"/>
  <c r="V20" i="12"/>
  <c r="V18" i="12"/>
  <c r="V16" i="12"/>
  <c r="V14" i="12"/>
  <c r="V12" i="12"/>
  <c r="V10" i="12"/>
  <c r="V8" i="12"/>
  <c r="V6" i="12"/>
  <c r="X125" i="12"/>
  <c r="Z125" i="12" s="1"/>
  <c r="AA125" i="12" s="1"/>
  <c r="V5" i="12"/>
  <c r="X6" i="12"/>
  <c r="AB6" i="12" s="1"/>
  <c r="X10" i="12"/>
  <c r="AB10" i="12" s="1"/>
  <c r="X12" i="12"/>
  <c r="AB12" i="12" s="1"/>
  <c r="X16" i="12"/>
  <c r="AB16" i="12" s="1"/>
  <c r="X20" i="12"/>
  <c r="AB20" i="12" s="1"/>
  <c r="X60" i="12"/>
  <c r="AB60" i="12" s="1"/>
  <c r="X61" i="12"/>
  <c r="AB61" i="12" s="1"/>
  <c r="X62" i="12"/>
  <c r="AB62" i="12" s="1"/>
  <c r="X63" i="12"/>
  <c r="AB63" i="12" s="1"/>
  <c r="X64" i="12"/>
  <c r="AB64" i="12" s="1"/>
  <c r="X65" i="12"/>
  <c r="AB65" i="12" s="1"/>
  <c r="X67" i="12"/>
  <c r="AB67" i="12" s="1"/>
  <c r="X69" i="12"/>
  <c r="AB69" i="12" s="1"/>
  <c r="X71" i="12"/>
  <c r="AB71" i="12" s="1"/>
  <c r="X73" i="12"/>
  <c r="AB73" i="12" s="1"/>
  <c r="X75" i="12"/>
  <c r="AB75" i="12" s="1"/>
  <c r="X112" i="12"/>
  <c r="AB112" i="12" s="1"/>
  <c r="X9" i="12"/>
  <c r="AB9" i="12" s="1"/>
  <c r="X13" i="12"/>
  <c r="AB13" i="12" s="1"/>
  <c r="X17" i="12"/>
  <c r="AB17" i="12" s="1"/>
  <c r="X21" i="12"/>
  <c r="AB21" i="12" s="1"/>
  <c r="X111" i="12"/>
  <c r="AB111" i="12" s="1"/>
  <c r="X66" i="12"/>
  <c r="AB66" i="12" s="1"/>
  <c r="X70" i="12"/>
  <c r="AB70" i="12" s="1"/>
  <c r="X74" i="12"/>
  <c r="AB74" i="12" s="1"/>
  <c r="X107" i="12"/>
  <c r="AD107" i="12" s="1"/>
  <c r="M123" i="12"/>
  <c r="X123" i="12" s="1"/>
  <c r="AB123" i="12" s="1"/>
  <c r="X118" i="12"/>
  <c r="Z118" i="12" s="1"/>
  <c r="AA118" i="12" s="1"/>
  <c r="X114" i="12"/>
  <c r="M100" i="12"/>
  <c r="X100" i="12" s="1"/>
  <c r="M76" i="12"/>
  <c r="X76" i="12" s="1"/>
  <c r="X90" i="12"/>
  <c r="Z90" i="12" s="1"/>
  <c r="AK90" i="12" s="1"/>
  <c r="X82" i="12"/>
  <c r="Z82" i="12" s="1"/>
  <c r="AK82" i="12" s="1"/>
  <c r="M51" i="12"/>
  <c r="X51" i="12" s="1"/>
  <c r="Z51" i="12" s="1"/>
  <c r="AA51" i="12" s="1"/>
  <c r="X44" i="12"/>
  <c r="AD44" i="12" s="1"/>
  <c r="X36" i="12"/>
  <c r="Z36" i="12" s="1"/>
  <c r="AA36" i="12" s="1"/>
  <c r="X28" i="12"/>
  <c r="AD28" i="12" s="1"/>
  <c r="X54" i="12"/>
  <c r="Z54" i="12" s="1"/>
  <c r="AA54" i="12" s="1"/>
  <c r="M122" i="12"/>
  <c r="X122" i="12" s="1"/>
  <c r="Z122" i="12" s="1"/>
  <c r="AA122" i="12" s="1"/>
  <c r="X119" i="12"/>
  <c r="AD119" i="12" s="1"/>
  <c r="X115" i="12"/>
  <c r="AD115" i="12" s="1"/>
  <c r="X102" i="12"/>
  <c r="AD102" i="12" s="1"/>
  <c r="M80" i="12"/>
  <c r="X80" i="12" s="1"/>
  <c r="X92" i="12"/>
  <c r="X84" i="12"/>
  <c r="AD84" i="12" s="1"/>
  <c r="M57" i="12"/>
  <c r="X57" i="12" s="1"/>
  <c r="AD57" i="12" s="1"/>
  <c r="M49" i="12"/>
  <c r="X49" i="12" s="1"/>
  <c r="AD49" i="12" s="1"/>
  <c r="X42" i="12"/>
  <c r="Z42" i="12" s="1"/>
  <c r="AA42" i="12" s="1"/>
  <c r="X34" i="12"/>
  <c r="AD34" i="12" s="1"/>
  <c r="X26" i="12"/>
  <c r="AD26" i="12" s="1"/>
  <c r="X52" i="12"/>
  <c r="Z52" i="12" s="1"/>
  <c r="AA52" i="12" s="1"/>
  <c r="M23" i="12"/>
  <c r="X23" i="12" s="1"/>
  <c r="AD23" i="12" s="1"/>
  <c r="M27" i="12"/>
  <c r="X27" i="12" s="1"/>
  <c r="AD27" i="12" s="1"/>
  <c r="M31" i="12"/>
  <c r="X31" i="12" s="1"/>
  <c r="AD31" i="12" s="1"/>
  <c r="M35" i="12"/>
  <c r="X35" i="12" s="1"/>
  <c r="AD35" i="12" s="1"/>
  <c r="M39" i="12"/>
  <c r="X39" i="12" s="1"/>
  <c r="AD39" i="12" s="1"/>
  <c r="M43" i="12"/>
  <c r="X43" i="12" s="1"/>
  <c r="AD43" i="12" s="1"/>
  <c r="X79" i="12"/>
  <c r="Z79" i="12" s="1"/>
  <c r="AK79" i="12" s="1"/>
  <c r="M81" i="12"/>
  <c r="X81" i="12" s="1"/>
  <c r="AB81" i="12" s="1"/>
  <c r="M85" i="12"/>
  <c r="X85" i="12" s="1"/>
  <c r="AB85" i="12" s="1"/>
  <c r="M89" i="12"/>
  <c r="X89" i="12" s="1"/>
  <c r="AB89" i="12" s="1"/>
  <c r="M93" i="12"/>
  <c r="X93" i="12" s="1"/>
  <c r="AB93" i="12" s="1"/>
  <c r="X97" i="12"/>
  <c r="Z97" i="12" s="1"/>
  <c r="AK97" i="12" s="1"/>
  <c r="M101" i="12"/>
  <c r="X101" i="12" s="1"/>
  <c r="Z101" i="12" s="1"/>
  <c r="AK101" i="12" s="1"/>
  <c r="Q125" i="12"/>
  <c r="Q123" i="12"/>
  <c r="Q121" i="12"/>
  <c r="Q120" i="12"/>
  <c r="Q119" i="12"/>
  <c r="Q118" i="12"/>
  <c r="Q117" i="12"/>
  <c r="Q116" i="12"/>
  <c r="Q115" i="12"/>
  <c r="Q114" i="12"/>
  <c r="Q112" i="12"/>
  <c r="Q110" i="12"/>
  <c r="Q108" i="12"/>
  <c r="Q106" i="12"/>
  <c r="Q104" i="12"/>
  <c r="Q102" i="12"/>
  <c r="Q100" i="12"/>
  <c r="Q98" i="12"/>
  <c r="Q96" i="12"/>
  <c r="Q95" i="12"/>
  <c r="Q93" i="12"/>
  <c r="Q124" i="12"/>
  <c r="Q122" i="12"/>
  <c r="Q113" i="12"/>
  <c r="Q111" i="12"/>
  <c r="Q109" i="12"/>
  <c r="Q107" i="12"/>
  <c r="Q105" i="12"/>
  <c r="Q103" i="12"/>
  <c r="Q101" i="12"/>
  <c r="Q99" i="12"/>
  <c r="Q97" i="12"/>
  <c r="Q94" i="12"/>
  <c r="Q92" i="12"/>
  <c r="Q90" i="12"/>
  <c r="Q88" i="12"/>
  <c r="Q86" i="12"/>
  <c r="Q84" i="12"/>
  <c r="Q82" i="12"/>
  <c r="Q79" i="12"/>
  <c r="Q78" i="12"/>
  <c r="Q74" i="12"/>
  <c r="Q72" i="12"/>
  <c r="Q70" i="12"/>
  <c r="Q68" i="12"/>
  <c r="Q66" i="12"/>
  <c r="Q64" i="12"/>
  <c r="Q62" i="12"/>
  <c r="Q60" i="12"/>
  <c r="Q59" i="12"/>
  <c r="Q57" i="12"/>
  <c r="Q91" i="12"/>
  <c r="Q89" i="12"/>
  <c r="Q87" i="12"/>
  <c r="Q85" i="12"/>
  <c r="Q83" i="12"/>
  <c r="Q81" i="12"/>
  <c r="Q80" i="12"/>
  <c r="Q77" i="12"/>
  <c r="Q76" i="12"/>
  <c r="Q75" i="12"/>
  <c r="Q73" i="12"/>
  <c r="Q71" i="12"/>
  <c r="Q69" i="12"/>
  <c r="Q67" i="12"/>
  <c r="Q65" i="12"/>
  <c r="Q63" i="12"/>
  <c r="Q61" i="12"/>
  <c r="Q58" i="12"/>
  <c r="Q56" i="12"/>
  <c r="Q54" i="12"/>
  <c r="Q52" i="12"/>
  <c r="Q50" i="12"/>
  <c r="Q48" i="12"/>
  <c r="Q45" i="12"/>
  <c r="Q43" i="12"/>
  <c r="Q41" i="12"/>
  <c r="Q39" i="12"/>
  <c r="Q37" i="12"/>
  <c r="Q35" i="12"/>
  <c r="Q33" i="12"/>
  <c r="Q31" i="12"/>
  <c r="Q29" i="12"/>
  <c r="Q27" i="12"/>
  <c r="Q25" i="12"/>
  <c r="Q23" i="12"/>
  <c r="Q20" i="12"/>
  <c r="Q18" i="12"/>
  <c r="Q16" i="12"/>
  <c r="Q14" i="12"/>
  <c r="Q12" i="12"/>
  <c r="Q10" i="12"/>
  <c r="Q8" i="12"/>
  <c r="Q6" i="12"/>
  <c r="Q55" i="12"/>
  <c r="Q53" i="12"/>
  <c r="Q51" i="12"/>
  <c r="Q49" i="12"/>
  <c r="Q47" i="12"/>
  <c r="Q46" i="12"/>
  <c r="Q44" i="12"/>
  <c r="Q42" i="12"/>
  <c r="Q40" i="12"/>
  <c r="Q38" i="12"/>
  <c r="Q36" i="12"/>
  <c r="Q34" i="12"/>
  <c r="Q32" i="12"/>
  <c r="Q30" i="12"/>
  <c r="Q28" i="12"/>
  <c r="Q26" i="12"/>
  <c r="Q24" i="12"/>
  <c r="Q22" i="12"/>
  <c r="Q21" i="12"/>
  <c r="Q19" i="12"/>
  <c r="Q17" i="12"/>
  <c r="Q15" i="12"/>
  <c r="Q13" i="12"/>
  <c r="Q11" i="12"/>
  <c r="Q9" i="12"/>
  <c r="Q7" i="12"/>
  <c r="Q5" i="12"/>
  <c r="Z26" i="12"/>
  <c r="AA26" i="12" s="1"/>
  <c r="Z44" i="12"/>
  <c r="AA44" i="12" s="1"/>
  <c r="X8" i="12"/>
  <c r="W8" i="12" s="1"/>
  <c r="X14" i="12"/>
  <c r="AB14" i="12" s="1"/>
  <c r="X18" i="12"/>
  <c r="AB18" i="12" s="1"/>
  <c r="X59" i="12"/>
  <c r="AB59" i="12" s="1"/>
  <c r="X108" i="12"/>
  <c r="AB108" i="12" s="1"/>
  <c r="X7" i="12"/>
  <c r="AD7" i="12" s="1"/>
  <c r="X11" i="12"/>
  <c r="AB11" i="12" s="1"/>
  <c r="X15" i="12"/>
  <c r="AB15" i="12" s="1"/>
  <c r="X19" i="12"/>
  <c r="AB19" i="12" s="1"/>
  <c r="X109" i="12"/>
  <c r="AB109" i="12" s="1"/>
  <c r="X113" i="12"/>
  <c r="AB113" i="12" s="1"/>
  <c r="X68" i="12"/>
  <c r="AB68" i="12" s="1"/>
  <c r="X72" i="12"/>
  <c r="AB72" i="12" s="1"/>
  <c r="Z114" i="12"/>
  <c r="AA114" i="12" s="1"/>
  <c r="X110" i="12"/>
  <c r="AB110" i="12" s="1"/>
  <c r="M124" i="12"/>
  <c r="X124" i="12" s="1"/>
  <c r="AB124" i="12" s="1"/>
  <c r="X94" i="12"/>
  <c r="X120" i="12"/>
  <c r="X116" i="12"/>
  <c r="AD116" i="12" s="1"/>
  <c r="M104" i="12"/>
  <c r="X104" i="12" s="1"/>
  <c r="AB104" i="12" s="1"/>
  <c r="M96" i="12"/>
  <c r="X96" i="12" s="1"/>
  <c r="AD96" i="12" s="1"/>
  <c r="X56" i="12"/>
  <c r="X86" i="12"/>
  <c r="AD86" i="12" s="1"/>
  <c r="M55" i="12"/>
  <c r="X55" i="12" s="1"/>
  <c r="AB55" i="12" s="1"/>
  <c r="X47" i="12"/>
  <c r="X40" i="12"/>
  <c r="Z40" i="12" s="1"/>
  <c r="AA40" i="12" s="1"/>
  <c r="X32" i="12"/>
  <c r="M24" i="12"/>
  <c r="X24" i="12" s="1"/>
  <c r="X50" i="12"/>
  <c r="AD50" i="12" s="1"/>
  <c r="X105" i="12"/>
  <c r="M121" i="12"/>
  <c r="X121" i="12" s="1"/>
  <c r="X117" i="12"/>
  <c r="Z117" i="12" s="1"/>
  <c r="AA117" i="12" s="1"/>
  <c r="M106" i="12"/>
  <c r="X106" i="12" s="1"/>
  <c r="M98" i="12"/>
  <c r="X98" i="12" s="1"/>
  <c r="X58" i="12"/>
  <c r="X88" i="12"/>
  <c r="AD88" i="12" s="1"/>
  <c r="M78" i="12"/>
  <c r="X78" i="12" s="1"/>
  <c r="M53" i="12"/>
  <c r="X53" i="12" s="1"/>
  <c r="X46" i="12"/>
  <c r="X38" i="12"/>
  <c r="AD38" i="12" s="1"/>
  <c r="X30" i="12"/>
  <c r="X22" i="12"/>
  <c r="AD22" i="12" s="1"/>
  <c r="X48" i="12"/>
  <c r="M25" i="12"/>
  <c r="X25" i="12" s="1"/>
  <c r="Z25" i="12" s="1"/>
  <c r="AA25" i="12" s="1"/>
  <c r="M29" i="12"/>
  <c r="X29" i="12" s="1"/>
  <c r="Z29" i="12" s="1"/>
  <c r="AA29" i="12" s="1"/>
  <c r="M33" i="12"/>
  <c r="X33" i="12" s="1"/>
  <c r="Z33" i="12" s="1"/>
  <c r="AA33" i="12" s="1"/>
  <c r="M37" i="12"/>
  <c r="X37" i="12" s="1"/>
  <c r="Z37" i="12" s="1"/>
  <c r="AA37" i="12" s="1"/>
  <c r="M41" i="12"/>
  <c r="X41" i="12" s="1"/>
  <c r="Z41" i="12" s="1"/>
  <c r="AA41" i="12" s="1"/>
  <c r="M45" i="12"/>
  <c r="X45" i="12" s="1"/>
  <c r="Z45" i="12" s="1"/>
  <c r="AA45" i="12" s="1"/>
  <c r="M77" i="12"/>
  <c r="X77" i="12" s="1"/>
  <c r="Z77" i="12" s="1"/>
  <c r="AK77" i="12" s="1"/>
  <c r="M83" i="12"/>
  <c r="X83" i="12" s="1"/>
  <c r="AD83" i="12" s="1"/>
  <c r="M87" i="12"/>
  <c r="X87" i="12" s="1"/>
  <c r="AD87" i="12" s="1"/>
  <c r="M91" i="12"/>
  <c r="X91" i="12" s="1"/>
  <c r="AD91" i="12" s="1"/>
  <c r="M95" i="12"/>
  <c r="X95" i="12" s="1"/>
  <c r="AD95" i="12" s="1"/>
  <c r="M99" i="12"/>
  <c r="X99" i="12" s="1"/>
  <c r="AD99" i="12" s="1"/>
  <c r="M103" i="12"/>
  <c r="X103" i="12" s="1"/>
  <c r="AD103" i="12" s="1"/>
  <c r="Z6" i="12"/>
  <c r="AA6" i="12" s="1"/>
  <c r="Y6" i="12"/>
  <c r="Z8" i="12"/>
  <c r="AA8" i="12" s="1"/>
  <c r="Z10" i="12"/>
  <c r="AA10" i="12" s="1"/>
  <c r="Z12" i="12"/>
  <c r="AA12" i="12" s="1"/>
  <c r="Y12" i="12"/>
  <c r="AD16" i="12"/>
  <c r="Z20" i="12"/>
  <c r="AA20" i="12" s="1"/>
  <c r="W20" i="12"/>
  <c r="AD60" i="12"/>
  <c r="Z61" i="12"/>
  <c r="AA61" i="12" s="1"/>
  <c r="Y61" i="12"/>
  <c r="AD62" i="12"/>
  <c r="Z63" i="12"/>
  <c r="AA63" i="12" s="1"/>
  <c r="Y63" i="12"/>
  <c r="AD64" i="12"/>
  <c r="Z65" i="12"/>
  <c r="AA65" i="12" s="1"/>
  <c r="Y65" i="12"/>
  <c r="AD67" i="12"/>
  <c r="Z69" i="12"/>
  <c r="AA69" i="12" s="1"/>
  <c r="Y69" i="12"/>
  <c r="AD71" i="12"/>
  <c r="Z73" i="12"/>
  <c r="AK73" i="12" s="1"/>
  <c r="Y73" i="12"/>
  <c r="Y75" i="12"/>
  <c r="Z112" i="12"/>
  <c r="AK112" i="12" s="1"/>
  <c r="W112" i="12"/>
  <c r="Z7" i="12"/>
  <c r="AK7" i="12" s="1"/>
  <c r="Z9" i="12"/>
  <c r="AA9" i="12" s="1"/>
  <c r="Z13" i="12"/>
  <c r="AA13" i="12" s="1"/>
  <c r="W13" i="12"/>
  <c r="Z15" i="12"/>
  <c r="AA15" i="12" s="1"/>
  <c r="W17" i="12"/>
  <c r="AD21" i="12"/>
  <c r="W21" i="12"/>
  <c r="AD111" i="12"/>
  <c r="Y113" i="12"/>
  <c r="Z66" i="12"/>
  <c r="AA66" i="12" s="1"/>
  <c r="Y66" i="12"/>
  <c r="AD70" i="12"/>
  <c r="Z74" i="12"/>
  <c r="AK74" i="12" s="1"/>
  <c r="Y74" i="12"/>
  <c r="M5" i="12"/>
  <c r="V4" i="12"/>
  <c r="W4" i="12" s="1"/>
  <c r="X4" i="12"/>
  <c r="Z180" i="12" s="1"/>
  <c r="AA4" i="12"/>
  <c r="AC4" i="12"/>
  <c r="AB4" i="12"/>
  <c r="DK95" i="14" l="1"/>
  <c r="DA95" i="14"/>
  <c r="DO95" i="14"/>
  <c r="W68" i="12"/>
  <c r="W15" i="12"/>
  <c r="AD72" i="12"/>
  <c r="Z18" i="12"/>
  <c r="AA18" i="12" s="1"/>
  <c r="DA93" i="14"/>
  <c r="DK93" i="14"/>
  <c r="AD122" i="12"/>
  <c r="AL7" i="12"/>
  <c r="AJ7" i="12"/>
  <c r="AQ7" i="12"/>
  <c r="AM7" i="12"/>
  <c r="AN7" i="12" s="1"/>
  <c r="AJ74" i="12"/>
  <c r="AL74" i="12"/>
  <c r="AM74" i="12"/>
  <c r="AN74" i="12" s="1"/>
  <c r="AQ74" i="12"/>
  <c r="AJ112" i="12"/>
  <c r="AL112" i="12"/>
  <c r="AM112" i="12"/>
  <c r="AN112" i="12" s="1"/>
  <c r="AQ112" i="12"/>
  <c r="AJ101" i="12"/>
  <c r="AL101" i="12"/>
  <c r="AQ101" i="12"/>
  <c r="AM101" i="12"/>
  <c r="AN101" i="12" s="1"/>
  <c r="AJ79" i="12"/>
  <c r="AL79" i="12"/>
  <c r="AM79" i="12"/>
  <c r="AN79" i="12" s="1"/>
  <c r="AQ79" i="12"/>
  <c r="AJ90" i="12"/>
  <c r="AL90" i="12"/>
  <c r="AM90" i="12"/>
  <c r="AN90" i="12" s="1"/>
  <c r="AQ90" i="12"/>
  <c r="AJ73" i="12"/>
  <c r="AL73" i="12"/>
  <c r="AQ73" i="12"/>
  <c r="AM73" i="12"/>
  <c r="AN73" i="12" s="1"/>
  <c r="AJ77" i="12"/>
  <c r="AL77" i="12"/>
  <c r="AQ77" i="12"/>
  <c r="AM77" i="12"/>
  <c r="AN77" i="12" s="1"/>
  <c r="AJ97" i="12"/>
  <c r="AL97" i="12"/>
  <c r="AQ97" i="12"/>
  <c r="AM97" i="12"/>
  <c r="AN97" i="12" s="1"/>
  <c r="AJ82" i="12"/>
  <c r="AL82" i="12"/>
  <c r="AM82" i="12"/>
  <c r="AN82" i="12" s="1"/>
  <c r="AQ82" i="12"/>
  <c r="CW106" i="14"/>
  <c r="CY106" i="14"/>
  <c r="DD106" i="14"/>
  <c r="CZ106" i="14"/>
  <c r="CY6" i="14"/>
  <c r="CW6" i="14"/>
  <c r="DD6" i="14"/>
  <c r="CZ6" i="14"/>
  <c r="CY91" i="14"/>
  <c r="CW91" i="14"/>
  <c r="DD91" i="14"/>
  <c r="CZ91" i="14"/>
  <c r="CW97" i="14"/>
  <c r="CY97" i="14"/>
  <c r="CZ97" i="14"/>
  <c r="DD97" i="14"/>
  <c r="DB97" i="14"/>
  <c r="CY69" i="14"/>
  <c r="CW69" i="14"/>
  <c r="CZ69" i="14"/>
  <c r="DD69" i="14"/>
  <c r="DB69" i="14"/>
  <c r="CZ118" i="14"/>
  <c r="CY118" i="14"/>
  <c r="CW118" i="14"/>
  <c r="DD118" i="14"/>
  <c r="CY107" i="14"/>
  <c r="CW107" i="14"/>
  <c r="CZ107" i="14"/>
  <c r="DD107" i="14"/>
  <c r="CN96" i="14"/>
  <c r="CX96" i="14"/>
  <c r="CY115" i="14"/>
  <c r="CW115" i="14"/>
  <c r="DD115" i="14"/>
  <c r="CZ115" i="14"/>
  <c r="CW114" i="14"/>
  <c r="CY114" i="14"/>
  <c r="CZ114" i="14"/>
  <c r="DD114" i="14"/>
  <c r="CY104" i="14"/>
  <c r="CW104" i="14"/>
  <c r="CZ104" i="14"/>
  <c r="DD104" i="14"/>
  <c r="DB104" i="14"/>
  <c r="CW88" i="14"/>
  <c r="CY88" i="14"/>
  <c r="DD88" i="14"/>
  <c r="CZ88" i="14"/>
  <c r="CW84" i="14"/>
  <c r="CY84" i="14"/>
  <c r="DD84" i="14"/>
  <c r="CZ84" i="14"/>
  <c r="DB84" i="14"/>
  <c r="DB66" i="14"/>
  <c r="CY66" i="14"/>
  <c r="CW66" i="14"/>
  <c r="CZ66" i="14"/>
  <c r="DD66" i="14"/>
  <c r="CY98" i="14"/>
  <c r="CW98" i="14"/>
  <c r="CZ98" i="14"/>
  <c r="DD98" i="14"/>
  <c r="DB98" i="14"/>
  <c r="CW117" i="14"/>
  <c r="CY117" i="14"/>
  <c r="CZ117" i="14"/>
  <c r="DD117" i="14"/>
  <c r="CZ120" i="14"/>
  <c r="CW120" i="14"/>
  <c r="CY120" i="14"/>
  <c r="DD120" i="14"/>
  <c r="CY110" i="14"/>
  <c r="CW110" i="14"/>
  <c r="CZ110" i="14"/>
  <c r="DD110" i="14"/>
  <c r="DB110" i="14"/>
  <c r="DB6" i="14"/>
  <c r="CW81" i="14"/>
  <c r="CY81" i="14"/>
  <c r="CZ81" i="14"/>
  <c r="DD81" i="14"/>
  <c r="DB81" i="14"/>
  <c r="CY77" i="14"/>
  <c r="CW77" i="14"/>
  <c r="DD77" i="14"/>
  <c r="CZ77" i="14"/>
  <c r="DB77" i="14"/>
  <c r="CW59" i="14"/>
  <c r="CY59" i="14"/>
  <c r="CZ59" i="14"/>
  <c r="DD59" i="14"/>
  <c r="DB59" i="14"/>
  <c r="CY57" i="14"/>
  <c r="CW57" i="14"/>
  <c r="DD57" i="14"/>
  <c r="CZ57" i="14"/>
  <c r="CW101" i="14"/>
  <c r="CY101" i="14"/>
  <c r="CZ101" i="14"/>
  <c r="DD101" i="14"/>
  <c r="DB101" i="14"/>
  <c r="CW85" i="14"/>
  <c r="CY85" i="14"/>
  <c r="CZ85" i="14"/>
  <c r="DD85" i="14"/>
  <c r="DB85" i="14"/>
  <c r="CY64" i="14"/>
  <c r="CW64" i="14"/>
  <c r="CZ64" i="14"/>
  <c r="DD64" i="14"/>
  <c r="DB64" i="14"/>
  <c r="CW70" i="14"/>
  <c r="CY70" i="14"/>
  <c r="CZ70" i="14"/>
  <c r="DD70" i="14"/>
  <c r="CW90" i="14"/>
  <c r="CY90" i="14"/>
  <c r="CZ90" i="14"/>
  <c r="DD90" i="14"/>
  <c r="CW68" i="14"/>
  <c r="CY68" i="14"/>
  <c r="DD68" i="14"/>
  <c r="CZ68" i="14"/>
  <c r="CW89" i="14"/>
  <c r="CY89" i="14"/>
  <c r="DD89" i="14"/>
  <c r="CZ89" i="14"/>
  <c r="DB89" i="14"/>
  <c r="CY121" i="14"/>
  <c r="CW121" i="14"/>
  <c r="CZ121" i="14"/>
  <c r="DD121" i="14"/>
  <c r="DB88" i="14"/>
  <c r="CW58" i="14"/>
  <c r="CY58" i="14"/>
  <c r="DD58" i="14"/>
  <c r="CZ58" i="14"/>
  <c r="DB58" i="14"/>
  <c r="CY86" i="14"/>
  <c r="CW86" i="14"/>
  <c r="CZ86" i="14"/>
  <c r="DD86" i="14"/>
  <c r="DB86" i="14"/>
  <c r="CW100" i="14"/>
  <c r="CY100" i="14"/>
  <c r="CZ100" i="14"/>
  <c r="DD100" i="14"/>
  <c r="DB100" i="14"/>
  <c r="CY73" i="14"/>
  <c r="CW73" i="14"/>
  <c r="CZ73" i="14"/>
  <c r="DD73" i="14"/>
  <c r="DB73" i="14"/>
  <c r="CW82" i="14"/>
  <c r="CY82" i="14"/>
  <c r="CZ82" i="14"/>
  <c r="DD82" i="14"/>
  <c r="DB82" i="14"/>
  <c r="DB117" i="14"/>
  <c r="AK40" i="12"/>
  <c r="AK37" i="12"/>
  <c r="AK29" i="12"/>
  <c r="AK13" i="12"/>
  <c r="AO13" i="12" s="1"/>
  <c r="AK8" i="12"/>
  <c r="AK41" i="12"/>
  <c r="AK45" i="12"/>
  <c r="AK61" i="12"/>
  <c r="AO61" i="12" s="1"/>
  <c r="AK65" i="12"/>
  <c r="AK69" i="12"/>
  <c r="AO69" i="12" s="1"/>
  <c r="AK26" i="12"/>
  <c r="AK18" i="12"/>
  <c r="AK15" i="12"/>
  <c r="AO15" i="12" s="1"/>
  <c r="AK10" i="12"/>
  <c r="AO10" i="12" s="1"/>
  <c r="AI134" i="12"/>
  <c r="AI138" i="12" s="1"/>
  <c r="AK181" i="12" s="1"/>
  <c r="AK44" i="12"/>
  <c r="AK52" i="12"/>
  <c r="AK117" i="12"/>
  <c r="AK125" i="12"/>
  <c r="AL4" i="12"/>
  <c r="AG4" i="12"/>
  <c r="AE4" i="12"/>
  <c r="AF4" i="12"/>
  <c r="AM178" i="12"/>
  <c r="AM176" i="12"/>
  <c r="AM174" i="12"/>
  <c r="AH4" i="12"/>
  <c r="AE1" i="12" s="1"/>
  <c r="AM180" i="12"/>
  <c r="AM177" i="12"/>
  <c r="AM175" i="12"/>
  <c r="AK128" i="12"/>
  <c r="AO18" i="12"/>
  <c r="CN126" i="14"/>
  <c r="CW125" i="14"/>
  <c r="CY125" i="14"/>
  <c r="DD125" i="14"/>
  <c r="CZ125" i="14"/>
  <c r="DB125" i="14"/>
  <c r="Y110" i="12"/>
  <c r="W70" i="12"/>
  <c r="Y111" i="12"/>
  <c r="AD109" i="12"/>
  <c r="Z17" i="12"/>
  <c r="Y15" i="12"/>
  <c r="AD15" i="12"/>
  <c r="Y7" i="12"/>
  <c r="W75" i="12"/>
  <c r="W71" i="12"/>
  <c r="W67" i="12"/>
  <c r="W64" i="12"/>
  <c r="W62" i="12"/>
  <c r="W60" i="12"/>
  <c r="W18" i="12"/>
  <c r="Y16" i="12"/>
  <c r="W10" i="12"/>
  <c r="AO74" i="12"/>
  <c r="AO112" i="12"/>
  <c r="AO73" i="12"/>
  <c r="AO65" i="12"/>
  <c r="CW76" i="14"/>
  <c r="CY76" i="14"/>
  <c r="CZ76" i="14"/>
  <c r="DD76" i="14"/>
  <c r="CW56" i="14"/>
  <c r="CY56" i="14"/>
  <c r="DD56" i="14"/>
  <c r="CZ56" i="14"/>
  <c r="CW102" i="14"/>
  <c r="CY102" i="14"/>
  <c r="CZ102" i="14"/>
  <c r="DD102" i="14"/>
  <c r="CY99" i="14"/>
  <c r="CW99" i="14"/>
  <c r="CZ99" i="14"/>
  <c r="DD99" i="14"/>
  <c r="CW122" i="14"/>
  <c r="CY122" i="14"/>
  <c r="DD122" i="14"/>
  <c r="CZ122" i="14"/>
  <c r="CZ116" i="14"/>
  <c r="CW116" i="14"/>
  <c r="CY116" i="14"/>
  <c r="DD116" i="14"/>
  <c r="DB106" i="14"/>
  <c r="CY60" i="14"/>
  <c r="CW60" i="14"/>
  <c r="CZ60" i="14"/>
  <c r="DD60" i="14"/>
  <c r="DB60" i="14"/>
  <c r="CY71" i="14"/>
  <c r="CW71" i="14"/>
  <c r="DD71" i="14"/>
  <c r="CZ71" i="14"/>
  <c r="DB71" i="14"/>
  <c r="DB76" i="14"/>
  <c r="CW5" i="14"/>
  <c r="CY5" i="14"/>
  <c r="CZ5" i="14"/>
  <c r="DD5" i="14"/>
  <c r="DB5" i="14"/>
  <c r="CZ124" i="14"/>
  <c r="CY124" i="14"/>
  <c r="CW124" i="14"/>
  <c r="DD124" i="14"/>
  <c r="DB102" i="14"/>
  <c r="CW62" i="14"/>
  <c r="CY62" i="14"/>
  <c r="DD62" i="14"/>
  <c r="CZ62" i="14"/>
  <c r="DB62" i="14"/>
  <c r="CW92" i="14"/>
  <c r="CY92" i="14"/>
  <c r="CZ92" i="14"/>
  <c r="DD92" i="14"/>
  <c r="CW78" i="14"/>
  <c r="CY78" i="14"/>
  <c r="DD78" i="14"/>
  <c r="CZ78" i="14"/>
  <c r="CY75" i="14"/>
  <c r="CW75" i="14"/>
  <c r="DD75" i="14"/>
  <c r="CZ75" i="14"/>
  <c r="CW109" i="14"/>
  <c r="CY109" i="14"/>
  <c r="CZ109" i="14"/>
  <c r="DD109" i="14"/>
  <c r="DB109" i="14"/>
  <c r="CW72" i="14"/>
  <c r="CY72" i="14"/>
  <c r="CZ72" i="14"/>
  <c r="DD72" i="14"/>
  <c r="DB72" i="14"/>
  <c r="CW74" i="14"/>
  <c r="CY74" i="14"/>
  <c r="CZ74" i="14"/>
  <c r="DD74" i="14"/>
  <c r="DB74" i="14"/>
  <c r="DB78" i="14"/>
  <c r="CW105" i="14"/>
  <c r="CY105" i="14"/>
  <c r="DD105" i="14"/>
  <c r="CZ105" i="14"/>
  <c r="CW111" i="14"/>
  <c r="CY111" i="14"/>
  <c r="DD111" i="14"/>
  <c r="CZ111" i="14"/>
  <c r="DB111" i="14"/>
  <c r="CW67" i="14"/>
  <c r="CY67" i="14"/>
  <c r="DD67" i="14"/>
  <c r="CZ67" i="14"/>
  <c r="CW61" i="14"/>
  <c r="CY61" i="14"/>
  <c r="CZ61" i="14"/>
  <c r="DD61" i="14"/>
  <c r="DB61" i="14"/>
  <c r="CY113" i="14"/>
  <c r="CW113" i="14"/>
  <c r="CZ113" i="14"/>
  <c r="DD113" i="14"/>
  <c r="DB99" i="14"/>
  <c r="CY80" i="14"/>
  <c r="CW80" i="14"/>
  <c r="CZ80" i="14"/>
  <c r="DD80" i="14"/>
  <c r="DB80" i="14"/>
  <c r="CY87" i="14"/>
  <c r="CW87" i="14"/>
  <c r="DD87" i="14"/>
  <c r="CZ87" i="14"/>
  <c r="DB87" i="14"/>
  <c r="CY123" i="14"/>
  <c r="CW123" i="14"/>
  <c r="DD123" i="14"/>
  <c r="CZ123" i="14"/>
  <c r="CW108" i="14"/>
  <c r="CY108" i="14"/>
  <c r="CZ108" i="14"/>
  <c r="DD108" i="14"/>
  <c r="CW112" i="14"/>
  <c r="CY112" i="14"/>
  <c r="DD112" i="14"/>
  <c r="CZ112" i="14"/>
  <c r="DB112" i="14"/>
  <c r="DB91" i="14"/>
  <c r="DB118" i="14"/>
  <c r="CW103" i="14"/>
  <c r="CY103" i="14"/>
  <c r="DD103" i="14"/>
  <c r="CZ103" i="14"/>
  <c r="DB107" i="14"/>
  <c r="CY94" i="14"/>
  <c r="CW94" i="14"/>
  <c r="DD94" i="14"/>
  <c r="CZ94" i="14"/>
  <c r="DB94" i="14"/>
  <c r="DB115" i="14"/>
  <c r="CW30" i="14"/>
  <c r="CY30" i="14"/>
  <c r="CZ30" i="14"/>
  <c r="DD30" i="14"/>
  <c r="DB30" i="14"/>
  <c r="CY119" i="14"/>
  <c r="CW119" i="14"/>
  <c r="CZ119" i="14"/>
  <c r="DD119" i="14"/>
  <c r="DB114" i="14"/>
  <c r="DB120" i="14"/>
  <c r="DB68" i="14"/>
  <c r="DB63" i="14"/>
  <c r="CW63" i="14"/>
  <c r="CY63" i="14"/>
  <c r="DD63" i="14"/>
  <c r="CZ63" i="14"/>
  <c r="CY79" i="14"/>
  <c r="CW79" i="14"/>
  <c r="CZ79" i="14"/>
  <c r="DD79" i="14"/>
  <c r="DB79" i="14"/>
  <c r="CY83" i="14"/>
  <c r="CW83" i="14"/>
  <c r="CZ83" i="14"/>
  <c r="DD83" i="14"/>
  <c r="DB83" i="14"/>
  <c r="DB105" i="14"/>
  <c r="CW65" i="14"/>
  <c r="CY65" i="14"/>
  <c r="CZ65" i="14"/>
  <c r="DD65" i="14"/>
  <c r="DB65" i="14"/>
  <c r="AK36" i="12"/>
  <c r="AK33" i="12"/>
  <c r="AK25" i="12"/>
  <c r="AK20" i="12"/>
  <c r="AK12" i="12"/>
  <c r="AK9" i="12"/>
  <c r="AK51" i="12"/>
  <c r="AK63" i="12"/>
  <c r="AK6" i="12"/>
  <c r="AO6" i="12" s="1"/>
  <c r="AI126" i="12"/>
  <c r="AK180" i="12" s="1"/>
  <c r="AK42" i="12"/>
  <c r="AK54" i="12"/>
  <c r="AK66" i="12"/>
  <c r="AK122" i="12"/>
  <c r="AK114" i="12"/>
  <c r="AK118" i="12"/>
  <c r="AV125" i="12"/>
  <c r="AV123" i="12"/>
  <c r="AV121" i="12"/>
  <c r="AV119" i="12"/>
  <c r="AV117" i="12"/>
  <c r="AV115" i="12"/>
  <c r="AV113" i="12"/>
  <c r="AV111" i="12"/>
  <c r="AV109" i="12"/>
  <c r="AV107" i="12"/>
  <c r="AV105" i="12"/>
  <c r="AV103" i="12"/>
  <c r="AV101" i="12"/>
  <c r="AV99" i="12"/>
  <c r="AV97" i="12"/>
  <c r="AV95" i="12"/>
  <c r="AV93" i="12"/>
  <c r="AV91" i="12"/>
  <c r="AV89" i="12"/>
  <c r="AV87" i="12"/>
  <c r="AV85" i="12"/>
  <c r="AV83" i="12"/>
  <c r="AV81" i="12"/>
  <c r="AV79" i="12"/>
  <c r="AV77" i="12"/>
  <c r="AV75" i="12"/>
  <c r="AV73" i="12"/>
  <c r="AV71" i="12"/>
  <c r="AV69" i="12"/>
  <c r="AV67" i="12"/>
  <c r="AV65" i="12"/>
  <c r="AV63" i="12"/>
  <c r="AV61" i="12"/>
  <c r="AV59" i="12"/>
  <c r="AV57" i="12"/>
  <c r="AV55" i="12"/>
  <c r="AV53" i="12"/>
  <c r="AV51" i="12"/>
  <c r="AV49" i="12"/>
  <c r="AV47" i="12"/>
  <c r="AV45" i="12"/>
  <c r="AV43" i="12"/>
  <c r="AV41" i="12"/>
  <c r="BC4" i="12"/>
  <c r="AV40" i="12"/>
  <c r="AV38" i="12"/>
  <c r="AV36" i="12"/>
  <c r="AV34" i="12"/>
  <c r="AV32" i="12"/>
  <c r="AV30" i="12"/>
  <c r="AV28" i="12"/>
  <c r="AV26" i="12"/>
  <c r="AV24" i="12"/>
  <c r="AV22" i="12"/>
  <c r="AV20" i="12"/>
  <c r="AV18" i="12"/>
  <c r="AV16" i="12"/>
  <c r="AV14" i="12"/>
  <c r="AV12" i="12"/>
  <c r="AV10" i="12"/>
  <c r="AV8" i="12"/>
  <c r="AV6" i="12"/>
  <c r="BD4" i="12"/>
  <c r="AX4" i="12"/>
  <c r="AV124" i="12"/>
  <c r="AV122" i="12"/>
  <c r="AV120" i="12"/>
  <c r="AV118" i="12"/>
  <c r="AV116" i="12"/>
  <c r="AV114" i="12"/>
  <c r="AV112" i="12"/>
  <c r="AV110" i="12"/>
  <c r="AV108" i="12"/>
  <c r="AV106" i="12"/>
  <c r="AV104" i="12"/>
  <c r="AV102" i="12"/>
  <c r="AV100" i="12"/>
  <c r="AV98" i="12"/>
  <c r="AV96" i="12"/>
  <c r="AV94" i="12"/>
  <c r="AV92" i="12"/>
  <c r="AV90" i="12"/>
  <c r="AV88" i="12"/>
  <c r="AV86" i="12"/>
  <c r="AV84" i="12"/>
  <c r="AV82" i="12"/>
  <c r="AV80" i="12"/>
  <c r="AV78" i="12"/>
  <c r="AV76" i="12"/>
  <c r="AV74" i="12"/>
  <c r="AV72" i="12"/>
  <c r="AV70" i="12"/>
  <c r="AV68" i="12"/>
  <c r="AV66" i="12"/>
  <c r="AV64" i="12"/>
  <c r="AV62" i="12"/>
  <c r="AV60" i="12"/>
  <c r="AV58" i="12"/>
  <c r="AV56" i="12"/>
  <c r="AV54" i="12"/>
  <c r="AV52" i="12"/>
  <c r="AV50" i="12"/>
  <c r="AV48" i="12"/>
  <c r="AV46" i="12"/>
  <c r="AV44" i="12"/>
  <c r="AV42" i="12"/>
  <c r="BM4" i="12"/>
  <c r="BA4" i="12"/>
  <c r="AV39" i="12"/>
  <c r="AV37" i="12"/>
  <c r="AV35" i="12"/>
  <c r="AV33" i="12"/>
  <c r="AV31" i="12"/>
  <c r="AV29" i="12"/>
  <c r="AV27" i="12"/>
  <c r="AV25" i="12"/>
  <c r="AV23" i="12"/>
  <c r="AV21" i="12"/>
  <c r="AV19" i="12"/>
  <c r="AV17" i="12"/>
  <c r="AV15" i="12"/>
  <c r="AV13" i="12"/>
  <c r="AV11" i="12"/>
  <c r="AV9" i="12"/>
  <c r="AV7" i="12"/>
  <c r="AV5" i="12"/>
  <c r="BB4" i="12"/>
  <c r="AV4" i="12"/>
  <c r="AW4" i="12" s="1"/>
  <c r="AX7" i="12"/>
  <c r="AX73" i="12"/>
  <c r="AX77" i="12"/>
  <c r="AX79" i="12"/>
  <c r="AX97" i="12"/>
  <c r="AX101" i="12"/>
  <c r="AX112" i="12"/>
  <c r="AX74" i="12"/>
  <c r="AX82" i="12"/>
  <c r="AX90" i="12"/>
  <c r="BD112" i="12"/>
  <c r="BD90" i="12"/>
  <c r="BD82" i="12"/>
  <c r="BD74" i="12"/>
  <c r="AZ7" i="12"/>
  <c r="BA7" i="12" s="1"/>
  <c r="BD101" i="12"/>
  <c r="BD97" i="12"/>
  <c r="BD79" i="12"/>
  <c r="BD77" i="12"/>
  <c r="BD73" i="12"/>
  <c r="AZ112" i="12"/>
  <c r="BA112" i="12" s="1"/>
  <c r="AZ90" i="12"/>
  <c r="BA90" i="12" s="1"/>
  <c r="AZ82" i="12"/>
  <c r="BA82" i="12" s="1"/>
  <c r="AZ74" i="12"/>
  <c r="BA74" i="12" s="1"/>
  <c r="BD7" i="12"/>
  <c r="AZ101" i="12"/>
  <c r="BA101" i="12" s="1"/>
  <c r="AZ97" i="12"/>
  <c r="BA97" i="12" s="1"/>
  <c r="AZ79" i="12"/>
  <c r="BA79" i="12" s="1"/>
  <c r="AZ77" i="12"/>
  <c r="BA77" i="12" s="1"/>
  <c r="AZ73" i="12"/>
  <c r="BA73" i="12" s="1"/>
  <c r="DB42" i="14"/>
  <c r="CY42" i="14"/>
  <c r="DD42" i="14"/>
  <c r="CW42" i="14"/>
  <c r="CZ42" i="14"/>
  <c r="CY53" i="14"/>
  <c r="DD53" i="14"/>
  <c r="CW53" i="14"/>
  <c r="CZ53" i="14"/>
  <c r="CY36" i="14"/>
  <c r="DD36" i="14"/>
  <c r="CW36" i="14"/>
  <c r="CZ36" i="14"/>
  <c r="DB36" i="14"/>
  <c r="CY52" i="14"/>
  <c r="DD52" i="14"/>
  <c r="CW52" i="14"/>
  <c r="CZ52" i="14"/>
  <c r="CY45" i="14"/>
  <c r="DD45" i="14"/>
  <c r="CW45" i="14"/>
  <c r="CZ45" i="14"/>
  <c r="CY54" i="14"/>
  <c r="DD54" i="14"/>
  <c r="CW54" i="14"/>
  <c r="CZ54" i="14"/>
  <c r="CW38" i="14"/>
  <c r="CZ38" i="14"/>
  <c r="CY38" i="14"/>
  <c r="DD38" i="14"/>
  <c r="CW35" i="14"/>
  <c r="CZ35" i="14"/>
  <c r="CY35" i="14"/>
  <c r="DD35" i="14"/>
  <c r="DB35" i="14"/>
  <c r="CW33" i="14"/>
  <c r="CZ33" i="14"/>
  <c r="CY33" i="14"/>
  <c r="DD33" i="14"/>
  <c r="DB33" i="14"/>
  <c r="CY37" i="14"/>
  <c r="DD37" i="14"/>
  <c r="CW37" i="14"/>
  <c r="CZ37" i="14"/>
  <c r="DB53" i="14"/>
  <c r="CY34" i="14"/>
  <c r="DD34" i="14"/>
  <c r="CW34" i="14"/>
  <c r="CZ34" i="14"/>
  <c r="CW50" i="14"/>
  <c r="CZ50" i="14"/>
  <c r="CY50" i="14"/>
  <c r="DD50" i="14"/>
  <c r="DB50" i="14"/>
  <c r="CZ44" i="14"/>
  <c r="CY44" i="14"/>
  <c r="DD44" i="14"/>
  <c r="CW44" i="14"/>
  <c r="CZ46" i="14"/>
  <c r="CW46" i="14"/>
  <c r="CY46" i="14"/>
  <c r="DD46" i="14"/>
  <c r="DB46" i="14"/>
  <c r="CW47" i="14"/>
  <c r="CZ47" i="14"/>
  <c r="CY47" i="14"/>
  <c r="DD47" i="14"/>
  <c r="CY41" i="14"/>
  <c r="DD41" i="14"/>
  <c r="CW41" i="14"/>
  <c r="CZ41" i="14"/>
  <c r="DB41" i="14"/>
  <c r="CW32" i="14"/>
  <c r="CZ32" i="14"/>
  <c r="CY32" i="14"/>
  <c r="DD32" i="14"/>
  <c r="CY31" i="14"/>
  <c r="DD31" i="14"/>
  <c r="CW31" i="14"/>
  <c r="CZ31" i="14"/>
  <c r="DB32" i="14"/>
  <c r="CW39" i="14"/>
  <c r="CZ39" i="14"/>
  <c r="CY39" i="14"/>
  <c r="DD39" i="14"/>
  <c r="DB52" i="14"/>
  <c r="CY43" i="14"/>
  <c r="DD43" i="14"/>
  <c r="CW43" i="14"/>
  <c r="CZ43" i="14"/>
  <c r="DB45" i="14"/>
  <c r="CY55" i="14"/>
  <c r="DD55" i="14"/>
  <c r="CW55" i="14"/>
  <c r="CZ55" i="14"/>
  <c r="CZ48" i="14"/>
  <c r="CY48" i="14"/>
  <c r="DD48" i="14"/>
  <c r="CW48" i="14"/>
  <c r="DB48" i="14"/>
  <c r="CW40" i="14"/>
  <c r="CZ40" i="14"/>
  <c r="CY40" i="14"/>
  <c r="DD40" i="14"/>
  <c r="DB31" i="14"/>
  <c r="CY49" i="14"/>
  <c r="DD49" i="14"/>
  <c r="CW49" i="14"/>
  <c r="CZ49" i="14"/>
  <c r="CY51" i="14"/>
  <c r="DD51" i="14"/>
  <c r="CW51" i="14"/>
  <c r="CZ51" i="14"/>
  <c r="DB51" i="14"/>
  <c r="DB39" i="14"/>
  <c r="DB44" i="14"/>
  <c r="CX130" i="14"/>
  <c r="DB28" i="14"/>
  <c r="CX134" i="14"/>
  <c r="CK183" i="14"/>
  <c r="CJ183" i="14" s="1"/>
  <c r="CK188" i="14"/>
  <c r="CY7" i="14"/>
  <c r="DD7" i="14"/>
  <c r="CW7" i="14"/>
  <c r="CZ7" i="14"/>
  <c r="CN143" i="14"/>
  <c r="DB7" i="14"/>
  <c r="BZ151" i="14"/>
  <c r="CQ164" i="14"/>
  <c r="CW8" i="14"/>
  <c r="CZ8" i="14"/>
  <c r="CY8" i="14"/>
  <c r="DD8" i="14"/>
  <c r="CX174" i="14"/>
  <c r="CX126" i="14"/>
  <c r="CY29" i="14"/>
  <c r="DD29" i="14"/>
  <c r="CW29" i="14"/>
  <c r="CZ29" i="14"/>
  <c r="CW22" i="14"/>
  <c r="CZ22" i="14"/>
  <c r="CY22" i="14"/>
  <c r="DD22" i="14"/>
  <c r="CW20" i="14"/>
  <c r="CZ20" i="14"/>
  <c r="CY20" i="14"/>
  <c r="DD20" i="14"/>
  <c r="DB20" i="14"/>
  <c r="CY21" i="14"/>
  <c r="DD21" i="14"/>
  <c r="CW21" i="14"/>
  <c r="CZ21" i="14"/>
  <c r="CY14" i="14"/>
  <c r="DD14" i="14"/>
  <c r="CW14" i="14"/>
  <c r="CZ14" i="14"/>
  <c r="CW23" i="14"/>
  <c r="CZ23" i="14"/>
  <c r="CY23" i="14"/>
  <c r="DD23" i="14"/>
  <c r="CY26" i="14"/>
  <c r="DD26" i="14"/>
  <c r="CW26" i="14"/>
  <c r="CZ26" i="14"/>
  <c r="DB22" i="14"/>
  <c r="CY15" i="14"/>
  <c r="DD15" i="14"/>
  <c r="CW15" i="14"/>
  <c r="CZ15" i="14"/>
  <c r="CW16" i="14"/>
  <c r="CZ16" i="14"/>
  <c r="CY16" i="14"/>
  <c r="DD16" i="14"/>
  <c r="CW27" i="14"/>
  <c r="CZ27" i="14"/>
  <c r="CY27" i="14"/>
  <c r="DD27" i="14"/>
  <c r="DB23" i="14"/>
  <c r="CW10" i="14"/>
  <c r="CZ10" i="14"/>
  <c r="CY10" i="14"/>
  <c r="DD10" i="14"/>
  <c r="CY9" i="14"/>
  <c r="DD9" i="14"/>
  <c r="CW9" i="14"/>
  <c r="CZ9" i="14"/>
  <c r="CW24" i="14"/>
  <c r="CZ24" i="14"/>
  <c r="CY24" i="14"/>
  <c r="DD24" i="14"/>
  <c r="DB29" i="14"/>
  <c r="DB8" i="14"/>
  <c r="CY11" i="14"/>
  <c r="DD11" i="14"/>
  <c r="CW11" i="14"/>
  <c r="CZ11" i="14"/>
  <c r="DB11" i="14"/>
  <c r="CK175" i="14"/>
  <c r="CK178" i="14"/>
  <c r="CW19" i="14"/>
  <c r="CZ19" i="14"/>
  <c r="CY19" i="14"/>
  <c r="DD19" i="14"/>
  <c r="CW18" i="14"/>
  <c r="CZ18" i="14"/>
  <c r="CY18" i="14"/>
  <c r="DD18" i="14"/>
  <c r="DB18" i="14"/>
  <c r="DB12" i="14"/>
  <c r="CW12" i="14"/>
  <c r="CZ12" i="14"/>
  <c r="CY12" i="14"/>
  <c r="DD12" i="14"/>
  <c r="CW25" i="14"/>
  <c r="CZ25" i="14"/>
  <c r="CY25" i="14"/>
  <c r="DD25" i="14"/>
  <c r="DB15" i="14"/>
  <c r="CW28" i="14"/>
  <c r="CZ28" i="14"/>
  <c r="CY28" i="14"/>
  <c r="CY147" i="14" s="1"/>
  <c r="DD28" i="14"/>
  <c r="DD160" i="14" s="1"/>
  <c r="DB21" i="14"/>
  <c r="CY13" i="14"/>
  <c r="DD13" i="14"/>
  <c r="CW13" i="14"/>
  <c r="CZ13" i="14"/>
  <c r="DB13" i="14"/>
  <c r="DB17" i="14"/>
  <c r="CW17" i="14"/>
  <c r="CZ17" i="14"/>
  <c r="CY17" i="14"/>
  <c r="DD17" i="14"/>
  <c r="DB10" i="14"/>
  <c r="W72" i="12"/>
  <c r="Y109" i="12"/>
  <c r="W11" i="12"/>
  <c r="W59" i="12"/>
  <c r="Z123" i="12"/>
  <c r="H27" i="17"/>
  <c r="AA82" i="12"/>
  <c r="AA79" i="12"/>
  <c r="AA90" i="12"/>
  <c r="AA74" i="12"/>
  <c r="AA112" i="12"/>
  <c r="AA73" i="12"/>
  <c r="AA77" i="12"/>
  <c r="AA101" i="12"/>
  <c r="AA97" i="12"/>
  <c r="AB8" i="12"/>
  <c r="AO8" i="12" s="1"/>
  <c r="X134" i="12"/>
  <c r="W14" i="12"/>
  <c r="AD94" i="12"/>
  <c r="X130" i="12"/>
  <c r="AA7" i="12"/>
  <c r="W7" i="12"/>
  <c r="Y108" i="12"/>
  <c r="V134" i="12"/>
  <c r="X128" i="12"/>
  <c r="Z176" i="12"/>
  <c r="Z178" i="12"/>
  <c r="Z174" i="12"/>
  <c r="Z175" i="12"/>
  <c r="Z177" i="12"/>
  <c r="Y72" i="12"/>
  <c r="Z72" i="12"/>
  <c r="AK72" i="12" s="1"/>
  <c r="AO72" i="12" s="1"/>
  <c r="Y70" i="12"/>
  <c r="Z70" i="12"/>
  <c r="AK70" i="12" s="1"/>
  <c r="AO70" i="12" s="1"/>
  <c r="W111" i="12"/>
  <c r="Z111" i="12"/>
  <c r="AK111" i="12" s="1"/>
  <c r="W109" i="12"/>
  <c r="Z109" i="12"/>
  <c r="AK109" i="12" s="1"/>
  <c r="Y19" i="12"/>
  <c r="Y17" i="12"/>
  <c r="AD17" i="12"/>
  <c r="Y9" i="12"/>
  <c r="AD9" i="12"/>
  <c r="Z75" i="12"/>
  <c r="AK75" i="12" s="1"/>
  <c r="AO75" i="12" s="1"/>
  <c r="AD75" i="12"/>
  <c r="Y71" i="12"/>
  <c r="Z71" i="12"/>
  <c r="AK71" i="12" s="1"/>
  <c r="Y67" i="12"/>
  <c r="Z67" i="12"/>
  <c r="AK67" i="12" s="1"/>
  <c r="Y64" i="12"/>
  <c r="Z64" i="12"/>
  <c r="AK64" i="12" s="1"/>
  <c r="Y62" i="12"/>
  <c r="Z62" i="12"/>
  <c r="AK62" i="12" s="1"/>
  <c r="Y60" i="12"/>
  <c r="Z60" i="12"/>
  <c r="AK60" i="12" s="1"/>
  <c r="Y18" i="12"/>
  <c r="AD18" i="12"/>
  <c r="Z16" i="12"/>
  <c r="AK16" i="12" s="1"/>
  <c r="AO16" i="12" s="1"/>
  <c r="Y10" i="12"/>
  <c r="AD10" i="12"/>
  <c r="Y8" i="12"/>
  <c r="AD8" i="12"/>
  <c r="AB7" i="12"/>
  <c r="AO7" i="12" s="1"/>
  <c r="BB7" i="12" s="1"/>
  <c r="AD54" i="12"/>
  <c r="AD42" i="12"/>
  <c r="W16" i="12"/>
  <c r="W9" i="12"/>
  <c r="V130" i="12"/>
  <c r="AD110" i="12"/>
  <c r="W74" i="12"/>
  <c r="AD74" i="12"/>
  <c r="AD68" i="12"/>
  <c r="W66" i="12"/>
  <c r="AD66" i="12"/>
  <c r="Z113" i="12"/>
  <c r="AK113" i="12" s="1"/>
  <c r="Y21" i="12"/>
  <c r="Z21" i="12"/>
  <c r="AK21" i="12" s="1"/>
  <c r="AD19" i="12"/>
  <c r="Y13" i="12"/>
  <c r="AD13" i="12"/>
  <c r="AD11" i="12"/>
  <c r="Y112" i="12"/>
  <c r="AD112" i="12"/>
  <c r="AD108" i="12"/>
  <c r="W73" i="12"/>
  <c r="AD73" i="12"/>
  <c r="W69" i="12"/>
  <c r="AD69" i="12"/>
  <c r="W65" i="12"/>
  <c r="AD65" i="12"/>
  <c r="W63" i="12"/>
  <c r="AD63" i="12"/>
  <c r="W61" i="12"/>
  <c r="AD61" i="12"/>
  <c r="AD59" i="12"/>
  <c r="Y20" i="12"/>
  <c r="AD20" i="12"/>
  <c r="AD14" i="12"/>
  <c r="W12" i="12"/>
  <c r="AD12" i="12"/>
  <c r="W6" i="12"/>
  <c r="AD6" i="12"/>
  <c r="AD125" i="12"/>
  <c r="AD79" i="12"/>
  <c r="AD36" i="12"/>
  <c r="W110" i="12"/>
  <c r="Z110" i="12"/>
  <c r="AK110" i="12" s="1"/>
  <c r="Y68" i="12"/>
  <c r="Z68" i="12"/>
  <c r="AK68" i="12" s="1"/>
  <c r="W113" i="12"/>
  <c r="AD113" i="12"/>
  <c r="W19" i="12"/>
  <c r="Z19" i="12"/>
  <c r="AK19" i="12" s="1"/>
  <c r="Y11" i="12"/>
  <c r="Z11" i="12"/>
  <c r="AK11" i="12" s="1"/>
  <c r="W108" i="12"/>
  <c r="Z108" i="12"/>
  <c r="AK108" i="12" s="1"/>
  <c r="Y59" i="12"/>
  <c r="Z59" i="12"/>
  <c r="AK59" i="12" s="1"/>
  <c r="Y14" i="12"/>
  <c r="Z14" i="12"/>
  <c r="AK14" i="12" s="1"/>
  <c r="Z57" i="12"/>
  <c r="AK57" i="12" s="1"/>
  <c r="Z49" i="12"/>
  <c r="AK49" i="12" s="1"/>
  <c r="AD52" i="12"/>
  <c r="AB57" i="12"/>
  <c r="Z107" i="12"/>
  <c r="AK107" i="12" s="1"/>
  <c r="Z92" i="12"/>
  <c r="AK92" i="12" s="1"/>
  <c r="V126" i="12"/>
  <c r="X180" i="12" s="1"/>
  <c r="AD92" i="12"/>
  <c r="Q126" i="12"/>
  <c r="AB122" i="12"/>
  <c r="AB41" i="12"/>
  <c r="AO41" i="12" s="1"/>
  <c r="AB37" i="12"/>
  <c r="AO37" i="12" s="1"/>
  <c r="AB33" i="12"/>
  <c r="AO33" i="12" s="1"/>
  <c r="AB29" i="12"/>
  <c r="AO29" i="12" s="1"/>
  <c r="AB25" i="12"/>
  <c r="AO25" i="12" s="1"/>
  <c r="Y76" i="12"/>
  <c r="W76" i="12"/>
  <c r="AD76" i="12"/>
  <c r="AB76" i="12"/>
  <c r="Z76" i="12"/>
  <c r="AK76" i="12" s="1"/>
  <c r="W78" i="12"/>
  <c r="Y78" i="12"/>
  <c r="AD78" i="12"/>
  <c r="AB78" i="12"/>
  <c r="Z78" i="12"/>
  <c r="AK78" i="12" s="1"/>
  <c r="W80" i="12"/>
  <c r="Y80" i="12"/>
  <c r="Z80" i="12"/>
  <c r="AK80" i="12" s="1"/>
  <c r="AD80" i="12"/>
  <c r="AB80" i="12"/>
  <c r="AO80" i="12" s="1"/>
  <c r="AB103" i="12"/>
  <c r="AB99" i="12"/>
  <c r="AB95" i="12"/>
  <c r="AB91" i="12"/>
  <c r="AB87" i="12"/>
  <c r="AB83" i="12"/>
  <c r="AB77" i="12"/>
  <c r="AO77" i="12" s="1"/>
  <c r="BB77" i="12" s="1"/>
  <c r="AB45" i="12"/>
  <c r="AO45" i="12" s="1"/>
  <c r="AB48" i="12"/>
  <c r="Y48" i="12"/>
  <c r="W48" i="12"/>
  <c r="AB30" i="12"/>
  <c r="Y30" i="12"/>
  <c r="W30" i="12"/>
  <c r="AB46" i="12"/>
  <c r="Y46" i="12"/>
  <c r="W46" i="12"/>
  <c r="W53" i="12"/>
  <c r="Y53" i="12"/>
  <c r="AB58" i="12"/>
  <c r="Y58" i="12"/>
  <c r="W58" i="12"/>
  <c r="W98" i="12"/>
  <c r="Y98" i="12"/>
  <c r="W106" i="12"/>
  <c r="Y106" i="12"/>
  <c r="W121" i="12"/>
  <c r="Y121" i="12"/>
  <c r="AB105" i="12"/>
  <c r="Y105" i="12"/>
  <c r="W105" i="12"/>
  <c r="Y24" i="12"/>
  <c r="W24" i="12"/>
  <c r="AB32" i="12"/>
  <c r="Y32" i="12"/>
  <c r="W32" i="12"/>
  <c r="AB47" i="12"/>
  <c r="Y47" i="12"/>
  <c r="W47" i="12"/>
  <c r="W55" i="12"/>
  <c r="Y55" i="12"/>
  <c r="AB56" i="12"/>
  <c r="Y56" i="12"/>
  <c r="W56" i="12"/>
  <c r="AB96" i="12"/>
  <c r="W104" i="12"/>
  <c r="Y104" i="12"/>
  <c r="W120" i="12"/>
  <c r="Y120" i="12"/>
  <c r="AB120" i="12"/>
  <c r="Y124" i="12"/>
  <c r="W124" i="12"/>
  <c r="Z121" i="12"/>
  <c r="AK121" i="12" s="1"/>
  <c r="Z104" i="12"/>
  <c r="AK104" i="12" s="1"/>
  <c r="Z55" i="12"/>
  <c r="AK55" i="12" s="1"/>
  <c r="AD58" i="12"/>
  <c r="AD46" i="12"/>
  <c r="AD30" i="12"/>
  <c r="Z56" i="12"/>
  <c r="AK56" i="12" s="1"/>
  <c r="Z48" i="12"/>
  <c r="AK48" i="12" s="1"/>
  <c r="Z30" i="12"/>
  <c r="AK30" i="12" s="1"/>
  <c r="Z24" i="12"/>
  <c r="AK24" i="12" s="1"/>
  <c r="AB101" i="12"/>
  <c r="AO101" i="12" s="1"/>
  <c r="BB101" i="12" s="1"/>
  <c r="AB97" i="12"/>
  <c r="AO97" i="12" s="1"/>
  <c r="BB97" i="12" s="1"/>
  <c r="Y97" i="12"/>
  <c r="W97" i="12"/>
  <c r="W93" i="12"/>
  <c r="Y93" i="12"/>
  <c r="W89" i="12"/>
  <c r="Y89" i="12"/>
  <c r="W85" i="12"/>
  <c r="Y85" i="12"/>
  <c r="W81" i="12"/>
  <c r="Y81" i="12"/>
  <c r="AB43" i="12"/>
  <c r="AB39" i="12"/>
  <c r="AB35" i="12"/>
  <c r="AB31" i="12"/>
  <c r="AB27" i="12"/>
  <c r="AB23" i="12"/>
  <c r="AB52" i="12"/>
  <c r="AO52" i="12" s="1"/>
  <c r="Y52" i="12"/>
  <c r="W52" i="12"/>
  <c r="AB34" i="12"/>
  <c r="Y34" i="12"/>
  <c r="W34" i="12"/>
  <c r="AB49" i="12"/>
  <c r="AB84" i="12"/>
  <c r="Y84" i="12"/>
  <c r="W84" i="12"/>
  <c r="AB102" i="12"/>
  <c r="Y102" i="12"/>
  <c r="W102" i="12"/>
  <c r="AB119" i="12"/>
  <c r="Y119" i="12"/>
  <c r="W119" i="12"/>
  <c r="AB28" i="12"/>
  <c r="Y28" i="12"/>
  <c r="W28" i="12"/>
  <c r="AB44" i="12"/>
  <c r="AO44" i="12" s="1"/>
  <c r="Y44" i="12"/>
  <c r="W44" i="12"/>
  <c r="W51" i="12"/>
  <c r="Y51" i="12"/>
  <c r="W90" i="12"/>
  <c r="AB90" i="12"/>
  <c r="AO90" i="12" s="1"/>
  <c r="Y90" i="12"/>
  <c r="W100" i="12"/>
  <c r="Y100" i="12"/>
  <c r="W118" i="12"/>
  <c r="AB118" i="12"/>
  <c r="AO118" i="12" s="1"/>
  <c r="Y118" i="12"/>
  <c r="W123" i="12"/>
  <c r="Y123" i="12"/>
  <c r="AD120" i="12"/>
  <c r="AD123" i="12"/>
  <c r="AD106" i="12"/>
  <c r="AD53" i="12"/>
  <c r="Z105" i="12"/>
  <c r="AK105" i="12" s="1"/>
  <c r="AD97" i="12"/>
  <c r="Z84" i="12"/>
  <c r="AK84" i="12" s="1"/>
  <c r="Z28" i="12"/>
  <c r="AK28" i="12" s="1"/>
  <c r="AD100" i="12"/>
  <c r="Z98" i="12"/>
  <c r="AK98" i="12" s="1"/>
  <c r="Z93" i="12"/>
  <c r="AK93" i="12" s="1"/>
  <c r="AO93" i="12" s="1"/>
  <c r="Z89" i="12"/>
  <c r="AK89" i="12" s="1"/>
  <c r="Z85" i="12"/>
  <c r="AK85" i="12" s="1"/>
  <c r="Z81" i="12"/>
  <c r="AK81" i="12" s="1"/>
  <c r="X5" i="12"/>
  <c r="Z5" i="12" s="1"/>
  <c r="AK5" i="12" s="1"/>
  <c r="M126" i="12"/>
  <c r="W103" i="12"/>
  <c r="Y103" i="12"/>
  <c r="W99" i="12"/>
  <c r="Y99" i="12"/>
  <c r="W95" i="12"/>
  <c r="Y95" i="12"/>
  <c r="W91" i="12"/>
  <c r="Y91" i="12"/>
  <c r="W87" i="12"/>
  <c r="Y87" i="12"/>
  <c r="W83" i="12"/>
  <c r="Y83" i="12"/>
  <c r="W77" i="12"/>
  <c r="Y77" i="12"/>
  <c r="W45" i="12"/>
  <c r="Y45" i="12"/>
  <c r="W41" i="12"/>
  <c r="Y41" i="12"/>
  <c r="W37" i="12"/>
  <c r="Y37" i="12"/>
  <c r="W33" i="12"/>
  <c r="Y33" i="12"/>
  <c r="W29" i="12"/>
  <c r="Y29" i="12"/>
  <c r="W25" i="12"/>
  <c r="Y25" i="12"/>
  <c r="AB22" i="12"/>
  <c r="Y22" i="12"/>
  <c r="W22" i="12"/>
  <c r="AB38" i="12"/>
  <c r="Y38" i="12"/>
  <c r="W38" i="12"/>
  <c r="AB53" i="12"/>
  <c r="AB88" i="12"/>
  <c r="Y88" i="12"/>
  <c r="W88" i="12"/>
  <c r="AB98" i="12"/>
  <c r="AB106" i="12"/>
  <c r="AB117" i="12"/>
  <c r="AO117" i="12" s="1"/>
  <c r="Y117" i="12"/>
  <c r="W117" i="12"/>
  <c r="AB121" i="12"/>
  <c r="AB50" i="12"/>
  <c r="Y50" i="12"/>
  <c r="W50" i="12"/>
  <c r="AB24" i="12"/>
  <c r="AO24" i="12" s="1"/>
  <c r="AB40" i="12"/>
  <c r="AO40" i="12" s="1"/>
  <c r="Y40" i="12"/>
  <c r="W40" i="12"/>
  <c r="W86" i="12"/>
  <c r="Y86" i="12"/>
  <c r="AB86" i="12"/>
  <c r="W96" i="12"/>
  <c r="Y96" i="12"/>
  <c r="W116" i="12"/>
  <c r="Y116" i="12"/>
  <c r="AB116" i="12"/>
  <c r="W94" i="12"/>
  <c r="Y94" i="12"/>
  <c r="AB94" i="12"/>
  <c r="Z120" i="12"/>
  <c r="AK120" i="12" s="1"/>
  <c r="Z116" i="12"/>
  <c r="AK116" i="12" s="1"/>
  <c r="Z94" i="12"/>
  <c r="AK94" i="12" s="1"/>
  <c r="Z86" i="12"/>
  <c r="AK86" i="12" s="1"/>
  <c r="AD124" i="12"/>
  <c r="Z106" i="12"/>
  <c r="AK106" i="12" s="1"/>
  <c r="Z103" i="12"/>
  <c r="AK103" i="12" s="1"/>
  <c r="Z96" i="12"/>
  <c r="AK96" i="12" s="1"/>
  <c r="Z53" i="12"/>
  <c r="AK53" i="12" s="1"/>
  <c r="AD105" i="12"/>
  <c r="AD117" i="12"/>
  <c r="AD47" i="12"/>
  <c r="AD56" i="12"/>
  <c r="AD48" i="12"/>
  <c r="AD40" i="12"/>
  <c r="AD32" i="12"/>
  <c r="AD24" i="12"/>
  <c r="Z58" i="12"/>
  <c r="AK58" i="12" s="1"/>
  <c r="Z50" i="12"/>
  <c r="AK50" i="12" s="1"/>
  <c r="Z46" i="12"/>
  <c r="AK46" i="12" s="1"/>
  <c r="Z38" i="12"/>
  <c r="AK38" i="12" s="1"/>
  <c r="Z32" i="12"/>
  <c r="AK32" i="12" s="1"/>
  <c r="W101" i="12"/>
  <c r="Y101" i="12"/>
  <c r="AB79" i="12"/>
  <c r="AO79" i="12" s="1"/>
  <c r="BB79" i="12" s="1"/>
  <c r="Y79" i="12"/>
  <c r="W79" i="12"/>
  <c r="W43" i="12"/>
  <c r="Y43" i="12"/>
  <c r="W39" i="12"/>
  <c r="Y39" i="12"/>
  <c r="W35" i="12"/>
  <c r="Y35" i="12"/>
  <c r="W31" i="12"/>
  <c r="Y31" i="12"/>
  <c r="W27" i="12"/>
  <c r="Y27" i="12"/>
  <c r="W23" i="12"/>
  <c r="Y23" i="12"/>
  <c r="AB26" i="12"/>
  <c r="AO26" i="12" s="1"/>
  <c r="Y26" i="12"/>
  <c r="W26" i="12"/>
  <c r="AB42" i="12"/>
  <c r="AO42" i="12" s="1"/>
  <c r="Y42" i="12"/>
  <c r="W42" i="12"/>
  <c r="W49" i="12"/>
  <c r="Y49" i="12"/>
  <c r="W57" i="12"/>
  <c r="Y57" i="12"/>
  <c r="AB92" i="12"/>
  <c r="AO92" i="12" s="1"/>
  <c r="Y92" i="12"/>
  <c r="W92" i="12"/>
  <c r="AB115" i="12"/>
  <c r="Y115" i="12"/>
  <c r="W115" i="12"/>
  <c r="Y122" i="12"/>
  <c r="W122" i="12"/>
  <c r="AB54" i="12"/>
  <c r="AO54" i="12" s="1"/>
  <c r="Y54" i="12"/>
  <c r="W54" i="12"/>
  <c r="AB36" i="12"/>
  <c r="AO36" i="12" s="1"/>
  <c r="Y36" i="12"/>
  <c r="W36" i="12"/>
  <c r="AB51" i="12"/>
  <c r="AO51" i="12" s="1"/>
  <c r="W82" i="12"/>
  <c r="AB82" i="12"/>
  <c r="AO82" i="12" s="1"/>
  <c r="BB82" i="12" s="1"/>
  <c r="Y82" i="12"/>
  <c r="AB100" i="12"/>
  <c r="W114" i="12"/>
  <c r="AB114" i="12"/>
  <c r="AO114" i="12" s="1"/>
  <c r="Y114" i="12"/>
  <c r="W107" i="12"/>
  <c r="Y107" i="12"/>
  <c r="AB107" i="12"/>
  <c r="AD118" i="12"/>
  <c r="AD114" i="12"/>
  <c r="AD90" i="12"/>
  <c r="AD82" i="12"/>
  <c r="Z124" i="12"/>
  <c r="AK124" i="12" s="1"/>
  <c r="AD121" i="12"/>
  <c r="AD104" i="12"/>
  <c r="Z99" i="12"/>
  <c r="AK99" i="12" s="1"/>
  <c r="AD77" i="12"/>
  <c r="AD55" i="12"/>
  <c r="AD51" i="12"/>
  <c r="Z119" i="12"/>
  <c r="AK119" i="12" s="1"/>
  <c r="Z115" i="12"/>
  <c r="AK115" i="12" s="1"/>
  <c r="Z102" i="12"/>
  <c r="AK102" i="12" s="1"/>
  <c r="Z88" i="12"/>
  <c r="AK88" i="12" s="1"/>
  <c r="Z47" i="12"/>
  <c r="AK47" i="12" s="1"/>
  <c r="Z34" i="12"/>
  <c r="AK34" i="12" s="1"/>
  <c r="Z22" i="12"/>
  <c r="AK22" i="12" s="1"/>
  <c r="AD101" i="12"/>
  <c r="Y125" i="12"/>
  <c r="W125" i="12"/>
  <c r="AB125" i="12"/>
  <c r="AO125" i="12" s="1"/>
  <c r="AD98" i="12"/>
  <c r="AD93" i="12"/>
  <c r="AD89" i="12"/>
  <c r="AD85" i="12"/>
  <c r="AD81" i="12"/>
  <c r="AD45" i="12"/>
  <c r="AD41" i="12"/>
  <c r="AD37" i="12"/>
  <c r="AD33" i="12"/>
  <c r="AD29" i="12"/>
  <c r="AD25" i="12"/>
  <c r="Z100" i="12"/>
  <c r="AK100" i="12" s="1"/>
  <c r="Z95" i="12"/>
  <c r="AK95" i="12" s="1"/>
  <c r="Z91" i="12"/>
  <c r="AK91" i="12" s="1"/>
  <c r="Z87" i="12"/>
  <c r="AK87" i="12" s="1"/>
  <c r="Z83" i="12"/>
  <c r="AK83" i="12" s="1"/>
  <c r="Z43" i="12"/>
  <c r="AK43" i="12" s="1"/>
  <c r="Z39" i="12"/>
  <c r="AK39" i="12" s="1"/>
  <c r="Z35" i="12"/>
  <c r="AK35" i="12" s="1"/>
  <c r="Z31" i="12"/>
  <c r="AK31" i="12" s="1"/>
  <c r="Z27" i="12"/>
  <c r="AK27" i="12" s="1"/>
  <c r="Z23" i="12"/>
  <c r="AK23" i="12" s="1"/>
  <c r="W5" i="12"/>
  <c r="Y4" i="12"/>
  <c r="U4" i="12"/>
  <c r="R1" i="12" s="1"/>
  <c r="S4" i="12"/>
  <c r="T4" i="12"/>
  <c r="R4" i="12"/>
  <c r="DL95" i="14" l="1"/>
  <c r="DJ95" i="14"/>
  <c r="DQ95" i="14"/>
  <c r="DM95" i="14"/>
  <c r="AV126" i="12"/>
  <c r="AX180" i="12" s="1"/>
  <c r="AO107" i="12"/>
  <c r="AO121" i="12"/>
  <c r="BB90" i="12"/>
  <c r="AO122" i="12"/>
  <c r="AO57" i="12"/>
  <c r="AO78" i="12"/>
  <c r="AO98" i="12"/>
  <c r="AO49" i="12"/>
  <c r="AO84" i="12"/>
  <c r="DQ93" i="14"/>
  <c r="DM93" i="14"/>
  <c r="DJ93" i="14"/>
  <c r="DL93" i="14"/>
  <c r="DO93" i="14"/>
  <c r="AJ23" i="12"/>
  <c r="AL23" i="12"/>
  <c r="AQ23" i="12"/>
  <c r="AM23" i="12"/>
  <c r="AJ39" i="12"/>
  <c r="AL39" i="12"/>
  <c r="AQ39" i="12"/>
  <c r="AM39" i="12"/>
  <c r="AJ91" i="12"/>
  <c r="AL91" i="12"/>
  <c r="AM91" i="12"/>
  <c r="AQ91" i="12"/>
  <c r="AJ100" i="12"/>
  <c r="AL100" i="12"/>
  <c r="AM100" i="12"/>
  <c r="AQ100" i="12"/>
  <c r="AL22" i="12"/>
  <c r="AJ22" i="12"/>
  <c r="AQ22" i="12"/>
  <c r="AM22" i="12"/>
  <c r="AJ47" i="12"/>
  <c r="AL47" i="12"/>
  <c r="AM47" i="12"/>
  <c r="AQ47" i="12"/>
  <c r="AJ102" i="12"/>
  <c r="AL102" i="12"/>
  <c r="AM102" i="12"/>
  <c r="AQ102" i="12"/>
  <c r="AJ119" i="12"/>
  <c r="AL119" i="12"/>
  <c r="AM119" i="12"/>
  <c r="AQ119" i="12"/>
  <c r="AJ99" i="12"/>
  <c r="AL99" i="12"/>
  <c r="AM99" i="12"/>
  <c r="AQ99" i="12"/>
  <c r="AO100" i="12"/>
  <c r="AL32" i="12"/>
  <c r="AJ32" i="12"/>
  <c r="AQ32" i="12"/>
  <c r="AM32" i="12"/>
  <c r="AJ46" i="12"/>
  <c r="AL46" i="12"/>
  <c r="AM46" i="12"/>
  <c r="AQ46" i="12"/>
  <c r="AJ58" i="12"/>
  <c r="AL58" i="12"/>
  <c r="AM58" i="12"/>
  <c r="AQ58" i="12"/>
  <c r="AJ96" i="12"/>
  <c r="AL96" i="12"/>
  <c r="AM96" i="12"/>
  <c r="AQ96" i="12"/>
  <c r="AJ106" i="12"/>
  <c r="AL106" i="12"/>
  <c r="AM106" i="12"/>
  <c r="AQ106" i="12"/>
  <c r="AJ86" i="12"/>
  <c r="AL86" i="12"/>
  <c r="AM86" i="12"/>
  <c r="AQ86" i="12"/>
  <c r="AJ116" i="12"/>
  <c r="AL116" i="12"/>
  <c r="AM116" i="12"/>
  <c r="AQ116" i="12"/>
  <c r="AO94" i="12"/>
  <c r="AO86" i="12"/>
  <c r="AO106" i="12"/>
  <c r="AO88" i="12"/>
  <c r="AO38" i="12"/>
  <c r="AJ81" i="12"/>
  <c r="AL81" i="12"/>
  <c r="AQ81" i="12"/>
  <c r="AM81" i="12"/>
  <c r="AJ89" i="12"/>
  <c r="AL89" i="12"/>
  <c r="AQ89" i="12"/>
  <c r="AM89" i="12"/>
  <c r="AJ98" i="12"/>
  <c r="AL98" i="12"/>
  <c r="AM98" i="12"/>
  <c r="AQ98" i="12"/>
  <c r="AL28" i="12"/>
  <c r="AJ28" i="12"/>
  <c r="AQ28" i="12"/>
  <c r="AM28" i="12"/>
  <c r="AO119" i="12"/>
  <c r="AO34" i="12"/>
  <c r="AO23" i="12"/>
  <c r="AO31" i="12"/>
  <c r="AO39" i="12"/>
  <c r="AL24" i="12"/>
  <c r="AJ24" i="12"/>
  <c r="AQ24" i="12"/>
  <c r="AM24" i="12"/>
  <c r="AJ48" i="12"/>
  <c r="AL48" i="12"/>
  <c r="AM48" i="12"/>
  <c r="AQ48" i="12"/>
  <c r="AJ104" i="12"/>
  <c r="AL104" i="12"/>
  <c r="AM104" i="12"/>
  <c r="AQ104" i="12"/>
  <c r="AO120" i="12"/>
  <c r="AO56" i="12"/>
  <c r="AO32" i="12"/>
  <c r="AO58" i="12"/>
  <c r="AO30" i="12"/>
  <c r="AO83" i="12"/>
  <c r="AO91" i="12"/>
  <c r="AO99" i="12"/>
  <c r="AJ80" i="12"/>
  <c r="AL80" i="12"/>
  <c r="AM80" i="12"/>
  <c r="AQ80" i="12"/>
  <c r="AJ76" i="12"/>
  <c r="AL76" i="12"/>
  <c r="AM76" i="12"/>
  <c r="AQ76" i="12"/>
  <c r="AJ92" i="12"/>
  <c r="AL92" i="12"/>
  <c r="AM92" i="12"/>
  <c r="AQ92" i="12"/>
  <c r="AJ49" i="12"/>
  <c r="AL49" i="12"/>
  <c r="AQ49" i="12"/>
  <c r="AM49" i="12"/>
  <c r="AL14" i="12"/>
  <c r="AJ14" i="12"/>
  <c r="AQ14" i="12"/>
  <c r="AM14" i="12"/>
  <c r="AJ59" i="12"/>
  <c r="AL59" i="12"/>
  <c r="AM59" i="12"/>
  <c r="AQ59" i="12"/>
  <c r="AJ108" i="12"/>
  <c r="AL108" i="12"/>
  <c r="AM108" i="12"/>
  <c r="AQ108" i="12"/>
  <c r="AJ11" i="12"/>
  <c r="AL11" i="12"/>
  <c r="AQ11" i="12"/>
  <c r="AM11" i="12"/>
  <c r="AJ19" i="12"/>
  <c r="AL19" i="12"/>
  <c r="AQ19" i="12"/>
  <c r="AM19" i="12"/>
  <c r="AJ68" i="12"/>
  <c r="AL68" i="12"/>
  <c r="AM68" i="12"/>
  <c r="AQ68" i="12"/>
  <c r="AJ110" i="12"/>
  <c r="AL110" i="12"/>
  <c r="AM110" i="12"/>
  <c r="AQ110" i="12"/>
  <c r="AL21" i="12"/>
  <c r="AJ21" i="12"/>
  <c r="AQ21" i="12"/>
  <c r="AM21" i="12"/>
  <c r="AJ113" i="12"/>
  <c r="AL113" i="12"/>
  <c r="AQ113" i="12"/>
  <c r="AM113" i="12"/>
  <c r="AJ60" i="12"/>
  <c r="AL60" i="12"/>
  <c r="AM60" i="12"/>
  <c r="AQ60" i="12"/>
  <c r="AJ62" i="12"/>
  <c r="AL62" i="12"/>
  <c r="AM62" i="12"/>
  <c r="AQ62" i="12"/>
  <c r="AJ64" i="12"/>
  <c r="AL64" i="12"/>
  <c r="AM64" i="12"/>
  <c r="AQ64" i="12"/>
  <c r="AJ67" i="12"/>
  <c r="AL67" i="12"/>
  <c r="AM67" i="12"/>
  <c r="AQ67" i="12"/>
  <c r="AJ71" i="12"/>
  <c r="AL71" i="12"/>
  <c r="AM71" i="12"/>
  <c r="AQ71" i="12"/>
  <c r="AA123" i="12"/>
  <c r="AK123" i="12"/>
  <c r="AY79" i="12"/>
  <c r="AW79" i="12"/>
  <c r="AY7" i="12"/>
  <c r="AW7" i="12"/>
  <c r="AZ178" i="12"/>
  <c r="AZ176" i="12"/>
  <c r="AZ174" i="12"/>
  <c r="AY4" i="12"/>
  <c r="AS4" i="12"/>
  <c r="AR4" i="12"/>
  <c r="AZ180" i="12"/>
  <c r="AZ177" i="12"/>
  <c r="AZ175" i="12"/>
  <c r="AX128" i="12"/>
  <c r="AU4" i="12"/>
  <c r="AR1" i="12" s="1"/>
  <c r="AT4" i="12"/>
  <c r="AJ118" i="12"/>
  <c r="AL118" i="12"/>
  <c r="AQ118" i="12"/>
  <c r="AM118" i="12"/>
  <c r="AM122" i="12"/>
  <c r="AJ122" i="12"/>
  <c r="AL122" i="12"/>
  <c r="AQ122" i="12"/>
  <c r="AJ54" i="12"/>
  <c r="AL54" i="12"/>
  <c r="AM54" i="12"/>
  <c r="AQ54" i="12"/>
  <c r="AJ63" i="12"/>
  <c r="AL63" i="12"/>
  <c r="AM63" i="12"/>
  <c r="AQ63" i="12"/>
  <c r="AL9" i="12"/>
  <c r="AJ9" i="12"/>
  <c r="AM9" i="12"/>
  <c r="AQ9" i="12"/>
  <c r="AL20" i="12"/>
  <c r="AJ20" i="12"/>
  <c r="AQ20" i="12"/>
  <c r="AM20" i="12"/>
  <c r="AL33" i="12"/>
  <c r="AJ33" i="12"/>
  <c r="AM33" i="12"/>
  <c r="AQ33" i="12"/>
  <c r="DA65" i="14"/>
  <c r="DK65" i="14"/>
  <c r="DA83" i="14"/>
  <c r="DK83" i="14"/>
  <c r="DA63" i="14"/>
  <c r="DK63" i="14"/>
  <c r="DO63" i="14" s="1"/>
  <c r="DA30" i="14"/>
  <c r="DK30" i="14"/>
  <c r="DA103" i="14"/>
  <c r="DK103" i="14"/>
  <c r="DA108" i="14"/>
  <c r="DK108" i="14"/>
  <c r="DA87" i="14"/>
  <c r="DK87" i="14"/>
  <c r="DA80" i="14"/>
  <c r="DK80" i="14"/>
  <c r="DA61" i="14"/>
  <c r="DK61" i="14"/>
  <c r="DA72" i="14"/>
  <c r="DK72" i="14"/>
  <c r="DA75" i="14"/>
  <c r="DK75" i="14"/>
  <c r="DA78" i="14"/>
  <c r="DK78" i="14"/>
  <c r="DA5" i="14"/>
  <c r="DK5" i="14"/>
  <c r="DA60" i="14"/>
  <c r="DK60" i="14"/>
  <c r="DA122" i="14"/>
  <c r="DK122" i="14"/>
  <c r="DA56" i="14"/>
  <c r="DK56" i="14"/>
  <c r="AO20" i="12"/>
  <c r="AO63" i="12"/>
  <c r="BB112" i="12"/>
  <c r="AO21" i="12"/>
  <c r="BB74" i="12"/>
  <c r="AO81" i="12"/>
  <c r="AO14" i="12"/>
  <c r="AO108" i="12"/>
  <c r="AO19" i="12"/>
  <c r="AO68" i="12"/>
  <c r="AO104" i="12"/>
  <c r="AA17" i="12"/>
  <c r="AK17" i="12"/>
  <c r="DA125" i="14"/>
  <c r="DK125" i="14"/>
  <c r="DO125" i="14" s="1"/>
  <c r="AO62" i="12"/>
  <c r="AO67" i="12"/>
  <c r="AQ125" i="12"/>
  <c r="AJ125" i="12"/>
  <c r="AL125" i="12"/>
  <c r="AM125" i="12"/>
  <c r="AJ52" i="12"/>
  <c r="AL52" i="12"/>
  <c r="AM52" i="12"/>
  <c r="AQ52" i="12"/>
  <c r="AJ181" i="12"/>
  <c r="AJ15" i="12"/>
  <c r="AL15" i="12"/>
  <c r="AQ15" i="12"/>
  <c r="AM15" i="12"/>
  <c r="AL26" i="12"/>
  <c r="AJ26" i="12"/>
  <c r="AQ26" i="12"/>
  <c r="AM26" i="12"/>
  <c r="AJ65" i="12"/>
  <c r="AL65" i="12"/>
  <c r="AQ65" i="12"/>
  <c r="AM65" i="12"/>
  <c r="AJ45" i="12"/>
  <c r="AL45" i="12"/>
  <c r="AQ45" i="12"/>
  <c r="AM45" i="12"/>
  <c r="AL8" i="12"/>
  <c r="AJ8" i="12"/>
  <c r="AQ8" i="12"/>
  <c r="AM8" i="12"/>
  <c r="AL29" i="12"/>
  <c r="AJ29" i="12"/>
  <c r="AQ29" i="12"/>
  <c r="AM29" i="12"/>
  <c r="AL40" i="12"/>
  <c r="AJ40" i="12"/>
  <c r="AQ40" i="12"/>
  <c r="AM40" i="12"/>
  <c r="DA82" i="14"/>
  <c r="DK82" i="14"/>
  <c r="DA100" i="14"/>
  <c r="DK100" i="14"/>
  <c r="DA90" i="14"/>
  <c r="DK90" i="14"/>
  <c r="DA70" i="14"/>
  <c r="DK70" i="14"/>
  <c r="DA85" i="14"/>
  <c r="DK85" i="14"/>
  <c r="DA57" i="14"/>
  <c r="DK57" i="14"/>
  <c r="DA59" i="14"/>
  <c r="DK59" i="14"/>
  <c r="DA77" i="14"/>
  <c r="DK77" i="14"/>
  <c r="DA81" i="14"/>
  <c r="DK81" i="14"/>
  <c r="DA110" i="14"/>
  <c r="DK110" i="14"/>
  <c r="DA120" i="14"/>
  <c r="DK120" i="14"/>
  <c r="DA117" i="14"/>
  <c r="DK117" i="14"/>
  <c r="DA84" i="14"/>
  <c r="DK84" i="14"/>
  <c r="DA88" i="14"/>
  <c r="DK88" i="14"/>
  <c r="DA104" i="14"/>
  <c r="DK104" i="14"/>
  <c r="DA114" i="14"/>
  <c r="DK114" i="14"/>
  <c r="DA115" i="14"/>
  <c r="DK115" i="14"/>
  <c r="DO115" i="14" s="1"/>
  <c r="CY96" i="14"/>
  <c r="CY126" i="14" s="1"/>
  <c r="CW96" i="14"/>
  <c r="DD96" i="14"/>
  <c r="CZ96" i="14"/>
  <c r="DB96" i="14"/>
  <c r="DB126" i="14" s="1"/>
  <c r="DA107" i="14"/>
  <c r="DK107" i="14"/>
  <c r="DA118" i="14"/>
  <c r="DK118" i="14"/>
  <c r="DA97" i="14"/>
  <c r="DK97" i="14"/>
  <c r="AJ31" i="12"/>
  <c r="AL31" i="12"/>
  <c r="AQ31" i="12"/>
  <c r="AM31" i="12"/>
  <c r="AJ83" i="12"/>
  <c r="AL83" i="12"/>
  <c r="AM83" i="12"/>
  <c r="AQ83" i="12"/>
  <c r="AJ27" i="12"/>
  <c r="AL27" i="12"/>
  <c r="AQ27" i="12"/>
  <c r="AM27" i="12"/>
  <c r="AJ35" i="12"/>
  <c r="AL35" i="12"/>
  <c r="AQ35" i="12"/>
  <c r="AM35" i="12"/>
  <c r="AJ43" i="12"/>
  <c r="AL43" i="12"/>
  <c r="AM43" i="12"/>
  <c r="AQ43" i="12"/>
  <c r="AJ87" i="12"/>
  <c r="AL87" i="12"/>
  <c r="AM87" i="12"/>
  <c r="AQ87" i="12"/>
  <c r="AJ95" i="12"/>
  <c r="AL95" i="12"/>
  <c r="AM95" i="12"/>
  <c r="AQ95" i="12"/>
  <c r="AL34" i="12"/>
  <c r="AJ34" i="12"/>
  <c r="AQ34" i="12"/>
  <c r="AM34" i="12"/>
  <c r="AJ88" i="12"/>
  <c r="AL88" i="12"/>
  <c r="AM88" i="12"/>
  <c r="AQ88" i="12"/>
  <c r="AJ115" i="12"/>
  <c r="AL115" i="12"/>
  <c r="AM115" i="12"/>
  <c r="AQ115" i="12"/>
  <c r="AM124" i="12"/>
  <c r="AJ124" i="12"/>
  <c r="AL124" i="12"/>
  <c r="AQ124" i="12"/>
  <c r="AO115" i="12"/>
  <c r="AL38" i="12"/>
  <c r="AJ38" i="12"/>
  <c r="AQ38" i="12"/>
  <c r="AM38" i="12"/>
  <c r="AJ50" i="12"/>
  <c r="AL50" i="12"/>
  <c r="AM50" i="12"/>
  <c r="AQ50" i="12"/>
  <c r="AJ53" i="12"/>
  <c r="AL53" i="12"/>
  <c r="AQ53" i="12"/>
  <c r="AM53" i="12"/>
  <c r="AJ103" i="12"/>
  <c r="AL103" i="12"/>
  <c r="AM103" i="12"/>
  <c r="AQ103" i="12"/>
  <c r="AJ94" i="12"/>
  <c r="AL94" i="12"/>
  <c r="AM94" i="12"/>
  <c r="AQ94" i="12"/>
  <c r="AM120" i="12"/>
  <c r="AJ120" i="12"/>
  <c r="AL120" i="12"/>
  <c r="AQ120" i="12"/>
  <c r="AO116" i="12"/>
  <c r="AO50" i="12"/>
  <c r="AO53" i="12"/>
  <c r="AO22" i="12"/>
  <c r="AK126" i="12"/>
  <c r="AL5" i="12"/>
  <c r="AK174" i="12"/>
  <c r="AJ5" i="12"/>
  <c r="AQ5" i="12"/>
  <c r="AM5" i="12"/>
  <c r="AJ85" i="12"/>
  <c r="AL85" i="12"/>
  <c r="AQ85" i="12"/>
  <c r="AM85" i="12"/>
  <c r="AJ93" i="12"/>
  <c r="AL93" i="12"/>
  <c r="AQ93" i="12"/>
  <c r="AM93" i="12"/>
  <c r="AJ84" i="12"/>
  <c r="AL84" i="12"/>
  <c r="AM84" i="12"/>
  <c r="AQ84" i="12"/>
  <c r="AJ105" i="12"/>
  <c r="AL105" i="12"/>
  <c r="AQ105" i="12"/>
  <c r="AM105" i="12"/>
  <c r="AO28" i="12"/>
  <c r="AO102" i="12"/>
  <c r="AO27" i="12"/>
  <c r="AO35" i="12"/>
  <c r="AO43" i="12"/>
  <c r="AL30" i="12"/>
  <c r="AJ30" i="12"/>
  <c r="AQ30" i="12"/>
  <c r="AM30" i="12"/>
  <c r="AJ56" i="12"/>
  <c r="AL56" i="12"/>
  <c r="AM56" i="12"/>
  <c r="AQ56" i="12"/>
  <c r="AJ55" i="12"/>
  <c r="AL55" i="12"/>
  <c r="AM55" i="12"/>
  <c r="AQ55" i="12"/>
  <c r="AM121" i="12"/>
  <c r="AJ121" i="12"/>
  <c r="AL121" i="12"/>
  <c r="AQ121" i="12"/>
  <c r="AO96" i="12"/>
  <c r="AO47" i="12"/>
  <c r="AO105" i="12"/>
  <c r="AO46" i="12"/>
  <c r="AO48" i="12"/>
  <c r="AO87" i="12"/>
  <c r="AO95" i="12"/>
  <c r="AO103" i="12"/>
  <c r="AJ78" i="12"/>
  <c r="AL78" i="12"/>
  <c r="AM78" i="12"/>
  <c r="AQ78" i="12"/>
  <c r="AO76" i="12"/>
  <c r="AJ107" i="12"/>
  <c r="AL107" i="12"/>
  <c r="AM107" i="12"/>
  <c r="AQ107" i="12"/>
  <c r="AJ57" i="12"/>
  <c r="AL57" i="12"/>
  <c r="AQ57" i="12"/>
  <c r="AM57" i="12"/>
  <c r="AL16" i="12"/>
  <c r="AJ16" i="12"/>
  <c r="AQ16" i="12"/>
  <c r="AM16" i="12"/>
  <c r="AJ75" i="12"/>
  <c r="AL75" i="12"/>
  <c r="AM75" i="12"/>
  <c r="AQ75" i="12"/>
  <c r="AJ109" i="12"/>
  <c r="AL109" i="12"/>
  <c r="AQ109" i="12"/>
  <c r="AM109" i="12"/>
  <c r="AJ111" i="12"/>
  <c r="AL111" i="12"/>
  <c r="AM111" i="12"/>
  <c r="AQ111" i="12"/>
  <c r="AJ70" i="12"/>
  <c r="AL70" i="12"/>
  <c r="AM70" i="12"/>
  <c r="AQ70" i="12"/>
  <c r="AJ72" i="12"/>
  <c r="AL72" i="12"/>
  <c r="AM72" i="12"/>
  <c r="AQ72" i="12"/>
  <c r="AY90" i="12"/>
  <c r="AW90" i="12"/>
  <c r="AY82" i="12"/>
  <c r="AW82" i="12"/>
  <c r="AY74" i="12"/>
  <c r="AW74" i="12"/>
  <c r="AY112" i="12"/>
  <c r="AW112" i="12"/>
  <c r="AY101" i="12"/>
  <c r="AW101" i="12"/>
  <c r="AY97" i="12"/>
  <c r="AW97" i="12"/>
  <c r="AY77" i="12"/>
  <c r="AW77" i="12"/>
  <c r="AY73" i="12"/>
  <c r="AW73" i="12"/>
  <c r="BI124" i="12"/>
  <c r="BI122" i="12"/>
  <c r="BI120" i="12"/>
  <c r="BI119" i="12"/>
  <c r="BI117" i="12"/>
  <c r="BI115" i="12"/>
  <c r="BI113" i="12"/>
  <c r="BI111" i="12"/>
  <c r="BI109" i="12"/>
  <c r="BI107" i="12"/>
  <c r="BI105" i="12"/>
  <c r="BI103" i="12"/>
  <c r="BI101" i="12"/>
  <c r="BI99" i="12"/>
  <c r="BI97" i="12"/>
  <c r="BI95" i="12"/>
  <c r="BI93" i="12"/>
  <c r="BI91" i="12"/>
  <c r="BI89" i="12"/>
  <c r="BI87" i="12"/>
  <c r="BI85" i="12"/>
  <c r="BI83" i="12"/>
  <c r="BI81" i="12"/>
  <c r="BI79" i="12"/>
  <c r="BI77" i="12"/>
  <c r="BI75" i="12"/>
  <c r="BI73" i="12"/>
  <c r="BI71" i="12"/>
  <c r="BI69" i="12"/>
  <c r="BI67" i="12"/>
  <c r="BI65" i="12"/>
  <c r="BI63" i="12"/>
  <c r="BI61" i="12"/>
  <c r="BI59" i="12"/>
  <c r="BI57" i="12"/>
  <c r="BI55" i="12"/>
  <c r="BI53" i="12"/>
  <c r="BI51" i="12"/>
  <c r="BI49" i="12"/>
  <c r="BI47" i="12"/>
  <c r="BI45" i="12"/>
  <c r="BI43" i="12"/>
  <c r="BI41" i="12"/>
  <c r="BI39" i="12"/>
  <c r="BI37" i="12"/>
  <c r="BI35" i="12"/>
  <c r="BI33" i="12"/>
  <c r="BI31" i="12"/>
  <c r="BI29" i="12"/>
  <c r="BI27" i="12"/>
  <c r="BI25" i="12"/>
  <c r="BI23" i="12"/>
  <c r="BI21" i="12"/>
  <c r="BI19" i="12"/>
  <c r="BI17" i="12"/>
  <c r="BI15" i="12"/>
  <c r="BI13" i="12"/>
  <c r="BI11" i="12"/>
  <c r="BI9" i="12"/>
  <c r="BI7" i="12"/>
  <c r="BI5" i="12"/>
  <c r="BO4" i="12"/>
  <c r="BI4" i="12"/>
  <c r="BJ4" i="12" s="1"/>
  <c r="BP4" i="12"/>
  <c r="BI123" i="12"/>
  <c r="BI121" i="12"/>
  <c r="BI125" i="12"/>
  <c r="BI118" i="12"/>
  <c r="BI116" i="12"/>
  <c r="BI114" i="12"/>
  <c r="BI112" i="12"/>
  <c r="BI110" i="12"/>
  <c r="BI106" i="12"/>
  <c r="BI102" i="12"/>
  <c r="BI98" i="12"/>
  <c r="BI94" i="12"/>
  <c r="BI90" i="12"/>
  <c r="BI86" i="12"/>
  <c r="BI82" i="12"/>
  <c r="BI78" i="12"/>
  <c r="BI74" i="12"/>
  <c r="BI70" i="12"/>
  <c r="BI66" i="12"/>
  <c r="BI62" i="12"/>
  <c r="BI58" i="12"/>
  <c r="BI54" i="12"/>
  <c r="BI50" i="12"/>
  <c r="BI46" i="12"/>
  <c r="BI42" i="12"/>
  <c r="BI38" i="12"/>
  <c r="BI34" i="12"/>
  <c r="BI30" i="12"/>
  <c r="BI26" i="12"/>
  <c r="BI22" i="12"/>
  <c r="BI18" i="12"/>
  <c r="BI14" i="12"/>
  <c r="BI10" i="12"/>
  <c r="BI6" i="12"/>
  <c r="BK4" i="12"/>
  <c r="BN4" i="12"/>
  <c r="BI108" i="12"/>
  <c r="BI104" i="12"/>
  <c r="BI100" i="12"/>
  <c r="BI96" i="12"/>
  <c r="BI92" i="12"/>
  <c r="BI88" i="12"/>
  <c r="BI84" i="12"/>
  <c r="BI80" i="12"/>
  <c r="BI76" i="12"/>
  <c r="BI72" i="12"/>
  <c r="BI68" i="12"/>
  <c r="BI64" i="12"/>
  <c r="BI60" i="12"/>
  <c r="BI56" i="12"/>
  <c r="BI52" i="12"/>
  <c r="BI48" i="12"/>
  <c r="BI44" i="12"/>
  <c r="BI40" i="12"/>
  <c r="BI36" i="12"/>
  <c r="BI32" i="12"/>
  <c r="BI28" i="12"/>
  <c r="BI24" i="12"/>
  <c r="BI20" i="12"/>
  <c r="BI16" i="12"/>
  <c r="BI12" i="12"/>
  <c r="BI8" i="12"/>
  <c r="BQ4" i="12"/>
  <c r="BZ4" i="12"/>
  <c r="BK73" i="12"/>
  <c r="BQ73" i="12" s="1"/>
  <c r="BK77" i="12"/>
  <c r="BM77" i="12" s="1"/>
  <c r="BN77" i="12" s="1"/>
  <c r="BK79" i="12"/>
  <c r="BO79" i="12" s="1"/>
  <c r="BK97" i="12"/>
  <c r="BM97" i="12" s="1"/>
  <c r="BN97" i="12" s="1"/>
  <c r="BK101" i="12"/>
  <c r="BK112" i="12"/>
  <c r="BM112" i="12" s="1"/>
  <c r="BN112" i="12" s="1"/>
  <c r="BK7" i="12"/>
  <c r="BM7" i="12" s="1"/>
  <c r="BN7" i="12" s="1"/>
  <c r="BK74" i="12"/>
  <c r="BK82" i="12"/>
  <c r="BK90" i="12"/>
  <c r="BM101" i="12"/>
  <c r="BN101" i="12" s="1"/>
  <c r="BM73" i="12"/>
  <c r="BN73" i="12" s="1"/>
  <c r="BM79" i="12"/>
  <c r="BN79" i="12" s="1"/>
  <c r="BQ7" i="12"/>
  <c r="AV134" i="12"/>
  <c r="AV138" i="12" s="1"/>
  <c r="AX181" i="12" s="1"/>
  <c r="AW181" i="12" s="1"/>
  <c r="AJ114" i="12"/>
  <c r="AL114" i="12"/>
  <c r="AM114" i="12"/>
  <c r="AQ114" i="12"/>
  <c r="AJ66" i="12"/>
  <c r="AL66" i="12"/>
  <c r="AM66" i="12"/>
  <c r="AQ66" i="12"/>
  <c r="AJ42" i="12"/>
  <c r="AL42" i="12"/>
  <c r="AM42" i="12"/>
  <c r="AQ42" i="12"/>
  <c r="AL6" i="12"/>
  <c r="AJ6" i="12"/>
  <c r="AQ6" i="12"/>
  <c r="AM6" i="12"/>
  <c r="AJ51" i="12"/>
  <c r="AL51" i="12"/>
  <c r="AM51" i="12"/>
  <c r="AQ51" i="12"/>
  <c r="AL12" i="12"/>
  <c r="AJ12" i="12"/>
  <c r="AQ12" i="12"/>
  <c r="AM12" i="12"/>
  <c r="AL25" i="12"/>
  <c r="AJ25" i="12"/>
  <c r="AM25" i="12"/>
  <c r="AQ25" i="12"/>
  <c r="AL36" i="12"/>
  <c r="AJ36" i="12"/>
  <c r="AQ36" i="12"/>
  <c r="AM36" i="12"/>
  <c r="DA79" i="14"/>
  <c r="DK79" i="14"/>
  <c r="DO114" i="14"/>
  <c r="DA119" i="14"/>
  <c r="DK119" i="14"/>
  <c r="DA94" i="14"/>
  <c r="DK94" i="14"/>
  <c r="DO107" i="14"/>
  <c r="DA112" i="14"/>
  <c r="DK112" i="14"/>
  <c r="DO112" i="14" s="1"/>
  <c r="DA123" i="14"/>
  <c r="DK123" i="14"/>
  <c r="DO87" i="14"/>
  <c r="DA113" i="14"/>
  <c r="DK113" i="14"/>
  <c r="DA67" i="14"/>
  <c r="DK67" i="14"/>
  <c r="DA111" i="14"/>
  <c r="DK111" i="14"/>
  <c r="DA105" i="14"/>
  <c r="DK105" i="14"/>
  <c r="DA74" i="14"/>
  <c r="DK74" i="14"/>
  <c r="DA109" i="14"/>
  <c r="DK109" i="14"/>
  <c r="DA92" i="14"/>
  <c r="DK92" i="14"/>
  <c r="DA62" i="14"/>
  <c r="DK62" i="14"/>
  <c r="DA124" i="14"/>
  <c r="DK124" i="14"/>
  <c r="DA71" i="14"/>
  <c r="DK71" i="14"/>
  <c r="DA116" i="14"/>
  <c r="DK116" i="14"/>
  <c r="DA99" i="14"/>
  <c r="DK99" i="14"/>
  <c r="DA102" i="14"/>
  <c r="DK102" i="14"/>
  <c r="DA76" i="14"/>
  <c r="DK76" i="14"/>
  <c r="AO12" i="12"/>
  <c r="BB73" i="12"/>
  <c r="AO66" i="12"/>
  <c r="AO89" i="12"/>
  <c r="AO59" i="12"/>
  <c r="AO11" i="12"/>
  <c r="AO113" i="12"/>
  <c r="AO124" i="12"/>
  <c r="AO55" i="12"/>
  <c r="AO60" i="12"/>
  <c r="AO64" i="12"/>
  <c r="AO71" i="12"/>
  <c r="AO9" i="12"/>
  <c r="AO111" i="12"/>
  <c r="AO85" i="12"/>
  <c r="AO109" i="12"/>
  <c r="AO110" i="12"/>
  <c r="AE125" i="12"/>
  <c r="AE123" i="12"/>
  <c r="AE121" i="12"/>
  <c r="AE119" i="12"/>
  <c r="AE117" i="12"/>
  <c r="AE115" i="12"/>
  <c r="AE113" i="12"/>
  <c r="AE111" i="12"/>
  <c r="AE109" i="12"/>
  <c r="AE107" i="12"/>
  <c r="AE105" i="12"/>
  <c r="AE103" i="12"/>
  <c r="AE101" i="12"/>
  <c r="AE99" i="12"/>
  <c r="AE97" i="12"/>
  <c r="AE95" i="12"/>
  <c r="AE93" i="12"/>
  <c r="AE91" i="12"/>
  <c r="AE89" i="12"/>
  <c r="AE87" i="12"/>
  <c r="AE85" i="12"/>
  <c r="AE83" i="12"/>
  <c r="AE81" i="12"/>
  <c r="AE79" i="12"/>
  <c r="AE77" i="12"/>
  <c r="AE75" i="12"/>
  <c r="AE73" i="12"/>
  <c r="AE71" i="12"/>
  <c r="AE69" i="12"/>
  <c r="AE67" i="12"/>
  <c r="AE65" i="12"/>
  <c r="AE63" i="12"/>
  <c r="AE61" i="12"/>
  <c r="AE59" i="12"/>
  <c r="AE57" i="12"/>
  <c r="AE55" i="12"/>
  <c r="AE53" i="12"/>
  <c r="AE51" i="12"/>
  <c r="AE49" i="12"/>
  <c r="AE47" i="12"/>
  <c r="AE45" i="12"/>
  <c r="AE43" i="12"/>
  <c r="AE41" i="12"/>
  <c r="AE124" i="12"/>
  <c r="AE122" i="12"/>
  <c r="AE120" i="12"/>
  <c r="AE118" i="12"/>
  <c r="AE116" i="12"/>
  <c r="AE114" i="12"/>
  <c r="AE112" i="12"/>
  <c r="AE110" i="12"/>
  <c r="AE108" i="12"/>
  <c r="AE106" i="12"/>
  <c r="AE104" i="12"/>
  <c r="AE102" i="12"/>
  <c r="AE100" i="12"/>
  <c r="AE98" i="12"/>
  <c r="AE96" i="12"/>
  <c r="AE94" i="12"/>
  <c r="AE92" i="12"/>
  <c r="AE90" i="12"/>
  <c r="AE88" i="12"/>
  <c r="AE86" i="12"/>
  <c r="AE84" i="12"/>
  <c r="AE82" i="12"/>
  <c r="AE80" i="12"/>
  <c r="AE78" i="12"/>
  <c r="AE76" i="12"/>
  <c r="AE74" i="12"/>
  <c r="AE72" i="12"/>
  <c r="AE70" i="12"/>
  <c r="AE68" i="12"/>
  <c r="AE66" i="12"/>
  <c r="AE64" i="12"/>
  <c r="AE62" i="12"/>
  <c r="AE60" i="12"/>
  <c r="AE58" i="12"/>
  <c r="AE56" i="12"/>
  <c r="AE54" i="12"/>
  <c r="AE52" i="12"/>
  <c r="AE50" i="12"/>
  <c r="AE48" i="12"/>
  <c r="AE46" i="12"/>
  <c r="AE44" i="12"/>
  <c r="AE42" i="12"/>
  <c r="AE6" i="12"/>
  <c r="AE7" i="12"/>
  <c r="AE10" i="12"/>
  <c r="AE11" i="12"/>
  <c r="AE14" i="12"/>
  <c r="AE15" i="12"/>
  <c r="AE18" i="12"/>
  <c r="AE19" i="12"/>
  <c r="AE22" i="12"/>
  <c r="AE23" i="12"/>
  <c r="AE26" i="12"/>
  <c r="AE27" i="12"/>
  <c r="AE30" i="12"/>
  <c r="AE31" i="12"/>
  <c r="AE34" i="12"/>
  <c r="AE35" i="12"/>
  <c r="AE38" i="12"/>
  <c r="AE39" i="12"/>
  <c r="AE5" i="12"/>
  <c r="AE8" i="12"/>
  <c r="AE9" i="12"/>
  <c r="AE12" i="12"/>
  <c r="AE13" i="12"/>
  <c r="AE16" i="12"/>
  <c r="AE17" i="12"/>
  <c r="AE20" i="12"/>
  <c r="AE21" i="12"/>
  <c r="AE24" i="12"/>
  <c r="AE25" i="12"/>
  <c r="AE28" i="12"/>
  <c r="AE29" i="12"/>
  <c r="AE32" i="12"/>
  <c r="AE33" i="12"/>
  <c r="AE36" i="12"/>
  <c r="AE37" i="12"/>
  <c r="AE40" i="12"/>
  <c r="AJ117" i="12"/>
  <c r="AL117" i="12"/>
  <c r="AM117" i="12"/>
  <c r="AQ117" i="12"/>
  <c r="AJ44" i="12"/>
  <c r="AL44" i="12"/>
  <c r="AM44" i="12"/>
  <c r="AQ44" i="12"/>
  <c r="AL10" i="12"/>
  <c r="AJ10" i="12"/>
  <c r="AQ10" i="12"/>
  <c r="AM10" i="12"/>
  <c r="AL18" i="12"/>
  <c r="AJ18" i="12"/>
  <c r="AQ18" i="12"/>
  <c r="AM18" i="12"/>
  <c r="AJ69" i="12"/>
  <c r="AL69" i="12"/>
  <c r="AQ69" i="12"/>
  <c r="AM69" i="12"/>
  <c r="AJ61" i="12"/>
  <c r="AL61" i="12"/>
  <c r="AQ61" i="12"/>
  <c r="AM61" i="12"/>
  <c r="AJ41" i="12"/>
  <c r="AL41" i="12"/>
  <c r="AQ41" i="12"/>
  <c r="AM41" i="12"/>
  <c r="AL13" i="12"/>
  <c r="AJ13" i="12"/>
  <c r="AQ13" i="12"/>
  <c r="AM13" i="12"/>
  <c r="AL37" i="12"/>
  <c r="AJ37" i="12"/>
  <c r="AQ37" i="12"/>
  <c r="AM37" i="12"/>
  <c r="DO117" i="14"/>
  <c r="DA73" i="14"/>
  <c r="DK73" i="14"/>
  <c r="DA86" i="14"/>
  <c r="DK86" i="14"/>
  <c r="DA58" i="14"/>
  <c r="DK58" i="14"/>
  <c r="DO88" i="14"/>
  <c r="DA121" i="14"/>
  <c r="DK121" i="14"/>
  <c r="DA89" i="14"/>
  <c r="DK89" i="14"/>
  <c r="DA68" i="14"/>
  <c r="DK68" i="14"/>
  <c r="DA64" i="14"/>
  <c r="DK64" i="14"/>
  <c r="DA101" i="14"/>
  <c r="DK101" i="14"/>
  <c r="DO77" i="14"/>
  <c r="DA98" i="14"/>
  <c r="DK98" i="14"/>
  <c r="DA66" i="14"/>
  <c r="DK66" i="14"/>
  <c r="DO84" i="14"/>
  <c r="DA69" i="14"/>
  <c r="DK69" i="14"/>
  <c r="DA91" i="14"/>
  <c r="DK91" i="14"/>
  <c r="DA6" i="14"/>
  <c r="DK6" i="14"/>
  <c r="DO6" i="14" s="1"/>
  <c r="DA106" i="14"/>
  <c r="DK106" i="14"/>
  <c r="DO106" i="14" s="1"/>
  <c r="DA40" i="14"/>
  <c r="DK40" i="14"/>
  <c r="DA48" i="14"/>
  <c r="DK48" i="14"/>
  <c r="DA43" i="14"/>
  <c r="DK43" i="14"/>
  <c r="DA39" i="14"/>
  <c r="DK39" i="14"/>
  <c r="DO39" i="14" s="1"/>
  <c r="DA41" i="14"/>
  <c r="DK41" i="14"/>
  <c r="DO41" i="14" s="1"/>
  <c r="DA47" i="14"/>
  <c r="DK47" i="14"/>
  <c r="DA46" i="14"/>
  <c r="DK46" i="14"/>
  <c r="DA44" i="14"/>
  <c r="DK44" i="14"/>
  <c r="DA50" i="14"/>
  <c r="DK50" i="14"/>
  <c r="DO50" i="14" s="1"/>
  <c r="DA34" i="14"/>
  <c r="DK34" i="14"/>
  <c r="DA33" i="14"/>
  <c r="DK33" i="14"/>
  <c r="DO33" i="14" s="1"/>
  <c r="DA35" i="14"/>
  <c r="DK35" i="14"/>
  <c r="DO35" i="14" s="1"/>
  <c r="DA42" i="14"/>
  <c r="DK42" i="14"/>
  <c r="DA51" i="14"/>
  <c r="DK51" i="14"/>
  <c r="DO51" i="14" s="1"/>
  <c r="DA49" i="14"/>
  <c r="DK49" i="14"/>
  <c r="DA55" i="14"/>
  <c r="DK55" i="14"/>
  <c r="DA31" i="14"/>
  <c r="DK31" i="14"/>
  <c r="DO31" i="14" s="1"/>
  <c r="DA32" i="14"/>
  <c r="DK32" i="14"/>
  <c r="DA37" i="14"/>
  <c r="DK37" i="14"/>
  <c r="DA38" i="14"/>
  <c r="DK38" i="14"/>
  <c r="DA54" i="14"/>
  <c r="DK54" i="14"/>
  <c r="DA45" i="14"/>
  <c r="DK45" i="14"/>
  <c r="DA52" i="14"/>
  <c r="DK52" i="14"/>
  <c r="DO52" i="14" s="1"/>
  <c r="DA36" i="14"/>
  <c r="DK36" i="14"/>
  <c r="DO36" i="14" s="1"/>
  <c r="DA53" i="14"/>
  <c r="DK53" i="14"/>
  <c r="CY143" i="14"/>
  <c r="CY151" i="14" s="1"/>
  <c r="DD156" i="14"/>
  <c r="CN151" i="14"/>
  <c r="CM143" i="14"/>
  <c r="DA7" i="14"/>
  <c r="DK7" i="14"/>
  <c r="CX138" i="14"/>
  <c r="DA17" i="14"/>
  <c r="DK17" i="14"/>
  <c r="DA13" i="14"/>
  <c r="DK13" i="14"/>
  <c r="DA25" i="14"/>
  <c r="DK25" i="14"/>
  <c r="DA12" i="14"/>
  <c r="DK12" i="14"/>
  <c r="DA18" i="14"/>
  <c r="DK18" i="14"/>
  <c r="DO18" i="14" s="1"/>
  <c r="DA11" i="14"/>
  <c r="DK11" i="14"/>
  <c r="DO11" i="14" s="1"/>
  <c r="DA27" i="14"/>
  <c r="DK27" i="14"/>
  <c r="DA16" i="14"/>
  <c r="DK16" i="14"/>
  <c r="DA15" i="14"/>
  <c r="DK15" i="14"/>
  <c r="DO15" i="14" s="1"/>
  <c r="DA20" i="14"/>
  <c r="DK20" i="14"/>
  <c r="DO20" i="14" s="1"/>
  <c r="CW126" i="14"/>
  <c r="CX176" i="14" s="1"/>
  <c r="DA28" i="14"/>
  <c r="DA147" i="14" s="1"/>
  <c r="CZ147" i="14" s="1"/>
  <c r="DK28" i="14"/>
  <c r="DK134" i="14" s="1"/>
  <c r="DA19" i="14"/>
  <c r="DK19" i="14"/>
  <c r="DA24" i="14"/>
  <c r="DK24" i="14"/>
  <c r="DA9" i="14"/>
  <c r="DK9" i="14"/>
  <c r="DA10" i="14"/>
  <c r="DK10" i="14"/>
  <c r="DA26" i="14"/>
  <c r="DK26" i="14"/>
  <c r="DA23" i="14"/>
  <c r="DK23" i="14"/>
  <c r="DA14" i="14"/>
  <c r="DK14" i="14"/>
  <c r="DA21" i="14"/>
  <c r="DK21" i="14"/>
  <c r="DO21" i="14" s="1"/>
  <c r="DA22" i="14"/>
  <c r="DK22" i="14"/>
  <c r="DA29" i="14"/>
  <c r="DK29" i="14"/>
  <c r="CX177" i="14"/>
  <c r="CX182" i="14"/>
  <c r="DD126" i="14"/>
  <c r="DA8" i="14"/>
  <c r="CZ126" i="14"/>
  <c r="DK8" i="14"/>
  <c r="C14" i="17"/>
  <c r="D14" i="17"/>
  <c r="D15" i="17"/>
  <c r="H26" i="17"/>
  <c r="H28" i="17" s="1"/>
  <c r="AA35" i="12"/>
  <c r="AA87" i="12"/>
  <c r="AA88" i="12"/>
  <c r="AA124" i="12"/>
  <c r="AA23" i="12"/>
  <c r="AA31" i="12"/>
  <c r="AA39" i="12"/>
  <c r="AA83" i="12"/>
  <c r="AA91" i="12"/>
  <c r="AA22" i="12"/>
  <c r="AA47" i="12"/>
  <c r="AA119" i="12"/>
  <c r="AA46" i="12"/>
  <c r="AA58" i="12"/>
  <c r="AA106" i="12"/>
  <c r="AA86" i="12"/>
  <c r="AA116" i="12"/>
  <c r="AA81" i="12"/>
  <c r="AA89" i="12"/>
  <c r="AA28" i="12"/>
  <c r="AA24" i="12"/>
  <c r="AA48" i="12"/>
  <c r="AA80" i="12"/>
  <c r="AA76" i="12"/>
  <c r="AA49" i="12"/>
  <c r="AA14" i="12"/>
  <c r="AA59" i="12"/>
  <c r="AA108" i="12"/>
  <c r="AA11" i="12"/>
  <c r="AA19" i="12"/>
  <c r="AA68" i="12"/>
  <c r="AA110" i="12"/>
  <c r="AA21" i="12"/>
  <c r="AA113" i="12"/>
  <c r="AA60" i="12"/>
  <c r="AA62" i="12"/>
  <c r="AA64" i="12"/>
  <c r="AA67" i="12"/>
  <c r="AA71" i="12"/>
  <c r="AA27" i="12"/>
  <c r="AA43" i="12"/>
  <c r="AA34" i="12"/>
  <c r="AA115" i="12"/>
  <c r="AA38" i="12"/>
  <c r="AA50" i="12"/>
  <c r="AA53" i="12"/>
  <c r="AA120" i="12"/>
  <c r="AA85" i="12"/>
  <c r="AA84" i="12"/>
  <c r="AA30" i="12"/>
  <c r="AA56" i="12"/>
  <c r="AA55" i="12"/>
  <c r="AA121" i="12"/>
  <c r="AA78" i="12"/>
  <c r="AA107" i="12"/>
  <c r="AA57" i="12"/>
  <c r="AA16" i="12"/>
  <c r="AA75" i="12"/>
  <c r="AA109" i="12"/>
  <c r="AA111" i="12"/>
  <c r="AA70" i="12"/>
  <c r="AA72" i="12"/>
  <c r="AA103" i="12"/>
  <c r="AA94" i="12"/>
  <c r="AA93" i="12"/>
  <c r="AA105" i="12"/>
  <c r="AA95" i="12"/>
  <c r="AA100" i="12"/>
  <c r="AA102" i="12"/>
  <c r="AA99" i="12"/>
  <c r="AA96" i="12"/>
  <c r="AA98" i="12"/>
  <c r="AA104" i="12"/>
  <c r="AA92" i="12"/>
  <c r="V138" i="12"/>
  <c r="X181" i="12" s="1"/>
  <c r="AA32" i="12"/>
  <c r="X138" i="12"/>
  <c r="X183" i="12" s="1"/>
  <c r="C18" i="17" s="1"/>
  <c r="Y147" i="12"/>
  <c r="AD160" i="12"/>
  <c r="AD156" i="12"/>
  <c r="Y143" i="12"/>
  <c r="AD5" i="12"/>
  <c r="X174" i="12"/>
  <c r="AD126" i="12"/>
  <c r="Y5" i="12"/>
  <c r="Y126" i="12" s="1"/>
  <c r="W126" i="12"/>
  <c r="X176" i="12" s="1"/>
  <c r="AB5" i="12"/>
  <c r="AO5" i="12" s="1"/>
  <c r="X126" i="12"/>
  <c r="X182" i="12" s="1"/>
  <c r="C17" i="17" s="1"/>
  <c r="R124" i="12"/>
  <c r="R122" i="12"/>
  <c r="R113" i="12"/>
  <c r="R111" i="12"/>
  <c r="R109" i="12"/>
  <c r="R107" i="12"/>
  <c r="R105" i="12"/>
  <c r="R103" i="12"/>
  <c r="R101" i="12"/>
  <c r="R99" i="12"/>
  <c r="R97" i="12"/>
  <c r="R94" i="12"/>
  <c r="R92" i="12"/>
  <c r="R125" i="12"/>
  <c r="R123" i="12"/>
  <c r="R121" i="12"/>
  <c r="R120" i="12"/>
  <c r="R119" i="12"/>
  <c r="R118" i="12"/>
  <c r="R117" i="12"/>
  <c r="R116" i="12"/>
  <c r="R115" i="12"/>
  <c r="R114" i="12"/>
  <c r="R112" i="12"/>
  <c r="R110" i="12"/>
  <c r="R108" i="12"/>
  <c r="R106" i="12"/>
  <c r="R104" i="12"/>
  <c r="R102" i="12"/>
  <c r="R100" i="12"/>
  <c r="R98" i="12"/>
  <c r="R96" i="12"/>
  <c r="R95" i="12"/>
  <c r="R93" i="12"/>
  <c r="R91" i="12"/>
  <c r="R89" i="12"/>
  <c r="R87" i="12"/>
  <c r="R85" i="12"/>
  <c r="R83" i="12"/>
  <c r="R81" i="12"/>
  <c r="R80" i="12"/>
  <c r="R77" i="12"/>
  <c r="R76" i="12"/>
  <c r="R75" i="12"/>
  <c r="R73" i="12"/>
  <c r="R71" i="12"/>
  <c r="R69" i="12"/>
  <c r="R67" i="12"/>
  <c r="R65" i="12"/>
  <c r="R63" i="12"/>
  <c r="R61" i="12"/>
  <c r="R58" i="12"/>
  <c r="R56" i="12"/>
  <c r="R90" i="12"/>
  <c r="R88" i="12"/>
  <c r="R86" i="12"/>
  <c r="R84" i="12"/>
  <c r="R82" i="12"/>
  <c r="R79" i="12"/>
  <c r="R78" i="12"/>
  <c r="R74" i="12"/>
  <c r="R72" i="12"/>
  <c r="R70" i="12"/>
  <c r="R68" i="12"/>
  <c r="R66" i="12"/>
  <c r="R64" i="12"/>
  <c r="R62" i="12"/>
  <c r="R60" i="12"/>
  <c r="R59" i="12"/>
  <c r="R57" i="12"/>
  <c r="R55" i="12"/>
  <c r="R54" i="12"/>
  <c r="R53" i="12"/>
  <c r="R51" i="12"/>
  <c r="R49" i="12"/>
  <c r="R47" i="12"/>
  <c r="R46" i="12"/>
  <c r="R44" i="12"/>
  <c r="R42" i="12"/>
  <c r="R40" i="12"/>
  <c r="R38" i="12"/>
  <c r="R36" i="12"/>
  <c r="R34" i="12"/>
  <c r="R32" i="12"/>
  <c r="R30" i="12"/>
  <c r="R28" i="12"/>
  <c r="R26" i="12"/>
  <c r="R24" i="12"/>
  <c r="R22" i="12"/>
  <c r="R21" i="12"/>
  <c r="R19" i="12"/>
  <c r="R17" i="12"/>
  <c r="R15" i="12"/>
  <c r="R13" i="12"/>
  <c r="R11" i="12"/>
  <c r="R9" i="12"/>
  <c r="R7" i="12"/>
  <c r="R52" i="12"/>
  <c r="R50" i="12"/>
  <c r="R48" i="12"/>
  <c r="R45" i="12"/>
  <c r="R43" i="12"/>
  <c r="R41" i="12"/>
  <c r="R39" i="12"/>
  <c r="R37" i="12"/>
  <c r="R35" i="12"/>
  <c r="R33" i="12"/>
  <c r="R31" i="12"/>
  <c r="R29" i="12"/>
  <c r="R27" i="12"/>
  <c r="R25" i="12"/>
  <c r="R23" i="12"/>
  <c r="R20" i="12"/>
  <c r="R18" i="12"/>
  <c r="R16" i="12"/>
  <c r="R14" i="12"/>
  <c r="R12" i="12"/>
  <c r="R10" i="12"/>
  <c r="R8" i="12"/>
  <c r="R6" i="12"/>
  <c r="R5" i="12"/>
  <c r="AA5" i="12"/>
  <c r="Z126" i="12"/>
  <c r="DX95" i="14" l="1"/>
  <c r="DN95" i="14"/>
  <c r="BO73" i="12"/>
  <c r="BQ79" i="12"/>
  <c r="BI134" i="12"/>
  <c r="BI138" i="12" s="1"/>
  <c r="BK181" i="12" s="1"/>
  <c r="BQ77" i="12"/>
  <c r="BQ112" i="12"/>
  <c r="DN93" i="14"/>
  <c r="DX93" i="14"/>
  <c r="DL101" i="14"/>
  <c r="DJ101" i="14"/>
  <c r="DM101" i="14"/>
  <c r="DQ101" i="14"/>
  <c r="DO101" i="14"/>
  <c r="DL68" i="14"/>
  <c r="DJ68" i="14"/>
  <c r="DQ68" i="14"/>
  <c r="DM68" i="14"/>
  <c r="DL89" i="14"/>
  <c r="DJ89" i="14"/>
  <c r="DQ89" i="14"/>
  <c r="DM89" i="14"/>
  <c r="DO121" i="14"/>
  <c r="DJ121" i="14"/>
  <c r="DL121" i="14"/>
  <c r="DQ121" i="14"/>
  <c r="DM121" i="14"/>
  <c r="DL73" i="14"/>
  <c r="DJ73" i="14"/>
  <c r="DQ73" i="14"/>
  <c r="DM73" i="14"/>
  <c r="DO73" i="14"/>
  <c r="AN37" i="12"/>
  <c r="AX37" i="12"/>
  <c r="AN13" i="12"/>
  <c r="AX13" i="12"/>
  <c r="AN41" i="12"/>
  <c r="AX41" i="12"/>
  <c r="AN61" i="12"/>
  <c r="AX61" i="12"/>
  <c r="AN69" i="12"/>
  <c r="AX69" i="12"/>
  <c r="AN18" i="12"/>
  <c r="AX18" i="12"/>
  <c r="AN10" i="12"/>
  <c r="AX10" i="12"/>
  <c r="AG40" i="12"/>
  <c r="AH40" i="12" s="1"/>
  <c r="AF40" i="12"/>
  <c r="AP40" i="12"/>
  <c r="AG36" i="12"/>
  <c r="AH36" i="12" s="1"/>
  <c r="AF36" i="12"/>
  <c r="AP36" i="12"/>
  <c r="AG32" i="12"/>
  <c r="AH32" i="12" s="1"/>
  <c r="AF32" i="12"/>
  <c r="AP32" i="12"/>
  <c r="AG28" i="12"/>
  <c r="AH28" i="12" s="1"/>
  <c r="AF28" i="12"/>
  <c r="AP28" i="12"/>
  <c r="AG24" i="12"/>
  <c r="AH24" i="12" s="1"/>
  <c r="AF24" i="12"/>
  <c r="AP24" i="12"/>
  <c r="AG20" i="12"/>
  <c r="AH20" i="12" s="1"/>
  <c r="AF20" i="12"/>
  <c r="AP20" i="12"/>
  <c r="AG16" i="12"/>
  <c r="AH16" i="12" s="1"/>
  <c r="AF16" i="12"/>
  <c r="AP16" i="12"/>
  <c r="AG12" i="12"/>
  <c r="AH12" i="12" s="1"/>
  <c r="AF12" i="12"/>
  <c r="AP12" i="12"/>
  <c r="AG8" i="12"/>
  <c r="AH8" i="12" s="1"/>
  <c r="AF8" i="12"/>
  <c r="AP8" i="12"/>
  <c r="AP39" i="12"/>
  <c r="AG39" i="12"/>
  <c r="AH39" i="12" s="1"/>
  <c r="AF39" i="12"/>
  <c r="AP35" i="12"/>
  <c r="AG35" i="12"/>
  <c r="AH35" i="12" s="1"/>
  <c r="AF35" i="12"/>
  <c r="AP31" i="12"/>
  <c r="AG31" i="12"/>
  <c r="AH31" i="12" s="1"/>
  <c r="AF31" i="12"/>
  <c r="AP27" i="12"/>
  <c r="AG27" i="12"/>
  <c r="AH27" i="12" s="1"/>
  <c r="AF27" i="12"/>
  <c r="AP23" i="12"/>
  <c r="AG23" i="12"/>
  <c r="AH23" i="12" s="1"/>
  <c r="AF23" i="12"/>
  <c r="AP19" i="12"/>
  <c r="AG19" i="12"/>
  <c r="AH19" i="12" s="1"/>
  <c r="AF19" i="12"/>
  <c r="AP15" i="12"/>
  <c r="AG15" i="12"/>
  <c r="AH15" i="12" s="1"/>
  <c r="AF15" i="12"/>
  <c r="AP11" i="12"/>
  <c r="AG11" i="12"/>
  <c r="AH11" i="12" s="1"/>
  <c r="AF11" i="12"/>
  <c r="AG7" i="12"/>
  <c r="AH7" i="12" s="1"/>
  <c r="AF7" i="12"/>
  <c r="AP7" i="12"/>
  <c r="AP42" i="12"/>
  <c r="AG42" i="12"/>
  <c r="AH42" i="12" s="1"/>
  <c r="AF42" i="12"/>
  <c r="AP46" i="12"/>
  <c r="AG46" i="12"/>
  <c r="AH46" i="12" s="1"/>
  <c r="AF46" i="12"/>
  <c r="AP50" i="12"/>
  <c r="AG50" i="12"/>
  <c r="AH50" i="12" s="1"/>
  <c r="AF50" i="12"/>
  <c r="AP54" i="12"/>
  <c r="AG54" i="12"/>
  <c r="AH54" i="12" s="1"/>
  <c r="AF54" i="12"/>
  <c r="AP58" i="12"/>
  <c r="AG58" i="12"/>
  <c r="AH58" i="12" s="1"/>
  <c r="AF58" i="12"/>
  <c r="AP62" i="12"/>
  <c r="AG62" i="12"/>
  <c r="AH62" i="12" s="1"/>
  <c r="AF62" i="12"/>
  <c r="AP66" i="12"/>
  <c r="AG66" i="12"/>
  <c r="AH66" i="12" s="1"/>
  <c r="AF66" i="12"/>
  <c r="AP70" i="12"/>
  <c r="AG70" i="12"/>
  <c r="AH70" i="12" s="1"/>
  <c r="AF70" i="12"/>
  <c r="AP74" i="12"/>
  <c r="AG74" i="12"/>
  <c r="AH74" i="12" s="1"/>
  <c r="AF74" i="12"/>
  <c r="AP78" i="12"/>
  <c r="AG78" i="12"/>
  <c r="AH78" i="12" s="1"/>
  <c r="AF78" i="12"/>
  <c r="AP82" i="12"/>
  <c r="AG82" i="12"/>
  <c r="AH82" i="12" s="1"/>
  <c r="AF82" i="12"/>
  <c r="AP86" i="12"/>
  <c r="AG86" i="12"/>
  <c r="AH86" i="12" s="1"/>
  <c r="AF86" i="12"/>
  <c r="AP90" i="12"/>
  <c r="AG90" i="12"/>
  <c r="AH90" i="12" s="1"/>
  <c r="AF90" i="12"/>
  <c r="AP94" i="12"/>
  <c r="AG94" i="12"/>
  <c r="AH94" i="12" s="1"/>
  <c r="AF94" i="12"/>
  <c r="AP98" i="12"/>
  <c r="AG98" i="12"/>
  <c r="AH98" i="12" s="1"/>
  <c r="AF98" i="12"/>
  <c r="AP102" i="12"/>
  <c r="AG102" i="12"/>
  <c r="AH102" i="12" s="1"/>
  <c r="AF102" i="12"/>
  <c r="AP106" i="12"/>
  <c r="AG106" i="12"/>
  <c r="AH106" i="12" s="1"/>
  <c r="AF106" i="12"/>
  <c r="AP110" i="12"/>
  <c r="AG110" i="12"/>
  <c r="AH110" i="12" s="1"/>
  <c r="AF110" i="12"/>
  <c r="AP114" i="12"/>
  <c r="AG114" i="12"/>
  <c r="AH114" i="12" s="1"/>
  <c r="AF114" i="12"/>
  <c r="AP118" i="12"/>
  <c r="AG118" i="12"/>
  <c r="AH118" i="12" s="1"/>
  <c r="AF118" i="12"/>
  <c r="AP122" i="12"/>
  <c r="AG122" i="12"/>
  <c r="AH122" i="12" s="1"/>
  <c r="AF122" i="12"/>
  <c r="AG41" i="12"/>
  <c r="AH41" i="12" s="1"/>
  <c r="AF41" i="12"/>
  <c r="AP41" i="12"/>
  <c r="AG45" i="12"/>
  <c r="AH45" i="12" s="1"/>
  <c r="AF45" i="12"/>
  <c r="AP45" i="12"/>
  <c r="AG49" i="12"/>
  <c r="AH49" i="12" s="1"/>
  <c r="AF49" i="12"/>
  <c r="AP49" i="12"/>
  <c r="AG53" i="12"/>
  <c r="AH53" i="12" s="1"/>
  <c r="AF53" i="12"/>
  <c r="AP53" i="12"/>
  <c r="AG57" i="12"/>
  <c r="AH57" i="12" s="1"/>
  <c r="AF57" i="12"/>
  <c r="AP57" i="12"/>
  <c r="AG61" i="12"/>
  <c r="AH61" i="12" s="1"/>
  <c r="AF61" i="12"/>
  <c r="AP61" i="12"/>
  <c r="AG65" i="12"/>
  <c r="AH65" i="12" s="1"/>
  <c r="AF65" i="12"/>
  <c r="AP65" i="12"/>
  <c r="AG69" i="12"/>
  <c r="AH69" i="12" s="1"/>
  <c r="AF69" i="12"/>
  <c r="AP69" i="12"/>
  <c r="AG73" i="12"/>
  <c r="AH73" i="12" s="1"/>
  <c r="AF73" i="12"/>
  <c r="AP73" i="12"/>
  <c r="AG77" i="12"/>
  <c r="AH77" i="12" s="1"/>
  <c r="AF77" i="12"/>
  <c r="AP77" i="12"/>
  <c r="AG81" i="12"/>
  <c r="AH81" i="12" s="1"/>
  <c r="AF81" i="12"/>
  <c r="AP81" i="12"/>
  <c r="AG85" i="12"/>
  <c r="AH85" i="12" s="1"/>
  <c r="AF85" i="12"/>
  <c r="AP85" i="12"/>
  <c r="AG89" i="12"/>
  <c r="AH89" i="12" s="1"/>
  <c r="AF89" i="12"/>
  <c r="AP89" i="12"/>
  <c r="AG93" i="12"/>
  <c r="AH93" i="12" s="1"/>
  <c r="AF93" i="12"/>
  <c r="AP93" i="12"/>
  <c r="AG97" i="12"/>
  <c r="AH97" i="12" s="1"/>
  <c r="AF97" i="12"/>
  <c r="AP97" i="12"/>
  <c r="AG101" i="12"/>
  <c r="AH101" i="12" s="1"/>
  <c r="AF101" i="12"/>
  <c r="AP101" i="12"/>
  <c r="AG105" i="12"/>
  <c r="AH105" i="12" s="1"/>
  <c r="AF105" i="12"/>
  <c r="AP105" i="12"/>
  <c r="AG109" i="12"/>
  <c r="AH109" i="12" s="1"/>
  <c r="AF109" i="12"/>
  <c r="AP109" i="12"/>
  <c r="AG113" i="12"/>
  <c r="AH113" i="12" s="1"/>
  <c r="AF113" i="12"/>
  <c r="AP113" i="12"/>
  <c r="AG117" i="12"/>
  <c r="AH117" i="12" s="1"/>
  <c r="AF117" i="12"/>
  <c r="AP117" i="12"/>
  <c r="AG121" i="12"/>
  <c r="AH121" i="12" s="1"/>
  <c r="AF121" i="12"/>
  <c r="AP121" i="12"/>
  <c r="AP125" i="12"/>
  <c r="AG125" i="12"/>
  <c r="AH125" i="12" s="1"/>
  <c r="AF125" i="12"/>
  <c r="DL76" i="14"/>
  <c r="DJ76" i="14"/>
  <c r="DQ76" i="14"/>
  <c r="DM76" i="14"/>
  <c r="DL102" i="14"/>
  <c r="DJ102" i="14"/>
  <c r="DM102" i="14"/>
  <c r="DQ102" i="14"/>
  <c r="DJ99" i="14"/>
  <c r="DL99" i="14"/>
  <c r="DQ99" i="14"/>
  <c r="DM99" i="14"/>
  <c r="DL116" i="14"/>
  <c r="DJ116" i="14"/>
  <c r="DQ116" i="14"/>
  <c r="DM116" i="14"/>
  <c r="DO116" i="14"/>
  <c r="DL124" i="14"/>
  <c r="DJ124" i="14"/>
  <c r="DQ124" i="14"/>
  <c r="DM124" i="14"/>
  <c r="DO124" i="14"/>
  <c r="DO102" i="14"/>
  <c r="DJ74" i="14"/>
  <c r="DL74" i="14"/>
  <c r="DM74" i="14"/>
  <c r="DQ74" i="14"/>
  <c r="DO74" i="14"/>
  <c r="DO119" i="14"/>
  <c r="DJ119" i="14"/>
  <c r="DL119" i="14"/>
  <c r="DM119" i="14"/>
  <c r="DQ119" i="14"/>
  <c r="DL79" i="14"/>
  <c r="DJ79" i="14"/>
  <c r="DQ79" i="14"/>
  <c r="DM79" i="14"/>
  <c r="DO79" i="14"/>
  <c r="AN36" i="12"/>
  <c r="AX36" i="12"/>
  <c r="AN12" i="12"/>
  <c r="AX12" i="12"/>
  <c r="AN6" i="12"/>
  <c r="AX6" i="12"/>
  <c r="BL90" i="12"/>
  <c r="BJ90" i="12"/>
  <c r="BL82" i="12"/>
  <c r="BJ82" i="12"/>
  <c r="BL74" i="12"/>
  <c r="BJ74" i="12"/>
  <c r="BL101" i="12"/>
  <c r="BJ101" i="12"/>
  <c r="BL97" i="12"/>
  <c r="BJ97" i="12"/>
  <c r="BL77" i="12"/>
  <c r="BJ77" i="12"/>
  <c r="BL73" i="12"/>
  <c r="BJ73" i="12"/>
  <c r="BV125" i="12"/>
  <c r="BV123" i="12"/>
  <c r="BV121" i="12"/>
  <c r="BV119" i="12"/>
  <c r="BV117" i="12"/>
  <c r="BV115" i="12"/>
  <c r="BV113" i="12"/>
  <c r="BV111" i="12"/>
  <c r="BV109" i="12"/>
  <c r="BV107" i="12"/>
  <c r="BV105" i="12"/>
  <c r="BV103" i="12"/>
  <c r="BV101" i="12"/>
  <c r="BV99" i="12"/>
  <c r="BV97" i="12"/>
  <c r="BV95" i="12"/>
  <c r="BV93" i="12"/>
  <c r="BV91" i="12"/>
  <c r="BV89" i="12"/>
  <c r="BV87" i="12"/>
  <c r="BV85" i="12"/>
  <c r="BV83" i="12"/>
  <c r="BV81" i="12"/>
  <c r="BV79" i="12"/>
  <c r="BV77" i="12"/>
  <c r="BV75" i="12"/>
  <c r="BV73" i="12"/>
  <c r="BV71" i="12"/>
  <c r="BV69" i="12"/>
  <c r="BV67" i="12"/>
  <c r="BV65" i="12"/>
  <c r="BV63" i="12"/>
  <c r="BV61" i="12"/>
  <c r="BV59" i="12"/>
  <c r="BV57" i="12"/>
  <c r="BV55" i="12"/>
  <c r="BV53" i="12"/>
  <c r="BV51" i="12"/>
  <c r="BV49" i="12"/>
  <c r="BV47" i="12"/>
  <c r="BV45" i="12"/>
  <c r="BV43" i="12"/>
  <c r="BV41" i="12"/>
  <c r="CC4" i="12"/>
  <c r="BV40" i="12"/>
  <c r="BV38" i="12"/>
  <c r="BV36" i="12"/>
  <c r="BV34" i="12"/>
  <c r="BV32" i="12"/>
  <c r="BV30" i="12"/>
  <c r="BV28" i="12"/>
  <c r="BV26" i="12"/>
  <c r="BV24" i="12"/>
  <c r="BV22" i="12"/>
  <c r="BV20" i="12"/>
  <c r="BV18" i="12"/>
  <c r="BV16" i="12"/>
  <c r="BV14" i="12"/>
  <c r="BV12" i="12"/>
  <c r="BV10" i="12"/>
  <c r="BV8" i="12"/>
  <c r="BV6" i="12"/>
  <c r="CD4" i="12"/>
  <c r="BX4" i="12"/>
  <c r="BV124" i="12"/>
  <c r="BV122" i="12"/>
  <c r="BV120" i="12"/>
  <c r="BV118" i="12"/>
  <c r="BV116" i="12"/>
  <c r="BV114" i="12"/>
  <c r="BV112" i="12"/>
  <c r="BV110" i="12"/>
  <c r="BV108" i="12"/>
  <c r="BV106" i="12"/>
  <c r="BV104" i="12"/>
  <c r="BV102" i="12"/>
  <c r="BV100" i="12"/>
  <c r="BV98" i="12"/>
  <c r="BV96" i="12"/>
  <c r="BV94" i="12"/>
  <c r="BV92" i="12"/>
  <c r="BV90" i="12"/>
  <c r="BV88" i="12"/>
  <c r="BV86" i="12"/>
  <c r="BV84" i="12"/>
  <c r="BV82" i="12"/>
  <c r="BV80" i="12"/>
  <c r="BV78" i="12"/>
  <c r="BV76" i="12"/>
  <c r="BV74" i="12"/>
  <c r="BV72" i="12"/>
  <c r="BV70" i="12"/>
  <c r="BV68" i="12"/>
  <c r="BV66" i="12"/>
  <c r="BV64" i="12"/>
  <c r="BV62" i="12"/>
  <c r="BV60" i="12"/>
  <c r="BV58" i="12"/>
  <c r="BV56" i="12"/>
  <c r="BV54" i="12"/>
  <c r="BV52" i="12"/>
  <c r="BV50" i="12"/>
  <c r="BV48" i="12"/>
  <c r="BV46" i="12"/>
  <c r="BV44" i="12"/>
  <c r="BV42" i="12"/>
  <c r="CM4" i="12"/>
  <c r="CA4" i="12"/>
  <c r="BV39" i="12"/>
  <c r="BV37" i="12"/>
  <c r="BV35" i="12"/>
  <c r="BV33" i="12"/>
  <c r="BV31" i="12"/>
  <c r="BV29" i="12"/>
  <c r="BV27" i="12"/>
  <c r="BV25" i="12"/>
  <c r="BV23" i="12"/>
  <c r="BV21" i="12"/>
  <c r="BV19" i="12"/>
  <c r="BV17" i="12"/>
  <c r="BV15" i="12"/>
  <c r="BV13" i="12"/>
  <c r="BV11" i="12"/>
  <c r="BV9" i="12"/>
  <c r="BV7" i="12"/>
  <c r="BV5" i="12"/>
  <c r="CB4" i="12"/>
  <c r="BV4" i="12"/>
  <c r="BW4" i="12" s="1"/>
  <c r="BX73" i="12"/>
  <c r="CB73" i="12" s="1"/>
  <c r="BX77" i="12"/>
  <c r="BX97" i="12"/>
  <c r="CD97" i="12" s="1"/>
  <c r="BX101" i="12"/>
  <c r="BX79" i="12"/>
  <c r="CD79" i="12" s="1"/>
  <c r="BX7" i="12"/>
  <c r="BX112" i="12"/>
  <c r="CD112" i="12" s="1"/>
  <c r="BZ101" i="12"/>
  <c r="CA101" i="12" s="1"/>
  <c r="CD77" i="12"/>
  <c r="BZ7" i="12"/>
  <c r="CA7" i="12" s="1"/>
  <c r="CD101" i="12"/>
  <c r="BZ77" i="12"/>
  <c r="CA77" i="12" s="1"/>
  <c r="CD7" i="12"/>
  <c r="AN109" i="12"/>
  <c r="AX109" i="12"/>
  <c r="BB109" i="12" s="1"/>
  <c r="AN16" i="12"/>
  <c r="AX16" i="12"/>
  <c r="AN57" i="12"/>
  <c r="AX57" i="12"/>
  <c r="AN121" i="12"/>
  <c r="AX121" i="12"/>
  <c r="AN55" i="12"/>
  <c r="AX55" i="12"/>
  <c r="AN56" i="12"/>
  <c r="AX56" i="12"/>
  <c r="BB56" i="12" s="1"/>
  <c r="AN105" i="12"/>
  <c r="AX105" i="12"/>
  <c r="AN93" i="12"/>
  <c r="AX93" i="12"/>
  <c r="AN85" i="12"/>
  <c r="AX85" i="12"/>
  <c r="AN5" i="12"/>
  <c r="AX5" i="12"/>
  <c r="BB5" i="12" s="1"/>
  <c r="AN53" i="12"/>
  <c r="AX53" i="12"/>
  <c r="BB53" i="12" s="1"/>
  <c r="AN38" i="12"/>
  <c r="AX38" i="12"/>
  <c r="BB38" i="12" s="1"/>
  <c r="AN34" i="12"/>
  <c r="AX34" i="12"/>
  <c r="AN35" i="12"/>
  <c r="AX35" i="12"/>
  <c r="AN27" i="12"/>
  <c r="AX27" i="12"/>
  <c r="AN31" i="12"/>
  <c r="AX31" i="12"/>
  <c r="BB31" i="12" s="1"/>
  <c r="DL97" i="14"/>
  <c r="DJ97" i="14"/>
  <c r="DM97" i="14"/>
  <c r="DQ97" i="14"/>
  <c r="DO97" i="14"/>
  <c r="DA96" i="14"/>
  <c r="DA126" i="14" s="1"/>
  <c r="DK96" i="14"/>
  <c r="DL115" i="14"/>
  <c r="DJ115" i="14"/>
  <c r="DQ115" i="14"/>
  <c r="DM115" i="14"/>
  <c r="DL114" i="14"/>
  <c r="DJ114" i="14"/>
  <c r="DM114" i="14"/>
  <c r="DQ114" i="14"/>
  <c r="DJ104" i="14"/>
  <c r="DL104" i="14"/>
  <c r="DQ104" i="14"/>
  <c r="DM104" i="14"/>
  <c r="DO104" i="14"/>
  <c r="DL117" i="14"/>
  <c r="DJ117" i="14"/>
  <c r="DM117" i="14"/>
  <c r="DQ117" i="14"/>
  <c r="DL120" i="14"/>
  <c r="DJ120" i="14"/>
  <c r="DQ120" i="14"/>
  <c r="DM120" i="14"/>
  <c r="DJ110" i="14"/>
  <c r="DL110" i="14"/>
  <c r="DQ110" i="14"/>
  <c r="DM110" i="14"/>
  <c r="DO110" i="14"/>
  <c r="DJ77" i="14"/>
  <c r="DL77" i="14"/>
  <c r="DM77" i="14"/>
  <c r="DQ77" i="14"/>
  <c r="DL59" i="14"/>
  <c r="DJ59" i="14"/>
  <c r="DQ59" i="14"/>
  <c r="DM59" i="14"/>
  <c r="DO59" i="14"/>
  <c r="DL70" i="14"/>
  <c r="DJ70" i="14"/>
  <c r="DM70" i="14"/>
  <c r="DQ70" i="14"/>
  <c r="DO70" i="14"/>
  <c r="DL90" i="14"/>
  <c r="DJ90" i="14"/>
  <c r="DM90" i="14"/>
  <c r="DQ90" i="14"/>
  <c r="DO90" i="14"/>
  <c r="DO89" i="14"/>
  <c r="DO100" i="14"/>
  <c r="DJ100" i="14"/>
  <c r="DL100" i="14"/>
  <c r="DQ100" i="14"/>
  <c r="DM100" i="14"/>
  <c r="DJ82" i="14"/>
  <c r="DL82" i="14"/>
  <c r="DM82" i="14"/>
  <c r="DQ82" i="14"/>
  <c r="DO82" i="14"/>
  <c r="AN45" i="12"/>
  <c r="AX45" i="12"/>
  <c r="AN65" i="12"/>
  <c r="AX65" i="12"/>
  <c r="AN26" i="12"/>
  <c r="AX26" i="12"/>
  <c r="AN15" i="12"/>
  <c r="AX15" i="12"/>
  <c r="AN52" i="12"/>
  <c r="AX52" i="12"/>
  <c r="DJ125" i="14"/>
  <c r="DL125" i="14"/>
  <c r="DQ125" i="14"/>
  <c r="DM125" i="14"/>
  <c r="AL17" i="12"/>
  <c r="AL147" i="12" s="1"/>
  <c r="AL151" i="12" s="1"/>
  <c r="AJ17" i="12"/>
  <c r="AM17" i="12"/>
  <c r="AQ17" i="12"/>
  <c r="AQ160" i="12" s="1"/>
  <c r="AQ164" i="12" s="1"/>
  <c r="AO17" i="12"/>
  <c r="BO74" i="12"/>
  <c r="BO112" i="12"/>
  <c r="CB112" i="12" s="1"/>
  <c r="DL56" i="14"/>
  <c r="DJ56" i="14"/>
  <c r="DQ56" i="14"/>
  <c r="DM56" i="14"/>
  <c r="DO56" i="14"/>
  <c r="DL122" i="14"/>
  <c r="DJ122" i="14"/>
  <c r="DM122" i="14"/>
  <c r="DQ122" i="14"/>
  <c r="DO122" i="14"/>
  <c r="DL60" i="14"/>
  <c r="DJ60" i="14"/>
  <c r="DM60" i="14"/>
  <c r="DQ60" i="14"/>
  <c r="DO60" i="14"/>
  <c r="DJ5" i="14"/>
  <c r="DL5" i="14"/>
  <c r="DQ5" i="14"/>
  <c r="DM5" i="14"/>
  <c r="DO5" i="14"/>
  <c r="DJ78" i="14"/>
  <c r="DL78" i="14"/>
  <c r="DM78" i="14"/>
  <c r="DQ78" i="14"/>
  <c r="DL75" i="14"/>
  <c r="DJ75" i="14"/>
  <c r="DM75" i="14"/>
  <c r="DQ75" i="14"/>
  <c r="DO75" i="14"/>
  <c r="DO72" i="14"/>
  <c r="DJ72" i="14"/>
  <c r="DL72" i="14"/>
  <c r="DQ72" i="14"/>
  <c r="DM72" i="14"/>
  <c r="DO78" i="14"/>
  <c r="DL61" i="14"/>
  <c r="DJ61" i="14"/>
  <c r="DQ61" i="14"/>
  <c r="DM61" i="14"/>
  <c r="DO61" i="14"/>
  <c r="DL87" i="14"/>
  <c r="DJ87" i="14"/>
  <c r="DM87" i="14"/>
  <c r="DQ87" i="14"/>
  <c r="DJ108" i="14"/>
  <c r="DL108" i="14"/>
  <c r="DQ108" i="14"/>
  <c r="DM108" i="14"/>
  <c r="DO108" i="14"/>
  <c r="DL103" i="14"/>
  <c r="DJ103" i="14"/>
  <c r="DM103" i="14"/>
  <c r="DQ103" i="14"/>
  <c r="DO103" i="14"/>
  <c r="DL30" i="14"/>
  <c r="DJ30" i="14"/>
  <c r="DM30" i="14"/>
  <c r="DQ30" i="14"/>
  <c r="DO30" i="14"/>
  <c r="AN20" i="12"/>
  <c r="AX20" i="12"/>
  <c r="AN118" i="12"/>
  <c r="AX118" i="12"/>
  <c r="AR125" i="12"/>
  <c r="AR123" i="12"/>
  <c r="AR121" i="12"/>
  <c r="AR119" i="12"/>
  <c r="AR117" i="12"/>
  <c r="AR115" i="12"/>
  <c r="AR113" i="12"/>
  <c r="AR111" i="12"/>
  <c r="AR109" i="12"/>
  <c r="AR107" i="12"/>
  <c r="AR105" i="12"/>
  <c r="AR103" i="12"/>
  <c r="AR101" i="12"/>
  <c r="AR99" i="12"/>
  <c r="AR97" i="12"/>
  <c r="AR95" i="12"/>
  <c r="AR93" i="12"/>
  <c r="AR91" i="12"/>
  <c r="AR89" i="12"/>
  <c r="AR87" i="12"/>
  <c r="AR85" i="12"/>
  <c r="AR83" i="12"/>
  <c r="AR81" i="12"/>
  <c r="AR79" i="12"/>
  <c r="AR77" i="12"/>
  <c r="AR75" i="12"/>
  <c r="AR73" i="12"/>
  <c r="AR71" i="12"/>
  <c r="AR69" i="12"/>
  <c r="AR67" i="12"/>
  <c r="AR65" i="12"/>
  <c r="AR63" i="12"/>
  <c r="AR61" i="12"/>
  <c r="AR59" i="12"/>
  <c r="AR57" i="12"/>
  <c r="AR55" i="12"/>
  <c r="AR53" i="12"/>
  <c r="AR51" i="12"/>
  <c r="AR49" i="12"/>
  <c r="AR47" i="12"/>
  <c r="AR45" i="12"/>
  <c r="AR43" i="12"/>
  <c r="AR41" i="12"/>
  <c r="AR39" i="12"/>
  <c r="AR37" i="12"/>
  <c r="AR35" i="12"/>
  <c r="AR33" i="12"/>
  <c r="AR31" i="12"/>
  <c r="AR29" i="12"/>
  <c r="AR27" i="12"/>
  <c r="AR25" i="12"/>
  <c r="AR23" i="12"/>
  <c r="AR21" i="12"/>
  <c r="AR19" i="12"/>
  <c r="AR17" i="12"/>
  <c r="AR15" i="12"/>
  <c r="AR13" i="12"/>
  <c r="AR11" i="12"/>
  <c r="AR9" i="12"/>
  <c r="AR7" i="12"/>
  <c r="AR5" i="12"/>
  <c r="AR124" i="12"/>
  <c r="AR122" i="12"/>
  <c r="AR120" i="12"/>
  <c r="AR118" i="12"/>
  <c r="AR116" i="12"/>
  <c r="AR114" i="12"/>
  <c r="AR112" i="12"/>
  <c r="AR110" i="12"/>
  <c r="AR108" i="12"/>
  <c r="AR106" i="12"/>
  <c r="AR104" i="12"/>
  <c r="AR102" i="12"/>
  <c r="AR100" i="12"/>
  <c r="AR98" i="12"/>
  <c r="AR96" i="12"/>
  <c r="AR94" i="12"/>
  <c r="AR92" i="12"/>
  <c r="AR90" i="12"/>
  <c r="AR88" i="12"/>
  <c r="AR86" i="12"/>
  <c r="AR84" i="12"/>
  <c r="AR82" i="12"/>
  <c r="AR80" i="12"/>
  <c r="AR78" i="12"/>
  <c r="AR76" i="12"/>
  <c r="AR74" i="12"/>
  <c r="AR72" i="12"/>
  <c r="AR70" i="12"/>
  <c r="AR68" i="12"/>
  <c r="AR66" i="12"/>
  <c r="AR64" i="12"/>
  <c r="AR62" i="12"/>
  <c r="AR60" i="12"/>
  <c r="AR58" i="12"/>
  <c r="AR56" i="12"/>
  <c r="AR54" i="12"/>
  <c r="AR52" i="12"/>
  <c r="AR50" i="12"/>
  <c r="AR48" i="12"/>
  <c r="AR46" i="12"/>
  <c r="AR44" i="12"/>
  <c r="AR42" i="12"/>
  <c r="AR40" i="12"/>
  <c r="AR38" i="12"/>
  <c r="AR36" i="12"/>
  <c r="AR34" i="12"/>
  <c r="AR32" i="12"/>
  <c r="AR30" i="12"/>
  <c r="AR28" i="12"/>
  <c r="AR26" i="12"/>
  <c r="AR24" i="12"/>
  <c r="AR22" i="12"/>
  <c r="AR20" i="12"/>
  <c r="AR18" i="12"/>
  <c r="AR16" i="12"/>
  <c r="AR14" i="12"/>
  <c r="AR12" i="12"/>
  <c r="AR10" i="12"/>
  <c r="AR8" i="12"/>
  <c r="AR6" i="12"/>
  <c r="AN71" i="12"/>
  <c r="AX71" i="12"/>
  <c r="BB71" i="12" s="1"/>
  <c r="AN67" i="12"/>
  <c r="AX67" i="12"/>
  <c r="AN64" i="12"/>
  <c r="AX64" i="12"/>
  <c r="AN62" i="12"/>
  <c r="AX62" i="12"/>
  <c r="AN60" i="12"/>
  <c r="AX60" i="12"/>
  <c r="BB60" i="12" s="1"/>
  <c r="AN113" i="12"/>
  <c r="AX113" i="12"/>
  <c r="AN21" i="12"/>
  <c r="AX21" i="12"/>
  <c r="AN19" i="12"/>
  <c r="AX19" i="12"/>
  <c r="AN11" i="12"/>
  <c r="AX11" i="12"/>
  <c r="BB11" i="12" s="1"/>
  <c r="AN14" i="12"/>
  <c r="AX14" i="12"/>
  <c r="AN49" i="12"/>
  <c r="AX49" i="12"/>
  <c r="AN92" i="12"/>
  <c r="AX92" i="12"/>
  <c r="AN80" i="12"/>
  <c r="AX80" i="12"/>
  <c r="AN104" i="12"/>
  <c r="AX104" i="12"/>
  <c r="AN48" i="12"/>
  <c r="AX48" i="12"/>
  <c r="AN28" i="12"/>
  <c r="AX28" i="12"/>
  <c r="AN89" i="12"/>
  <c r="AX89" i="12"/>
  <c r="BB89" i="12" s="1"/>
  <c r="AN81" i="12"/>
  <c r="AX81" i="12"/>
  <c r="BB81" i="12" s="1"/>
  <c r="AN32" i="12"/>
  <c r="AX32" i="12"/>
  <c r="BO82" i="12"/>
  <c r="AN22" i="12"/>
  <c r="AX22" i="12"/>
  <c r="AN100" i="12"/>
  <c r="AX100" i="12"/>
  <c r="AN91" i="12"/>
  <c r="AX91" i="12"/>
  <c r="DL106" i="14"/>
  <c r="DJ106" i="14"/>
  <c r="DM106" i="14"/>
  <c r="DQ106" i="14"/>
  <c r="DJ6" i="14"/>
  <c r="DL6" i="14"/>
  <c r="DQ6" i="14"/>
  <c r="DM6" i="14"/>
  <c r="DL91" i="14"/>
  <c r="DJ91" i="14"/>
  <c r="DQ91" i="14"/>
  <c r="DM91" i="14"/>
  <c r="DJ69" i="14"/>
  <c r="DL69" i="14"/>
  <c r="DQ69" i="14"/>
  <c r="DM69" i="14"/>
  <c r="DO69" i="14"/>
  <c r="DJ66" i="14"/>
  <c r="DL66" i="14"/>
  <c r="DM66" i="14"/>
  <c r="DQ66" i="14"/>
  <c r="DL98" i="14"/>
  <c r="DJ98" i="14"/>
  <c r="DM98" i="14"/>
  <c r="DQ98" i="14"/>
  <c r="DO98" i="14"/>
  <c r="DJ64" i="14"/>
  <c r="DL64" i="14"/>
  <c r="DQ64" i="14"/>
  <c r="DM64" i="14"/>
  <c r="DO64" i="14"/>
  <c r="DL58" i="14"/>
  <c r="DJ58" i="14"/>
  <c r="DQ58" i="14"/>
  <c r="DM58" i="14"/>
  <c r="DL86" i="14"/>
  <c r="DJ86" i="14"/>
  <c r="DQ86" i="14"/>
  <c r="DM86" i="14"/>
  <c r="DO86" i="14"/>
  <c r="AN44" i="12"/>
  <c r="AX44" i="12"/>
  <c r="AN117" i="12"/>
  <c r="AX117" i="12"/>
  <c r="AG37" i="12"/>
  <c r="AH37" i="12" s="1"/>
  <c r="AF37" i="12"/>
  <c r="AP37" i="12"/>
  <c r="AG33" i="12"/>
  <c r="AH33" i="12" s="1"/>
  <c r="AF33" i="12"/>
  <c r="AP33" i="12"/>
  <c r="AG29" i="12"/>
  <c r="AH29" i="12" s="1"/>
  <c r="AF29" i="12"/>
  <c r="AP29" i="12"/>
  <c r="AG25" i="12"/>
  <c r="AH25" i="12" s="1"/>
  <c r="AF25" i="12"/>
  <c r="AP25" i="12"/>
  <c r="AG21" i="12"/>
  <c r="AH21" i="12" s="1"/>
  <c r="AF21" i="12"/>
  <c r="AP21" i="12"/>
  <c r="AG17" i="12"/>
  <c r="AH17" i="12" s="1"/>
  <c r="AF17" i="12"/>
  <c r="AP17" i="12"/>
  <c r="AG13" i="12"/>
  <c r="AH13" i="12" s="1"/>
  <c r="AF13" i="12"/>
  <c r="AP13" i="12"/>
  <c r="AG9" i="12"/>
  <c r="AH9" i="12" s="1"/>
  <c r="AF9" i="12"/>
  <c r="AP9" i="12"/>
  <c r="AE126" i="12"/>
  <c r="AP5" i="12"/>
  <c r="AG5" i="12"/>
  <c r="AF5" i="12"/>
  <c r="AG38" i="12"/>
  <c r="AH38" i="12" s="1"/>
  <c r="AF38" i="12"/>
  <c r="AP38" i="12"/>
  <c r="AG34" i="12"/>
  <c r="AH34" i="12" s="1"/>
  <c r="AF34" i="12"/>
  <c r="AP34" i="12"/>
  <c r="AG30" i="12"/>
  <c r="AH30" i="12" s="1"/>
  <c r="AF30" i="12"/>
  <c r="AP30" i="12"/>
  <c r="AG26" i="12"/>
  <c r="AH26" i="12" s="1"/>
  <c r="AF26" i="12"/>
  <c r="AP26" i="12"/>
  <c r="AG22" i="12"/>
  <c r="AH22" i="12" s="1"/>
  <c r="AF22" i="12"/>
  <c r="AP22" i="12"/>
  <c r="AG18" i="12"/>
  <c r="AH18" i="12" s="1"/>
  <c r="AF18" i="12"/>
  <c r="AP18" i="12"/>
  <c r="AG14" i="12"/>
  <c r="AH14" i="12" s="1"/>
  <c r="AF14" i="12"/>
  <c r="AP14" i="12"/>
  <c r="AG10" i="12"/>
  <c r="AH10" i="12" s="1"/>
  <c r="AF10" i="12"/>
  <c r="AP10" i="12"/>
  <c r="AG6" i="12"/>
  <c r="AH6" i="12" s="1"/>
  <c r="AF6" i="12"/>
  <c r="AP6" i="12"/>
  <c r="AG44" i="12"/>
  <c r="AH44" i="12" s="1"/>
  <c r="AF44" i="12"/>
  <c r="AP44" i="12"/>
  <c r="AG48" i="12"/>
  <c r="AH48" i="12" s="1"/>
  <c r="AF48" i="12"/>
  <c r="AP48" i="12"/>
  <c r="AG52" i="12"/>
  <c r="AH52" i="12" s="1"/>
  <c r="AF52" i="12"/>
  <c r="AP52" i="12"/>
  <c r="AG56" i="12"/>
  <c r="AH56" i="12" s="1"/>
  <c r="AF56" i="12"/>
  <c r="AP56" i="12"/>
  <c r="AG60" i="12"/>
  <c r="AH60" i="12" s="1"/>
  <c r="AF60" i="12"/>
  <c r="AP60" i="12"/>
  <c r="AG64" i="12"/>
  <c r="AH64" i="12" s="1"/>
  <c r="AF64" i="12"/>
  <c r="AP64" i="12"/>
  <c r="AG68" i="12"/>
  <c r="AH68" i="12" s="1"/>
  <c r="AF68" i="12"/>
  <c r="AP68" i="12"/>
  <c r="AG72" i="12"/>
  <c r="AH72" i="12" s="1"/>
  <c r="AF72" i="12"/>
  <c r="AP72" i="12"/>
  <c r="AG76" i="12"/>
  <c r="AH76" i="12" s="1"/>
  <c r="AF76" i="12"/>
  <c r="AP76" i="12"/>
  <c r="AG80" i="12"/>
  <c r="AH80" i="12" s="1"/>
  <c r="AF80" i="12"/>
  <c r="AP80" i="12"/>
  <c r="AG84" i="12"/>
  <c r="AH84" i="12" s="1"/>
  <c r="AF84" i="12"/>
  <c r="AP84" i="12"/>
  <c r="AG88" i="12"/>
  <c r="AH88" i="12" s="1"/>
  <c r="AF88" i="12"/>
  <c r="AP88" i="12"/>
  <c r="AG92" i="12"/>
  <c r="AH92" i="12" s="1"/>
  <c r="AF92" i="12"/>
  <c r="AP92" i="12"/>
  <c r="AG96" i="12"/>
  <c r="AH96" i="12" s="1"/>
  <c r="AF96" i="12"/>
  <c r="AP96" i="12"/>
  <c r="AG100" i="12"/>
  <c r="AH100" i="12" s="1"/>
  <c r="AF100" i="12"/>
  <c r="AP100" i="12"/>
  <c r="AG104" i="12"/>
  <c r="AH104" i="12" s="1"/>
  <c r="AF104" i="12"/>
  <c r="AP104" i="12"/>
  <c r="AG108" i="12"/>
  <c r="AH108" i="12" s="1"/>
  <c r="AF108" i="12"/>
  <c r="AP108" i="12"/>
  <c r="AG112" i="12"/>
  <c r="AH112" i="12" s="1"/>
  <c r="AF112" i="12"/>
  <c r="AP112" i="12"/>
  <c r="AG116" i="12"/>
  <c r="AH116" i="12" s="1"/>
  <c r="AF116" i="12"/>
  <c r="AP116" i="12"/>
  <c r="AG120" i="12"/>
  <c r="AH120" i="12" s="1"/>
  <c r="AF120" i="12"/>
  <c r="AP120" i="12"/>
  <c r="AG124" i="12"/>
  <c r="AH124" i="12" s="1"/>
  <c r="AF124" i="12"/>
  <c r="AP124" i="12"/>
  <c r="AP43" i="12"/>
  <c r="AG43" i="12"/>
  <c r="AH43" i="12" s="1"/>
  <c r="AF43" i="12"/>
  <c r="AP47" i="12"/>
  <c r="AG47" i="12"/>
  <c r="AH47" i="12" s="1"/>
  <c r="AF47" i="12"/>
  <c r="AP51" i="12"/>
  <c r="AG51" i="12"/>
  <c r="AH51" i="12" s="1"/>
  <c r="AF51" i="12"/>
  <c r="AP55" i="12"/>
  <c r="AG55" i="12"/>
  <c r="AH55" i="12" s="1"/>
  <c r="AF55" i="12"/>
  <c r="AP59" i="12"/>
  <c r="AG59" i="12"/>
  <c r="AH59" i="12" s="1"/>
  <c r="AF59" i="12"/>
  <c r="AP63" i="12"/>
  <c r="AG63" i="12"/>
  <c r="AH63" i="12" s="1"/>
  <c r="AF63" i="12"/>
  <c r="AP67" i="12"/>
  <c r="AG67" i="12"/>
  <c r="AH67" i="12" s="1"/>
  <c r="AF67" i="12"/>
  <c r="AP71" i="12"/>
  <c r="AG71" i="12"/>
  <c r="AH71" i="12" s="1"/>
  <c r="AF71" i="12"/>
  <c r="AP75" i="12"/>
  <c r="AG75" i="12"/>
  <c r="AH75" i="12" s="1"/>
  <c r="AF75" i="12"/>
  <c r="AP79" i="12"/>
  <c r="AG79" i="12"/>
  <c r="AH79" i="12" s="1"/>
  <c r="AF79" i="12"/>
  <c r="AP83" i="12"/>
  <c r="AG83" i="12"/>
  <c r="AH83" i="12" s="1"/>
  <c r="AF83" i="12"/>
  <c r="AP87" i="12"/>
  <c r="AG87" i="12"/>
  <c r="AH87" i="12" s="1"/>
  <c r="AF87" i="12"/>
  <c r="AP91" i="12"/>
  <c r="AG91" i="12"/>
  <c r="AH91" i="12" s="1"/>
  <c r="AF91" i="12"/>
  <c r="AP95" i="12"/>
  <c r="AG95" i="12"/>
  <c r="AH95" i="12" s="1"/>
  <c r="AF95" i="12"/>
  <c r="AP99" i="12"/>
  <c r="AG99" i="12"/>
  <c r="AH99" i="12" s="1"/>
  <c r="AF99" i="12"/>
  <c r="AP103" i="12"/>
  <c r="AG103" i="12"/>
  <c r="AH103" i="12" s="1"/>
  <c r="AF103" i="12"/>
  <c r="AP107" i="12"/>
  <c r="AG107" i="12"/>
  <c r="AH107" i="12" s="1"/>
  <c r="AF107" i="12"/>
  <c r="AP111" i="12"/>
  <c r="AG111" i="12"/>
  <c r="AH111" i="12" s="1"/>
  <c r="AF111" i="12"/>
  <c r="AP115" i="12"/>
  <c r="AG115" i="12"/>
  <c r="AH115" i="12" s="1"/>
  <c r="AF115" i="12"/>
  <c r="AP119" i="12"/>
  <c r="AG119" i="12"/>
  <c r="AH119" i="12" s="1"/>
  <c r="AF119" i="12"/>
  <c r="AP123" i="12"/>
  <c r="AG123" i="12"/>
  <c r="AH123" i="12" s="1"/>
  <c r="AF123" i="12"/>
  <c r="BB12" i="12"/>
  <c r="DJ71" i="14"/>
  <c r="DL71" i="14"/>
  <c r="DQ71" i="14"/>
  <c r="DM71" i="14"/>
  <c r="DO76" i="14"/>
  <c r="DJ62" i="14"/>
  <c r="DL62" i="14"/>
  <c r="DM62" i="14"/>
  <c r="DQ62" i="14"/>
  <c r="DL92" i="14"/>
  <c r="DJ92" i="14"/>
  <c r="DM92" i="14"/>
  <c r="DQ92" i="14"/>
  <c r="DO92" i="14"/>
  <c r="DL109" i="14"/>
  <c r="DJ109" i="14"/>
  <c r="DQ109" i="14"/>
  <c r="DM109" i="14"/>
  <c r="DO109" i="14"/>
  <c r="DL105" i="14"/>
  <c r="DJ105" i="14"/>
  <c r="DM105" i="14"/>
  <c r="DQ105" i="14"/>
  <c r="DJ111" i="14"/>
  <c r="DL111" i="14"/>
  <c r="DM111" i="14"/>
  <c r="DQ111" i="14"/>
  <c r="DL67" i="14"/>
  <c r="DJ67" i="14"/>
  <c r="DM67" i="14"/>
  <c r="DQ67" i="14"/>
  <c r="DO67" i="14"/>
  <c r="DL113" i="14"/>
  <c r="DJ113" i="14"/>
  <c r="DQ113" i="14"/>
  <c r="DM113" i="14"/>
  <c r="DO113" i="14"/>
  <c r="DO99" i="14"/>
  <c r="DJ123" i="14"/>
  <c r="DL123" i="14"/>
  <c r="DM123" i="14"/>
  <c r="DQ123" i="14"/>
  <c r="DO123" i="14"/>
  <c r="DL112" i="14"/>
  <c r="DJ112" i="14"/>
  <c r="DQ112" i="14"/>
  <c r="DM112" i="14"/>
  <c r="DO91" i="14"/>
  <c r="DO94" i="14"/>
  <c r="DJ94" i="14"/>
  <c r="DL94" i="14"/>
  <c r="DM94" i="14"/>
  <c r="DQ94" i="14"/>
  <c r="DO68" i="14"/>
  <c r="DO105" i="14"/>
  <c r="AN25" i="12"/>
  <c r="AX25" i="12"/>
  <c r="AN51" i="12"/>
  <c r="AX51" i="12"/>
  <c r="AN42" i="12"/>
  <c r="AX42" i="12"/>
  <c r="AN66" i="12"/>
  <c r="AX66" i="12"/>
  <c r="AN114" i="12"/>
  <c r="AX114" i="12"/>
  <c r="BQ74" i="12"/>
  <c r="BQ82" i="12"/>
  <c r="BQ90" i="12"/>
  <c r="BQ97" i="12"/>
  <c r="BQ101" i="12"/>
  <c r="BM74" i="12"/>
  <c r="BN74" i="12" s="1"/>
  <c r="BM82" i="12"/>
  <c r="BN82" i="12" s="1"/>
  <c r="BM90" i="12"/>
  <c r="BN90" i="12" s="1"/>
  <c r="BL7" i="12"/>
  <c r="BJ7" i="12"/>
  <c r="BL112" i="12"/>
  <c r="BJ112" i="12"/>
  <c r="BJ79" i="12"/>
  <c r="BL79" i="12"/>
  <c r="BM180" i="12"/>
  <c r="BM177" i="12"/>
  <c r="BM175" i="12"/>
  <c r="BK128" i="12"/>
  <c r="BE4" i="12"/>
  <c r="BH4" i="12"/>
  <c r="BE1" i="12" s="1"/>
  <c r="BM178" i="12"/>
  <c r="BM176" i="12"/>
  <c r="BM174" i="12"/>
  <c r="BG4" i="12"/>
  <c r="BL4" i="12"/>
  <c r="BF4" i="12"/>
  <c r="BI126" i="12"/>
  <c r="BK180" i="12" s="1"/>
  <c r="BJ181" i="12" s="1"/>
  <c r="AN72" i="12"/>
  <c r="AX72" i="12"/>
  <c r="AN70" i="12"/>
  <c r="AX70" i="12"/>
  <c r="AN111" i="12"/>
  <c r="AX111" i="12"/>
  <c r="AN75" i="12"/>
  <c r="AX75" i="12"/>
  <c r="AN107" i="12"/>
  <c r="AX107" i="12"/>
  <c r="AN78" i="12"/>
  <c r="AX78" i="12"/>
  <c r="BO77" i="12"/>
  <c r="CB77" i="12" s="1"/>
  <c r="AN30" i="12"/>
  <c r="AX30" i="12"/>
  <c r="BO101" i="12"/>
  <c r="CB101" i="12" s="1"/>
  <c r="BB35" i="12"/>
  <c r="AN84" i="12"/>
  <c r="AX84" i="12"/>
  <c r="AK177" i="12"/>
  <c r="AK182" i="12"/>
  <c r="AN120" i="12"/>
  <c r="AX120" i="12"/>
  <c r="BB120" i="12" s="1"/>
  <c r="AN94" i="12"/>
  <c r="AX94" i="12"/>
  <c r="BB94" i="12" s="1"/>
  <c r="AN103" i="12"/>
  <c r="AX103" i="12"/>
  <c r="BB103" i="12" s="1"/>
  <c r="AN50" i="12"/>
  <c r="AX50" i="12"/>
  <c r="BB50" i="12" s="1"/>
  <c r="AN124" i="12"/>
  <c r="AX124" i="12"/>
  <c r="AN115" i="12"/>
  <c r="AX115" i="12"/>
  <c r="BB115" i="12" s="1"/>
  <c r="AN88" i="12"/>
  <c r="AX88" i="12"/>
  <c r="AN95" i="12"/>
  <c r="AX95" i="12"/>
  <c r="AN87" i="12"/>
  <c r="AX87" i="12"/>
  <c r="AN43" i="12"/>
  <c r="AX43" i="12"/>
  <c r="AN83" i="12"/>
  <c r="AX83" i="12"/>
  <c r="BB83" i="12" s="1"/>
  <c r="DL118" i="14"/>
  <c r="DJ118" i="14"/>
  <c r="DQ118" i="14"/>
  <c r="DM118" i="14"/>
  <c r="DJ107" i="14"/>
  <c r="DL107" i="14"/>
  <c r="DQ107" i="14"/>
  <c r="DM107" i="14"/>
  <c r="DL88" i="14"/>
  <c r="DJ88" i="14"/>
  <c r="DM88" i="14"/>
  <c r="DQ88" i="14"/>
  <c r="DJ84" i="14"/>
  <c r="DL84" i="14"/>
  <c r="DQ84" i="14"/>
  <c r="DM84" i="14"/>
  <c r="DO66" i="14"/>
  <c r="DL81" i="14"/>
  <c r="DJ81" i="14"/>
  <c r="DQ81" i="14"/>
  <c r="DM81" i="14"/>
  <c r="DO81" i="14"/>
  <c r="DO57" i="14"/>
  <c r="DJ57" i="14"/>
  <c r="DL57" i="14"/>
  <c r="DM57" i="14"/>
  <c r="DQ57" i="14"/>
  <c r="DL85" i="14"/>
  <c r="DJ85" i="14"/>
  <c r="DQ85" i="14"/>
  <c r="DM85" i="14"/>
  <c r="DO85" i="14"/>
  <c r="DO58" i="14"/>
  <c r="AN40" i="12"/>
  <c r="AX40" i="12"/>
  <c r="AN29" i="12"/>
  <c r="AX29" i="12"/>
  <c r="AN8" i="12"/>
  <c r="AX8" i="12"/>
  <c r="AK134" i="12"/>
  <c r="AK138" i="12" s="1"/>
  <c r="AK183" i="12" s="1"/>
  <c r="D18" i="17" s="1"/>
  <c r="AN125" i="12"/>
  <c r="AX125" i="12"/>
  <c r="BB62" i="12"/>
  <c r="BB21" i="12"/>
  <c r="BB20" i="12"/>
  <c r="DO71" i="14"/>
  <c r="DO62" i="14"/>
  <c r="DO111" i="14"/>
  <c r="DL80" i="14"/>
  <c r="DJ80" i="14"/>
  <c r="DM80" i="14"/>
  <c r="DQ80" i="14"/>
  <c r="DO80" i="14"/>
  <c r="DO118" i="14"/>
  <c r="DO120" i="14"/>
  <c r="DJ63" i="14"/>
  <c r="DL63" i="14"/>
  <c r="DQ63" i="14"/>
  <c r="DM63" i="14"/>
  <c r="DO83" i="14"/>
  <c r="DJ83" i="14"/>
  <c r="DL83" i="14"/>
  <c r="DM83" i="14"/>
  <c r="DQ83" i="14"/>
  <c r="DJ65" i="14"/>
  <c r="DL65" i="14"/>
  <c r="DM65" i="14"/>
  <c r="DQ65" i="14"/>
  <c r="DO65" i="14"/>
  <c r="AN33" i="12"/>
  <c r="AX33" i="12"/>
  <c r="AN9" i="12"/>
  <c r="AX9" i="12"/>
  <c r="BB9" i="12" s="1"/>
  <c r="AN63" i="12"/>
  <c r="AX63" i="12"/>
  <c r="AN54" i="12"/>
  <c r="AX54" i="12"/>
  <c r="AN122" i="12"/>
  <c r="AX122" i="12"/>
  <c r="AM123" i="12"/>
  <c r="AJ123" i="12"/>
  <c r="AL123" i="12"/>
  <c r="AQ123" i="12"/>
  <c r="AQ126" i="12" s="1"/>
  <c r="AO123" i="12"/>
  <c r="BO7" i="12"/>
  <c r="CB7" i="12" s="1"/>
  <c r="AN110" i="12"/>
  <c r="AX110" i="12"/>
  <c r="BB110" i="12" s="1"/>
  <c r="AN68" i="12"/>
  <c r="AX68" i="12"/>
  <c r="AN108" i="12"/>
  <c r="AX108" i="12"/>
  <c r="BB108" i="12" s="1"/>
  <c r="AN59" i="12"/>
  <c r="AX59" i="12"/>
  <c r="BB59" i="12" s="1"/>
  <c r="AN76" i="12"/>
  <c r="AX76" i="12"/>
  <c r="BB76" i="12" s="1"/>
  <c r="BB91" i="12"/>
  <c r="AN24" i="12"/>
  <c r="AX24" i="12"/>
  <c r="BO97" i="12"/>
  <c r="CB97" i="12" s="1"/>
  <c r="BB34" i="12"/>
  <c r="BO90" i="12"/>
  <c r="AN98" i="12"/>
  <c r="AX98" i="12"/>
  <c r="BB88" i="12"/>
  <c r="AN116" i="12"/>
  <c r="AX116" i="12"/>
  <c r="AN86" i="12"/>
  <c r="AX86" i="12"/>
  <c r="AN106" i="12"/>
  <c r="AX106" i="12"/>
  <c r="BB106" i="12" s="1"/>
  <c r="AN96" i="12"/>
  <c r="AX96" i="12"/>
  <c r="BB96" i="12" s="1"/>
  <c r="AN58" i="12"/>
  <c r="AX58" i="12"/>
  <c r="AN46" i="12"/>
  <c r="AX46" i="12"/>
  <c r="BB100" i="12"/>
  <c r="AN99" i="12"/>
  <c r="AX99" i="12"/>
  <c r="AN119" i="12"/>
  <c r="AX119" i="12"/>
  <c r="AN102" i="12"/>
  <c r="AX102" i="12"/>
  <c r="AN47" i="12"/>
  <c r="AX47" i="12"/>
  <c r="AN39" i="12"/>
  <c r="AX39" i="12"/>
  <c r="AN23" i="12"/>
  <c r="AX23" i="12"/>
  <c r="DL55" i="14"/>
  <c r="DQ55" i="14"/>
  <c r="DJ55" i="14"/>
  <c r="DM55" i="14"/>
  <c r="DO55" i="14"/>
  <c r="DL42" i="14"/>
  <c r="DM42" i="14"/>
  <c r="DJ42" i="14"/>
  <c r="DQ42" i="14"/>
  <c r="DL34" i="14"/>
  <c r="DM34" i="14"/>
  <c r="DJ34" i="14"/>
  <c r="DQ34" i="14"/>
  <c r="DO34" i="14"/>
  <c r="DJ50" i="14"/>
  <c r="DQ50" i="14"/>
  <c r="DL50" i="14"/>
  <c r="DM50" i="14"/>
  <c r="DJ44" i="14"/>
  <c r="DL44" i="14"/>
  <c r="DQ44" i="14"/>
  <c r="DM44" i="14"/>
  <c r="DL46" i="14"/>
  <c r="DQ46" i="14"/>
  <c r="DM46" i="14"/>
  <c r="DJ46" i="14"/>
  <c r="DO46" i="14"/>
  <c r="DL39" i="14"/>
  <c r="DM39" i="14"/>
  <c r="DJ39" i="14"/>
  <c r="DQ39" i="14"/>
  <c r="DL40" i="14"/>
  <c r="DM40" i="14"/>
  <c r="DJ40" i="14"/>
  <c r="DQ40" i="14"/>
  <c r="DO40" i="14"/>
  <c r="DL53" i="14"/>
  <c r="DQ53" i="14"/>
  <c r="DJ53" i="14"/>
  <c r="DM53" i="14"/>
  <c r="DJ36" i="14"/>
  <c r="DQ36" i="14"/>
  <c r="DL36" i="14"/>
  <c r="DM36" i="14"/>
  <c r="DL52" i="14"/>
  <c r="DQ52" i="14"/>
  <c r="DJ52" i="14"/>
  <c r="DM52" i="14"/>
  <c r="DJ45" i="14"/>
  <c r="DQ45" i="14"/>
  <c r="DL45" i="14"/>
  <c r="DM45" i="14"/>
  <c r="DL54" i="14"/>
  <c r="DQ54" i="14"/>
  <c r="DJ54" i="14"/>
  <c r="DM54" i="14"/>
  <c r="DO54" i="14"/>
  <c r="DJ38" i="14"/>
  <c r="DQ38" i="14"/>
  <c r="DL38" i="14"/>
  <c r="DM38" i="14"/>
  <c r="DO38" i="14"/>
  <c r="DL37" i="14"/>
  <c r="DM37" i="14"/>
  <c r="DJ37" i="14"/>
  <c r="DQ37" i="14"/>
  <c r="DO37" i="14"/>
  <c r="DL32" i="14"/>
  <c r="DM32" i="14"/>
  <c r="DJ32" i="14"/>
  <c r="DQ32" i="14"/>
  <c r="DL31" i="14"/>
  <c r="DM31" i="14"/>
  <c r="DJ31" i="14"/>
  <c r="DQ31" i="14"/>
  <c r="DO45" i="14"/>
  <c r="DL49" i="14"/>
  <c r="DM49" i="14"/>
  <c r="DJ49" i="14"/>
  <c r="DQ49" i="14"/>
  <c r="DO49" i="14"/>
  <c r="DL51" i="14"/>
  <c r="DM51" i="14"/>
  <c r="DJ51" i="14"/>
  <c r="DQ51" i="14"/>
  <c r="DO42" i="14"/>
  <c r="DJ35" i="14"/>
  <c r="DQ35" i="14"/>
  <c r="DL35" i="14"/>
  <c r="DM35" i="14"/>
  <c r="DJ33" i="14"/>
  <c r="DQ33" i="14"/>
  <c r="DL33" i="14"/>
  <c r="DM33" i="14"/>
  <c r="DO53" i="14"/>
  <c r="DJ47" i="14"/>
  <c r="DQ47" i="14"/>
  <c r="DL47" i="14"/>
  <c r="DM47" i="14"/>
  <c r="DO47" i="14"/>
  <c r="DJ41" i="14"/>
  <c r="DQ41" i="14"/>
  <c r="DL41" i="14"/>
  <c r="DM41" i="14"/>
  <c r="DO32" i="14"/>
  <c r="DJ43" i="14"/>
  <c r="DQ43" i="14"/>
  <c r="DL43" i="14"/>
  <c r="DM43" i="14"/>
  <c r="DO43" i="14"/>
  <c r="DJ48" i="14"/>
  <c r="DL48" i="14"/>
  <c r="DQ48" i="14"/>
  <c r="DM48" i="14"/>
  <c r="DO48" i="14"/>
  <c r="DO44" i="14"/>
  <c r="DA143" i="14"/>
  <c r="CX183" i="14"/>
  <c r="CW183" i="14" s="1"/>
  <c r="CX188" i="14"/>
  <c r="DL7" i="14"/>
  <c r="DM7" i="14"/>
  <c r="DJ7" i="14"/>
  <c r="DQ7" i="14"/>
  <c r="CM151" i="14"/>
  <c r="DK130" i="14"/>
  <c r="DD164" i="14"/>
  <c r="DO7" i="14"/>
  <c r="DJ29" i="14"/>
  <c r="DQ29" i="14"/>
  <c r="DL29" i="14"/>
  <c r="DM29" i="14"/>
  <c r="DL22" i="14"/>
  <c r="DM22" i="14"/>
  <c r="DJ22" i="14"/>
  <c r="DQ22" i="14"/>
  <c r="DL10" i="14"/>
  <c r="DM10" i="14"/>
  <c r="DJ10" i="14"/>
  <c r="DQ10" i="14"/>
  <c r="DL9" i="14"/>
  <c r="DM9" i="14"/>
  <c r="DJ9" i="14"/>
  <c r="DQ9" i="14"/>
  <c r="DO9" i="14"/>
  <c r="DJ24" i="14"/>
  <c r="DQ24" i="14"/>
  <c r="DL24" i="14"/>
  <c r="DM24" i="14"/>
  <c r="DO24" i="14"/>
  <c r="CX178" i="14"/>
  <c r="CX175" i="14"/>
  <c r="DJ15" i="14"/>
  <c r="DQ15" i="14"/>
  <c r="DL15" i="14"/>
  <c r="DM15" i="14"/>
  <c r="DJ16" i="14"/>
  <c r="DQ16" i="14"/>
  <c r="DL16" i="14"/>
  <c r="DM16" i="14"/>
  <c r="DO16" i="14"/>
  <c r="DL27" i="14"/>
  <c r="DM27" i="14"/>
  <c r="DJ27" i="14"/>
  <c r="DQ27" i="14"/>
  <c r="DO27" i="14"/>
  <c r="DO29" i="14"/>
  <c r="DJ12" i="14"/>
  <c r="DQ12" i="14"/>
  <c r="DL12" i="14"/>
  <c r="DM12" i="14"/>
  <c r="DJ25" i="14"/>
  <c r="DQ25" i="14"/>
  <c r="DL25" i="14"/>
  <c r="DM25" i="14"/>
  <c r="DO25" i="14"/>
  <c r="DL17" i="14"/>
  <c r="DM17" i="14"/>
  <c r="DJ17" i="14"/>
  <c r="DQ17" i="14"/>
  <c r="DJ8" i="14"/>
  <c r="DQ8" i="14"/>
  <c r="DL8" i="14"/>
  <c r="DM8" i="14"/>
  <c r="DK174" i="14"/>
  <c r="DK126" i="14"/>
  <c r="DJ21" i="14"/>
  <c r="DQ21" i="14"/>
  <c r="DL21" i="14"/>
  <c r="DM21" i="14"/>
  <c r="DJ14" i="14"/>
  <c r="DQ14" i="14"/>
  <c r="DL14" i="14"/>
  <c r="DM14" i="14"/>
  <c r="DO14" i="14"/>
  <c r="DL23" i="14"/>
  <c r="DM23" i="14"/>
  <c r="DJ23" i="14"/>
  <c r="DQ23" i="14"/>
  <c r="DJ26" i="14"/>
  <c r="DQ26" i="14"/>
  <c r="DL26" i="14"/>
  <c r="DM26" i="14"/>
  <c r="DO26" i="14"/>
  <c r="DO23" i="14"/>
  <c r="DO8" i="14"/>
  <c r="DO19" i="14"/>
  <c r="DJ19" i="14"/>
  <c r="DQ19" i="14"/>
  <c r="DL19" i="14"/>
  <c r="DM19" i="14"/>
  <c r="DL28" i="14"/>
  <c r="DL147" i="14" s="1"/>
  <c r="DM28" i="14"/>
  <c r="DJ28" i="14"/>
  <c r="DQ28" i="14"/>
  <c r="DQ160" i="14" s="1"/>
  <c r="DO28" i="14"/>
  <c r="DO10" i="14"/>
  <c r="DL20" i="14"/>
  <c r="DM20" i="14"/>
  <c r="DJ20" i="14"/>
  <c r="DQ20" i="14"/>
  <c r="DO22" i="14"/>
  <c r="DJ11" i="14"/>
  <c r="DQ11" i="14"/>
  <c r="DL11" i="14"/>
  <c r="DM11" i="14"/>
  <c r="DJ18" i="14"/>
  <c r="DQ18" i="14"/>
  <c r="DL18" i="14"/>
  <c r="DM18" i="14"/>
  <c r="DO12" i="14"/>
  <c r="DO13" i="14"/>
  <c r="DL13" i="14"/>
  <c r="DM13" i="14"/>
  <c r="DJ13" i="14"/>
  <c r="DQ13" i="14"/>
  <c r="DO17" i="14"/>
  <c r="D16" i="17"/>
  <c r="E14" i="17"/>
  <c r="E15" i="17"/>
  <c r="C19" i="17"/>
  <c r="W181" i="12"/>
  <c r="C15" i="17"/>
  <c r="C16" i="17" s="1"/>
  <c r="W183" i="12"/>
  <c r="AA143" i="12"/>
  <c r="Y151" i="12"/>
  <c r="AA147" i="12"/>
  <c r="AB126" i="12"/>
  <c r="AD164" i="12"/>
  <c r="AA126" i="12"/>
  <c r="X175" i="12"/>
  <c r="X177" i="12"/>
  <c r="X178" i="12" s="1"/>
  <c r="C70" i="10" s="1"/>
  <c r="T6" i="12"/>
  <c r="U6" i="12" s="1"/>
  <c r="AC6" i="12"/>
  <c r="S6" i="12"/>
  <c r="T10" i="12"/>
  <c r="U10" i="12" s="1"/>
  <c r="AC10" i="12"/>
  <c r="S10" i="12"/>
  <c r="T14" i="12"/>
  <c r="U14" i="12" s="1"/>
  <c r="AC14" i="12"/>
  <c r="S14" i="12"/>
  <c r="T18" i="12"/>
  <c r="U18" i="12" s="1"/>
  <c r="AC18" i="12"/>
  <c r="S18" i="12"/>
  <c r="AC23" i="12"/>
  <c r="T23" i="12"/>
  <c r="U23" i="12" s="1"/>
  <c r="S23" i="12"/>
  <c r="AC27" i="12"/>
  <c r="T27" i="12"/>
  <c r="U27" i="12" s="1"/>
  <c r="S27" i="12"/>
  <c r="AC31" i="12"/>
  <c r="T31" i="12"/>
  <c r="U31" i="12" s="1"/>
  <c r="S31" i="12"/>
  <c r="AC35" i="12"/>
  <c r="T35" i="12"/>
  <c r="U35" i="12" s="1"/>
  <c r="S35" i="12"/>
  <c r="AC39" i="12"/>
  <c r="T39" i="12"/>
  <c r="U39" i="12" s="1"/>
  <c r="S39" i="12"/>
  <c r="AC43" i="12"/>
  <c r="T43" i="12"/>
  <c r="U43" i="12" s="1"/>
  <c r="S43" i="12"/>
  <c r="AC48" i="12"/>
  <c r="S48" i="12"/>
  <c r="T48" i="12"/>
  <c r="U48" i="12" s="1"/>
  <c r="AC52" i="12"/>
  <c r="S52" i="12"/>
  <c r="T52" i="12"/>
  <c r="U52" i="12" s="1"/>
  <c r="T9" i="12"/>
  <c r="U9" i="12" s="1"/>
  <c r="AC9" i="12"/>
  <c r="S9" i="12"/>
  <c r="T13" i="12"/>
  <c r="U13" i="12" s="1"/>
  <c r="AC13" i="12"/>
  <c r="S13" i="12"/>
  <c r="T17" i="12"/>
  <c r="U17" i="12" s="1"/>
  <c r="AC17" i="12"/>
  <c r="S17" i="12"/>
  <c r="S21" i="12"/>
  <c r="AC21" i="12"/>
  <c r="T21" i="12"/>
  <c r="U21" i="12" s="1"/>
  <c r="T24" i="12"/>
  <c r="U24" i="12" s="1"/>
  <c r="AC24" i="12"/>
  <c r="S24" i="12"/>
  <c r="T28" i="12"/>
  <c r="U28" i="12" s="1"/>
  <c r="AC28" i="12"/>
  <c r="S28" i="12"/>
  <c r="T32" i="12"/>
  <c r="U32" i="12" s="1"/>
  <c r="AC32" i="12"/>
  <c r="S32" i="12"/>
  <c r="T36" i="12"/>
  <c r="U36" i="12" s="1"/>
  <c r="AC36" i="12"/>
  <c r="S36" i="12"/>
  <c r="T40" i="12"/>
  <c r="U40" i="12" s="1"/>
  <c r="AC40" i="12"/>
  <c r="S40" i="12"/>
  <c r="T44" i="12"/>
  <c r="U44" i="12" s="1"/>
  <c r="AC44" i="12"/>
  <c r="S44" i="12"/>
  <c r="T47" i="12"/>
  <c r="U47" i="12" s="1"/>
  <c r="AC47" i="12"/>
  <c r="S47" i="12"/>
  <c r="AC51" i="12"/>
  <c r="T51" i="12"/>
  <c r="U51" i="12" s="1"/>
  <c r="S51" i="12"/>
  <c r="AC54" i="12"/>
  <c r="S54" i="12"/>
  <c r="T54" i="12"/>
  <c r="U54" i="12" s="1"/>
  <c r="AC57" i="12"/>
  <c r="T57" i="12"/>
  <c r="U57" i="12" s="1"/>
  <c r="S57" i="12"/>
  <c r="T60" i="12"/>
  <c r="U60" i="12" s="1"/>
  <c r="AC60" i="12"/>
  <c r="S60" i="12"/>
  <c r="T64" i="12"/>
  <c r="U64" i="12" s="1"/>
  <c r="AC64" i="12"/>
  <c r="S64" i="12"/>
  <c r="T68" i="12"/>
  <c r="U68" i="12" s="1"/>
  <c r="AC68" i="12"/>
  <c r="S68" i="12"/>
  <c r="T72" i="12"/>
  <c r="U72" i="12" s="1"/>
  <c r="AC72" i="12"/>
  <c r="S72" i="12"/>
  <c r="T78" i="12"/>
  <c r="U78" i="12" s="1"/>
  <c r="S78" i="12"/>
  <c r="AC78" i="12"/>
  <c r="T82" i="12"/>
  <c r="U82" i="12" s="1"/>
  <c r="AC82" i="12"/>
  <c r="S82" i="12"/>
  <c r="T86" i="12"/>
  <c r="U86" i="12" s="1"/>
  <c r="AC86" i="12"/>
  <c r="S86" i="12"/>
  <c r="T90" i="12"/>
  <c r="U90" i="12" s="1"/>
  <c r="AC90" i="12"/>
  <c r="S90" i="12"/>
  <c r="AC58" i="12"/>
  <c r="S58" i="12"/>
  <c r="T58" i="12"/>
  <c r="U58" i="12" s="1"/>
  <c r="T63" i="12"/>
  <c r="U63" i="12" s="1"/>
  <c r="AC63" i="12"/>
  <c r="S63" i="12"/>
  <c r="T67" i="12"/>
  <c r="U67" i="12" s="1"/>
  <c r="AC67" i="12"/>
  <c r="S67" i="12"/>
  <c r="T71" i="12"/>
  <c r="U71" i="12" s="1"/>
  <c r="AC71" i="12"/>
  <c r="S71" i="12"/>
  <c r="S75" i="12"/>
  <c r="T75" i="12"/>
  <c r="U75" i="12" s="1"/>
  <c r="AC75" i="12"/>
  <c r="AC77" i="12"/>
  <c r="T77" i="12"/>
  <c r="U77" i="12" s="1"/>
  <c r="S77" i="12"/>
  <c r="T81" i="12"/>
  <c r="U81" i="12" s="1"/>
  <c r="AC81" i="12"/>
  <c r="S81" i="12"/>
  <c r="T85" i="12"/>
  <c r="U85" i="12" s="1"/>
  <c r="S85" i="12"/>
  <c r="T89" i="12"/>
  <c r="U89" i="12" s="1"/>
  <c r="AC89" i="12"/>
  <c r="S89" i="12"/>
  <c r="T93" i="12"/>
  <c r="U93" i="12" s="1"/>
  <c r="AC93" i="12"/>
  <c r="S93" i="12"/>
  <c r="T96" i="12"/>
  <c r="U96" i="12" s="1"/>
  <c r="S96" i="12"/>
  <c r="AC96" i="12"/>
  <c r="T100" i="12"/>
  <c r="U100" i="12" s="1"/>
  <c r="AC100" i="12"/>
  <c r="S100" i="12"/>
  <c r="T104" i="12"/>
  <c r="U104" i="12" s="1"/>
  <c r="S104" i="12"/>
  <c r="T108" i="12"/>
  <c r="U108" i="12" s="1"/>
  <c r="S108" i="12"/>
  <c r="T112" i="12"/>
  <c r="U112" i="12" s="1"/>
  <c r="AC112" i="12"/>
  <c r="S112" i="12"/>
  <c r="T115" i="12"/>
  <c r="U115" i="12" s="1"/>
  <c r="S115" i="12"/>
  <c r="AC115" i="12"/>
  <c r="T117" i="12"/>
  <c r="U117" i="12" s="1"/>
  <c r="S117" i="12"/>
  <c r="AC117" i="12"/>
  <c r="T119" i="12"/>
  <c r="U119" i="12" s="1"/>
  <c r="S119" i="12"/>
  <c r="AC119" i="12"/>
  <c r="T121" i="12"/>
  <c r="U121" i="12" s="1"/>
  <c r="AC121" i="12"/>
  <c r="S121" i="12"/>
  <c r="T125" i="12"/>
  <c r="U125" i="12" s="1"/>
  <c r="AC125" i="12"/>
  <c r="S125" i="12"/>
  <c r="T94" i="12"/>
  <c r="U94" i="12" s="1"/>
  <c r="AC94" i="12"/>
  <c r="S94" i="12"/>
  <c r="AC99" i="12"/>
  <c r="T99" i="12"/>
  <c r="U99" i="12" s="1"/>
  <c r="S99" i="12"/>
  <c r="S103" i="12"/>
  <c r="T103" i="12"/>
  <c r="U103" i="12" s="1"/>
  <c r="T107" i="12"/>
  <c r="U107" i="12" s="1"/>
  <c r="S107" i="12"/>
  <c r="T111" i="12"/>
  <c r="U111" i="12" s="1"/>
  <c r="AC111" i="12"/>
  <c r="S111" i="12"/>
  <c r="T122" i="12"/>
  <c r="U122" i="12" s="1"/>
  <c r="AC122" i="12"/>
  <c r="S122" i="12"/>
  <c r="S5" i="12"/>
  <c r="R126" i="12"/>
  <c r="AC5" i="12"/>
  <c r="T5" i="12"/>
  <c r="T8" i="12"/>
  <c r="U8" i="12" s="1"/>
  <c r="AC8" i="12"/>
  <c r="S8" i="12"/>
  <c r="T12" i="12"/>
  <c r="U12" i="12" s="1"/>
  <c r="AC12" i="12"/>
  <c r="S12" i="12"/>
  <c r="T16" i="12"/>
  <c r="U16" i="12" s="1"/>
  <c r="AC16" i="12"/>
  <c r="S16" i="12"/>
  <c r="T20" i="12"/>
  <c r="U20" i="12" s="1"/>
  <c r="AC20" i="12"/>
  <c r="S20" i="12"/>
  <c r="AC25" i="12"/>
  <c r="T25" i="12"/>
  <c r="U25" i="12" s="1"/>
  <c r="S25" i="12"/>
  <c r="AC29" i="12"/>
  <c r="T29" i="12"/>
  <c r="U29" i="12" s="1"/>
  <c r="S29" i="12"/>
  <c r="AC33" i="12"/>
  <c r="T33" i="12"/>
  <c r="U33" i="12" s="1"/>
  <c r="S33" i="12"/>
  <c r="AC37" i="12"/>
  <c r="T37" i="12"/>
  <c r="U37" i="12" s="1"/>
  <c r="S37" i="12"/>
  <c r="AC41" i="12"/>
  <c r="T41" i="12"/>
  <c r="U41" i="12" s="1"/>
  <c r="S41" i="12"/>
  <c r="AC45" i="12"/>
  <c r="T45" i="12"/>
  <c r="U45" i="12" s="1"/>
  <c r="S45" i="12"/>
  <c r="AC50" i="12"/>
  <c r="S50" i="12"/>
  <c r="T50" i="12"/>
  <c r="U50" i="12" s="1"/>
  <c r="T7" i="12"/>
  <c r="U7" i="12" s="1"/>
  <c r="AC7" i="12"/>
  <c r="S7" i="12"/>
  <c r="T11" i="12"/>
  <c r="U11" i="12" s="1"/>
  <c r="AC11" i="12"/>
  <c r="S11" i="12"/>
  <c r="T15" i="12"/>
  <c r="U15" i="12" s="1"/>
  <c r="AC15" i="12"/>
  <c r="S15" i="12"/>
  <c r="T19" i="12"/>
  <c r="U19" i="12" s="1"/>
  <c r="AC19" i="12"/>
  <c r="S19" i="12"/>
  <c r="T22" i="12"/>
  <c r="U22" i="12" s="1"/>
  <c r="AC22" i="12"/>
  <c r="S22" i="12"/>
  <c r="T26" i="12"/>
  <c r="U26" i="12" s="1"/>
  <c r="AC26" i="12"/>
  <c r="S26" i="12"/>
  <c r="T30" i="12"/>
  <c r="U30" i="12" s="1"/>
  <c r="AC30" i="12"/>
  <c r="S30" i="12"/>
  <c r="T34" i="12"/>
  <c r="U34" i="12" s="1"/>
  <c r="AC34" i="12"/>
  <c r="S34" i="12"/>
  <c r="T38" i="12"/>
  <c r="U38" i="12" s="1"/>
  <c r="AC38" i="12"/>
  <c r="S38" i="12"/>
  <c r="T42" i="12"/>
  <c r="U42" i="12" s="1"/>
  <c r="AC42" i="12"/>
  <c r="S42" i="12"/>
  <c r="T46" i="12"/>
  <c r="U46" i="12" s="1"/>
  <c r="AC46" i="12"/>
  <c r="S46" i="12"/>
  <c r="AC49" i="12"/>
  <c r="T49" i="12"/>
  <c r="U49" i="12" s="1"/>
  <c r="S49" i="12"/>
  <c r="AC53" i="12"/>
  <c r="T53" i="12"/>
  <c r="U53" i="12" s="1"/>
  <c r="S53" i="12"/>
  <c r="AC55" i="12"/>
  <c r="T55" i="12"/>
  <c r="U55" i="12" s="1"/>
  <c r="S55" i="12"/>
  <c r="T59" i="12"/>
  <c r="U59" i="12" s="1"/>
  <c r="S59" i="12"/>
  <c r="AC59" i="12"/>
  <c r="T62" i="12"/>
  <c r="U62" i="12" s="1"/>
  <c r="AC62" i="12"/>
  <c r="S62" i="12"/>
  <c r="T66" i="12"/>
  <c r="U66" i="12" s="1"/>
  <c r="AC66" i="12"/>
  <c r="S66" i="12"/>
  <c r="T70" i="12"/>
  <c r="U70" i="12" s="1"/>
  <c r="AC70" i="12"/>
  <c r="S70" i="12"/>
  <c r="T74" i="12"/>
  <c r="U74" i="12" s="1"/>
  <c r="AC74" i="12"/>
  <c r="S74" i="12"/>
  <c r="AC79" i="12"/>
  <c r="T79" i="12"/>
  <c r="U79" i="12" s="1"/>
  <c r="S79" i="12"/>
  <c r="T84" i="12"/>
  <c r="U84" i="12" s="1"/>
  <c r="S84" i="12"/>
  <c r="AC84" i="12"/>
  <c r="T88" i="12"/>
  <c r="U88" i="12" s="1"/>
  <c r="S88" i="12"/>
  <c r="AC88" i="12"/>
  <c r="AC56" i="12"/>
  <c r="S56" i="12"/>
  <c r="T56" i="12"/>
  <c r="U56" i="12" s="1"/>
  <c r="T61" i="12"/>
  <c r="U61" i="12" s="1"/>
  <c r="AC61" i="12"/>
  <c r="S61" i="12"/>
  <c r="T65" i="12"/>
  <c r="U65" i="12" s="1"/>
  <c r="AC65" i="12"/>
  <c r="S65" i="12"/>
  <c r="T69" i="12"/>
  <c r="U69" i="12" s="1"/>
  <c r="AC69" i="12"/>
  <c r="S69" i="12"/>
  <c r="T73" i="12"/>
  <c r="U73" i="12" s="1"/>
  <c r="AC73" i="12"/>
  <c r="S73" i="12"/>
  <c r="T76" i="12"/>
  <c r="U76" i="12" s="1"/>
  <c r="S76" i="12"/>
  <c r="AC76" i="12"/>
  <c r="T80" i="12"/>
  <c r="U80" i="12" s="1"/>
  <c r="S80" i="12"/>
  <c r="AC80" i="12"/>
  <c r="T83" i="12"/>
  <c r="U83" i="12" s="1"/>
  <c r="AC83" i="12"/>
  <c r="S83" i="12"/>
  <c r="T87" i="12"/>
  <c r="U87" i="12" s="1"/>
  <c r="AC87" i="12"/>
  <c r="S87" i="12"/>
  <c r="T91" i="12"/>
  <c r="U91" i="12" s="1"/>
  <c r="AC91" i="12"/>
  <c r="S91" i="12"/>
  <c r="T95" i="12"/>
  <c r="U95" i="12" s="1"/>
  <c r="AC95" i="12"/>
  <c r="S95" i="12"/>
  <c r="T98" i="12"/>
  <c r="U98" i="12" s="1"/>
  <c r="AC98" i="12"/>
  <c r="S98" i="12"/>
  <c r="T102" i="12"/>
  <c r="U102" i="12" s="1"/>
  <c r="S102" i="12"/>
  <c r="T106" i="12"/>
  <c r="U106" i="12" s="1"/>
  <c r="S106" i="12"/>
  <c r="T110" i="12"/>
  <c r="U110" i="12" s="1"/>
  <c r="AC110" i="12"/>
  <c r="S110" i="12"/>
  <c r="T114" i="12"/>
  <c r="U114" i="12" s="1"/>
  <c r="AC114" i="12"/>
  <c r="S114" i="12"/>
  <c r="T116" i="12"/>
  <c r="U116" i="12" s="1"/>
  <c r="AC116" i="12"/>
  <c r="S116" i="12"/>
  <c r="T118" i="12"/>
  <c r="U118" i="12" s="1"/>
  <c r="AC118" i="12"/>
  <c r="S118" i="12"/>
  <c r="T120" i="12"/>
  <c r="U120" i="12" s="1"/>
  <c r="AC120" i="12"/>
  <c r="S120" i="12"/>
  <c r="T123" i="12"/>
  <c r="U123" i="12" s="1"/>
  <c r="AC123" i="12"/>
  <c r="S123" i="12"/>
  <c r="T92" i="12"/>
  <c r="U92" i="12" s="1"/>
  <c r="S92" i="12"/>
  <c r="AC92" i="12"/>
  <c r="S97" i="12"/>
  <c r="AC97" i="12"/>
  <c r="T97" i="12"/>
  <c r="U97" i="12" s="1"/>
  <c r="S101" i="12"/>
  <c r="T101" i="12"/>
  <c r="U101" i="12" s="1"/>
  <c r="AC101" i="12"/>
  <c r="T105" i="12"/>
  <c r="U105" i="12" s="1"/>
  <c r="S105" i="12"/>
  <c r="T109" i="12"/>
  <c r="U109" i="12" s="1"/>
  <c r="AC109" i="12"/>
  <c r="S109" i="12"/>
  <c r="S113" i="12"/>
  <c r="AC113" i="12"/>
  <c r="T113" i="12"/>
  <c r="U113" i="12" s="1"/>
  <c r="T124" i="12"/>
  <c r="U124" i="12" s="1"/>
  <c r="AC124" i="12"/>
  <c r="S124" i="12"/>
  <c r="I27" i="17" l="1"/>
  <c r="DW95" i="14"/>
  <c r="DZ95" i="14"/>
  <c r="EA95" i="14" s="1"/>
  <c r="DY95" i="14"/>
  <c r="ED95" i="14"/>
  <c r="EB95" i="14"/>
  <c r="BZ79" i="12"/>
  <c r="CA79" i="12" s="1"/>
  <c r="BZ73" i="12"/>
  <c r="CA73" i="12" s="1"/>
  <c r="BZ97" i="12"/>
  <c r="CA97" i="12" s="1"/>
  <c r="BZ112" i="12"/>
  <c r="CA112" i="12" s="1"/>
  <c r="EB93" i="14"/>
  <c r="ED93" i="14"/>
  <c r="DW93" i="14"/>
  <c r="DZ93" i="14"/>
  <c r="EA93" i="14" s="1"/>
  <c r="DY93" i="14"/>
  <c r="CB79" i="12"/>
  <c r="CD73" i="12"/>
  <c r="BV126" i="12"/>
  <c r="BX180" i="12" s="1"/>
  <c r="AJ126" i="12"/>
  <c r="AK176" i="12" s="1"/>
  <c r="AK178" i="12" s="1"/>
  <c r="AY23" i="12"/>
  <c r="AW23" i="12"/>
  <c r="AZ23" i="12"/>
  <c r="BD23" i="12"/>
  <c r="AY39" i="12"/>
  <c r="AW39" i="12"/>
  <c r="AZ39" i="12"/>
  <c r="BD39" i="12"/>
  <c r="AY47" i="12"/>
  <c r="AW47" i="12"/>
  <c r="BD47" i="12"/>
  <c r="AZ47" i="12"/>
  <c r="AY102" i="12"/>
  <c r="AW102" i="12"/>
  <c r="BD102" i="12"/>
  <c r="AZ102" i="12"/>
  <c r="AY119" i="12"/>
  <c r="AW119" i="12"/>
  <c r="BD119" i="12"/>
  <c r="AZ119" i="12"/>
  <c r="AY99" i="12"/>
  <c r="AW99" i="12"/>
  <c r="BD99" i="12"/>
  <c r="AZ99" i="12"/>
  <c r="BB119" i="12"/>
  <c r="BB24" i="12"/>
  <c r="AW24" i="12"/>
  <c r="AY24" i="12"/>
  <c r="BD24" i="12"/>
  <c r="AZ24" i="12"/>
  <c r="AN123" i="12"/>
  <c r="AX123" i="12"/>
  <c r="BB8" i="12"/>
  <c r="AY8" i="12"/>
  <c r="AW8" i="12"/>
  <c r="AZ8" i="12"/>
  <c r="BD8" i="12"/>
  <c r="AW29" i="12"/>
  <c r="AY29" i="12"/>
  <c r="BD29" i="12"/>
  <c r="AZ29" i="12"/>
  <c r="BB29" i="12"/>
  <c r="BB40" i="12"/>
  <c r="AW40" i="12"/>
  <c r="AY40" i="12"/>
  <c r="BD40" i="12"/>
  <c r="AZ40" i="12"/>
  <c r="DN85" i="14"/>
  <c r="DX85" i="14"/>
  <c r="DN81" i="14"/>
  <c r="DX81" i="14"/>
  <c r="EB81" i="14" s="1"/>
  <c r="DN88" i="14"/>
  <c r="DX88" i="14"/>
  <c r="AY30" i="12"/>
  <c r="AW30" i="12"/>
  <c r="BD30" i="12"/>
  <c r="AZ30" i="12"/>
  <c r="BB47" i="12"/>
  <c r="AY78" i="12"/>
  <c r="AW78" i="12"/>
  <c r="BD78" i="12"/>
  <c r="AZ78" i="12"/>
  <c r="BB78" i="12"/>
  <c r="AY114" i="12"/>
  <c r="AW114" i="12"/>
  <c r="AZ114" i="12"/>
  <c r="BD114" i="12"/>
  <c r="BB114" i="12"/>
  <c r="AY66" i="12"/>
  <c r="AW66" i="12"/>
  <c r="AZ66" i="12"/>
  <c r="BD66" i="12"/>
  <c r="AY42" i="12"/>
  <c r="AW42" i="12"/>
  <c r="BD42" i="12"/>
  <c r="AZ42" i="12"/>
  <c r="BB42" i="12"/>
  <c r="AY51" i="12"/>
  <c r="AW51" i="12"/>
  <c r="BD51" i="12"/>
  <c r="AZ51" i="12"/>
  <c r="BB51" i="12"/>
  <c r="AW25" i="12"/>
  <c r="AY25" i="12"/>
  <c r="BD25" i="12"/>
  <c r="AZ25" i="12"/>
  <c r="BB25" i="12"/>
  <c r="DN94" i="14"/>
  <c r="DX94" i="14"/>
  <c r="EB94" i="14" s="1"/>
  <c r="DN113" i="14"/>
  <c r="DX113" i="14"/>
  <c r="DN67" i="14"/>
  <c r="DX67" i="14"/>
  <c r="DN111" i="14"/>
  <c r="DX111" i="14"/>
  <c r="DN105" i="14"/>
  <c r="DX105" i="14"/>
  <c r="EB105" i="14" s="1"/>
  <c r="DN109" i="14"/>
  <c r="DX109" i="14"/>
  <c r="DN92" i="14"/>
  <c r="DX92" i="14"/>
  <c r="DN62" i="14"/>
  <c r="DX62" i="14"/>
  <c r="EB62" i="14" s="1"/>
  <c r="DN71" i="14"/>
  <c r="DX71" i="14"/>
  <c r="AF126" i="12"/>
  <c r="AP126" i="12"/>
  <c r="AY117" i="12"/>
  <c r="AW117" i="12"/>
  <c r="BD117" i="12"/>
  <c r="AZ117" i="12"/>
  <c r="BB117" i="12"/>
  <c r="AY44" i="12"/>
  <c r="AW44" i="12"/>
  <c r="AZ44" i="12"/>
  <c r="BD44" i="12"/>
  <c r="BB44" i="12"/>
  <c r="DN86" i="14"/>
  <c r="DX86" i="14"/>
  <c r="DN58" i="14"/>
  <c r="DX58" i="14"/>
  <c r="DN98" i="14"/>
  <c r="DX98" i="14"/>
  <c r="DN66" i="14"/>
  <c r="DX66" i="14"/>
  <c r="DN69" i="14"/>
  <c r="DX69" i="14"/>
  <c r="EB69" i="14" s="1"/>
  <c r="DN91" i="14"/>
  <c r="DX91" i="14"/>
  <c r="DN6" i="14"/>
  <c r="DX6" i="14"/>
  <c r="AO126" i="12"/>
  <c r="AY91" i="12"/>
  <c r="AW91" i="12"/>
  <c r="BD91" i="12"/>
  <c r="AZ91" i="12"/>
  <c r="AY100" i="12"/>
  <c r="AW100" i="12"/>
  <c r="BD100" i="12"/>
  <c r="AZ100" i="12"/>
  <c r="AY22" i="12"/>
  <c r="AW22" i="12"/>
  <c r="AZ22" i="12"/>
  <c r="BD22" i="12"/>
  <c r="AY81" i="12"/>
  <c r="AW81" i="12"/>
  <c r="BD81" i="12"/>
  <c r="AZ81" i="12"/>
  <c r="AY89" i="12"/>
  <c r="AW89" i="12"/>
  <c r="BD89" i="12"/>
  <c r="AZ89" i="12"/>
  <c r="AY28" i="12"/>
  <c r="AW28" i="12"/>
  <c r="AZ28" i="12"/>
  <c r="BD28" i="12"/>
  <c r="BB23" i="12"/>
  <c r="AY48" i="12"/>
  <c r="AW48" i="12"/>
  <c r="AZ48" i="12"/>
  <c r="BD48" i="12"/>
  <c r="AY104" i="12"/>
  <c r="AW104" i="12"/>
  <c r="AZ104" i="12"/>
  <c r="BD104" i="12"/>
  <c r="AY80" i="12"/>
  <c r="AW80" i="12"/>
  <c r="AZ80" i="12"/>
  <c r="BD80" i="12"/>
  <c r="BB80" i="12"/>
  <c r="AY92" i="12"/>
  <c r="AW92" i="12"/>
  <c r="BD92" i="12"/>
  <c r="AZ92" i="12"/>
  <c r="BB92" i="12"/>
  <c r="AY49" i="12"/>
  <c r="AW49" i="12"/>
  <c r="BD49" i="12"/>
  <c r="AZ49" i="12"/>
  <c r="BB49" i="12"/>
  <c r="AY14" i="12"/>
  <c r="AW14" i="12"/>
  <c r="BD14" i="12"/>
  <c r="AZ14" i="12"/>
  <c r="AY11" i="12"/>
  <c r="AW11" i="12"/>
  <c r="AZ11" i="12"/>
  <c r="BD11" i="12"/>
  <c r="AY19" i="12"/>
  <c r="AW19" i="12"/>
  <c r="AZ19" i="12"/>
  <c r="BD19" i="12"/>
  <c r="AW21" i="12"/>
  <c r="AY21" i="12"/>
  <c r="BD21" i="12"/>
  <c r="AZ21" i="12"/>
  <c r="AY113" i="12"/>
  <c r="AW113" i="12"/>
  <c r="BD113" i="12"/>
  <c r="AZ113" i="12"/>
  <c r="AY60" i="12"/>
  <c r="AW60" i="12"/>
  <c r="AZ60" i="12"/>
  <c r="BD60" i="12"/>
  <c r="AY62" i="12"/>
  <c r="AW62" i="12"/>
  <c r="BD62" i="12"/>
  <c r="AZ62" i="12"/>
  <c r="AY64" i="12"/>
  <c r="AW64" i="12"/>
  <c r="AZ64" i="12"/>
  <c r="BD64" i="12"/>
  <c r="AY67" i="12"/>
  <c r="AW67" i="12"/>
  <c r="BD67" i="12"/>
  <c r="AZ67" i="12"/>
  <c r="AY71" i="12"/>
  <c r="AW71" i="12"/>
  <c r="BD71" i="12"/>
  <c r="AZ71" i="12"/>
  <c r="BC6" i="12"/>
  <c r="AT6" i="12"/>
  <c r="AU6" i="12" s="1"/>
  <c r="AS6" i="12"/>
  <c r="BC10" i="12"/>
  <c r="AT10" i="12"/>
  <c r="AU10" i="12" s="1"/>
  <c r="AS10" i="12"/>
  <c r="BC14" i="12"/>
  <c r="AT14" i="12"/>
  <c r="AU14" i="12" s="1"/>
  <c r="AS14" i="12"/>
  <c r="BC18" i="12"/>
  <c r="AT18" i="12"/>
  <c r="AU18" i="12" s="1"/>
  <c r="AS18" i="12"/>
  <c r="BC22" i="12"/>
  <c r="AT22" i="12"/>
  <c r="AU22" i="12" s="1"/>
  <c r="AS22" i="12"/>
  <c r="BC26" i="12"/>
  <c r="AT26" i="12"/>
  <c r="AU26" i="12" s="1"/>
  <c r="AS26" i="12"/>
  <c r="BC30" i="12"/>
  <c r="AT30" i="12"/>
  <c r="AU30" i="12" s="1"/>
  <c r="AS30" i="12"/>
  <c r="BC34" i="12"/>
  <c r="AT34" i="12"/>
  <c r="AU34" i="12" s="1"/>
  <c r="AS34" i="12"/>
  <c r="BC38" i="12"/>
  <c r="AT38" i="12"/>
  <c r="AU38" i="12" s="1"/>
  <c r="AS38" i="12"/>
  <c r="BC42" i="12"/>
  <c r="AT42" i="12"/>
  <c r="AU42" i="12" s="1"/>
  <c r="AS42" i="12"/>
  <c r="BC46" i="12"/>
  <c r="AT46" i="12"/>
  <c r="AU46" i="12" s="1"/>
  <c r="AS46" i="12"/>
  <c r="BC50" i="12"/>
  <c r="AT50" i="12"/>
  <c r="AU50" i="12" s="1"/>
  <c r="AS50" i="12"/>
  <c r="BC54" i="12"/>
  <c r="AT54" i="12"/>
  <c r="AU54" i="12" s="1"/>
  <c r="AS54" i="12"/>
  <c r="BC58" i="12"/>
  <c r="AT58" i="12"/>
  <c r="AU58" i="12" s="1"/>
  <c r="AS58" i="12"/>
  <c r="BC62" i="12"/>
  <c r="AT62" i="12"/>
  <c r="AU62" i="12" s="1"/>
  <c r="AS62" i="12"/>
  <c r="BC66" i="12"/>
  <c r="AT66" i="12"/>
  <c r="AU66" i="12" s="1"/>
  <c r="AS66" i="12"/>
  <c r="BC70" i="12"/>
  <c r="AT70" i="12"/>
  <c r="AU70" i="12" s="1"/>
  <c r="AS70" i="12"/>
  <c r="BC74" i="12"/>
  <c r="AT74" i="12"/>
  <c r="AU74" i="12" s="1"/>
  <c r="AS74" i="12"/>
  <c r="BC78" i="12"/>
  <c r="AT78" i="12"/>
  <c r="AU78" i="12" s="1"/>
  <c r="AS78" i="12"/>
  <c r="BC82" i="12"/>
  <c r="AT82" i="12"/>
  <c r="AU82" i="12" s="1"/>
  <c r="AS82" i="12"/>
  <c r="BC86" i="12"/>
  <c r="AT86" i="12"/>
  <c r="AU86" i="12" s="1"/>
  <c r="AS86" i="12"/>
  <c r="BC90" i="12"/>
  <c r="AT90" i="12"/>
  <c r="AU90" i="12" s="1"/>
  <c r="AS90" i="12"/>
  <c r="BC94" i="12"/>
  <c r="AT94" i="12"/>
  <c r="AU94" i="12" s="1"/>
  <c r="AS94" i="12"/>
  <c r="BC98" i="12"/>
  <c r="AT98" i="12"/>
  <c r="AU98" i="12" s="1"/>
  <c r="AS98" i="12"/>
  <c r="BC102" i="12"/>
  <c r="AT102" i="12"/>
  <c r="AU102" i="12" s="1"/>
  <c r="AS102" i="12"/>
  <c r="BC106" i="12"/>
  <c r="AT106" i="12"/>
  <c r="AU106" i="12" s="1"/>
  <c r="AS106" i="12"/>
  <c r="BC110" i="12"/>
  <c r="AT110" i="12"/>
  <c r="AU110" i="12" s="1"/>
  <c r="AS110" i="12"/>
  <c r="BC114" i="12"/>
  <c r="AT114" i="12"/>
  <c r="AU114" i="12" s="1"/>
  <c r="AS114" i="12"/>
  <c r="BC118" i="12"/>
  <c r="AT118" i="12"/>
  <c r="AU118" i="12" s="1"/>
  <c r="AS118" i="12"/>
  <c r="BC122" i="12"/>
  <c r="AT122" i="12"/>
  <c r="AU122" i="12" s="1"/>
  <c r="AS122" i="12"/>
  <c r="BC5" i="12"/>
  <c r="AT5" i="12"/>
  <c r="AR126" i="12"/>
  <c r="AS5" i="12"/>
  <c r="BC9" i="12"/>
  <c r="AT9" i="12"/>
  <c r="AU9" i="12" s="1"/>
  <c r="AS9" i="12"/>
  <c r="BC13" i="12"/>
  <c r="AT13" i="12"/>
  <c r="AU13" i="12" s="1"/>
  <c r="AS13" i="12"/>
  <c r="BC17" i="12"/>
  <c r="AT17" i="12"/>
  <c r="AU17" i="12" s="1"/>
  <c r="AS17" i="12"/>
  <c r="BC21" i="12"/>
  <c r="AT21" i="12"/>
  <c r="AU21" i="12" s="1"/>
  <c r="AS21" i="12"/>
  <c r="BC25" i="12"/>
  <c r="AT25" i="12"/>
  <c r="AU25" i="12" s="1"/>
  <c r="AS25" i="12"/>
  <c r="BC29" i="12"/>
  <c r="AT29" i="12"/>
  <c r="AU29" i="12" s="1"/>
  <c r="AS29" i="12"/>
  <c r="BC33" i="12"/>
  <c r="AT33" i="12"/>
  <c r="AU33" i="12" s="1"/>
  <c r="AS33" i="12"/>
  <c r="BC37" i="12"/>
  <c r="AT37" i="12"/>
  <c r="AU37" i="12" s="1"/>
  <c r="AS37" i="12"/>
  <c r="BC41" i="12"/>
  <c r="AT41" i="12"/>
  <c r="AU41" i="12" s="1"/>
  <c r="AS41" i="12"/>
  <c r="BC45" i="12"/>
  <c r="AT45" i="12"/>
  <c r="AU45" i="12" s="1"/>
  <c r="AS45" i="12"/>
  <c r="BC49" i="12"/>
  <c r="AT49" i="12"/>
  <c r="AU49" i="12" s="1"/>
  <c r="AS49" i="12"/>
  <c r="BC53" i="12"/>
  <c r="AT53" i="12"/>
  <c r="AU53" i="12" s="1"/>
  <c r="AS53" i="12"/>
  <c r="BC57" i="12"/>
  <c r="AT57" i="12"/>
  <c r="AU57" i="12" s="1"/>
  <c r="AS57" i="12"/>
  <c r="BC61" i="12"/>
  <c r="AT61" i="12"/>
  <c r="AU61" i="12" s="1"/>
  <c r="AS61" i="12"/>
  <c r="BC65" i="12"/>
  <c r="AT65" i="12"/>
  <c r="AU65" i="12" s="1"/>
  <c r="AS65" i="12"/>
  <c r="BC69" i="12"/>
  <c r="AT69" i="12"/>
  <c r="AU69" i="12" s="1"/>
  <c r="AS69" i="12"/>
  <c r="BC73" i="12"/>
  <c r="AT73" i="12"/>
  <c r="AU73" i="12" s="1"/>
  <c r="AS73" i="12"/>
  <c r="BC77" i="12"/>
  <c r="AT77" i="12"/>
  <c r="AU77" i="12" s="1"/>
  <c r="AS77" i="12"/>
  <c r="BC81" i="12"/>
  <c r="AT81" i="12"/>
  <c r="AU81" i="12" s="1"/>
  <c r="AS81" i="12"/>
  <c r="BC85" i="12"/>
  <c r="AT85" i="12"/>
  <c r="AU85" i="12" s="1"/>
  <c r="AS85" i="12"/>
  <c r="BC89" i="12"/>
  <c r="AT89" i="12"/>
  <c r="AU89" i="12" s="1"/>
  <c r="AS89" i="12"/>
  <c r="BC93" i="12"/>
  <c r="AT93" i="12"/>
  <c r="AU93" i="12" s="1"/>
  <c r="AS93" i="12"/>
  <c r="BC97" i="12"/>
  <c r="AT97" i="12"/>
  <c r="AU97" i="12" s="1"/>
  <c r="AS97" i="12"/>
  <c r="BC101" i="12"/>
  <c r="AT101" i="12"/>
  <c r="AU101" i="12" s="1"/>
  <c r="AS101" i="12"/>
  <c r="BC105" i="12"/>
  <c r="AT105" i="12"/>
  <c r="AU105" i="12" s="1"/>
  <c r="AS105" i="12"/>
  <c r="BC109" i="12"/>
  <c r="AT109" i="12"/>
  <c r="AU109" i="12" s="1"/>
  <c r="AS109" i="12"/>
  <c r="BC113" i="12"/>
  <c r="AT113" i="12"/>
  <c r="AU113" i="12" s="1"/>
  <c r="AS113" i="12"/>
  <c r="BC117" i="12"/>
  <c r="AT117" i="12"/>
  <c r="AU117" i="12" s="1"/>
  <c r="AS117" i="12"/>
  <c r="BC121" i="12"/>
  <c r="AT121" i="12"/>
  <c r="AU121" i="12" s="1"/>
  <c r="AS121" i="12"/>
  <c r="AT125" i="12"/>
  <c r="AU125" i="12" s="1"/>
  <c r="AS125" i="12"/>
  <c r="BC125" i="12"/>
  <c r="DN30" i="14"/>
  <c r="DX30" i="14"/>
  <c r="DN87" i="14"/>
  <c r="DX87" i="14"/>
  <c r="DN61" i="14"/>
  <c r="DX61" i="14"/>
  <c r="EB61" i="14" s="1"/>
  <c r="DN75" i="14"/>
  <c r="DX75" i="14"/>
  <c r="DN78" i="14"/>
  <c r="DX78" i="14"/>
  <c r="DN5" i="14"/>
  <c r="DX5" i="14"/>
  <c r="DN60" i="14"/>
  <c r="DX60" i="14"/>
  <c r="BB14" i="12"/>
  <c r="BB104" i="12"/>
  <c r="DN125" i="14"/>
  <c r="DX125" i="14"/>
  <c r="BB67" i="12"/>
  <c r="DN100" i="14"/>
  <c r="DX100" i="14"/>
  <c r="EB100" i="14" s="1"/>
  <c r="DN90" i="14"/>
  <c r="DX90" i="14"/>
  <c r="DN77" i="14"/>
  <c r="DX77" i="14"/>
  <c r="DN110" i="14"/>
  <c r="DX110" i="14"/>
  <c r="EB110" i="14" s="1"/>
  <c r="DN120" i="14"/>
  <c r="DX120" i="14"/>
  <c r="DN114" i="14"/>
  <c r="DX114" i="14"/>
  <c r="AY31" i="12"/>
  <c r="AW31" i="12"/>
  <c r="AZ31" i="12"/>
  <c r="BD31" i="12"/>
  <c r="AY27" i="12"/>
  <c r="AW27" i="12"/>
  <c r="AZ27" i="12"/>
  <c r="BD27" i="12"/>
  <c r="AY35" i="12"/>
  <c r="AW35" i="12"/>
  <c r="AZ35" i="12"/>
  <c r="BD35" i="12"/>
  <c r="AY34" i="12"/>
  <c r="AW34" i="12"/>
  <c r="BD34" i="12"/>
  <c r="AZ34" i="12"/>
  <c r="AY38" i="12"/>
  <c r="AW38" i="12"/>
  <c r="AZ38" i="12"/>
  <c r="BD38" i="12"/>
  <c r="AY53" i="12"/>
  <c r="AW53" i="12"/>
  <c r="BD53" i="12"/>
  <c r="AZ53" i="12"/>
  <c r="AL126" i="12"/>
  <c r="AW5" i="12"/>
  <c r="AY5" i="12"/>
  <c r="BD5" i="12"/>
  <c r="AZ5" i="12"/>
  <c r="BB27" i="12"/>
  <c r="AY56" i="12"/>
  <c r="AW56" i="12"/>
  <c r="AZ56" i="12"/>
  <c r="BD56" i="12"/>
  <c r="AY55" i="12"/>
  <c r="AW55" i="12"/>
  <c r="BD55" i="12"/>
  <c r="AZ55" i="12"/>
  <c r="AY121" i="12"/>
  <c r="AW121" i="12"/>
  <c r="BD121" i="12"/>
  <c r="AZ121" i="12"/>
  <c r="BB121" i="12"/>
  <c r="BB48" i="12"/>
  <c r="BX82" i="12"/>
  <c r="CB82" i="12" s="1"/>
  <c r="BW101" i="12"/>
  <c r="BY101" i="12"/>
  <c r="BY77" i="12"/>
  <c r="BW77" i="12"/>
  <c r="BZ178" i="12"/>
  <c r="BZ176" i="12"/>
  <c r="BZ174" i="12"/>
  <c r="BY4" i="12"/>
  <c r="BS4" i="12"/>
  <c r="BR4" i="12"/>
  <c r="BZ180" i="12"/>
  <c r="BZ177" i="12"/>
  <c r="BZ175" i="12"/>
  <c r="BX128" i="12"/>
  <c r="BU4" i="12"/>
  <c r="BR1" i="12" s="1"/>
  <c r="BT4" i="12"/>
  <c r="AW6" i="12"/>
  <c r="AY6" i="12"/>
  <c r="AZ6" i="12"/>
  <c r="BD6" i="12"/>
  <c r="BB6" i="12"/>
  <c r="AY12" i="12"/>
  <c r="AW12" i="12"/>
  <c r="AZ12" i="12"/>
  <c r="BD12" i="12"/>
  <c r="AY36" i="12"/>
  <c r="AW36" i="12"/>
  <c r="BD36" i="12"/>
  <c r="AZ36" i="12"/>
  <c r="BB36" i="12"/>
  <c r="DN124" i="14"/>
  <c r="DX124" i="14"/>
  <c r="DN116" i="14"/>
  <c r="DX116" i="14"/>
  <c r="EB116" i="14" s="1"/>
  <c r="DN99" i="14"/>
  <c r="DX99" i="14"/>
  <c r="DN76" i="14"/>
  <c r="DX76" i="14"/>
  <c r="EB76" i="14" s="1"/>
  <c r="BB55" i="12"/>
  <c r="AF147" i="12"/>
  <c r="AF151" i="12" s="1"/>
  <c r="AY10" i="12"/>
  <c r="AW10" i="12"/>
  <c r="AZ10" i="12"/>
  <c r="BD10" i="12"/>
  <c r="BB10" i="12"/>
  <c r="AW18" i="12"/>
  <c r="AY18" i="12"/>
  <c r="AZ18" i="12"/>
  <c r="BD18" i="12"/>
  <c r="BB18" i="12"/>
  <c r="AY69" i="12"/>
  <c r="AW69" i="12"/>
  <c r="BD69" i="12"/>
  <c r="AZ69" i="12"/>
  <c r="BB69" i="12"/>
  <c r="AY61" i="12"/>
  <c r="AW61" i="12"/>
  <c r="BD61" i="12"/>
  <c r="AZ61" i="12"/>
  <c r="BB61" i="12"/>
  <c r="AY41" i="12"/>
  <c r="AW41" i="12"/>
  <c r="BD41" i="12"/>
  <c r="AZ41" i="12"/>
  <c r="BB41" i="12"/>
  <c r="AW13" i="12"/>
  <c r="AY13" i="12"/>
  <c r="BD13" i="12"/>
  <c r="AZ13" i="12"/>
  <c r="BB13" i="12"/>
  <c r="AW37" i="12"/>
  <c r="AY37" i="12"/>
  <c r="BD37" i="12"/>
  <c r="AZ37" i="12"/>
  <c r="BB37" i="12"/>
  <c r="DN121" i="14"/>
  <c r="DX121" i="14"/>
  <c r="AY46" i="12"/>
  <c r="AW46" i="12"/>
  <c r="BD46" i="12"/>
  <c r="AZ46" i="12"/>
  <c r="AY58" i="12"/>
  <c r="AW58" i="12"/>
  <c r="BD58" i="12"/>
  <c r="AZ58" i="12"/>
  <c r="AY96" i="12"/>
  <c r="AW96" i="12"/>
  <c r="AZ96" i="12"/>
  <c r="BD96" i="12"/>
  <c r="AY106" i="12"/>
  <c r="AW106" i="12"/>
  <c r="AZ106" i="12"/>
  <c r="BD106" i="12"/>
  <c r="AY86" i="12"/>
  <c r="AW86" i="12"/>
  <c r="BD86" i="12"/>
  <c r="AZ86" i="12"/>
  <c r="AY116" i="12"/>
  <c r="AW116" i="12"/>
  <c r="BD116" i="12"/>
  <c r="AZ116" i="12"/>
  <c r="AY98" i="12"/>
  <c r="AW98" i="12"/>
  <c r="AZ98" i="12"/>
  <c r="BD98" i="12"/>
  <c r="BB98" i="12"/>
  <c r="BB58" i="12"/>
  <c r="AY76" i="12"/>
  <c r="AW76" i="12"/>
  <c r="BD76" i="12"/>
  <c r="AZ76" i="12"/>
  <c r="AY59" i="12"/>
  <c r="AW59" i="12"/>
  <c r="BD59" i="12"/>
  <c r="AZ59" i="12"/>
  <c r="AY108" i="12"/>
  <c r="AW108" i="12"/>
  <c r="BD108" i="12"/>
  <c r="AZ108" i="12"/>
  <c r="AY68" i="12"/>
  <c r="AW68" i="12"/>
  <c r="BD68" i="12"/>
  <c r="AZ68" i="12"/>
  <c r="AY110" i="12"/>
  <c r="AW110" i="12"/>
  <c r="BD110" i="12"/>
  <c r="AZ110" i="12"/>
  <c r="AY122" i="12"/>
  <c r="AW122" i="12"/>
  <c r="BD122" i="12"/>
  <c r="AZ122" i="12"/>
  <c r="BB122" i="12"/>
  <c r="AY54" i="12"/>
  <c r="AW54" i="12"/>
  <c r="BD54" i="12"/>
  <c r="AZ54" i="12"/>
  <c r="BB54" i="12"/>
  <c r="AY63" i="12"/>
  <c r="AW63" i="12"/>
  <c r="BD63" i="12"/>
  <c r="AZ63" i="12"/>
  <c r="AW9" i="12"/>
  <c r="AY9" i="12"/>
  <c r="BD9" i="12"/>
  <c r="AZ9" i="12"/>
  <c r="AW33" i="12"/>
  <c r="AY33" i="12"/>
  <c r="BD33" i="12"/>
  <c r="AZ33" i="12"/>
  <c r="BB33" i="12"/>
  <c r="DN65" i="14"/>
  <c r="DX65" i="14"/>
  <c r="DN83" i="14"/>
  <c r="DX83" i="14"/>
  <c r="DN63" i="14"/>
  <c r="DX63" i="14"/>
  <c r="EB120" i="14"/>
  <c r="DN80" i="14"/>
  <c r="DX80" i="14"/>
  <c r="BB68" i="12"/>
  <c r="AW125" i="12"/>
  <c r="AY125" i="12"/>
  <c r="BD125" i="12"/>
  <c r="AZ125" i="12"/>
  <c r="BB125" i="12"/>
  <c r="EB85" i="14"/>
  <c r="DN57" i="14"/>
  <c r="DX57" i="14"/>
  <c r="DN84" i="14"/>
  <c r="DX84" i="14"/>
  <c r="DN107" i="14"/>
  <c r="DX107" i="14"/>
  <c r="DN118" i="14"/>
  <c r="DX118" i="14"/>
  <c r="AY83" i="12"/>
  <c r="AW83" i="12"/>
  <c r="BD83" i="12"/>
  <c r="AZ83" i="12"/>
  <c r="AY43" i="12"/>
  <c r="AW43" i="12"/>
  <c r="BD43" i="12"/>
  <c r="AZ43" i="12"/>
  <c r="AY87" i="12"/>
  <c r="AW87" i="12"/>
  <c r="BD87" i="12"/>
  <c r="AZ87" i="12"/>
  <c r="AY95" i="12"/>
  <c r="AW95" i="12"/>
  <c r="BD95" i="12"/>
  <c r="AZ95" i="12"/>
  <c r="AY88" i="12"/>
  <c r="AW88" i="12"/>
  <c r="AZ88" i="12"/>
  <c r="BD88" i="12"/>
  <c r="AY115" i="12"/>
  <c r="AW115" i="12"/>
  <c r="BD115" i="12"/>
  <c r="AZ115" i="12"/>
  <c r="AY124" i="12"/>
  <c r="AW124" i="12"/>
  <c r="BD124" i="12"/>
  <c r="AZ124" i="12"/>
  <c r="AY50" i="12"/>
  <c r="AW50" i="12"/>
  <c r="BD50" i="12"/>
  <c r="AZ50" i="12"/>
  <c r="AY103" i="12"/>
  <c r="AW103" i="12"/>
  <c r="BD103" i="12"/>
  <c r="AZ103" i="12"/>
  <c r="AY94" i="12"/>
  <c r="AW94" i="12"/>
  <c r="BD94" i="12"/>
  <c r="AZ94" i="12"/>
  <c r="AY120" i="12"/>
  <c r="AW120" i="12"/>
  <c r="AZ120" i="12"/>
  <c r="BD120" i="12"/>
  <c r="BB116" i="12"/>
  <c r="AJ183" i="12"/>
  <c r="AY84" i="12"/>
  <c r="AW84" i="12"/>
  <c r="BD84" i="12"/>
  <c r="AZ84" i="12"/>
  <c r="BB84" i="12"/>
  <c r="BB102" i="12"/>
  <c r="BB46" i="12"/>
  <c r="BB95" i="12"/>
  <c r="AY107" i="12"/>
  <c r="AW107" i="12"/>
  <c r="BD107" i="12"/>
  <c r="AZ107" i="12"/>
  <c r="BB107" i="12"/>
  <c r="AY75" i="12"/>
  <c r="AW75" i="12"/>
  <c r="BD75" i="12"/>
  <c r="AZ75" i="12"/>
  <c r="BB75" i="12"/>
  <c r="AY111" i="12"/>
  <c r="AW111" i="12"/>
  <c r="BD111" i="12"/>
  <c r="AZ111" i="12"/>
  <c r="AY70" i="12"/>
  <c r="AW70" i="12"/>
  <c r="BD70" i="12"/>
  <c r="AZ70" i="12"/>
  <c r="BB70" i="12"/>
  <c r="AY72" i="12"/>
  <c r="AW72" i="12"/>
  <c r="AZ72" i="12"/>
  <c r="BD72" i="12"/>
  <c r="BB72" i="12"/>
  <c r="BE124" i="12"/>
  <c r="BE122" i="12"/>
  <c r="BE120" i="12"/>
  <c r="BE119" i="12"/>
  <c r="BE117" i="12"/>
  <c r="BE115" i="12"/>
  <c r="BE113" i="12"/>
  <c r="BE111" i="12"/>
  <c r="BE109" i="12"/>
  <c r="BE107" i="12"/>
  <c r="BE105" i="12"/>
  <c r="BE103" i="12"/>
  <c r="BE101" i="12"/>
  <c r="BE99" i="12"/>
  <c r="BE97" i="12"/>
  <c r="BE95" i="12"/>
  <c r="BE93" i="12"/>
  <c r="BE91" i="12"/>
  <c r="BE89" i="12"/>
  <c r="BE87" i="12"/>
  <c r="BE85" i="12"/>
  <c r="BE83" i="12"/>
  <c r="BE81" i="12"/>
  <c r="BE79" i="12"/>
  <c r="BE77" i="12"/>
  <c r="BE75" i="12"/>
  <c r="BE73" i="12"/>
  <c r="BE71" i="12"/>
  <c r="BE69" i="12"/>
  <c r="BE67" i="12"/>
  <c r="BE65" i="12"/>
  <c r="BE63" i="12"/>
  <c r="BE61" i="12"/>
  <c r="BE59" i="12"/>
  <c r="BE57" i="12"/>
  <c r="BE55" i="12"/>
  <c r="BE53" i="12"/>
  <c r="BE51" i="12"/>
  <c r="BE49" i="12"/>
  <c r="BE47" i="12"/>
  <c r="BE45" i="12"/>
  <c r="BE43" i="12"/>
  <c r="BE41" i="12"/>
  <c r="BE39" i="12"/>
  <c r="BE37" i="12"/>
  <c r="BE35" i="12"/>
  <c r="BE33" i="12"/>
  <c r="BE31" i="12"/>
  <c r="BE29" i="12"/>
  <c r="BE27" i="12"/>
  <c r="BE25" i="12"/>
  <c r="BE23" i="12"/>
  <c r="BE21" i="12"/>
  <c r="BE19" i="12"/>
  <c r="BE17" i="12"/>
  <c r="BE15" i="12"/>
  <c r="BE13" i="12"/>
  <c r="BE11" i="12"/>
  <c r="BE9" i="12"/>
  <c r="BE7" i="12"/>
  <c r="BE5" i="12"/>
  <c r="BE123" i="12"/>
  <c r="BE121" i="12"/>
  <c r="BE125" i="12"/>
  <c r="BE118" i="12"/>
  <c r="BE116" i="12"/>
  <c r="BE114" i="12"/>
  <c r="BE112" i="12"/>
  <c r="BE110" i="12"/>
  <c r="BE108" i="12"/>
  <c r="BE106" i="12"/>
  <c r="BE104" i="12"/>
  <c r="BE102" i="12"/>
  <c r="BE100" i="12"/>
  <c r="BE98" i="12"/>
  <c r="BE96" i="12"/>
  <c r="BE94" i="12"/>
  <c r="BE92" i="12"/>
  <c r="BE90" i="12"/>
  <c r="BE88" i="12"/>
  <c r="BE86" i="12"/>
  <c r="BE84" i="12"/>
  <c r="BE82" i="12"/>
  <c r="BE80" i="12"/>
  <c r="BE78" i="12"/>
  <c r="BE76" i="12"/>
  <c r="BE74" i="12"/>
  <c r="BE72" i="12"/>
  <c r="BE70" i="12"/>
  <c r="BE68" i="12"/>
  <c r="BE66" i="12"/>
  <c r="BE64" i="12"/>
  <c r="BE62" i="12"/>
  <c r="BE60" i="12"/>
  <c r="BE58" i="12"/>
  <c r="BE56" i="12"/>
  <c r="BE54" i="12"/>
  <c r="BE52" i="12"/>
  <c r="BE50" i="12"/>
  <c r="BE48" i="12"/>
  <c r="BE46" i="12"/>
  <c r="BE44" i="12"/>
  <c r="BE42" i="12"/>
  <c r="BE40" i="12"/>
  <c r="BE38" i="12"/>
  <c r="BE36" i="12"/>
  <c r="BE34" i="12"/>
  <c r="BE32" i="12"/>
  <c r="BE30" i="12"/>
  <c r="BE28" i="12"/>
  <c r="BE26" i="12"/>
  <c r="BE24" i="12"/>
  <c r="BE22" i="12"/>
  <c r="BE20" i="12"/>
  <c r="BE18" i="12"/>
  <c r="BE16" i="12"/>
  <c r="BE14" i="12"/>
  <c r="BE12" i="12"/>
  <c r="BE10" i="12"/>
  <c r="BE8" i="12"/>
  <c r="BE6" i="12"/>
  <c r="DN112" i="14"/>
  <c r="DX112" i="14"/>
  <c r="DN123" i="14"/>
  <c r="DX123" i="14"/>
  <c r="EB109" i="14"/>
  <c r="BB124" i="12"/>
  <c r="BB111" i="12"/>
  <c r="AG126" i="12"/>
  <c r="AH5" i="12"/>
  <c r="AH126" i="12" s="1"/>
  <c r="EB86" i="14"/>
  <c r="DN64" i="14"/>
  <c r="DX64" i="14"/>
  <c r="DN106" i="14"/>
  <c r="DX106" i="14"/>
  <c r="BB32" i="12"/>
  <c r="AY32" i="12"/>
  <c r="AW32" i="12"/>
  <c r="BD32" i="12"/>
  <c r="AZ32" i="12"/>
  <c r="BB86" i="12"/>
  <c r="BB39" i="12"/>
  <c r="BB30" i="12"/>
  <c r="BB99" i="12"/>
  <c r="AS8" i="12"/>
  <c r="BC8" i="12"/>
  <c r="AT8" i="12"/>
  <c r="AU8" i="12" s="1"/>
  <c r="AS12" i="12"/>
  <c r="BC12" i="12"/>
  <c r="AT12" i="12"/>
  <c r="AU12" i="12" s="1"/>
  <c r="AS16" i="12"/>
  <c r="BC16" i="12"/>
  <c r="AT16" i="12"/>
  <c r="AU16" i="12" s="1"/>
  <c r="AS20" i="12"/>
  <c r="BC20" i="12"/>
  <c r="AT20" i="12"/>
  <c r="AU20" i="12" s="1"/>
  <c r="AS24" i="12"/>
  <c r="BC24" i="12"/>
  <c r="AT24" i="12"/>
  <c r="AU24" i="12" s="1"/>
  <c r="AS28" i="12"/>
  <c r="BC28" i="12"/>
  <c r="AT28" i="12"/>
  <c r="AU28" i="12" s="1"/>
  <c r="AS32" i="12"/>
  <c r="BC32" i="12"/>
  <c r="AT32" i="12"/>
  <c r="AU32" i="12" s="1"/>
  <c r="AS36" i="12"/>
  <c r="BC36" i="12"/>
  <c r="AT36" i="12"/>
  <c r="AU36" i="12" s="1"/>
  <c r="AS40" i="12"/>
  <c r="BC40" i="12"/>
  <c r="AT40" i="12"/>
  <c r="AU40" i="12" s="1"/>
  <c r="AS44" i="12"/>
  <c r="BC44" i="12"/>
  <c r="AT44" i="12"/>
  <c r="AU44" i="12" s="1"/>
  <c r="AS48" i="12"/>
  <c r="BC48" i="12"/>
  <c r="AT48" i="12"/>
  <c r="AU48" i="12" s="1"/>
  <c r="AS52" i="12"/>
  <c r="BC52" i="12"/>
  <c r="AT52" i="12"/>
  <c r="AU52" i="12" s="1"/>
  <c r="AS56" i="12"/>
  <c r="BC56" i="12"/>
  <c r="AT56" i="12"/>
  <c r="AU56" i="12" s="1"/>
  <c r="AS60" i="12"/>
  <c r="BC60" i="12"/>
  <c r="AT60" i="12"/>
  <c r="AU60" i="12" s="1"/>
  <c r="AS64" i="12"/>
  <c r="BC64" i="12"/>
  <c r="AT64" i="12"/>
  <c r="AU64" i="12" s="1"/>
  <c r="AS68" i="12"/>
  <c r="BC68" i="12"/>
  <c r="AT68" i="12"/>
  <c r="AU68" i="12" s="1"/>
  <c r="AS72" i="12"/>
  <c r="BC72" i="12"/>
  <c r="AT72" i="12"/>
  <c r="AU72" i="12" s="1"/>
  <c r="AS76" i="12"/>
  <c r="BC76" i="12"/>
  <c r="AT76" i="12"/>
  <c r="AU76" i="12" s="1"/>
  <c r="AS80" i="12"/>
  <c r="BC80" i="12"/>
  <c r="AT80" i="12"/>
  <c r="AU80" i="12" s="1"/>
  <c r="AS84" i="12"/>
  <c r="BC84" i="12"/>
  <c r="AT84" i="12"/>
  <c r="AU84" i="12" s="1"/>
  <c r="AS88" i="12"/>
  <c r="BC88" i="12"/>
  <c r="AT88" i="12"/>
  <c r="AU88" i="12" s="1"/>
  <c r="AS92" i="12"/>
  <c r="BC92" i="12"/>
  <c r="AT92" i="12"/>
  <c r="AU92" i="12" s="1"/>
  <c r="AS96" i="12"/>
  <c r="BC96" i="12"/>
  <c r="AT96" i="12"/>
  <c r="AU96" i="12" s="1"/>
  <c r="AS100" i="12"/>
  <c r="BC100" i="12"/>
  <c r="AT100" i="12"/>
  <c r="AU100" i="12" s="1"/>
  <c r="AS104" i="12"/>
  <c r="BC104" i="12"/>
  <c r="AT104" i="12"/>
  <c r="AU104" i="12" s="1"/>
  <c r="AS108" i="12"/>
  <c r="BC108" i="12"/>
  <c r="AT108" i="12"/>
  <c r="AU108" i="12" s="1"/>
  <c r="AS112" i="12"/>
  <c r="BC112" i="12"/>
  <c r="AT112" i="12"/>
  <c r="AU112" i="12" s="1"/>
  <c r="AS116" i="12"/>
  <c r="BC116" i="12"/>
  <c r="AT116" i="12"/>
  <c r="AU116" i="12" s="1"/>
  <c r="AS120" i="12"/>
  <c r="BC120" i="12"/>
  <c r="AT120" i="12"/>
  <c r="AU120" i="12" s="1"/>
  <c r="AS124" i="12"/>
  <c r="BC124" i="12"/>
  <c r="AT124" i="12"/>
  <c r="AU124" i="12" s="1"/>
  <c r="AS7" i="12"/>
  <c r="BC7" i="12"/>
  <c r="AT7" i="12"/>
  <c r="AU7" i="12" s="1"/>
  <c r="AS11" i="12"/>
  <c r="BC11" i="12"/>
  <c r="AT11" i="12"/>
  <c r="AU11" i="12" s="1"/>
  <c r="AS15" i="12"/>
  <c r="BC15" i="12"/>
  <c r="AT15" i="12"/>
  <c r="AU15" i="12" s="1"/>
  <c r="AS19" i="12"/>
  <c r="BC19" i="12"/>
  <c r="AT19" i="12"/>
  <c r="AU19" i="12" s="1"/>
  <c r="AS23" i="12"/>
  <c r="BC23" i="12"/>
  <c r="AT23" i="12"/>
  <c r="AU23" i="12" s="1"/>
  <c r="AS27" i="12"/>
  <c r="BC27" i="12"/>
  <c r="AT27" i="12"/>
  <c r="AU27" i="12" s="1"/>
  <c r="AS31" i="12"/>
  <c r="BC31" i="12"/>
  <c r="AT31" i="12"/>
  <c r="AU31" i="12" s="1"/>
  <c r="AS35" i="12"/>
  <c r="BC35" i="12"/>
  <c r="AT35" i="12"/>
  <c r="AU35" i="12" s="1"/>
  <c r="AS39" i="12"/>
  <c r="BC39" i="12"/>
  <c r="AT39" i="12"/>
  <c r="AU39" i="12" s="1"/>
  <c r="AS43" i="12"/>
  <c r="BC43" i="12"/>
  <c r="AT43" i="12"/>
  <c r="AU43" i="12" s="1"/>
  <c r="AS47" i="12"/>
  <c r="BC47" i="12"/>
  <c r="AT47" i="12"/>
  <c r="AU47" i="12" s="1"/>
  <c r="AS51" i="12"/>
  <c r="BC51" i="12"/>
  <c r="AT51" i="12"/>
  <c r="AU51" i="12" s="1"/>
  <c r="AS55" i="12"/>
  <c r="BC55" i="12"/>
  <c r="AT55" i="12"/>
  <c r="AU55" i="12" s="1"/>
  <c r="AS59" i="12"/>
  <c r="BC59" i="12"/>
  <c r="AT59" i="12"/>
  <c r="AU59" i="12" s="1"/>
  <c r="AS63" i="12"/>
  <c r="BC63" i="12"/>
  <c r="AT63" i="12"/>
  <c r="AU63" i="12" s="1"/>
  <c r="AS67" i="12"/>
  <c r="BC67" i="12"/>
  <c r="AT67" i="12"/>
  <c r="AU67" i="12" s="1"/>
  <c r="AS71" i="12"/>
  <c r="BC71" i="12"/>
  <c r="AT71" i="12"/>
  <c r="AU71" i="12" s="1"/>
  <c r="AS75" i="12"/>
  <c r="BC75" i="12"/>
  <c r="AT75" i="12"/>
  <c r="AU75" i="12" s="1"/>
  <c r="AS79" i="12"/>
  <c r="BC79" i="12"/>
  <c r="AT79" i="12"/>
  <c r="AU79" i="12" s="1"/>
  <c r="AS83" i="12"/>
  <c r="BC83" i="12"/>
  <c r="AT83" i="12"/>
  <c r="AU83" i="12" s="1"/>
  <c r="AS87" i="12"/>
  <c r="BC87" i="12"/>
  <c r="AT87" i="12"/>
  <c r="AU87" i="12" s="1"/>
  <c r="AS91" i="12"/>
  <c r="BC91" i="12"/>
  <c r="AT91" i="12"/>
  <c r="AU91" i="12" s="1"/>
  <c r="AS95" i="12"/>
  <c r="BC95" i="12"/>
  <c r="AT95" i="12"/>
  <c r="AU95" i="12" s="1"/>
  <c r="AS99" i="12"/>
  <c r="BC99" i="12"/>
  <c r="AT99" i="12"/>
  <c r="AU99" i="12" s="1"/>
  <c r="AS103" i="12"/>
  <c r="BC103" i="12"/>
  <c r="AT103" i="12"/>
  <c r="AU103" i="12" s="1"/>
  <c r="AS107" i="12"/>
  <c r="BC107" i="12"/>
  <c r="AT107" i="12"/>
  <c r="AU107" i="12" s="1"/>
  <c r="AS111" i="12"/>
  <c r="BC111" i="12"/>
  <c r="AT111" i="12"/>
  <c r="AU111" i="12" s="1"/>
  <c r="AS115" i="12"/>
  <c r="BC115" i="12"/>
  <c r="AT115" i="12"/>
  <c r="AU115" i="12" s="1"/>
  <c r="AS119" i="12"/>
  <c r="BC119" i="12"/>
  <c r="AT119" i="12"/>
  <c r="AU119" i="12" s="1"/>
  <c r="AS123" i="12"/>
  <c r="BC123" i="12"/>
  <c r="AT123" i="12"/>
  <c r="AU123" i="12" s="1"/>
  <c r="AY118" i="12"/>
  <c r="AW118" i="12"/>
  <c r="BD118" i="12"/>
  <c r="AZ118" i="12"/>
  <c r="BB118" i="12"/>
  <c r="AY20" i="12"/>
  <c r="AW20" i="12"/>
  <c r="BD20" i="12"/>
  <c r="AZ20" i="12"/>
  <c r="DN103" i="14"/>
  <c r="DX103" i="14"/>
  <c r="DN108" i="14"/>
  <c r="DX108" i="14"/>
  <c r="EB108" i="14" s="1"/>
  <c r="DN72" i="14"/>
  <c r="DX72" i="14"/>
  <c r="EB5" i="14"/>
  <c r="DN122" i="14"/>
  <c r="DX122" i="14"/>
  <c r="DN56" i="14"/>
  <c r="DX56" i="14"/>
  <c r="EB56" i="14" s="1"/>
  <c r="BB63" i="12"/>
  <c r="BB19" i="12"/>
  <c r="AN17" i="12"/>
  <c r="AN126" i="12" s="1"/>
  <c r="AX17" i="12"/>
  <c r="AX134" i="12" s="1"/>
  <c r="AX138" i="12" s="1"/>
  <c r="AX183" i="12" s="1"/>
  <c r="AY52" i="12"/>
  <c r="AW52" i="12"/>
  <c r="AZ52" i="12"/>
  <c r="BD52" i="12"/>
  <c r="BB52" i="12"/>
  <c r="AY15" i="12"/>
  <c r="AW15" i="12"/>
  <c r="AZ15" i="12"/>
  <c r="BD15" i="12"/>
  <c r="BB15" i="12"/>
  <c r="AW26" i="12"/>
  <c r="AY26" i="12"/>
  <c r="BD26" i="12"/>
  <c r="AZ26" i="12"/>
  <c r="BB26" i="12"/>
  <c r="AY65" i="12"/>
  <c r="AW65" i="12"/>
  <c r="BD65" i="12"/>
  <c r="AZ65" i="12"/>
  <c r="BB65" i="12"/>
  <c r="AY45" i="12"/>
  <c r="AW45" i="12"/>
  <c r="BD45" i="12"/>
  <c r="AZ45" i="12"/>
  <c r="BB45" i="12"/>
  <c r="DN82" i="14"/>
  <c r="DX82" i="14"/>
  <c r="DN70" i="14"/>
  <c r="DX70" i="14"/>
  <c r="DN59" i="14"/>
  <c r="DX59" i="14"/>
  <c r="DN117" i="14"/>
  <c r="DX117" i="14"/>
  <c r="DN104" i="14"/>
  <c r="DX104" i="14"/>
  <c r="DN115" i="14"/>
  <c r="DX115" i="14"/>
  <c r="DO96" i="14"/>
  <c r="DO126" i="14" s="1"/>
  <c r="DL96" i="14"/>
  <c r="DJ96" i="14"/>
  <c r="DJ126" i="14" s="1"/>
  <c r="DK176" i="14" s="1"/>
  <c r="DQ96" i="14"/>
  <c r="DM96" i="14"/>
  <c r="DM126" i="14" s="1"/>
  <c r="DN97" i="14"/>
  <c r="DX97" i="14"/>
  <c r="BB22" i="12"/>
  <c r="AM126" i="12"/>
  <c r="AY85" i="12"/>
  <c r="AW85" i="12"/>
  <c r="BD85" i="12"/>
  <c r="AZ85" i="12"/>
  <c r="AY93" i="12"/>
  <c r="AW93" i="12"/>
  <c r="BD93" i="12"/>
  <c r="AZ93" i="12"/>
  <c r="BB93" i="12"/>
  <c r="AY105" i="12"/>
  <c r="AW105" i="12"/>
  <c r="BD105" i="12"/>
  <c r="AZ105" i="12"/>
  <c r="BB28" i="12"/>
  <c r="BB43" i="12"/>
  <c r="BB105" i="12"/>
  <c r="BB87" i="12"/>
  <c r="AY57" i="12"/>
  <c r="AW57" i="12"/>
  <c r="BD57" i="12"/>
  <c r="AZ57" i="12"/>
  <c r="BB57" i="12"/>
  <c r="BB16" i="12"/>
  <c r="AY16" i="12"/>
  <c r="AW16" i="12"/>
  <c r="BD16" i="12"/>
  <c r="AZ16" i="12"/>
  <c r="AY109" i="12"/>
  <c r="AW109" i="12"/>
  <c r="BD109" i="12"/>
  <c r="AZ109" i="12"/>
  <c r="BY112" i="12"/>
  <c r="BW112" i="12"/>
  <c r="BY7" i="12"/>
  <c r="BW7" i="12"/>
  <c r="BY79" i="12"/>
  <c r="BW79" i="12"/>
  <c r="BX90" i="12"/>
  <c r="BX74" i="12"/>
  <c r="BW97" i="12"/>
  <c r="BY97" i="12"/>
  <c r="BY73" i="12"/>
  <c r="BW73" i="12"/>
  <c r="CI125" i="12"/>
  <c r="CI123" i="12"/>
  <c r="CI121" i="12"/>
  <c r="CI119" i="12"/>
  <c r="CI117" i="12"/>
  <c r="CI115" i="12"/>
  <c r="CI113" i="12"/>
  <c r="CI111" i="12"/>
  <c r="CI109" i="12"/>
  <c r="CI107" i="12"/>
  <c r="CI105" i="12"/>
  <c r="CI103" i="12"/>
  <c r="CI101" i="12"/>
  <c r="CI99" i="12"/>
  <c r="CI97" i="12"/>
  <c r="CI95" i="12"/>
  <c r="CI93" i="12"/>
  <c r="CI91" i="12"/>
  <c r="CI89" i="12"/>
  <c r="CI87" i="12"/>
  <c r="CI85" i="12"/>
  <c r="CI83" i="12"/>
  <c r="CI81" i="12"/>
  <c r="CI79" i="12"/>
  <c r="CI77" i="12"/>
  <c r="CI75" i="12"/>
  <c r="CI73" i="12"/>
  <c r="CI71" i="12"/>
  <c r="CI69" i="12"/>
  <c r="CI67" i="12"/>
  <c r="CI65" i="12"/>
  <c r="CI63" i="12"/>
  <c r="CI61" i="12"/>
  <c r="CI59" i="12"/>
  <c r="CI57" i="12"/>
  <c r="CI55" i="12"/>
  <c r="CI53" i="12"/>
  <c r="CI51" i="12"/>
  <c r="CI49" i="12"/>
  <c r="CI47" i="12"/>
  <c r="CI45" i="12"/>
  <c r="CI43" i="12"/>
  <c r="CI41" i="12"/>
  <c r="CI39" i="12"/>
  <c r="CI37" i="12"/>
  <c r="CI35" i="12"/>
  <c r="CI33" i="12"/>
  <c r="CI31" i="12"/>
  <c r="CI29" i="12"/>
  <c r="CI27" i="12"/>
  <c r="CI25" i="12"/>
  <c r="CI23" i="12"/>
  <c r="CI21" i="12"/>
  <c r="CI19" i="12"/>
  <c r="CI17" i="12"/>
  <c r="CI15" i="12"/>
  <c r="CI13" i="12"/>
  <c r="CI11" i="12"/>
  <c r="CI9" i="12"/>
  <c r="CI7" i="12"/>
  <c r="CI5" i="12"/>
  <c r="CO4" i="12"/>
  <c r="CI4" i="12"/>
  <c r="CJ4" i="12" s="1"/>
  <c r="CP4" i="12"/>
  <c r="CI124" i="12"/>
  <c r="CI122" i="12"/>
  <c r="CI120" i="12"/>
  <c r="CI118" i="12"/>
  <c r="CI116" i="12"/>
  <c r="CI114" i="12"/>
  <c r="CI112" i="12"/>
  <c r="CI110" i="12"/>
  <c r="CI108" i="12"/>
  <c r="CI106" i="12"/>
  <c r="CI104" i="12"/>
  <c r="CI102" i="12"/>
  <c r="CI100" i="12"/>
  <c r="CI98" i="12"/>
  <c r="CI96" i="12"/>
  <c r="CI94" i="12"/>
  <c r="CI92" i="12"/>
  <c r="CI90" i="12"/>
  <c r="CI88" i="12"/>
  <c r="CI86" i="12"/>
  <c r="CI84" i="12"/>
  <c r="CI82" i="12"/>
  <c r="CI80" i="12"/>
  <c r="CI78" i="12"/>
  <c r="CI76" i="12"/>
  <c r="CI74" i="12"/>
  <c r="CI72" i="12"/>
  <c r="CI70" i="12"/>
  <c r="CI68" i="12"/>
  <c r="CI66" i="12"/>
  <c r="CI64" i="12"/>
  <c r="CI62" i="12"/>
  <c r="CI60" i="12"/>
  <c r="CI58" i="12"/>
  <c r="CI56" i="12"/>
  <c r="CI54" i="12"/>
  <c r="CI52" i="12"/>
  <c r="CI50" i="12"/>
  <c r="CI48" i="12"/>
  <c r="CI46" i="12"/>
  <c r="CI44" i="12"/>
  <c r="CI42" i="12"/>
  <c r="CI40" i="12"/>
  <c r="CI38" i="12"/>
  <c r="CI36" i="12"/>
  <c r="CI34" i="12"/>
  <c r="CI32" i="12"/>
  <c r="CI30" i="12"/>
  <c r="CI28" i="12"/>
  <c r="CI26" i="12"/>
  <c r="CI24" i="12"/>
  <c r="CI22" i="12"/>
  <c r="CI20" i="12"/>
  <c r="CI18" i="12"/>
  <c r="CI16" i="12"/>
  <c r="CI14" i="12"/>
  <c r="CI12" i="12"/>
  <c r="CI10" i="12"/>
  <c r="CI8" i="12"/>
  <c r="CI6" i="12"/>
  <c r="CQ4" i="12"/>
  <c r="CK4" i="12"/>
  <c r="CZ4" i="12"/>
  <c r="CN4" i="12"/>
  <c r="CK79" i="12"/>
  <c r="CM79" i="12" s="1"/>
  <c r="CN79" i="12" s="1"/>
  <c r="CK7" i="12"/>
  <c r="CO7" i="12" s="1"/>
  <c r="CK97" i="12"/>
  <c r="CO97" i="12" s="1"/>
  <c r="CK77" i="12"/>
  <c r="CO77" i="12" s="1"/>
  <c r="CK101" i="12"/>
  <c r="CK73" i="12"/>
  <c r="CM73" i="12" s="1"/>
  <c r="CN73" i="12" s="1"/>
  <c r="BV134" i="12"/>
  <c r="BV138" i="12" s="1"/>
  <c r="BX181" i="12" s="1"/>
  <c r="BW181" i="12" s="1"/>
  <c r="DN79" i="14"/>
  <c r="DX79" i="14"/>
  <c r="EB79" i="14" s="1"/>
  <c r="DN119" i="14"/>
  <c r="DX119" i="14"/>
  <c r="DN74" i="14"/>
  <c r="DX74" i="14"/>
  <c r="DN102" i="14"/>
  <c r="DX102" i="14"/>
  <c r="EB102" i="14" s="1"/>
  <c r="BB66" i="12"/>
  <c r="BB113" i="12"/>
  <c r="BB64" i="12"/>
  <c r="BB85" i="12"/>
  <c r="AP160" i="12"/>
  <c r="AP164" i="12" s="1"/>
  <c r="AH147" i="12"/>
  <c r="AH151" i="12" s="1"/>
  <c r="DN73" i="14"/>
  <c r="DX73" i="14"/>
  <c r="EB73" i="14" s="1"/>
  <c r="DN89" i="14"/>
  <c r="DX89" i="14"/>
  <c r="EB89" i="14" s="1"/>
  <c r="DN68" i="14"/>
  <c r="DX68" i="14"/>
  <c r="DN101" i="14"/>
  <c r="DX101" i="14"/>
  <c r="DN43" i="14"/>
  <c r="DX43" i="14"/>
  <c r="EB43" i="14" s="1"/>
  <c r="DN47" i="14"/>
  <c r="DX47" i="14"/>
  <c r="EB47" i="14" s="1"/>
  <c r="DN51" i="14"/>
  <c r="DX51" i="14"/>
  <c r="DN31" i="14"/>
  <c r="DX31" i="14"/>
  <c r="DN32" i="14"/>
  <c r="DX32" i="14"/>
  <c r="DN37" i="14"/>
  <c r="DX37" i="14"/>
  <c r="EB37" i="14" s="1"/>
  <c r="DN38" i="14"/>
  <c r="DX38" i="14"/>
  <c r="EB38" i="14" s="1"/>
  <c r="DN40" i="14"/>
  <c r="DX40" i="14"/>
  <c r="EB40" i="14" s="1"/>
  <c r="DN39" i="14"/>
  <c r="DX39" i="14"/>
  <c r="DN46" i="14"/>
  <c r="DX46" i="14"/>
  <c r="DN34" i="14"/>
  <c r="DX34" i="14"/>
  <c r="EB34" i="14" s="1"/>
  <c r="DN42" i="14"/>
  <c r="DX42" i="14"/>
  <c r="EB42" i="14" s="1"/>
  <c r="DN48" i="14"/>
  <c r="DX48" i="14"/>
  <c r="DN41" i="14"/>
  <c r="DX41" i="14"/>
  <c r="DN33" i="14"/>
  <c r="DX33" i="14"/>
  <c r="DN35" i="14"/>
  <c r="DX35" i="14"/>
  <c r="DN49" i="14"/>
  <c r="DX49" i="14"/>
  <c r="DN54" i="14"/>
  <c r="DX54" i="14"/>
  <c r="DN45" i="14"/>
  <c r="DX45" i="14"/>
  <c r="DN52" i="14"/>
  <c r="DX52" i="14"/>
  <c r="DN36" i="14"/>
  <c r="DX36" i="14"/>
  <c r="DN53" i="14"/>
  <c r="DX53" i="14"/>
  <c r="DN44" i="14"/>
  <c r="DX44" i="14"/>
  <c r="DN50" i="14"/>
  <c r="DX50" i="14"/>
  <c r="DN55" i="14"/>
  <c r="DX55" i="14"/>
  <c r="DQ156" i="14"/>
  <c r="DK138" i="14"/>
  <c r="DN7" i="14"/>
  <c r="DX7" i="14"/>
  <c r="EB7" i="14" s="1"/>
  <c r="DA151" i="14"/>
  <c r="CZ143" i="14"/>
  <c r="DL143" i="14"/>
  <c r="DL151" i="14" s="1"/>
  <c r="DN13" i="14"/>
  <c r="DX13" i="14"/>
  <c r="DN20" i="14"/>
  <c r="DX20" i="14"/>
  <c r="DN28" i="14"/>
  <c r="DN147" i="14" s="1"/>
  <c r="DM147" i="14" s="1"/>
  <c r="DX28" i="14"/>
  <c r="DX134" i="14" s="1"/>
  <c r="DN14" i="14"/>
  <c r="DX14" i="14"/>
  <c r="DN21" i="14"/>
  <c r="DX21" i="14"/>
  <c r="DK182" i="14"/>
  <c r="DK177" i="14"/>
  <c r="DN8" i="14"/>
  <c r="DX8" i="14"/>
  <c r="DQ126" i="14"/>
  <c r="DN17" i="14"/>
  <c r="DX17" i="14"/>
  <c r="EB17" i="14" s="1"/>
  <c r="DN16" i="14"/>
  <c r="DX16" i="14"/>
  <c r="EB16" i="14" s="1"/>
  <c r="DN15" i="14"/>
  <c r="DX15" i="14"/>
  <c r="DN9" i="14"/>
  <c r="DX9" i="14"/>
  <c r="EB9" i="14" s="1"/>
  <c r="DN10" i="14"/>
  <c r="DX10" i="14"/>
  <c r="DN18" i="14"/>
  <c r="DX18" i="14"/>
  <c r="DN11" i="14"/>
  <c r="DX11" i="14"/>
  <c r="EB28" i="14"/>
  <c r="DN19" i="14"/>
  <c r="DX19" i="14"/>
  <c r="DN26" i="14"/>
  <c r="DX26" i="14"/>
  <c r="DN23" i="14"/>
  <c r="DX23" i="14"/>
  <c r="EB14" i="14"/>
  <c r="DL126" i="14"/>
  <c r="DN25" i="14"/>
  <c r="DX25" i="14"/>
  <c r="DN12" i="14"/>
  <c r="DX12" i="14"/>
  <c r="DN27" i="14"/>
  <c r="DX27" i="14"/>
  <c r="DN24" i="14"/>
  <c r="DX24" i="14"/>
  <c r="DN22" i="14"/>
  <c r="DX22" i="14"/>
  <c r="DN29" i="14"/>
  <c r="DX29" i="14"/>
  <c r="E16" i="17"/>
  <c r="F14" i="17"/>
  <c r="D17" i="17"/>
  <c r="D19" i="17" s="1"/>
  <c r="F15" i="17"/>
  <c r="AA151" i="12"/>
  <c r="AC85" i="12"/>
  <c r="U143" i="12"/>
  <c r="AC103" i="12"/>
  <c r="AC102" i="12"/>
  <c r="S143" i="12"/>
  <c r="S147" i="12"/>
  <c r="U147" i="12"/>
  <c r="AC105" i="12"/>
  <c r="AC160" i="12" s="1"/>
  <c r="AC106" i="12"/>
  <c r="AC108" i="12"/>
  <c r="AC104" i="12"/>
  <c r="AC156" i="12" s="1"/>
  <c r="AC107" i="12"/>
  <c r="U5" i="12"/>
  <c r="U126" i="12" s="1"/>
  <c r="T126" i="12"/>
  <c r="S126" i="12"/>
  <c r="CQ7" i="12" l="1"/>
  <c r="CQ77" i="12"/>
  <c r="DK178" i="14"/>
  <c r="AK175" i="12"/>
  <c r="CQ79" i="12"/>
  <c r="CK112" i="12"/>
  <c r="CO112" i="12" s="1"/>
  <c r="CQ97" i="12"/>
  <c r="CM97" i="12"/>
  <c r="CN97" i="12" s="1"/>
  <c r="CM7" i="12"/>
  <c r="CN7" i="12" s="1"/>
  <c r="CM77" i="12"/>
  <c r="CN77" i="12" s="1"/>
  <c r="CI134" i="12"/>
  <c r="CI138" i="12" s="1"/>
  <c r="CK181" i="12" s="1"/>
  <c r="E18" i="17"/>
  <c r="DW101" i="14"/>
  <c r="DY101" i="14"/>
  <c r="ED101" i="14"/>
  <c r="DZ101" i="14"/>
  <c r="EA101" i="14" s="1"/>
  <c r="EB101" i="14"/>
  <c r="DW74" i="14"/>
  <c r="DY74" i="14"/>
  <c r="ED74" i="14"/>
  <c r="DZ74" i="14"/>
  <c r="EA74" i="14" s="1"/>
  <c r="EB74" i="14"/>
  <c r="CJ73" i="12"/>
  <c r="CL73" i="12"/>
  <c r="CJ101" i="12"/>
  <c r="CL101" i="12"/>
  <c r="CL79" i="12"/>
  <c r="CJ79" i="12"/>
  <c r="CV125" i="12"/>
  <c r="CV123" i="12"/>
  <c r="CV121" i="12"/>
  <c r="CV119" i="12"/>
  <c r="CV117" i="12"/>
  <c r="CV115" i="12"/>
  <c r="CV113" i="12"/>
  <c r="CV111" i="12"/>
  <c r="CV109" i="12"/>
  <c r="CV107" i="12"/>
  <c r="CV105" i="12"/>
  <c r="CV103" i="12"/>
  <c r="CV101" i="12"/>
  <c r="CV99" i="12"/>
  <c r="CV97" i="12"/>
  <c r="CV95" i="12"/>
  <c r="CV93" i="12"/>
  <c r="CV91" i="12"/>
  <c r="CV89" i="12"/>
  <c r="CV87" i="12"/>
  <c r="CV85" i="12"/>
  <c r="CV83" i="12"/>
  <c r="CV81" i="12"/>
  <c r="CV79" i="12"/>
  <c r="CV77" i="12"/>
  <c r="CV75" i="12"/>
  <c r="CV73" i="12"/>
  <c r="CV71" i="12"/>
  <c r="CV69" i="12"/>
  <c r="CV67" i="12"/>
  <c r="CV65" i="12"/>
  <c r="CV63" i="12"/>
  <c r="CV61" i="12"/>
  <c r="CV59" i="12"/>
  <c r="CV57" i="12"/>
  <c r="CV55" i="12"/>
  <c r="CV53" i="12"/>
  <c r="CV51" i="12"/>
  <c r="CV49" i="12"/>
  <c r="CV47" i="12"/>
  <c r="CV45" i="12"/>
  <c r="CV43" i="12"/>
  <c r="CV41" i="12"/>
  <c r="DC4" i="12"/>
  <c r="CV40" i="12"/>
  <c r="CV38" i="12"/>
  <c r="CV36" i="12"/>
  <c r="CV34" i="12"/>
  <c r="CV32" i="12"/>
  <c r="CV30" i="12"/>
  <c r="CV28" i="12"/>
  <c r="CV26" i="12"/>
  <c r="CV24" i="12"/>
  <c r="CV22" i="12"/>
  <c r="CV20" i="12"/>
  <c r="CV18" i="12"/>
  <c r="CV16" i="12"/>
  <c r="CV14" i="12"/>
  <c r="CV12" i="12"/>
  <c r="CV10" i="12"/>
  <c r="CV8" i="12"/>
  <c r="CV6" i="12"/>
  <c r="DD4" i="12"/>
  <c r="CX4" i="12"/>
  <c r="CV124" i="12"/>
  <c r="CV122" i="12"/>
  <c r="CV120" i="12"/>
  <c r="CV118" i="12"/>
  <c r="CV116" i="12"/>
  <c r="CV114" i="12"/>
  <c r="CV112" i="12"/>
  <c r="CV110" i="12"/>
  <c r="CV108" i="12"/>
  <c r="CV106" i="12"/>
  <c r="CV104" i="12"/>
  <c r="CV102" i="12"/>
  <c r="CV100" i="12"/>
  <c r="CV98" i="12"/>
  <c r="CV96" i="12"/>
  <c r="CV94" i="12"/>
  <c r="CV92" i="12"/>
  <c r="CV90" i="12"/>
  <c r="CV88" i="12"/>
  <c r="CV86" i="12"/>
  <c r="CV84" i="12"/>
  <c r="CV82" i="12"/>
  <c r="CV80" i="12"/>
  <c r="CV78" i="12"/>
  <c r="CV76" i="12"/>
  <c r="CV74" i="12"/>
  <c r="CV72" i="12"/>
  <c r="CV70" i="12"/>
  <c r="CV68" i="12"/>
  <c r="CV66" i="12"/>
  <c r="CV64" i="12"/>
  <c r="CV62" i="12"/>
  <c r="CV60" i="12"/>
  <c r="CV58" i="12"/>
  <c r="CV56" i="12"/>
  <c r="CV54" i="12"/>
  <c r="CV52" i="12"/>
  <c r="CV50" i="12"/>
  <c r="CV48" i="12"/>
  <c r="CV46" i="12"/>
  <c r="CV44" i="12"/>
  <c r="CV42" i="12"/>
  <c r="DM4" i="12"/>
  <c r="DA4" i="12"/>
  <c r="CV39" i="12"/>
  <c r="CV37" i="12"/>
  <c r="CV35" i="12"/>
  <c r="CV33" i="12"/>
  <c r="CV31" i="12"/>
  <c r="CV29" i="12"/>
  <c r="CV27" i="12"/>
  <c r="CV25" i="12"/>
  <c r="CV23" i="12"/>
  <c r="CV21" i="12"/>
  <c r="CV19" i="12"/>
  <c r="CV17" i="12"/>
  <c r="CV15" i="12"/>
  <c r="CV13" i="12"/>
  <c r="CV11" i="12"/>
  <c r="CV9" i="12"/>
  <c r="CV7" i="12"/>
  <c r="CV5" i="12"/>
  <c r="DB4" i="12"/>
  <c r="CV4" i="12"/>
  <c r="CW4" i="12" s="1"/>
  <c r="CX77" i="12"/>
  <c r="CZ77" i="12" s="1"/>
  <c r="DA77" i="12" s="1"/>
  <c r="CX7" i="12"/>
  <c r="CX97" i="12"/>
  <c r="CZ97" i="12" s="1"/>
  <c r="DA97" i="12" s="1"/>
  <c r="CX79" i="12"/>
  <c r="DD79" i="12" s="1"/>
  <c r="CX73" i="12"/>
  <c r="CZ73" i="12" s="1"/>
  <c r="DA73" i="12" s="1"/>
  <c r="CZ79" i="12"/>
  <c r="DA79" i="12" s="1"/>
  <c r="DD77" i="12"/>
  <c r="DD7" i="12"/>
  <c r="CZ7" i="12"/>
  <c r="DA7" i="12" s="1"/>
  <c r="CI126" i="12"/>
  <c r="CK180" i="12" s="1"/>
  <c r="CJ181" i="12" s="1"/>
  <c r="BY90" i="12"/>
  <c r="BW90" i="12"/>
  <c r="CD90" i="12"/>
  <c r="BZ90" i="12"/>
  <c r="BA93" i="12"/>
  <c r="BK93" i="12"/>
  <c r="BO93" i="12" s="1"/>
  <c r="BA85" i="12"/>
  <c r="BK85" i="12"/>
  <c r="CO79" i="12"/>
  <c r="DB79" i="12" s="1"/>
  <c r="DN96" i="14"/>
  <c r="DN126" i="14" s="1"/>
  <c r="DX96" i="14"/>
  <c r="EB96" i="14" s="1"/>
  <c r="DY59" i="14"/>
  <c r="DW59" i="14"/>
  <c r="DZ59" i="14"/>
  <c r="EA59" i="14" s="1"/>
  <c r="ED59" i="14"/>
  <c r="EB70" i="14"/>
  <c r="DY70" i="14"/>
  <c r="DW70" i="14"/>
  <c r="ED70" i="14"/>
  <c r="DZ70" i="14"/>
  <c r="EA70" i="14" s="1"/>
  <c r="BA65" i="12"/>
  <c r="BK65" i="12"/>
  <c r="BA52" i="12"/>
  <c r="BK52" i="12"/>
  <c r="DW72" i="14"/>
  <c r="DY72" i="14"/>
  <c r="ED72" i="14"/>
  <c r="DZ72" i="14"/>
  <c r="EA72" i="14" s="1"/>
  <c r="BA20" i="12"/>
  <c r="BK20" i="12"/>
  <c r="AU147" i="12"/>
  <c r="AU151" i="12" s="1"/>
  <c r="AS147" i="12"/>
  <c r="AS151" i="12" s="1"/>
  <c r="BA32" i="12"/>
  <c r="BK32" i="12"/>
  <c r="BO32" i="12" s="1"/>
  <c r="DW64" i="14"/>
  <c r="DY64" i="14"/>
  <c r="DZ64" i="14"/>
  <c r="EA64" i="14" s="1"/>
  <c r="ED64" i="14"/>
  <c r="EB112" i="14"/>
  <c r="DY112" i="14"/>
  <c r="DW112" i="14"/>
  <c r="ED112" i="14"/>
  <c r="DZ112" i="14"/>
  <c r="EA112" i="14" s="1"/>
  <c r="BP6" i="12"/>
  <c r="BG6" i="12"/>
  <c r="BH6" i="12" s="1"/>
  <c r="BF6" i="12"/>
  <c r="BP10" i="12"/>
  <c r="BG10" i="12"/>
  <c r="BH10" i="12" s="1"/>
  <c r="BF10" i="12"/>
  <c r="BP14" i="12"/>
  <c r="BG14" i="12"/>
  <c r="BH14" i="12" s="1"/>
  <c r="BF14" i="12"/>
  <c r="BP18" i="12"/>
  <c r="BG18" i="12"/>
  <c r="BH18" i="12" s="1"/>
  <c r="BF18" i="12"/>
  <c r="BP22" i="12"/>
  <c r="BG22" i="12"/>
  <c r="BH22" i="12" s="1"/>
  <c r="BF22" i="12"/>
  <c r="BP26" i="12"/>
  <c r="BG26" i="12"/>
  <c r="BH26" i="12" s="1"/>
  <c r="BF26" i="12"/>
  <c r="BP30" i="12"/>
  <c r="BG30" i="12"/>
  <c r="BH30" i="12" s="1"/>
  <c r="BF30" i="12"/>
  <c r="BP34" i="12"/>
  <c r="BG34" i="12"/>
  <c r="BH34" i="12" s="1"/>
  <c r="BF34" i="12"/>
  <c r="BP38" i="12"/>
  <c r="BG38" i="12"/>
  <c r="BH38" i="12" s="1"/>
  <c r="BF38" i="12"/>
  <c r="BP42" i="12"/>
  <c r="BG42" i="12"/>
  <c r="BH42" i="12" s="1"/>
  <c r="BF42" i="12"/>
  <c r="BP46" i="12"/>
  <c r="BG46" i="12"/>
  <c r="BH46" i="12" s="1"/>
  <c r="BF46" i="12"/>
  <c r="BP50" i="12"/>
  <c r="BG50" i="12"/>
  <c r="BH50" i="12" s="1"/>
  <c r="BF50" i="12"/>
  <c r="BP54" i="12"/>
  <c r="BG54" i="12"/>
  <c r="BH54" i="12" s="1"/>
  <c r="BF54" i="12"/>
  <c r="BP58" i="12"/>
  <c r="BG58" i="12"/>
  <c r="BH58" i="12" s="1"/>
  <c r="BF58" i="12"/>
  <c r="BP62" i="12"/>
  <c r="BG62" i="12"/>
  <c r="BH62" i="12" s="1"/>
  <c r="BF62" i="12"/>
  <c r="BP66" i="12"/>
  <c r="BG66" i="12"/>
  <c r="BH66" i="12" s="1"/>
  <c r="BF66" i="12"/>
  <c r="BP70" i="12"/>
  <c r="BG70" i="12"/>
  <c r="BH70" i="12" s="1"/>
  <c r="BF70" i="12"/>
  <c r="BP74" i="12"/>
  <c r="BG74" i="12"/>
  <c r="BH74" i="12" s="1"/>
  <c r="BF74" i="12"/>
  <c r="BP78" i="12"/>
  <c r="BG78" i="12"/>
  <c r="BH78" i="12" s="1"/>
  <c r="BF78" i="12"/>
  <c r="BP82" i="12"/>
  <c r="BG82" i="12"/>
  <c r="BH82" i="12" s="1"/>
  <c r="BF82" i="12"/>
  <c r="BP86" i="12"/>
  <c r="BG86" i="12"/>
  <c r="BH86" i="12" s="1"/>
  <c r="BF86" i="12"/>
  <c r="BP90" i="12"/>
  <c r="BG90" i="12"/>
  <c r="BH90" i="12" s="1"/>
  <c r="BF90" i="12"/>
  <c r="BP94" i="12"/>
  <c r="BG94" i="12"/>
  <c r="BH94" i="12" s="1"/>
  <c r="BF94" i="12"/>
  <c r="BP98" i="12"/>
  <c r="BG98" i="12"/>
  <c r="BH98" i="12" s="1"/>
  <c r="BF98" i="12"/>
  <c r="BP102" i="12"/>
  <c r="BG102" i="12"/>
  <c r="BH102" i="12" s="1"/>
  <c r="BF102" i="12"/>
  <c r="BP106" i="12"/>
  <c r="BG106" i="12"/>
  <c r="BH106" i="12" s="1"/>
  <c r="BF106" i="12"/>
  <c r="BP110" i="12"/>
  <c r="BG110" i="12"/>
  <c r="BH110" i="12" s="1"/>
  <c r="BF110" i="12"/>
  <c r="BP114" i="12"/>
  <c r="BG114" i="12"/>
  <c r="BH114" i="12" s="1"/>
  <c r="BF114" i="12"/>
  <c r="BP118" i="12"/>
  <c r="BG118" i="12"/>
  <c r="BH118" i="12" s="1"/>
  <c r="BF118" i="12"/>
  <c r="BP121" i="12"/>
  <c r="BG121" i="12"/>
  <c r="BH121" i="12" s="1"/>
  <c r="BF121" i="12"/>
  <c r="BG5" i="12"/>
  <c r="BF5" i="12"/>
  <c r="BE126" i="12"/>
  <c r="BP5" i="12"/>
  <c r="BG9" i="12"/>
  <c r="BH9" i="12" s="1"/>
  <c r="BF9" i="12"/>
  <c r="BP9" i="12"/>
  <c r="BG13" i="12"/>
  <c r="BH13" i="12" s="1"/>
  <c r="BF13" i="12"/>
  <c r="BP13" i="12"/>
  <c r="BG17" i="12"/>
  <c r="BH17" i="12" s="1"/>
  <c r="BF17" i="12"/>
  <c r="BP17" i="12"/>
  <c r="BG21" i="12"/>
  <c r="BH21" i="12" s="1"/>
  <c r="BF21" i="12"/>
  <c r="BP21" i="12"/>
  <c r="BG25" i="12"/>
  <c r="BH25" i="12" s="1"/>
  <c r="BF25" i="12"/>
  <c r="BP25" i="12"/>
  <c r="BG29" i="12"/>
  <c r="BH29" i="12" s="1"/>
  <c r="BF29" i="12"/>
  <c r="BP29" i="12"/>
  <c r="BG33" i="12"/>
  <c r="BH33" i="12" s="1"/>
  <c r="BF33" i="12"/>
  <c r="BP33" i="12"/>
  <c r="BG37" i="12"/>
  <c r="BH37" i="12" s="1"/>
  <c r="BF37" i="12"/>
  <c r="BP37" i="12"/>
  <c r="BG41" i="12"/>
  <c r="BH41" i="12" s="1"/>
  <c r="BF41" i="12"/>
  <c r="BP41" i="12"/>
  <c r="BG45" i="12"/>
  <c r="BH45" i="12" s="1"/>
  <c r="BF45" i="12"/>
  <c r="BP45" i="12"/>
  <c r="BG49" i="12"/>
  <c r="BH49" i="12" s="1"/>
  <c r="BF49" i="12"/>
  <c r="BP49" i="12"/>
  <c r="BG53" i="12"/>
  <c r="BH53" i="12" s="1"/>
  <c r="BF53" i="12"/>
  <c r="BP53" i="12"/>
  <c r="BG57" i="12"/>
  <c r="BH57" i="12" s="1"/>
  <c r="BF57" i="12"/>
  <c r="BP57" i="12"/>
  <c r="BG61" i="12"/>
  <c r="BH61" i="12" s="1"/>
  <c r="BF61" i="12"/>
  <c r="BP61" i="12"/>
  <c r="BG65" i="12"/>
  <c r="BH65" i="12" s="1"/>
  <c r="BF65" i="12"/>
  <c r="BP65" i="12"/>
  <c r="BG69" i="12"/>
  <c r="BH69" i="12" s="1"/>
  <c r="BF69" i="12"/>
  <c r="BP69" i="12"/>
  <c r="BG73" i="12"/>
  <c r="BH73" i="12" s="1"/>
  <c r="BF73" i="12"/>
  <c r="BP73" i="12"/>
  <c r="BG77" i="12"/>
  <c r="BH77" i="12" s="1"/>
  <c r="BF77" i="12"/>
  <c r="BP77" i="12"/>
  <c r="BG81" i="12"/>
  <c r="BH81" i="12" s="1"/>
  <c r="BF81" i="12"/>
  <c r="BP81" i="12"/>
  <c r="BG85" i="12"/>
  <c r="BH85" i="12" s="1"/>
  <c r="BF85" i="12"/>
  <c r="BP85" i="12"/>
  <c r="BG89" i="12"/>
  <c r="BH89" i="12" s="1"/>
  <c r="BF89" i="12"/>
  <c r="BP89" i="12"/>
  <c r="BG93" i="12"/>
  <c r="BH93" i="12" s="1"/>
  <c r="BF93" i="12"/>
  <c r="BP93" i="12"/>
  <c r="BG97" i="12"/>
  <c r="BH97" i="12" s="1"/>
  <c r="BF97" i="12"/>
  <c r="BP97" i="12"/>
  <c r="BG101" i="12"/>
  <c r="BH101" i="12" s="1"/>
  <c r="BF101" i="12"/>
  <c r="BP101" i="12"/>
  <c r="BG105" i="12"/>
  <c r="BH105" i="12" s="1"/>
  <c r="BF105" i="12"/>
  <c r="BP105" i="12"/>
  <c r="BG109" i="12"/>
  <c r="BH109" i="12" s="1"/>
  <c r="BF109" i="12"/>
  <c r="BP109" i="12"/>
  <c r="BG113" i="12"/>
  <c r="BH113" i="12" s="1"/>
  <c r="BF113" i="12"/>
  <c r="BP113" i="12"/>
  <c r="BG117" i="12"/>
  <c r="BH117" i="12" s="1"/>
  <c r="BF117" i="12"/>
  <c r="BP117" i="12"/>
  <c r="BG120" i="12"/>
  <c r="BH120" i="12" s="1"/>
  <c r="BF120" i="12"/>
  <c r="BP120" i="12"/>
  <c r="BG124" i="12"/>
  <c r="BH124" i="12" s="1"/>
  <c r="BF124" i="12"/>
  <c r="BP124" i="12"/>
  <c r="BA75" i="12"/>
  <c r="BK75" i="12"/>
  <c r="BO75" i="12" s="1"/>
  <c r="BA84" i="12"/>
  <c r="BK84" i="12"/>
  <c r="BA94" i="12"/>
  <c r="BK94" i="12"/>
  <c r="BA103" i="12"/>
  <c r="BK103" i="12"/>
  <c r="BA50" i="12"/>
  <c r="BK50" i="12"/>
  <c r="BA124" i="12"/>
  <c r="BK124" i="12"/>
  <c r="BA115" i="12"/>
  <c r="BK115" i="12"/>
  <c r="BA95" i="12"/>
  <c r="BK95" i="12"/>
  <c r="BA87" i="12"/>
  <c r="BK87" i="12"/>
  <c r="BO87" i="12" s="1"/>
  <c r="BA43" i="12"/>
  <c r="BK43" i="12"/>
  <c r="BA83" i="12"/>
  <c r="BK83" i="12"/>
  <c r="DW118" i="14"/>
  <c r="DY118" i="14"/>
  <c r="ED118" i="14"/>
  <c r="DZ118" i="14"/>
  <c r="EA118" i="14" s="1"/>
  <c r="DW107" i="14"/>
  <c r="DY107" i="14"/>
  <c r="DZ107" i="14"/>
  <c r="EA107" i="14" s="1"/>
  <c r="ED107" i="14"/>
  <c r="EB107" i="14"/>
  <c r="DY84" i="14"/>
  <c r="DW84" i="14"/>
  <c r="ED84" i="14"/>
  <c r="DZ84" i="14"/>
  <c r="EA84" i="14" s="1"/>
  <c r="EB84" i="14"/>
  <c r="AN147" i="12"/>
  <c r="BA125" i="12"/>
  <c r="BK125" i="12"/>
  <c r="DY80" i="14"/>
  <c r="DW80" i="14"/>
  <c r="ED80" i="14"/>
  <c r="DZ80" i="14"/>
  <c r="EA80" i="14" s="1"/>
  <c r="EB80" i="14"/>
  <c r="DW63" i="14"/>
  <c r="DY63" i="14"/>
  <c r="DZ63" i="14"/>
  <c r="EA63" i="14" s="1"/>
  <c r="ED63" i="14"/>
  <c r="EB63" i="14"/>
  <c r="DW83" i="14"/>
  <c r="DY83" i="14"/>
  <c r="ED83" i="14"/>
  <c r="DZ83" i="14"/>
  <c r="EA83" i="14" s="1"/>
  <c r="DY65" i="14"/>
  <c r="DW65" i="14"/>
  <c r="DZ65" i="14"/>
  <c r="EA65" i="14" s="1"/>
  <c r="ED65" i="14"/>
  <c r="EB65" i="14"/>
  <c r="BA33" i="12"/>
  <c r="BK33" i="12"/>
  <c r="BA9" i="12"/>
  <c r="BK9" i="12"/>
  <c r="BA63" i="12"/>
  <c r="BK63" i="12"/>
  <c r="BA122" i="12"/>
  <c r="BK122" i="12"/>
  <c r="BO122" i="12" s="1"/>
  <c r="CB90" i="12"/>
  <c r="BA106" i="12"/>
  <c r="BK106" i="12"/>
  <c r="BA96" i="12"/>
  <c r="BK96" i="12"/>
  <c r="DW121" i="14"/>
  <c r="DY121" i="14"/>
  <c r="ED121" i="14"/>
  <c r="DZ121" i="14"/>
  <c r="EA121" i="14" s="1"/>
  <c r="BA37" i="12"/>
  <c r="BK37" i="12"/>
  <c r="BO37" i="12" s="1"/>
  <c r="BA41" i="12"/>
  <c r="BK41" i="12"/>
  <c r="BA69" i="12"/>
  <c r="BK69" i="12"/>
  <c r="BO69" i="12" s="1"/>
  <c r="BA18" i="12"/>
  <c r="BK18" i="12"/>
  <c r="DY76" i="14"/>
  <c r="DW76" i="14"/>
  <c r="ED76" i="14"/>
  <c r="DZ76" i="14"/>
  <c r="EA76" i="14" s="1"/>
  <c r="DW99" i="14"/>
  <c r="DY99" i="14"/>
  <c r="ED99" i="14"/>
  <c r="DZ99" i="14"/>
  <c r="EA99" i="14" s="1"/>
  <c r="DY116" i="14"/>
  <c r="DW116" i="14"/>
  <c r="ED116" i="14"/>
  <c r="DZ116" i="14"/>
  <c r="EA116" i="14" s="1"/>
  <c r="EB124" i="14"/>
  <c r="DW124" i="14"/>
  <c r="DY124" i="14"/>
  <c r="DZ124" i="14"/>
  <c r="EA124" i="14" s="1"/>
  <c r="ED124" i="14"/>
  <c r="BA36" i="12"/>
  <c r="BK36" i="12"/>
  <c r="BA6" i="12"/>
  <c r="BK6" i="12"/>
  <c r="BA121" i="12"/>
  <c r="BK121" i="12"/>
  <c r="BA55" i="12"/>
  <c r="BK55" i="12"/>
  <c r="BA5" i="12"/>
  <c r="BK5" i="12"/>
  <c r="AX126" i="12"/>
  <c r="BA38" i="12"/>
  <c r="BK38" i="12"/>
  <c r="BA35" i="12"/>
  <c r="BK35" i="12"/>
  <c r="BA27" i="12"/>
  <c r="BK27" i="12"/>
  <c r="BA31" i="12"/>
  <c r="BK31" i="12"/>
  <c r="DY120" i="14"/>
  <c r="DW120" i="14"/>
  <c r="ED120" i="14"/>
  <c r="DZ120" i="14"/>
  <c r="EA120" i="14" s="1"/>
  <c r="DW110" i="14"/>
  <c r="DY110" i="14"/>
  <c r="DZ110" i="14"/>
  <c r="EA110" i="14" s="1"/>
  <c r="ED110" i="14"/>
  <c r="DW77" i="14"/>
  <c r="DY77" i="14"/>
  <c r="DZ77" i="14"/>
  <c r="EA77" i="14" s="1"/>
  <c r="ED77" i="14"/>
  <c r="EB77" i="14"/>
  <c r="EB59" i="14"/>
  <c r="DY125" i="14"/>
  <c r="DW125" i="14"/>
  <c r="ED125" i="14"/>
  <c r="DZ125" i="14"/>
  <c r="EA125" i="14" s="1"/>
  <c r="EB125" i="14"/>
  <c r="DW5" i="14"/>
  <c r="DY5" i="14"/>
  <c r="ED5" i="14"/>
  <c r="DZ5" i="14"/>
  <c r="EA5" i="14" s="1"/>
  <c r="DY78" i="14"/>
  <c r="DW78" i="14"/>
  <c r="ED78" i="14"/>
  <c r="DZ78" i="14"/>
  <c r="EA78" i="14" s="1"/>
  <c r="DY75" i="14"/>
  <c r="DW75" i="14"/>
  <c r="ED75" i="14"/>
  <c r="DZ75" i="14"/>
  <c r="EA75" i="14" s="1"/>
  <c r="EB75" i="14"/>
  <c r="DW61" i="14"/>
  <c r="DY61" i="14"/>
  <c r="ED61" i="14"/>
  <c r="DZ61" i="14"/>
  <c r="EA61" i="14" s="1"/>
  <c r="DW87" i="14"/>
  <c r="DY87" i="14"/>
  <c r="DZ87" i="14"/>
  <c r="EA87" i="14" s="1"/>
  <c r="ED87" i="14"/>
  <c r="EB87" i="14"/>
  <c r="AS126" i="12"/>
  <c r="AT126" i="12"/>
  <c r="AU5" i="12"/>
  <c r="AU126" i="12" s="1"/>
  <c r="BA71" i="12"/>
  <c r="BK71" i="12"/>
  <c r="BA67" i="12"/>
  <c r="BK67" i="12"/>
  <c r="BO67" i="12" s="1"/>
  <c r="BA62" i="12"/>
  <c r="BK62" i="12"/>
  <c r="BA113" i="12"/>
  <c r="BK113" i="12"/>
  <c r="BA21" i="12"/>
  <c r="BK21" i="12"/>
  <c r="BA14" i="12"/>
  <c r="BK14" i="12"/>
  <c r="BA92" i="12"/>
  <c r="BK92" i="12"/>
  <c r="BO92" i="12" s="1"/>
  <c r="BA80" i="12"/>
  <c r="BK80" i="12"/>
  <c r="BA104" i="12"/>
  <c r="BK104" i="12"/>
  <c r="BO104" i="12" s="1"/>
  <c r="BA48" i="12"/>
  <c r="BK48" i="12"/>
  <c r="BA89" i="12"/>
  <c r="BK89" i="12"/>
  <c r="BA81" i="12"/>
  <c r="BK81" i="12"/>
  <c r="BA22" i="12"/>
  <c r="BK22" i="12"/>
  <c r="BO22" i="12" s="1"/>
  <c r="DY6" i="14"/>
  <c r="DW6" i="14"/>
  <c r="ED6" i="14"/>
  <c r="DZ6" i="14"/>
  <c r="EA6" i="14" s="1"/>
  <c r="EB6" i="14"/>
  <c r="DY91" i="14"/>
  <c r="DW91" i="14"/>
  <c r="DZ91" i="14"/>
  <c r="EA91" i="14" s="1"/>
  <c r="ED91" i="14"/>
  <c r="DW69" i="14"/>
  <c r="DY69" i="14"/>
  <c r="ED69" i="14"/>
  <c r="DZ69" i="14"/>
  <c r="EA69" i="14" s="1"/>
  <c r="DY66" i="14"/>
  <c r="DW66" i="14"/>
  <c r="DZ66" i="14"/>
  <c r="EA66" i="14" s="1"/>
  <c r="ED66" i="14"/>
  <c r="DY98" i="14"/>
  <c r="DW98" i="14"/>
  <c r="ED98" i="14"/>
  <c r="DZ98" i="14"/>
  <c r="EA98" i="14" s="1"/>
  <c r="EB98" i="14"/>
  <c r="DY58" i="14"/>
  <c r="DW58" i="14"/>
  <c r="DZ58" i="14"/>
  <c r="EA58" i="14" s="1"/>
  <c r="ED58" i="14"/>
  <c r="DY86" i="14"/>
  <c r="DW86" i="14"/>
  <c r="DZ86" i="14"/>
  <c r="EA86" i="14" s="1"/>
  <c r="ED86" i="14"/>
  <c r="BA44" i="12"/>
  <c r="BK44" i="12"/>
  <c r="BA117" i="12"/>
  <c r="BK117" i="12"/>
  <c r="DW71" i="14"/>
  <c r="DY71" i="14"/>
  <c r="ED71" i="14"/>
  <c r="DZ71" i="14"/>
  <c r="EA71" i="14" s="1"/>
  <c r="DY62" i="14"/>
  <c r="DW62" i="14"/>
  <c r="ED62" i="14"/>
  <c r="DZ62" i="14"/>
  <c r="EA62" i="14" s="1"/>
  <c r="DW92" i="14"/>
  <c r="DY92" i="14"/>
  <c r="DZ92" i="14"/>
  <c r="EA92" i="14" s="1"/>
  <c r="ED92" i="14"/>
  <c r="EB92" i="14"/>
  <c r="EB113" i="14"/>
  <c r="DY113" i="14"/>
  <c r="DW113" i="14"/>
  <c r="ED113" i="14"/>
  <c r="DZ113" i="14"/>
  <c r="EA113" i="14" s="1"/>
  <c r="EB99" i="14"/>
  <c r="DY94" i="14"/>
  <c r="DW94" i="14"/>
  <c r="ED94" i="14"/>
  <c r="DZ94" i="14"/>
  <c r="EA94" i="14" s="1"/>
  <c r="BA25" i="12"/>
  <c r="BK25" i="12"/>
  <c r="BA42" i="12"/>
  <c r="BK42" i="12"/>
  <c r="BO42" i="12" s="1"/>
  <c r="BA114" i="12"/>
  <c r="BK114" i="12"/>
  <c r="BA78" i="12"/>
  <c r="BK78" i="12"/>
  <c r="BA30" i="12"/>
  <c r="BK30" i="12"/>
  <c r="DW88" i="14"/>
  <c r="DY88" i="14"/>
  <c r="DZ88" i="14"/>
  <c r="EA88" i="14" s="1"/>
  <c r="ED88" i="14"/>
  <c r="EB88" i="14"/>
  <c r="EB66" i="14"/>
  <c r="DY85" i="14"/>
  <c r="DW85" i="14"/>
  <c r="DZ85" i="14"/>
  <c r="EA85" i="14" s="1"/>
  <c r="ED85" i="14"/>
  <c r="EB58" i="14"/>
  <c r="BA8" i="12"/>
  <c r="BK8" i="12"/>
  <c r="BO8" i="12" s="1"/>
  <c r="EB71" i="14"/>
  <c r="EB83" i="14"/>
  <c r="BA24" i="12"/>
  <c r="BK24" i="12"/>
  <c r="BO24" i="12" s="1"/>
  <c r="BA39" i="12"/>
  <c r="BK39" i="12"/>
  <c r="BO39" i="12" s="1"/>
  <c r="BA23" i="12"/>
  <c r="BK23" i="12"/>
  <c r="DY68" i="14"/>
  <c r="DW68" i="14"/>
  <c r="ED68" i="14"/>
  <c r="DZ68" i="14"/>
  <c r="EA68" i="14" s="1"/>
  <c r="DW89" i="14"/>
  <c r="DY89" i="14"/>
  <c r="DZ89" i="14"/>
  <c r="EA89" i="14" s="1"/>
  <c r="ED89" i="14"/>
  <c r="DY73" i="14"/>
  <c r="DW73" i="14"/>
  <c r="DZ73" i="14"/>
  <c r="EA73" i="14" s="1"/>
  <c r="ED73" i="14"/>
  <c r="BO85" i="12"/>
  <c r="BO113" i="12"/>
  <c r="DY102" i="14"/>
  <c r="DW102" i="14"/>
  <c r="DZ102" i="14"/>
  <c r="EA102" i="14" s="1"/>
  <c r="ED102" i="14"/>
  <c r="DY119" i="14"/>
  <c r="DW119" i="14"/>
  <c r="ED119" i="14"/>
  <c r="DZ119" i="14"/>
  <c r="EA119" i="14" s="1"/>
  <c r="DY79" i="14"/>
  <c r="DW79" i="14"/>
  <c r="ED79" i="14"/>
  <c r="DZ79" i="14"/>
  <c r="EA79" i="14" s="1"/>
  <c r="CM101" i="12"/>
  <c r="CN101" i="12" s="1"/>
  <c r="CQ112" i="12"/>
  <c r="CQ101" i="12"/>
  <c r="CM112" i="12"/>
  <c r="CN112" i="12" s="1"/>
  <c r="CQ73" i="12"/>
  <c r="CL77" i="12"/>
  <c r="CJ77" i="12"/>
  <c r="CL97" i="12"/>
  <c r="CJ97" i="12"/>
  <c r="CL7" i="12"/>
  <c r="CJ7" i="12"/>
  <c r="CM180" i="12"/>
  <c r="CM177" i="12"/>
  <c r="CM175" i="12"/>
  <c r="CK128" i="12"/>
  <c r="CE4" i="12"/>
  <c r="CH4" i="12"/>
  <c r="CE1" i="12" s="1"/>
  <c r="CM178" i="12"/>
  <c r="CM176" i="12"/>
  <c r="CM174" i="12"/>
  <c r="CG4" i="12"/>
  <c r="CL4" i="12"/>
  <c r="CF4" i="12"/>
  <c r="BY74" i="12"/>
  <c r="BW74" i="12"/>
  <c r="CD74" i="12"/>
  <c r="BZ74" i="12"/>
  <c r="BA109" i="12"/>
  <c r="BK109" i="12"/>
  <c r="BA16" i="12"/>
  <c r="BK16" i="12"/>
  <c r="BO16" i="12" s="1"/>
  <c r="BA57" i="12"/>
  <c r="BK57" i="12"/>
  <c r="BO43" i="12"/>
  <c r="BA105" i="12"/>
  <c r="BK105" i="12"/>
  <c r="BO105" i="12" s="1"/>
  <c r="DY97" i="14"/>
  <c r="DW97" i="14"/>
  <c r="DZ97" i="14"/>
  <c r="EA97" i="14" s="1"/>
  <c r="ED97" i="14"/>
  <c r="EB97" i="14"/>
  <c r="DW115" i="14"/>
  <c r="DY115" i="14"/>
  <c r="DZ115" i="14"/>
  <c r="EA115" i="14" s="1"/>
  <c r="ED115" i="14"/>
  <c r="EB115" i="14"/>
  <c r="DY104" i="14"/>
  <c r="DW104" i="14"/>
  <c r="ED104" i="14"/>
  <c r="DZ104" i="14"/>
  <c r="EA104" i="14" s="1"/>
  <c r="DY117" i="14"/>
  <c r="DW117" i="14"/>
  <c r="DZ117" i="14"/>
  <c r="EA117" i="14" s="1"/>
  <c r="ED117" i="14"/>
  <c r="EB117" i="14"/>
  <c r="DW82" i="14"/>
  <c r="DY82" i="14"/>
  <c r="ED82" i="14"/>
  <c r="DZ82" i="14"/>
  <c r="EA82" i="14" s="1"/>
  <c r="EB82" i="14"/>
  <c r="BA45" i="12"/>
  <c r="BK45" i="12"/>
  <c r="BO65" i="12"/>
  <c r="BA26" i="12"/>
  <c r="BK26" i="12"/>
  <c r="BA15" i="12"/>
  <c r="BK15" i="12"/>
  <c r="AW17" i="12"/>
  <c r="AY17" i="12"/>
  <c r="BD17" i="12"/>
  <c r="AZ17" i="12"/>
  <c r="BB17" i="12"/>
  <c r="CB74" i="12"/>
  <c r="DY56" i="14"/>
  <c r="DW56" i="14"/>
  <c r="ED56" i="14"/>
  <c r="DZ56" i="14"/>
  <c r="EA56" i="14" s="1"/>
  <c r="DY122" i="14"/>
  <c r="DW122" i="14"/>
  <c r="ED122" i="14"/>
  <c r="DZ122" i="14"/>
  <c r="EA122" i="14" s="1"/>
  <c r="EB122" i="14"/>
  <c r="EB72" i="14"/>
  <c r="DY108" i="14"/>
  <c r="DW108" i="14"/>
  <c r="DZ108" i="14"/>
  <c r="EA108" i="14" s="1"/>
  <c r="ED108" i="14"/>
  <c r="DY103" i="14"/>
  <c r="DW103" i="14"/>
  <c r="ED103" i="14"/>
  <c r="DZ103" i="14"/>
  <c r="EA103" i="14" s="1"/>
  <c r="EB103" i="14"/>
  <c r="BA118" i="12"/>
  <c r="BK118" i="12"/>
  <c r="BC160" i="12"/>
  <c r="BC164" i="12" s="1"/>
  <c r="DY106" i="14"/>
  <c r="DW106" i="14"/>
  <c r="DZ106" i="14"/>
  <c r="EA106" i="14" s="1"/>
  <c r="ED106" i="14"/>
  <c r="EB106" i="14"/>
  <c r="BO124" i="12"/>
  <c r="DW123" i="14"/>
  <c r="DY123" i="14"/>
  <c r="DZ123" i="14"/>
  <c r="EA123" i="14" s="1"/>
  <c r="ED123" i="14"/>
  <c r="EB123" i="14"/>
  <c r="EB68" i="14"/>
  <c r="BG8" i="12"/>
  <c r="BH8" i="12" s="1"/>
  <c r="BF8" i="12"/>
  <c r="BP8" i="12"/>
  <c r="BG12" i="12"/>
  <c r="BH12" i="12" s="1"/>
  <c r="BF12" i="12"/>
  <c r="BP12" i="12"/>
  <c r="BG16" i="12"/>
  <c r="BH16" i="12" s="1"/>
  <c r="BF16" i="12"/>
  <c r="BP16" i="12"/>
  <c r="BG20" i="12"/>
  <c r="BH20" i="12" s="1"/>
  <c r="BF20" i="12"/>
  <c r="BP20" i="12"/>
  <c r="BG24" i="12"/>
  <c r="BH24" i="12" s="1"/>
  <c r="BF24" i="12"/>
  <c r="BP24" i="12"/>
  <c r="BG28" i="12"/>
  <c r="BH28" i="12" s="1"/>
  <c r="BF28" i="12"/>
  <c r="BP28" i="12"/>
  <c r="BG32" i="12"/>
  <c r="BH32" i="12" s="1"/>
  <c r="BF32" i="12"/>
  <c r="BP32" i="12"/>
  <c r="BG36" i="12"/>
  <c r="BH36" i="12" s="1"/>
  <c r="BF36" i="12"/>
  <c r="BP36" i="12"/>
  <c r="BG40" i="12"/>
  <c r="BH40" i="12" s="1"/>
  <c r="BF40" i="12"/>
  <c r="BP40" i="12"/>
  <c r="BG44" i="12"/>
  <c r="BH44" i="12" s="1"/>
  <c r="BF44" i="12"/>
  <c r="BP44" i="12"/>
  <c r="BG48" i="12"/>
  <c r="BH48" i="12" s="1"/>
  <c r="BF48" i="12"/>
  <c r="BP48" i="12"/>
  <c r="BG52" i="12"/>
  <c r="BH52" i="12" s="1"/>
  <c r="BF52" i="12"/>
  <c r="BP52" i="12"/>
  <c r="BG56" i="12"/>
  <c r="BH56" i="12" s="1"/>
  <c r="BF56" i="12"/>
  <c r="BP56" i="12"/>
  <c r="BG60" i="12"/>
  <c r="BH60" i="12" s="1"/>
  <c r="BF60" i="12"/>
  <c r="BP60" i="12"/>
  <c r="BG64" i="12"/>
  <c r="BH64" i="12" s="1"/>
  <c r="BF64" i="12"/>
  <c r="BP64" i="12"/>
  <c r="BG68" i="12"/>
  <c r="BH68" i="12" s="1"/>
  <c r="BF68" i="12"/>
  <c r="BP68" i="12"/>
  <c r="BG72" i="12"/>
  <c r="BH72" i="12" s="1"/>
  <c r="BF72" i="12"/>
  <c r="BP72" i="12"/>
  <c r="BG76" i="12"/>
  <c r="BH76" i="12" s="1"/>
  <c r="BF76" i="12"/>
  <c r="BP76" i="12"/>
  <c r="BG80" i="12"/>
  <c r="BH80" i="12" s="1"/>
  <c r="BF80" i="12"/>
  <c r="BP80" i="12"/>
  <c r="BG84" i="12"/>
  <c r="BH84" i="12" s="1"/>
  <c r="BF84" i="12"/>
  <c r="BP84" i="12"/>
  <c r="BG88" i="12"/>
  <c r="BH88" i="12" s="1"/>
  <c r="BF88" i="12"/>
  <c r="BP88" i="12"/>
  <c r="BG92" i="12"/>
  <c r="BH92" i="12" s="1"/>
  <c r="BF92" i="12"/>
  <c r="BP92" i="12"/>
  <c r="BG96" i="12"/>
  <c r="BH96" i="12" s="1"/>
  <c r="BF96" i="12"/>
  <c r="BP96" i="12"/>
  <c r="BG100" i="12"/>
  <c r="BH100" i="12" s="1"/>
  <c r="BF100" i="12"/>
  <c r="BP100" i="12"/>
  <c r="BG104" i="12"/>
  <c r="BH104" i="12" s="1"/>
  <c r="BF104" i="12"/>
  <c r="BP104" i="12"/>
  <c r="BG108" i="12"/>
  <c r="BH108" i="12" s="1"/>
  <c r="BF108" i="12"/>
  <c r="BP108" i="12"/>
  <c r="BG112" i="12"/>
  <c r="BH112" i="12" s="1"/>
  <c r="BF112" i="12"/>
  <c r="BP112" i="12"/>
  <c r="BG116" i="12"/>
  <c r="BH116" i="12" s="1"/>
  <c r="BF116" i="12"/>
  <c r="BP116" i="12"/>
  <c r="BP125" i="12"/>
  <c r="BG125" i="12"/>
  <c r="BH125" i="12" s="1"/>
  <c r="BF125" i="12"/>
  <c r="BG123" i="12"/>
  <c r="BH123" i="12" s="1"/>
  <c r="BF123" i="12"/>
  <c r="BP123" i="12"/>
  <c r="BP7" i="12"/>
  <c r="BG7" i="12"/>
  <c r="BH7" i="12" s="1"/>
  <c r="BF7" i="12"/>
  <c r="BP11" i="12"/>
  <c r="BG11" i="12"/>
  <c r="BH11" i="12" s="1"/>
  <c r="BF11" i="12"/>
  <c r="BP15" i="12"/>
  <c r="BG15" i="12"/>
  <c r="BH15" i="12" s="1"/>
  <c r="BF15" i="12"/>
  <c r="BP19" i="12"/>
  <c r="BG19" i="12"/>
  <c r="BH19" i="12" s="1"/>
  <c r="BF19" i="12"/>
  <c r="BP23" i="12"/>
  <c r="BG23" i="12"/>
  <c r="BH23" i="12" s="1"/>
  <c r="BF23" i="12"/>
  <c r="BP27" i="12"/>
  <c r="BG27" i="12"/>
  <c r="BH27" i="12" s="1"/>
  <c r="BF27" i="12"/>
  <c r="BP31" i="12"/>
  <c r="BG31" i="12"/>
  <c r="BH31" i="12" s="1"/>
  <c r="BF31" i="12"/>
  <c r="BP35" i="12"/>
  <c r="BG35" i="12"/>
  <c r="BH35" i="12" s="1"/>
  <c r="BF35" i="12"/>
  <c r="BP39" i="12"/>
  <c r="BG39" i="12"/>
  <c r="BH39" i="12" s="1"/>
  <c r="BF39" i="12"/>
  <c r="BP43" i="12"/>
  <c r="BG43" i="12"/>
  <c r="BH43" i="12" s="1"/>
  <c r="BF43" i="12"/>
  <c r="BP47" i="12"/>
  <c r="BG47" i="12"/>
  <c r="BH47" i="12" s="1"/>
  <c r="BF47" i="12"/>
  <c r="BP51" i="12"/>
  <c r="BG51" i="12"/>
  <c r="BH51" i="12" s="1"/>
  <c r="BF51" i="12"/>
  <c r="BP55" i="12"/>
  <c r="BG55" i="12"/>
  <c r="BH55" i="12" s="1"/>
  <c r="BF55" i="12"/>
  <c r="BP59" i="12"/>
  <c r="BG59" i="12"/>
  <c r="BH59" i="12" s="1"/>
  <c r="BF59" i="12"/>
  <c r="BP63" i="12"/>
  <c r="BG63" i="12"/>
  <c r="BH63" i="12" s="1"/>
  <c r="BF63" i="12"/>
  <c r="BP67" i="12"/>
  <c r="BG67" i="12"/>
  <c r="BH67" i="12" s="1"/>
  <c r="BF67" i="12"/>
  <c r="BP71" i="12"/>
  <c r="BG71" i="12"/>
  <c r="BH71" i="12" s="1"/>
  <c r="BF71" i="12"/>
  <c r="BP75" i="12"/>
  <c r="BG75" i="12"/>
  <c r="BH75" i="12" s="1"/>
  <c r="BF75" i="12"/>
  <c r="BP79" i="12"/>
  <c r="BG79" i="12"/>
  <c r="BH79" i="12" s="1"/>
  <c r="BF79" i="12"/>
  <c r="BP83" i="12"/>
  <c r="BG83" i="12"/>
  <c r="BH83" i="12" s="1"/>
  <c r="BF83" i="12"/>
  <c r="BP87" i="12"/>
  <c r="BG87" i="12"/>
  <c r="BH87" i="12" s="1"/>
  <c r="BF87" i="12"/>
  <c r="BP91" i="12"/>
  <c r="BG91" i="12"/>
  <c r="BH91" i="12" s="1"/>
  <c r="BF91" i="12"/>
  <c r="BP95" i="12"/>
  <c r="BG95" i="12"/>
  <c r="BH95" i="12" s="1"/>
  <c r="BF95" i="12"/>
  <c r="BP99" i="12"/>
  <c r="BG99" i="12"/>
  <c r="BH99" i="12" s="1"/>
  <c r="BF99" i="12"/>
  <c r="BP103" i="12"/>
  <c r="BG103" i="12"/>
  <c r="BH103" i="12" s="1"/>
  <c r="BF103" i="12"/>
  <c r="BP107" i="12"/>
  <c r="BG107" i="12"/>
  <c r="BH107" i="12" s="1"/>
  <c r="BF107" i="12"/>
  <c r="BP111" i="12"/>
  <c r="BG111" i="12"/>
  <c r="BH111" i="12" s="1"/>
  <c r="BF111" i="12"/>
  <c r="BP115" i="12"/>
  <c r="BG115" i="12"/>
  <c r="BH115" i="12" s="1"/>
  <c r="BF115" i="12"/>
  <c r="BP119" i="12"/>
  <c r="BG119" i="12"/>
  <c r="BH119" i="12" s="1"/>
  <c r="BF119" i="12"/>
  <c r="BP122" i="12"/>
  <c r="BG122" i="12"/>
  <c r="BH122" i="12" s="1"/>
  <c r="BF122" i="12"/>
  <c r="BA72" i="12"/>
  <c r="BK72" i="12"/>
  <c r="BA70" i="12"/>
  <c r="BK70" i="12"/>
  <c r="BO70" i="12" s="1"/>
  <c r="BA111" i="12"/>
  <c r="BK111" i="12"/>
  <c r="BA107" i="12"/>
  <c r="BK107" i="12"/>
  <c r="BO95" i="12"/>
  <c r="CO101" i="12"/>
  <c r="BO84" i="12"/>
  <c r="BA120" i="12"/>
  <c r="BK120" i="12"/>
  <c r="BA88" i="12"/>
  <c r="BK88" i="12"/>
  <c r="DY57" i="14"/>
  <c r="DW57" i="14"/>
  <c r="DZ57" i="14"/>
  <c r="EA57" i="14" s="1"/>
  <c r="ED57" i="14"/>
  <c r="BO125" i="12"/>
  <c r="BO33" i="12"/>
  <c r="BA54" i="12"/>
  <c r="BK54" i="12"/>
  <c r="BA110" i="12"/>
  <c r="BK110" i="12"/>
  <c r="BA68" i="12"/>
  <c r="BK68" i="12"/>
  <c r="BA108" i="12"/>
  <c r="BK108" i="12"/>
  <c r="BA59" i="12"/>
  <c r="BK59" i="12"/>
  <c r="BA76" i="12"/>
  <c r="BK76" i="12"/>
  <c r="BA98" i="12"/>
  <c r="BK98" i="12"/>
  <c r="BA116" i="12"/>
  <c r="BK116" i="12"/>
  <c r="BO116" i="12" s="1"/>
  <c r="BA86" i="12"/>
  <c r="BK86" i="12"/>
  <c r="BO86" i="12" s="1"/>
  <c r="BA58" i="12"/>
  <c r="BK58" i="12"/>
  <c r="BO58" i="12" s="1"/>
  <c r="BA46" i="12"/>
  <c r="BK46" i="12"/>
  <c r="BO46" i="12" s="1"/>
  <c r="EB121" i="14"/>
  <c r="BA13" i="12"/>
  <c r="BK13" i="12"/>
  <c r="BO41" i="12"/>
  <c r="BA61" i="12"/>
  <c r="BK61" i="12"/>
  <c r="BA10" i="12"/>
  <c r="BK10" i="12"/>
  <c r="BO55" i="12"/>
  <c r="EB119" i="14"/>
  <c r="BO36" i="12"/>
  <c r="BA12" i="12"/>
  <c r="BK12" i="12"/>
  <c r="BR125" i="12"/>
  <c r="BR123" i="12"/>
  <c r="BR121" i="12"/>
  <c r="BR119" i="12"/>
  <c r="BR117" i="12"/>
  <c r="BR115" i="12"/>
  <c r="BR113" i="12"/>
  <c r="BR111" i="12"/>
  <c r="BR109" i="12"/>
  <c r="BR107" i="12"/>
  <c r="BR105" i="12"/>
  <c r="BR103" i="12"/>
  <c r="BR101" i="12"/>
  <c r="BR99" i="12"/>
  <c r="BR97" i="12"/>
  <c r="BR95" i="12"/>
  <c r="BR93" i="12"/>
  <c r="BR91" i="12"/>
  <c r="BR89" i="12"/>
  <c r="BR87" i="12"/>
  <c r="BR85" i="12"/>
  <c r="BR83" i="12"/>
  <c r="BR81" i="12"/>
  <c r="BR79" i="12"/>
  <c r="BR77" i="12"/>
  <c r="BR75" i="12"/>
  <c r="BR73" i="12"/>
  <c r="BR71" i="12"/>
  <c r="BR69" i="12"/>
  <c r="BR67" i="12"/>
  <c r="BR65" i="12"/>
  <c r="BR63" i="12"/>
  <c r="BR61" i="12"/>
  <c r="BR59" i="12"/>
  <c r="BR57" i="12"/>
  <c r="BR55" i="12"/>
  <c r="BR53" i="12"/>
  <c r="BR51" i="12"/>
  <c r="BR49" i="12"/>
  <c r="BR47" i="12"/>
  <c r="BR45" i="12"/>
  <c r="BR43" i="12"/>
  <c r="BR41" i="12"/>
  <c r="BR39" i="12"/>
  <c r="BR37" i="12"/>
  <c r="BR35" i="12"/>
  <c r="BR33" i="12"/>
  <c r="BR31" i="12"/>
  <c r="BR29" i="12"/>
  <c r="BR27" i="12"/>
  <c r="BR25" i="12"/>
  <c r="BR23" i="12"/>
  <c r="BR21" i="12"/>
  <c r="BR19" i="12"/>
  <c r="BR17" i="12"/>
  <c r="BR15" i="12"/>
  <c r="BR13" i="12"/>
  <c r="BR11" i="12"/>
  <c r="BR9" i="12"/>
  <c r="BR7" i="12"/>
  <c r="BR5" i="12"/>
  <c r="BR124" i="12"/>
  <c r="BR122" i="12"/>
  <c r="BR120" i="12"/>
  <c r="BR118" i="12"/>
  <c r="BR116" i="12"/>
  <c r="BR114" i="12"/>
  <c r="BR112" i="12"/>
  <c r="BR110" i="12"/>
  <c r="BR108" i="12"/>
  <c r="BR106" i="12"/>
  <c r="BR104" i="12"/>
  <c r="BR102" i="12"/>
  <c r="BR100" i="12"/>
  <c r="BR98" i="12"/>
  <c r="BR96" i="12"/>
  <c r="BR94" i="12"/>
  <c r="BR92" i="12"/>
  <c r="BR90" i="12"/>
  <c r="BR88" i="12"/>
  <c r="BR86" i="12"/>
  <c r="BR84" i="12"/>
  <c r="BR82" i="12"/>
  <c r="BR80" i="12"/>
  <c r="BR78" i="12"/>
  <c r="BR76" i="12"/>
  <c r="BR74" i="12"/>
  <c r="BR72" i="12"/>
  <c r="BR70" i="12"/>
  <c r="BR68" i="12"/>
  <c r="BR66" i="12"/>
  <c r="BR64" i="12"/>
  <c r="BR62" i="12"/>
  <c r="BR60" i="12"/>
  <c r="BR58" i="12"/>
  <c r="BR56" i="12"/>
  <c r="BR54" i="12"/>
  <c r="BR52" i="12"/>
  <c r="BR50" i="12"/>
  <c r="BR48" i="12"/>
  <c r="BR46" i="12"/>
  <c r="BR44" i="12"/>
  <c r="BR42" i="12"/>
  <c r="BR40" i="12"/>
  <c r="BR38" i="12"/>
  <c r="BR36" i="12"/>
  <c r="BR34" i="12"/>
  <c r="BR32" i="12"/>
  <c r="BR30" i="12"/>
  <c r="BR28" i="12"/>
  <c r="BR26" i="12"/>
  <c r="BR24" i="12"/>
  <c r="BR22" i="12"/>
  <c r="BR20" i="12"/>
  <c r="BR18" i="12"/>
  <c r="BR16" i="12"/>
  <c r="BR14" i="12"/>
  <c r="BR12" i="12"/>
  <c r="BR10" i="12"/>
  <c r="BR8" i="12"/>
  <c r="BR6" i="12"/>
  <c r="BW82" i="12"/>
  <c r="BY82" i="12"/>
  <c r="BZ82" i="12"/>
  <c r="CD82" i="12"/>
  <c r="BO121" i="12"/>
  <c r="BA56" i="12"/>
  <c r="BK56" i="12"/>
  <c r="AX174" i="12"/>
  <c r="BA53" i="12"/>
  <c r="BK53" i="12"/>
  <c r="BA34" i="12"/>
  <c r="BK34" i="12"/>
  <c r="DY114" i="14"/>
  <c r="DW114" i="14"/>
  <c r="DZ114" i="14"/>
  <c r="EA114" i="14" s="1"/>
  <c r="ED114" i="14"/>
  <c r="EB114" i="14"/>
  <c r="EB104" i="14"/>
  <c r="DY90" i="14"/>
  <c r="DW90" i="14"/>
  <c r="DZ90" i="14"/>
  <c r="EA90" i="14" s="1"/>
  <c r="ED90" i="14"/>
  <c r="EB90" i="14"/>
  <c r="DY100" i="14"/>
  <c r="DW100" i="14"/>
  <c r="DZ100" i="14"/>
  <c r="EA100" i="14" s="1"/>
  <c r="ED100" i="14"/>
  <c r="BO14" i="12"/>
  <c r="DY60" i="14"/>
  <c r="DW60" i="14"/>
  <c r="DZ60" i="14"/>
  <c r="EA60" i="14" s="1"/>
  <c r="ED60" i="14"/>
  <c r="EB60" i="14"/>
  <c r="EB78" i="14"/>
  <c r="DY30" i="14"/>
  <c r="DW30" i="14"/>
  <c r="DZ30" i="14"/>
  <c r="EA30" i="14" s="1"/>
  <c r="ED30" i="14"/>
  <c r="EB30" i="14"/>
  <c r="BC126" i="12"/>
  <c r="BA64" i="12"/>
  <c r="BK64" i="12"/>
  <c r="BO64" i="12" s="1"/>
  <c r="BA60" i="12"/>
  <c r="BK60" i="12"/>
  <c r="BA19" i="12"/>
  <c r="BK19" i="12"/>
  <c r="BO19" i="12" s="1"/>
  <c r="BA11" i="12"/>
  <c r="BK11" i="12"/>
  <c r="BA49" i="12"/>
  <c r="BK49" i="12"/>
  <c r="BO23" i="12"/>
  <c r="BA28" i="12"/>
  <c r="BK28" i="12"/>
  <c r="BA100" i="12"/>
  <c r="BK100" i="12"/>
  <c r="BA91" i="12"/>
  <c r="BK91" i="12"/>
  <c r="EB64" i="14"/>
  <c r="BO117" i="12"/>
  <c r="DY109" i="14"/>
  <c r="DW109" i="14"/>
  <c r="ED109" i="14"/>
  <c r="DZ109" i="14"/>
  <c r="EA109" i="14" s="1"/>
  <c r="DY105" i="14"/>
  <c r="DW105" i="14"/>
  <c r="ED105" i="14"/>
  <c r="DZ105" i="14"/>
  <c r="EA105" i="14" s="1"/>
  <c r="EB111" i="14"/>
  <c r="DY111" i="14"/>
  <c r="DW111" i="14"/>
  <c r="DZ111" i="14"/>
  <c r="EA111" i="14" s="1"/>
  <c r="ED111" i="14"/>
  <c r="DY67" i="14"/>
  <c r="DW67" i="14"/>
  <c r="ED67" i="14"/>
  <c r="DZ67" i="14"/>
  <c r="EA67" i="14" s="1"/>
  <c r="EB67" i="14"/>
  <c r="EB91" i="14"/>
  <c r="BO25" i="12"/>
  <c r="BA51" i="12"/>
  <c r="BK51" i="12"/>
  <c r="BA66" i="12"/>
  <c r="BK66" i="12"/>
  <c r="BO78" i="12"/>
  <c r="DY81" i="14"/>
  <c r="DW81" i="14"/>
  <c r="DZ81" i="14"/>
  <c r="EA81" i="14" s="1"/>
  <c r="ED81" i="14"/>
  <c r="EB57" i="14"/>
  <c r="BA40" i="12"/>
  <c r="BK40" i="12"/>
  <c r="BO40" i="12" s="1"/>
  <c r="BA29" i="12"/>
  <c r="BK29" i="12"/>
  <c r="BD160" i="12"/>
  <c r="BD164" i="12" s="1"/>
  <c r="AY147" i="12"/>
  <c r="AY151" i="12" s="1"/>
  <c r="EB118" i="14"/>
  <c r="AY123" i="12"/>
  <c r="AW123" i="12"/>
  <c r="BD123" i="12"/>
  <c r="AZ123" i="12"/>
  <c r="BB123" i="12"/>
  <c r="BA99" i="12"/>
  <c r="BK99" i="12"/>
  <c r="BA119" i="12"/>
  <c r="BK119" i="12"/>
  <c r="BA102" i="12"/>
  <c r="BK102" i="12"/>
  <c r="BA47" i="12"/>
  <c r="BK47" i="12"/>
  <c r="CO73" i="12"/>
  <c r="DB73" i="12" s="1"/>
  <c r="F16" i="17"/>
  <c r="DY55" i="14"/>
  <c r="ED55" i="14"/>
  <c r="DW55" i="14"/>
  <c r="DZ55" i="14"/>
  <c r="EA55" i="14" s="1"/>
  <c r="DW53" i="14"/>
  <c r="DZ53" i="14"/>
  <c r="EA53" i="14" s="1"/>
  <c r="DY53" i="14"/>
  <c r="ED53" i="14"/>
  <c r="DW36" i="14"/>
  <c r="DZ36" i="14"/>
  <c r="EA36" i="14" s="1"/>
  <c r="DY36" i="14"/>
  <c r="ED36" i="14"/>
  <c r="EB36" i="14"/>
  <c r="DW52" i="14"/>
  <c r="DZ52" i="14"/>
  <c r="EA52" i="14" s="1"/>
  <c r="DY52" i="14"/>
  <c r="ED52" i="14"/>
  <c r="EB52" i="14"/>
  <c r="EB45" i="14"/>
  <c r="DY45" i="14"/>
  <c r="ED45" i="14"/>
  <c r="DW45" i="14"/>
  <c r="DZ45" i="14"/>
  <c r="EA45" i="14" s="1"/>
  <c r="DY54" i="14"/>
  <c r="ED54" i="14"/>
  <c r="DW54" i="14"/>
  <c r="DZ54" i="14"/>
  <c r="EA54" i="14" s="1"/>
  <c r="DY49" i="14"/>
  <c r="ED49" i="14"/>
  <c r="DW49" i="14"/>
  <c r="DZ49" i="14"/>
  <c r="EA49" i="14" s="1"/>
  <c r="DY41" i="14"/>
  <c r="ED41" i="14"/>
  <c r="DW41" i="14"/>
  <c r="DZ41" i="14"/>
  <c r="EA41" i="14" s="1"/>
  <c r="EB41" i="14"/>
  <c r="EB55" i="14"/>
  <c r="EB39" i="14"/>
  <c r="DY39" i="14"/>
  <c r="ED39" i="14"/>
  <c r="DW39" i="14"/>
  <c r="DZ39" i="14"/>
  <c r="EA39" i="14" s="1"/>
  <c r="DW40" i="14"/>
  <c r="DZ40" i="14"/>
  <c r="EA40" i="14" s="1"/>
  <c r="DY40" i="14"/>
  <c r="ED40" i="14"/>
  <c r="EB54" i="14"/>
  <c r="DW51" i="14"/>
  <c r="DZ51" i="14"/>
  <c r="EA51" i="14" s="1"/>
  <c r="DY51" i="14"/>
  <c r="ED51" i="14"/>
  <c r="EB51" i="14"/>
  <c r="EB53" i="14"/>
  <c r="DW43" i="14"/>
  <c r="DZ43" i="14"/>
  <c r="EA43" i="14" s="1"/>
  <c r="DY43" i="14"/>
  <c r="ED43" i="14"/>
  <c r="DW50" i="14"/>
  <c r="DZ50" i="14"/>
  <c r="EA50" i="14" s="1"/>
  <c r="DY50" i="14"/>
  <c r="ED50" i="14"/>
  <c r="EB50" i="14"/>
  <c r="DZ44" i="14"/>
  <c r="EA44" i="14" s="1"/>
  <c r="DY44" i="14"/>
  <c r="ED44" i="14"/>
  <c r="DW44" i="14"/>
  <c r="DY35" i="14"/>
  <c r="ED35" i="14"/>
  <c r="DW35" i="14"/>
  <c r="DZ35" i="14"/>
  <c r="EA35" i="14" s="1"/>
  <c r="EB35" i="14"/>
  <c r="DY33" i="14"/>
  <c r="ED33" i="14"/>
  <c r="DW33" i="14"/>
  <c r="DZ33" i="14"/>
  <c r="EA33" i="14" s="1"/>
  <c r="EB33" i="14"/>
  <c r="EB48" i="14"/>
  <c r="DY48" i="14"/>
  <c r="ED48" i="14"/>
  <c r="DZ48" i="14"/>
  <c r="EA48" i="14" s="1"/>
  <c r="DW48" i="14"/>
  <c r="EB44" i="14"/>
  <c r="DY42" i="14"/>
  <c r="ED42" i="14"/>
  <c r="DW42" i="14"/>
  <c r="DZ42" i="14"/>
  <c r="EA42" i="14" s="1"/>
  <c r="DW34" i="14"/>
  <c r="DZ34" i="14"/>
  <c r="EA34" i="14" s="1"/>
  <c r="DY34" i="14"/>
  <c r="ED34" i="14"/>
  <c r="DZ46" i="14"/>
  <c r="EA46" i="14" s="1"/>
  <c r="DW46" i="14"/>
  <c r="DY46" i="14"/>
  <c r="ED46" i="14"/>
  <c r="EB46" i="14"/>
  <c r="DY38" i="14"/>
  <c r="ED38" i="14"/>
  <c r="DW38" i="14"/>
  <c r="DZ38" i="14"/>
  <c r="EA38" i="14" s="1"/>
  <c r="DY37" i="14"/>
  <c r="ED37" i="14"/>
  <c r="DW37" i="14"/>
  <c r="DZ37" i="14"/>
  <c r="EA37" i="14" s="1"/>
  <c r="DY32" i="14"/>
  <c r="ED32" i="14"/>
  <c r="DW32" i="14"/>
  <c r="DZ32" i="14"/>
  <c r="EA32" i="14" s="1"/>
  <c r="DW31" i="14"/>
  <c r="DZ31" i="14"/>
  <c r="EA31" i="14" s="1"/>
  <c r="DY31" i="14"/>
  <c r="ED31" i="14"/>
  <c r="EB31" i="14"/>
  <c r="EB49" i="14"/>
  <c r="DY47" i="14"/>
  <c r="ED47" i="14"/>
  <c r="DW47" i="14"/>
  <c r="DZ47" i="14"/>
  <c r="EA47" i="14" s="1"/>
  <c r="EB32" i="14"/>
  <c r="DN143" i="14"/>
  <c r="CZ151" i="14"/>
  <c r="DY7" i="14"/>
  <c r="ED7" i="14"/>
  <c r="DW7" i="14"/>
  <c r="DZ7" i="14"/>
  <c r="EA7" i="14" s="1"/>
  <c r="DK183" i="14"/>
  <c r="J27" i="17" s="1"/>
  <c r="DK188" i="14"/>
  <c r="DQ164" i="14"/>
  <c r="DX130" i="14"/>
  <c r="DW24" i="14"/>
  <c r="DZ24" i="14"/>
  <c r="EA24" i="14" s="1"/>
  <c r="DY24" i="14"/>
  <c r="ED24" i="14"/>
  <c r="DY25" i="14"/>
  <c r="ED25" i="14"/>
  <c r="DW25" i="14"/>
  <c r="DZ25" i="14"/>
  <c r="EA25" i="14" s="1"/>
  <c r="DW23" i="14"/>
  <c r="DZ23" i="14"/>
  <c r="EA23" i="14" s="1"/>
  <c r="DY23" i="14"/>
  <c r="ED23" i="14"/>
  <c r="DW26" i="14"/>
  <c r="DZ26" i="14"/>
  <c r="EA26" i="14" s="1"/>
  <c r="DY26" i="14"/>
  <c r="ED26" i="14"/>
  <c r="EB23" i="14"/>
  <c r="DW19" i="14"/>
  <c r="DZ19" i="14"/>
  <c r="EA19" i="14" s="1"/>
  <c r="DY19" i="14"/>
  <c r="ED19" i="14"/>
  <c r="DY11" i="14"/>
  <c r="ED11" i="14"/>
  <c r="DW11" i="14"/>
  <c r="DZ11" i="14"/>
  <c r="EA11" i="14" s="1"/>
  <c r="EB11" i="14"/>
  <c r="DW18" i="14"/>
  <c r="DZ18" i="14"/>
  <c r="EA18" i="14" s="1"/>
  <c r="DY18" i="14"/>
  <c r="ED18" i="14"/>
  <c r="EB18" i="14"/>
  <c r="DY10" i="14"/>
  <c r="ED10" i="14"/>
  <c r="DW10" i="14"/>
  <c r="DZ10" i="14"/>
  <c r="EA10" i="14" s="1"/>
  <c r="DY9" i="14"/>
  <c r="ED9" i="14"/>
  <c r="DW9" i="14"/>
  <c r="DZ9" i="14"/>
  <c r="EA9" i="14" s="1"/>
  <c r="EB24" i="14"/>
  <c r="EB25" i="14"/>
  <c r="DW8" i="14"/>
  <c r="DZ8" i="14"/>
  <c r="DY8" i="14"/>
  <c r="ED8" i="14"/>
  <c r="DX126" i="14"/>
  <c r="DX174" i="14"/>
  <c r="DW28" i="14"/>
  <c r="DZ28" i="14"/>
  <c r="EA28" i="14" s="1"/>
  <c r="EA147" i="14" s="1"/>
  <c r="DY28" i="14"/>
  <c r="DY147" i="14" s="1"/>
  <c r="ED28" i="14"/>
  <c r="ED160" i="14" s="1"/>
  <c r="EB10" i="14"/>
  <c r="DW13" i="14"/>
  <c r="DZ13" i="14"/>
  <c r="EA13" i="14" s="1"/>
  <c r="DY13" i="14"/>
  <c r="ED13" i="14"/>
  <c r="DY12" i="14"/>
  <c r="ED12" i="14"/>
  <c r="DW12" i="14"/>
  <c r="DZ12" i="14"/>
  <c r="EA12" i="14" s="1"/>
  <c r="DK175" i="14"/>
  <c r="DW29" i="14"/>
  <c r="DZ29" i="14"/>
  <c r="EA29" i="14" s="1"/>
  <c r="DY29" i="14"/>
  <c r="ED29" i="14"/>
  <c r="DW22" i="14"/>
  <c r="DZ22" i="14"/>
  <c r="EA22" i="14" s="1"/>
  <c r="DY22" i="14"/>
  <c r="ED22" i="14"/>
  <c r="DW27" i="14"/>
  <c r="DZ27" i="14"/>
  <c r="EA27" i="14" s="1"/>
  <c r="DY27" i="14"/>
  <c r="ED27" i="14"/>
  <c r="EB29" i="14"/>
  <c r="EB19" i="14"/>
  <c r="EB22" i="14"/>
  <c r="DW15" i="14"/>
  <c r="DZ15" i="14"/>
  <c r="EA15" i="14" s="1"/>
  <c r="DY15" i="14"/>
  <c r="ED15" i="14"/>
  <c r="EB15" i="14"/>
  <c r="DW16" i="14"/>
  <c r="DZ16" i="14"/>
  <c r="EA16" i="14" s="1"/>
  <c r="DY16" i="14"/>
  <c r="ED16" i="14"/>
  <c r="EB27" i="14"/>
  <c r="DW17" i="14"/>
  <c r="DZ17" i="14"/>
  <c r="EA17" i="14" s="1"/>
  <c r="DY17" i="14"/>
  <c r="ED17" i="14"/>
  <c r="DW21" i="14"/>
  <c r="DZ21" i="14"/>
  <c r="EA21" i="14" s="1"/>
  <c r="DY21" i="14"/>
  <c r="ED21" i="14"/>
  <c r="EB21" i="14"/>
  <c r="DY14" i="14"/>
  <c r="ED14" i="14"/>
  <c r="DW14" i="14"/>
  <c r="DZ14" i="14"/>
  <c r="EA14" i="14" s="1"/>
  <c r="EB26" i="14"/>
  <c r="EB8" i="14"/>
  <c r="DW20" i="14"/>
  <c r="DZ20" i="14"/>
  <c r="EA20" i="14" s="1"/>
  <c r="DY20" i="14"/>
  <c r="ED20" i="14"/>
  <c r="EB20" i="14"/>
  <c r="EB12" i="14"/>
  <c r="EB13" i="14"/>
  <c r="AC126" i="12"/>
  <c r="H14" i="17"/>
  <c r="G15" i="17"/>
  <c r="G14" i="17"/>
  <c r="U151" i="12"/>
  <c r="E70" i="10"/>
  <c r="AC164" i="12"/>
  <c r="S151" i="12"/>
  <c r="Z143" i="12"/>
  <c r="Z147" i="12"/>
  <c r="CJ112" i="12" l="1"/>
  <c r="DD97" i="12"/>
  <c r="CL112" i="12"/>
  <c r="DD73" i="12"/>
  <c r="BD126" i="12"/>
  <c r="AW126" i="12"/>
  <c r="AX176" i="12" s="1"/>
  <c r="AX175" i="12" s="1"/>
  <c r="AZ126" i="12"/>
  <c r="AY126" i="12"/>
  <c r="DZ147" i="14"/>
  <c r="BJ47" i="12"/>
  <c r="BL47" i="12"/>
  <c r="BQ47" i="12"/>
  <c r="BM47" i="12"/>
  <c r="BL102" i="12"/>
  <c r="BJ102" i="12"/>
  <c r="BM102" i="12"/>
  <c r="BQ102" i="12"/>
  <c r="BJ119" i="12"/>
  <c r="BL119" i="12"/>
  <c r="BQ119" i="12"/>
  <c r="BM119" i="12"/>
  <c r="BJ99" i="12"/>
  <c r="BL99" i="12"/>
  <c r="BQ99" i="12"/>
  <c r="BM99" i="12"/>
  <c r="BJ29" i="12"/>
  <c r="BL29" i="12"/>
  <c r="BQ29" i="12"/>
  <c r="BM29" i="12"/>
  <c r="BO47" i="12"/>
  <c r="BL66" i="12"/>
  <c r="BJ66" i="12"/>
  <c r="BM66" i="12"/>
  <c r="BQ66" i="12"/>
  <c r="BL34" i="12"/>
  <c r="BJ34" i="12"/>
  <c r="BM34" i="12"/>
  <c r="BQ34" i="12"/>
  <c r="BO34" i="12"/>
  <c r="BL53" i="12"/>
  <c r="BJ53" i="12"/>
  <c r="BQ53" i="12"/>
  <c r="BM53" i="12"/>
  <c r="BO53" i="12"/>
  <c r="CC6" i="12"/>
  <c r="BT6" i="12"/>
  <c r="BU6" i="12" s="1"/>
  <c r="BS6" i="12"/>
  <c r="CC10" i="12"/>
  <c r="BT10" i="12"/>
  <c r="BU10" i="12" s="1"/>
  <c r="BS10" i="12"/>
  <c r="CC14" i="12"/>
  <c r="BT14" i="12"/>
  <c r="BU14" i="12" s="1"/>
  <c r="BS14" i="12"/>
  <c r="CC18" i="12"/>
  <c r="BT18" i="12"/>
  <c r="BU18" i="12" s="1"/>
  <c r="BS18" i="12"/>
  <c r="CC22" i="12"/>
  <c r="BT22" i="12"/>
  <c r="BU22" i="12" s="1"/>
  <c r="BS22" i="12"/>
  <c r="CC26" i="12"/>
  <c r="BT26" i="12"/>
  <c r="BU26" i="12" s="1"/>
  <c r="BS26" i="12"/>
  <c r="CC30" i="12"/>
  <c r="BT30" i="12"/>
  <c r="BU30" i="12" s="1"/>
  <c r="BS30" i="12"/>
  <c r="CC34" i="12"/>
  <c r="BT34" i="12"/>
  <c r="BU34" i="12" s="1"/>
  <c r="BS34" i="12"/>
  <c r="CC38" i="12"/>
  <c r="BT38" i="12"/>
  <c r="BU38" i="12" s="1"/>
  <c r="BS38" i="12"/>
  <c r="CC42" i="12"/>
  <c r="BT42" i="12"/>
  <c r="BU42" i="12" s="1"/>
  <c r="BS42" i="12"/>
  <c r="CC46" i="12"/>
  <c r="BT46" i="12"/>
  <c r="BU46" i="12" s="1"/>
  <c r="BS46" i="12"/>
  <c r="CC50" i="12"/>
  <c r="BT50" i="12"/>
  <c r="BU50" i="12" s="1"/>
  <c r="BS50" i="12"/>
  <c r="CC54" i="12"/>
  <c r="BT54" i="12"/>
  <c r="BU54" i="12" s="1"/>
  <c r="BS54" i="12"/>
  <c r="CC58" i="12"/>
  <c r="BT58" i="12"/>
  <c r="BU58" i="12" s="1"/>
  <c r="BS58" i="12"/>
  <c r="CC62" i="12"/>
  <c r="BT62" i="12"/>
  <c r="BU62" i="12" s="1"/>
  <c r="BS62" i="12"/>
  <c r="CC66" i="12"/>
  <c r="BT66" i="12"/>
  <c r="BU66" i="12" s="1"/>
  <c r="BS66" i="12"/>
  <c r="CC70" i="12"/>
  <c r="BT70" i="12"/>
  <c r="BU70" i="12" s="1"/>
  <c r="BS70" i="12"/>
  <c r="CC74" i="12"/>
  <c r="BT74" i="12"/>
  <c r="BU74" i="12" s="1"/>
  <c r="BS74" i="12"/>
  <c r="CC78" i="12"/>
  <c r="BT78" i="12"/>
  <c r="BU78" i="12" s="1"/>
  <c r="BS78" i="12"/>
  <c r="CC82" i="12"/>
  <c r="BT82" i="12"/>
  <c r="BU82" i="12" s="1"/>
  <c r="BS82" i="12"/>
  <c r="CC86" i="12"/>
  <c r="BT86" i="12"/>
  <c r="BU86" i="12" s="1"/>
  <c r="BS86" i="12"/>
  <c r="CC90" i="12"/>
  <c r="BT90" i="12"/>
  <c r="BU90" i="12" s="1"/>
  <c r="BS90" i="12"/>
  <c r="CC94" i="12"/>
  <c r="BT94" i="12"/>
  <c r="BU94" i="12" s="1"/>
  <c r="BS94" i="12"/>
  <c r="CC98" i="12"/>
  <c r="BT98" i="12"/>
  <c r="BU98" i="12" s="1"/>
  <c r="BS98" i="12"/>
  <c r="CC102" i="12"/>
  <c r="BT102" i="12"/>
  <c r="BU102" i="12" s="1"/>
  <c r="BS102" i="12"/>
  <c r="CC106" i="12"/>
  <c r="BT106" i="12"/>
  <c r="BU106" i="12" s="1"/>
  <c r="BS106" i="12"/>
  <c r="CC110" i="12"/>
  <c r="BT110" i="12"/>
  <c r="BU110" i="12" s="1"/>
  <c r="BS110" i="12"/>
  <c r="CC114" i="12"/>
  <c r="BT114" i="12"/>
  <c r="BU114" i="12" s="1"/>
  <c r="BS114" i="12"/>
  <c r="CC118" i="12"/>
  <c r="BT118" i="12"/>
  <c r="BU118" i="12" s="1"/>
  <c r="BS118" i="12"/>
  <c r="CC122" i="12"/>
  <c r="BT122" i="12"/>
  <c r="BU122" i="12" s="1"/>
  <c r="BS122" i="12"/>
  <c r="BR126" i="12"/>
  <c r="BS5" i="12"/>
  <c r="CC5" i="12"/>
  <c r="BT5" i="12"/>
  <c r="BS9" i="12"/>
  <c r="CC9" i="12"/>
  <c r="BT9" i="12"/>
  <c r="BU9" i="12" s="1"/>
  <c r="BS13" i="12"/>
  <c r="CC13" i="12"/>
  <c r="BT13" i="12"/>
  <c r="BU13" i="12" s="1"/>
  <c r="BS17" i="12"/>
  <c r="CC17" i="12"/>
  <c r="BT17" i="12"/>
  <c r="BU17" i="12" s="1"/>
  <c r="BS21" i="12"/>
  <c r="CC21" i="12"/>
  <c r="BT21" i="12"/>
  <c r="BU21" i="12" s="1"/>
  <c r="BS25" i="12"/>
  <c r="CC25" i="12"/>
  <c r="BT25" i="12"/>
  <c r="BU25" i="12" s="1"/>
  <c r="BS29" i="12"/>
  <c r="CC29" i="12"/>
  <c r="BT29" i="12"/>
  <c r="BU29" i="12" s="1"/>
  <c r="BS33" i="12"/>
  <c r="CC33" i="12"/>
  <c r="BT33" i="12"/>
  <c r="BU33" i="12" s="1"/>
  <c r="BS37" i="12"/>
  <c r="CC37" i="12"/>
  <c r="BT37" i="12"/>
  <c r="BU37" i="12" s="1"/>
  <c r="BS41" i="12"/>
  <c r="CC41" i="12"/>
  <c r="BT41" i="12"/>
  <c r="BU41" i="12" s="1"/>
  <c r="BS45" i="12"/>
  <c r="CC45" i="12"/>
  <c r="BT45" i="12"/>
  <c r="BU45" i="12" s="1"/>
  <c r="BS49" i="12"/>
  <c r="CC49" i="12"/>
  <c r="BT49" i="12"/>
  <c r="BU49" i="12" s="1"/>
  <c r="BS53" i="12"/>
  <c r="CC53" i="12"/>
  <c r="BT53" i="12"/>
  <c r="BU53" i="12" s="1"/>
  <c r="BS57" i="12"/>
  <c r="CC57" i="12"/>
  <c r="BT57" i="12"/>
  <c r="BU57" i="12" s="1"/>
  <c r="BS61" i="12"/>
  <c r="CC61" i="12"/>
  <c r="BT61" i="12"/>
  <c r="BU61" i="12" s="1"/>
  <c r="BS65" i="12"/>
  <c r="CC65" i="12"/>
  <c r="BT65" i="12"/>
  <c r="BU65" i="12" s="1"/>
  <c r="BS69" i="12"/>
  <c r="CC69" i="12"/>
  <c r="BT69" i="12"/>
  <c r="BU69" i="12" s="1"/>
  <c r="BS73" i="12"/>
  <c r="CC73" i="12"/>
  <c r="BT73" i="12"/>
  <c r="BU73" i="12" s="1"/>
  <c r="BS77" i="12"/>
  <c r="CC77" i="12"/>
  <c r="BT77" i="12"/>
  <c r="BU77" i="12" s="1"/>
  <c r="BS81" i="12"/>
  <c r="CC81" i="12"/>
  <c r="BT81" i="12"/>
  <c r="BU81" i="12" s="1"/>
  <c r="BS85" i="12"/>
  <c r="CC85" i="12"/>
  <c r="BT85" i="12"/>
  <c r="BU85" i="12" s="1"/>
  <c r="BS89" i="12"/>
  <c r="CC89" i="12"/>
  <c r="BT89" i="12"/>
  <c r="BU89" i="12" s="1"/>
  <c r="BS93" i="12"/>
  <c r="CC93" i="12"/>
  <c r="BT93" i="12"/>
  <c r="BU93" i="12" s="1"/>
  <c r="BS97" i="12"/>
  <c r="CC97" i="12"/>
  <c r="BT97" i="12"/>
  <c r="BU97" i="12" s="1"/>
  <c r="BS101" i="12"/>
  <c r="CC101" i="12"/>
  <c r="BT101" i="12"/>
  <c r="BU101" i="12" s="1"/>
  <c r="BS105" i="12"/>
  <c r="CC105" i="12"/>
  <c r="BT105" i="12"/>
  <c r="BU105" i="12" s="1"/>
  <c r="BS109" i="12"/>
  <c r="CC109" i="12"/>
  <c r="BT109" i="12"/>
  <c r="BU109" i="12" s="1"/>
  <c r="BS113" i="12"/>
  <c r="CC113" i="12"/>
  <c r="BT113" i="12"/>
  <c r="BU113" i="12" s="1"/>
  <c r="BS117" i="12"/>
  <c r="CC117" i="12"/>
  <c r="BT117" i="12"/>
  <c r="BU117" i="12" s="1"/>
  <c r="BS121" i="12"/>
  <c r="CC121" i="12"/>
  <c r="BT121" i="12"/>
  <c r="BU121" i="12" s="1"/>
  <c r="BS125" i="12"/>
  <c r="BT125" i="12"/>
  <c r="BU125" i="12" s="1"/>
  <c r="CC125" i="12"/>
  <c r="BJ10" i="12"/>
  <c r="BL10" i="12"/>
  <c r="BM10" i="12"/>
  <c r="BQ10" i="12"/>
  <c r="BO10" i="12"/>
  <c r="BL61" i="12"/>
  <c r="BJ61" i="12"/>
  <c r="BQ61" i="12"/>
  <c r="BM61" i="12"/>
  <c r="BL54" i="12"/>
  <c r="BJ54" i="12"/>
  <c r="BQ54" i="12"/>
  <c r="BM54" i="12"/>
  <c r="BL88" i="12"/>
  <c r="BJ88" i="12"/>
  <c r="BM88" i="12"/>
  <c r="BQ88" i="12"/>
  <c r="BO88" i="12"/>
  <c r="BJ120" i="12"/>
  <c r="BL120" i="12"/>
  <c r="BM120" i="12"/>
  <c r="BQ120" i="12"/>
  <c r="BO120" i="12"/>
  <c r="BJ107" i="12"/>
  <c r="BL107" i="12"/>
  <c r="BQ107" i="12"/>
  <c r="BM107" i="12"/>
  <c r="BF147" i="12"/>
  <c r="BF151" i="12" s="1"/>
  <c r="BO99" i="12"/>
  <c r="BL118" i="12"/>
  <c r="BJ118" i="12"/>
  <c r="BM118" i="12"/>
  <c r="BQ118" i="12"/>
  <c r="BJ26" i="12"/>
  <c r="BL26" i="12"/>
  <c r="BQ26" i="12"/>
  <c r="BM26" i="12"/>
  <c r="BL16" i="12"/>
  <c r="BJ16" i="12"/>
  <c r="BQ16" i="12"/>
  <c r="BM16" i="12"/>
  <c r="BL109" i="12"/>
  <c r="BJ109" i="12"/>
  <c r="BQ109" i="12"/>
  <c r="BM109" i="12"/>
  <c r="BO109" i="12"/>
  <c r="CA74" i="12"/>
  <c r="CK74" i="12"/>
  <c r="CO74" i="12" s="1"/>
  <c r="BL8" i="12"/>
  <c r="BJ8" i="12"/>
  <c r="BM8" i="12"/>
  <c r="BQ8" i="12"/>
  <c r="BO29" i="12"/>
  <c r="BJ30" i="12"/>
  <c r="BL30" i="12"/>
  <c r="BM30" i="12"/>
  <c r="BQ30" i="12"/>
  <c r="BL78" i="12"/>
  <c r="BJ78" i="12"/>
  <c r="BM78" i="12"/>
  <c r="BQ78" i="12"/>
  <c r="BL114" i="12"/>
  <c r="BJ114" i="12"/>
  <c r="BM114" i="12"/>
  <c r="BQ114" i="12"/>
  <c r="BO114" i="12"/>
  <c r="BJ25" i="12"/>
  <c r="BL25" i="12"/>
  <c r="BM25" i="12"/>
  <c r="BQ25" i="12"/>
  <c r="BL22" i="12"/>
  <c r="BJ22" i="12"/>
  <c r="BM22" i="12"/>
  <c r="BQ22" i="12"/>
  <c r="BL81" i="12"/>
  <c r="BJ81" i="12"/>
  <c r="BQ81" i="12"/>
  <c r="BM81" i="12"/>
  <c r="BO81" i="12"/>
  <c r="BL89" i="12"/>
  <c r="BJ89" i="12"/>
  <c r="BQ89" i="12"/>
  <c r="BM89" i="12"/>
  <c r="BO89" i="12"/>
  <c r="BL48" i="12"/>
  <c r="BJ48" i="12"/>
  <c r="BM48" i="12"/>
  <c r="BQ48" i="12"/>
  <c r="BL104" i="12"/>
  <c r="BJ104" i="12"/>
  <c r="BM104" i="12"/>
  <c r="BQ104" i="12"/>
  <c r="BL80" i="12"/>
  <c r="BJ80" i="12"/>
  <c r="BM80" i="12"/>
  <c r="BQ80" i="12"/>
  <c r="BO80" i="12"/>
  <c r="BL14" i="12"/>
  <c r="BJ14" i="12"/>
  <c r="BM14" i="12"/>
  <c r="BQ14" i="12"/>
  <c r="BJ21" i="12"/>
  <c r="BL21" i="12"/>
  <c r="BQ21" i="12"/>
  <c r="BM21" i="12"/>
  <c r="BO21" i="12"/>
  <c r="BL113" i="12"/>
  <c r="BJ113" i="12"/>
  <c r="BQ113" i="12"/>
  <c r="BM113" i="12"/>
  <c r="BL62" i="12"/>
  <c r="BJ62" i="12"/>
  <c r="BQ62" i="12"/>
  <c r="BM62" i="12"/>
  <c r="BO62" i="12"/>
  <c r="BJ67" i="12"/>
  <c r="BL67" i="12"/>
  <c r="BQ67" i="12"/>
  <c r="BM67" i="12"/>
  <c r="BJ71" i="12"/>
  <c r="BL71" i="12"/>
  <c r="BQ71" i="12"/>
  <c r="BM71" i="12"/>
  <c r="BO71" i="12"/>
  <c r="AX177" i="12"/>
  <c r="AX178" i="12" s="1"/>
  <c r="AX182" i="12"/>
  <c r="AW183" i="12" s="1"/>
  <c r="BJ55" i="12"/>
  <c r="BL55" i="12"/>
  <c r="BQ55" i="12"/>
  <c r="BM55" i="12"/>
  <c r="BL121" i="12"/>
  <c r="BJ121" i="12"/>
  <c r="BM121" i="12"/>
  <c r="BQ121" i="12"/>
  <c r="BO48" i="12"/>
  <c r="BJ36" i="12"/>
  <c r="BL36" i="12"/>
  <c r="BQ36" i="12"/>
  <c r="BM36" i="12"/>
  <c r="BL69" i="12"/>
  <c r="BJ69" i="12"/>
  <c r="BQ69" i="12"/>
  <c r="BM69" i="12"/>
  <c r="BO61" i="12"/>
  <c r="BJ37" i="12"/>
  <c r="BL37" i="12"/>
  <c r="BQ37" i="12"/>
  <c r="BM37" i="12"/>
  <c r="BL96" i="12"/>
  <c r="BJ96" i="12"/>
  <c r="BM96" i="12"/>
  <c r="BQ96" i="12"/>
  <c r="BO96" i="12"/>
  <c r="BL106" i="12"/>
  <c r="BJ106" i="12"/>
  <c r="BM106" i="12"/>
  <c r="BQ106" i="12"/>
  <c r="BO106" i="12"/>
  <c r="BJ63" i="12"/>
  <c r="BL63" i="12"/>
  <c r="BQ63" i="12"/>
  <c r="BM63" i="12"/>
  <c r="BJ9" i="12"/>
  <c r="BL9" i="12"/>
  <c r="BM9" i="12"/>
  <c r="BQ9" i="12"/>
  <c r="BO9" i="12"/>
  <c r="BJ33" i="12"/>
  <c r="BL33" i="12"/>
  <c r="BM33" i="12"/>
  <c r="BQ33" i="12"/>
  <c r="BL125" i="12"/>
  <c r="BJ125" i="12"/>
  <c r="BM125" i="12"/>
  <c r="BQ125" i="12"/>
  <c r="AN151" i="12"/>
  <c r="AM147" i="12"/>
  <c r="AM151" i="12" s="1"/>
  <c r="BJ75" i="12"/>
  <c r="BL75" i="12"/>
  <c r="BQ75" i="12"/>
  <c r="BM75" i="12"/>
  <c r="BG126" i="12"/>
  <c r="BH5" i="12"/>
  <c r="BH126" i="12" s="1"/>
  <c r="BO118" i="12"/>
  <c r="BO26" i="12"/>
  <c r="DW96" i="14"/>
  <c r="DY96" i="14"/>
  <c r="DZ96" i="14"/>
  <c r="EA96" i="14" s="1"/>
  <c r="ED96" i="14"/>
  <c r="CA90" i="12"/>
  <c r="CK90" i="12"/>
  <c r="CW79" i="12"/>
  <c r="CY79" i="12"/>
  <c r="CW97" i="12"/>
  <c r="CY97" i="12"/>
  <c r="CW7" i="12"/>
  <c r="CY7" i="12"/>
  <c r="DI122" i="12"/>
  <c r="DI120" i="12"/>
  <c r="DI125" i="12"/>
  <c r="DI118" i="12"/>
  <c r="DI116" i="12"/>
  <c r="DI114" i="12"/>
  <c r="DI112" i="12"/>
  <c r="DI110" i="12"/>
  <c r="DI108" i="12"/>
  <c r="DI106" i="12"/>
  <c r="DI104" i="12"/>
  <c r="DI102" i="12"/>
  <c r="DI100" i="12"/>
  <c r="DI98" i="12"/>
  <c r="DI96" i="12"/>
  <c r="DI94" i="12"/>
  <c r="DI92" i="12"/>
  <c r="DI90" i="12"/>
  <c r="DI88" i="12"/>
  <c r="DI86" i="12"/>
  <c r="DI84" i="12"/>
  <c r="DI82" i="12"/>
  <c r="DI80" i="12"/>
  <c r="DI78" i="12"/>
  <c r="DI76" i="12"/>
  <c r="DI74" i="12"/>
  <c r="DI72" i="12"/>
  <c r="DI70" i="12"/>
  <c r="DI68" i="12"/>
  <c r="DI66" i="12"/>
  <c r="DI64" i="12"/>
  <c r="DI62" i="12"/>
  <c r="DI60" i="12"/>
  <c r="DI58" i="12"/>
  <c r="DI56" i="12"/>
  <c r="DI54" i="12"/>
  <c r="DI52" i="12"/>
  <c r="DI50" i="12"/>
  <c r="DI48" i="12"/>
  <c r="DI46" i="12"/>
  <c r="DI44" i="12"/>
  <c r="DI42" i="12"/>
  <c r="DI40" i="12"/>
  <c r="DI38" i="12"/>
  <c r="DI36" i="12"/>
  <c r="DI34" i="12"/>
  <c r="DI32" i="12"/>
  <c r="DI30" i="12"/>
  <c r="DI28" i="12"/>
  <c r="DI26" i="12"/>
  <c r="DI24" i="12"/>
  <c r="DI22" i="12"/>
  <c r="DI20" i="12"/>
  <c r="DI18" i="12"/>
  <c r="DI16" i="12"/>
  <c r="DI14" i="12"/>
  <c r="DI12" i="12"/>
  <c r="DI10" i="12"/>
  <c r="DI8" i="12"/>
  <c r="DI6" i="12"/>
  <c r="DQ4" i="12"/>
  <c r="DK4" i="12"/>
  <c r="DZ4" i="12"/>
  <c r="DN4" i="12"/>
  <c r="DI123" i="12"/>
  <c r="DI121" i="12"/>
  <c r="DI119" i="12"/>
  <c r="DI124" i="12"/>
  <c r="DI117" i="12"/>
  <c r="DI115" i="12"/>
  <c r="DI113" i="12"/>
  <c r="DI111" i="12"/>
  <c r="DI109" i="12"/>
  <c r="DI107" i="12"/>
  <c r="DI105" i="12"/>
  <c r="DI103" i="12"/>
  <c r="DI101" i="12"/>
  <c r="DI99" i="12"/>
  <c r="DI97" i="12"/>
  <c r="DI95" i="12"/>
  <c r="DI93" i="12"/>
  <c r="DI91" i="12"/>
  <c r="DI89" i="12"/>
  <c r="DI87" i="12"/>
  <c r="DI85" i="12"/>
  <c r="DI83" i="12"/>
  <c r="DI81" i="12"/>
  <c r="DI79" i="12"/>
  <c r="DI77" i="12"/>
  <c r="DI75" i="12"/>
  <c r="DI73" i="12"/>
  <c r="DI71" i="12"/>
  <c r="DI69" i="12"/>
  <c r="DI67" i="12"/>
  <c r="DI65" i="12"/>
  <c r="DI63" i="12"/>
  <c r="DI61" i="12"/>
  <c r="DI59" i="12"/>
  <c r="DI57" i="12"/>
  <c r="DI55" i="12"/>
  <c r="DI53" i="12"/>
  <c r="DI51" i="12"/>
  <c r="DI49" i="12"/>
  <c r="DI47" i="12"/>
  <c r="DI45" i="12"/>
  <c r="DI43" i="12"/>
  <c r="DI41" i="12"/>
  <c r="DI39" i="12"/>
  <c r="DI37" i="12"/>
  <c r="DI35" i="12"/>
  <c r="DI33" i="12"/>
  <c r="DI31" i="12"/>
  <c r="DI29" i="12"/>
  <c r="DI27" i="12"/>
  <c r="DI25" i="12"/>
  <c r="DI23" i="12"/>
  <c r="DI21" i="12"/>
  <c r="DI19" i="12"/>
  <c r="DI17" i="12"/>
  <c r="DI15" i="12"/>
  <c r="DI13" i="12"/>
  <c r="DI11" i="12"/>
  <c r="DI9" i="12"/>
  <c r="DI7" i="12"/>
  <c r="DI5" i="12"/>
  <c r="DO4" i="12"/>
  <c r="DI4" i="12"/>
  <c r="DJ4" i="12" s="1"/>
  <c r="DP4" i="12"/>
  <c r="DK97" i="12"/>
  <c r="DQ97" i="12" s="1"/>
  <c r="DK77" i="12"/>
  <c r="DM77" i="12" s="1"/>
  <c r="DN77" i="12" s="1"/>
  <c r="DK79" i="12"/>
  <c r="DQ79" i="12" s="1"/>
  <c r="DK73" i="12"/>
  <c r="DM73" i="12" s="1"/>
  <c r="DN73" i="12" s="1"/>
  <c r="DK7" i="12"/>
  <c r="DM7" i="12" s="1"/>
  <c r="DN7" i="12" s="1"/>
  <c r="DQ77" i="12"/>
  <c r="CV134" i="12"/>
  <c r="CV138" i="12" s="1"/>
  <c r="CX181" i="12" s="1"/>
  <c r="DB97" i="12"/>
  <c r="BA123" i="12"/>
  <c r="BK123" i="12"/>
  <c r="BJ40" i="12"/>
  <c r="BL40" i="12"/>
  <c r="BQ40" i="12"/>
  <c r="BM40" i="12"/>
  <c r="BJ51" i="12"/>
  <c r="BL51" i="12"/>
  <c r="BQ51" i="12"/>
  <c r="BM51" i="12"/>
  <c r="BJ91" i="12"/>
  <c r="BL91" i="12"/>
  <c r="BQ91" i="12"/>
  <c r="BM91" i="12"/>
  <c r="BO91" i="12"/>
  <c r="BL100" i="12"/>
  <c r="BJ100" i="12"/>
  <c r="BQ100" i="12"/>
  <c r="BM100" i="12"/>
  <c r="BO100" i="12"/>
  <c r="BL28" i="12"/>
  <c r="BJ28" i="12"/>
  <c r="BQ28" i="12"/>
  <c r="BM28" i="12"/>
  <c r="BL49" i="12"/>
  <c r="BJ49" i="12"/>
  <c r="BQ49" i="12"/>
  <c r="BM49" i="12"/>
  <c r="BO11" i="12"/>
  <c r="BL11" i="12"/>
  <c r="BJ11" i="12"/>
  <c r="BM11" i="12"/>
  <c r="BQ11" i="12"/>
  <c r="BL19" i="12"/>
  <c r="BJ19" i="12"/>
  <c r="BM19" i="12"/>
  <c r="BQ19" i="12"/>
  <c r="BL60" i="12"/>
  <c r="BJ60" i="12"/>
  <c r="BM60" i="12"/>
  <c r="BQ60" i="12"/>
  <c r="BO60" i="12"/>
  <c r="BL64" i="12"/>
  <c r="BJ64" i="12"/>
  <c r="BM64" i="12"/>
  <c r="BQ64" i="12"/>
  <c r="BL56" i="12"/>
  <c r="BJ56" i="12"/>
  <c r="BM56" i="12"/>
  <c r="BQ56" i="12"/>
  <c r="BO56" i="12"/>
  <c r="CA82" i="12"/>
  <c r="CK82" i="12"/>
  <c r="BS8" i="12"/>
  <c r="CC8" i="12"/>
  <c r="BT8" i="12"/>
  <c r="BU8" i="12" s="1"/>
  <c r="BS12" i="12"/>
  <c r="CC12" i="12"/>
  <c r="BT12" i="12"/>
  <c r="BU12" i="12" s="1"/>
  <c r="BS16" i="12"/>
  <c r="CC16" i="12"/>
  <c r="BT16" i="12"/>
  <c r="BU16" i="12" s="1"/>
  <c r="BS20" i="12"/>
  <c r="CC20" i="12"/>
  <c r="BT20" i="12"/>
  <c r="BU20" i="12" s="1"/>
  <c r="BS24" i="12"/>
  <c r="CC24" i="12"/>
  <c r="BT24" i="12"/>
  <c r="BU24" i="12" s="1"/>
  <c r="BS28" i="12"/>
  <c r="CC28" i="12"/>
  <c r="BT28" i="12"/>
  <c r="BU28" i="12" s="1"/>
  <c r="BS32" i="12"/>
  <c r="CC32" i="12"/>
  <c r="BT32" i="12"/>
  <c r="BU32" i="12" s="1"/>
  <c r="BS36" i="12"/>
  <c r="CC36" i="12"/>
  <c r="BT36" i="12"/>
  <c r="BU36" i="12" s="1"/>
  <c r="BS40" i="12"/>
  <c r="CC40" i="12"/>
  <c r="BT40" i="12"/>
  <c r="BU40" i="12" s="1"/>
  <c r="BS44" i="12"/>
  <c r="CC44" i="12"/>
  <c r="BT44" i="12"/>
  <c r="BU44" i="12" s="1"/>
  <c r="BS48" i="12"/>
  <c r="CC48" i="12"/>
  <c r="BT48" i="12"/>
  <c r="BU48" i="12" s="1"/>
  <c r="BS52" i="12"/>
  <c r="CC52" i="12"/>
  <c r="BT52" i="12"/>
  <c r="BU52" i="12" s="1"/>
  <c r="BS56" i="12"/>
  <c r="CC56" i="12"/>
  <c r="BT56" i="12"/>
  <c r="BU56" i="12" s="1"/>
  <c r="BS60" i="12"/>
  <c r="CC60" i="12"/>
  <c r="BT60" i="12"/>
  <c r="BU60" i="12" s="1"/>
  <c r="BS64" i="12"/>
  <c r="CC64" i="12"/>
  <c r="BT64" i="12"/>
  <c r="BU64" i="12" s="1"/>
  <c r="BS68" i="12"/>
  <c r="CC68" i="12"/>
  <c r="BT68" i="12"/>
  <c r="BU68" i="12" s="1"/>
  <c r="BS72" i="12"/>
  <c r="CC72" i="12"/>
  <c r="BT72" i="12"/>
  <c r="BU72" i="12" s="1"/>
  <c r="BS76" i="12"/>
  <c r="CC76" i="12"/>
  <c r="BT76" i="12"/>
  <c r="BU76" i="12" s="1"/>
  <c r="BS80" i="12"/>
  <c r="CC80" i="12"/>
  <c r="BT80" i="12"/>
  <c r="BU80" i="12" s="1"/>
  <c r="BS84" i="12"/>
  <c r="CC84" i="12"/>
  <c r="BT84" i="12"/>
  <c r="BU84" i="12" s="1"/>
  <c r="BS88" i="12"/>
  <c r="CC88" i="12"/>
  <c r="BT88" i="12"/>
  <c r="BU88" i="12" s="1"/>
  <c r="BS92" i="12"/>
  <c r="CC92" i="12"/>
  <c r="BT92" i="12"/>
  <c r="BU92" i="12" s="1"/>
  <c r="BS96" i="12"/>
  <c r="CC96" i="12"/>
  <c r="BT96" i="12"/>
  <c r="BU96" i="12" s="1"/>
  <c r="BS100" i="12"/>
  <c r="CC100" i="12"/>
  <c r="BT100" i="12"/>
  <c r="BU100" i="12" s="1"/>
  <c r="BS104" i="12"/>
  <c r="CC104" i="12"/>
  <c r="BT104" i="12"/>
  <c r="BU104" i="12" s="1"/>
  <c r="BS108" i="12"/>
  <c r="CC108" i="12"/>
  <c r="BT108" i="12"/>
  <c r="BU108" i="12" s="1"/>
  <c r="BS112" i="12"/>
  <c r="CC112" i="12"/>
  <c r="BT112" i="12"/>
  <c r="BU112" i="12" s="1"/>
  <c r="BS116" i="12"/>
  <c r="CC116" i="12"/>
  <c r="BT116" i="12"/>
  <c r="BU116" i="12" s="1"/>
  <c r="BS120" i="12"/>
  <c r="CC120" i="12"/>
  <c r="BT120" i="12"/>
  <c r="BU120" i="12" s="1"/>
  <c r="BS124" i="12"/>
  <c r="CC124" i="12"/>
  <c r="BT124" i="12"/>
  <c r="BU124" i="12" s="1"/>
  <c r="CC7" i="12"/>
  <c r="BT7" i="12"/>
  <c r="BU7" i="12" s="1"/>
  <c r="BS7" i="12"/>
  <c r="CC11" i="12"/>
  <c r="BT11" i="12"/>
  <c r="BU11" i="12" s="1"/>
  <c r="BS11" i="12"/>
  <c r="CC15" i="12"/>
  <c r="BT15" i="12"/>
  <c r="BU15" i="12" s="1"/>
  <c r="BS15" i="12"/>
  <c r="CC19" i="12"/>
  <c r="BT19" i="12"/>
  <c r="BU19" i="12" s="1"/>
  <c r="BS19" i="12"/>
  <c r="CC23" i="12"/>
  <c r="BT23" i="12"/>
  <c r="BU23" i="12" s="1"/>
  <c r="BS23" i="12"/>
  <c r="CC27" i="12"/>
  <c r="BT27" i="12"/>
  <c r="BU27" i="12" s="1"/>
  <c r="BS27" i="12"/>
  <c r="CC31" i="12"/>
  <c r="BT31" i="12"/>
  <c r="BU31" i="12" s="1"/>
  <c r="BS31" i="12"/>
  <c r="CC35" i="12"/>
  <c r="BT35" i="12"/>
  <c r="BU35" i="12" s="1"/>
  <c r="BS35" i="12"/>
  <c r="CC39" i="12"/>
  <c r="BT39" i="12"/>
  <c r="BU39" i="12" s="1"/>
  <c r="BS39" i="12"/>
  <c r="CC43" i="12"/>
  <c r="BT43" i="12"/>
  <c r="BU43" i="12" s="1"/>
  <c r="BS43" i="12"/>
  <c r="CC47" i="12"/>
  <c r="BT47" i="12"/>
  <c r="BU47" i="12" s="1"/>
  <c r="BS47" i="12"/>
  <c r="CC51" i="12"/>
  <c r="BT51" i="12"/>
  <c r="BU51" i="12" s="1"/>
  <c r="BS51" i="12"/>
  <c r="CC55" i="12"/>
  <c r="BT55" i="12"/>
  <c r="BU55" i="12" s="1"/>
  <c r="BS55" i="12"/>
  <c r="CC59" i="12"/>
  <c r="BT59" i="12"/>
  <c r="BU59" i="12" s="1"/>
  <c r="BS59" i="12"/>
  <c r="CC63" i="12"/>
  <c r="BT63" i="12"/>
  <c r="BU63" i="12" s="1"/>
  <c r="BS63" i="12"/>
  <c r="CC67" i="12"/>
  <c r="BT67" i="12"/>
  <c r="BU67" i="12" s="1"/>
  <c r="BS67" i="12"/>
  <c r="CC71" i="12"/>
  <c r="BT71" i="12"/>
  <c r="BU71" i="12" s="1"/>
  <c r="BS71" i="12"/>
  <c r="CC75" i="12"/>
  <c r="BT75" i="12"/>
  <c r="BU75" i="12" s="1"/>
  <c r="BS75" i="12"/>
  <c r="CC79" i="12"/>
  <c r="BT79" i="12"/>
  <c r="BU79" i="12" s="1"/>
  <c r="BS79" i="12"/>
  <c r="CC83" i="12"/>
  <c r="BT83" i="12"/>
  <c r="BU83" i="12" s="1"/>
  <c r="BS83" i="12"/>
  <c r="CC87" i="12"/>
  <c r="BT87" i="12"/>
  <c r="BU87" i="12" s="1"/>
  <c r="BS87" i="12"/>
  <c r="CC91" i="12"/>
  <c r="BT91" i="12"/>
  <c r="BU91" i="12" s="1"/>
  <c r="BS91" i="12"/>
  <c r="CC95" i="12"/>
  <c r="BT95" i="12"/>
  <c r="BU95" i="12" s="1"/>
  <c r="BS95" i="12"/>
  <c r="CC99" i="12"/>
  <c r="BT99" i="12"/>
  <c r="BU99" i="12" s="1"/>
  <c r="BS99" i="12"/>
  <c r="CC103" i="12"/>
  <c r="BT103" i="12"/>
  <c r="BU103" i="12" s="1"/>
  <c r="BS103" i="12"/>
  <c r="CC107" i="12"/>
  <c r="BT107" i="12"/>
  <c r="BU107" i="12" s="1"/>
  <c r="BS107" i="12"/>
  <c r="CC111" i="12"/>
  <c r="BT111" i="12"/>
  <c r="BU111" i="12" s="1"/>
  <c r="BS111" i="12"/>
  <c r="CC115" i="12"/>
  <c r="BT115" i="12"/>
  <c r="BU115" i="12" s="1"/>
  <c r="BS115" i="12"/>
  <c r="CC119" i="12"/>
  <c r="BT119" i="12"/>
  <c r="BU119" i="12" s="1"/>
  <c r="BS119" i="12"/>
  <c r="CC123" i="12"/>
  <c r="BT123" i="12"/>
  <c r="BU123" i="12" s="1"/>
  <c r="BS123" i="12"/>
  <c r="BJ12" i="12"/>
  <c r="BL12" i="12"/>
  <c r="BM12" i="12"/>
  <c r="BQ12" i="12"/>
  <c r="BO12" i="12"/>
  <c r="BJ13" i="12"/>
  <c r="BL13" i="12"/>
  <c r="BQ13" i="12"/>
  <c r="BM13" i="12"/>
  <c r="BL46" i="12"/>
  <c r="BJ46" i="12"/>
  <c r="BQ46" i="12"/>
  <c r="BM46" i="12"/>
  <c r="BL58" i="12"/>
  <c r="BJ58" i="12"/>
  <c r="BQ58" i="12"/>
  <c r="BM58" i="12"/>
  <c r="BL86" i="12"/>
  <c r="BJ86" i="12"/>
  <c r="BM86" i="12"/>
  <c r="BQ86" i="12"/>
  <c r="BL116" i="12"/>
  <c r="BJ116" i="12"/>
  <c r="BQ116" i="12"/>
  <c r="BM116" i="12"/>
  <c r="BL98" i="12"/>
  <c r="BJ98" i="12"/>
  <c r="BM98" i="12"/>
  <c r="BQ98" i="12"/>
  <c r="BO98" i="12"/>
  <c r="BL76" i="12"/>
  <c r="BJ76" i="12"/>
  <c r="BQ76" i="12"/>
  <c r="BM76" i="12"/>
  <c r="BO76" i="12"/>
  <c r="BJ59" i="12"/>
  <c r="BL59" i="12"/>
  <c r="BQ59" i="12"/>
  <c r="BM59" i="12"/>
  <c r="BO59" i="12"/>
  <c r="BL108" i="12"/>
  <c r="BJ108" i="12"/>
  <c r="BQ108" i="12"/>
  <c r="BM108" i="12"/>
  <c r="BO108" i="12"/>
  <c r="BL68" i="12"/>
  <c r="BJ68" i="12"/>
  <c r="BQ68" i="12"/>
  <c r="BM68" i="12"/>
  <c r="BL110" i="12"/>
  <c r="BJ110" i="12"/>
  <c r="BM110" i="12"/>
  <c r="BQ110" i="12"/>
  <c r="BO110" i="12"/>
  <c r="BJ111" i="12"/>
  <c r="BL111" i="12"/>
  <c r="BQ111" i="12"/>
  <c r="BM111" i="12"/>
  <c r="BL70" i="12"/>
  <c r="BJ70" i="12"/>
  <c r="BM70" i="12"/>
  <c r="BQ70" i="12"/>
  <c r="BL72" i="12"/>
  <c r="BJ72" i="12"/>
  <c r="BM72" i="12"/>
  <c r="BQ72" i="12"/>
  <c r="BO72" i="12"/>
  <c r="BP160" i="12"/>
  <c r="BP164" i="12" s="1"/>
  <c r="BH147" i="12"/>
  <c r="BH151" i="12" s="1"/>
  <c r="BO111" i="12"/>
  <c r="BB126" i="12"/>
  <c r="BA17" i="12"/>
  <c r="BA126" i="12" s="1"/>
  <c r="BK17" i="12"/>
  <c r="BL15" i="12"/>
  <c r="BJ15" i="12"/>
  <c r="BM15" i="12"/>
  <c r="BQ15" i="12"/>
  <c r="BO15" i="12"/>
  <c r="BL45" i="12"/>
  <c r="BJ45" i="12"/>
  <c r="BQ45" i="12"/>
  <c r="BM45" i="12"/>
  <c r="BL105" i="12"/>
  <c r="BJ105" i="12"/>
  <c r="BQ105" i="12"/>
  <c r="BM105" i="12"/>
  <c r="BL57" i="12"/>
  <c r="BJ57" i="12"/>
  <c r="BQ57" i="12"/>
  <c r="BM57" i="12"/>
  <c r="CE124" i="12"/>
  <c r="CE122" i="12"/>
  <c r="CE120" i="12"/>
  <c r="CE118" i="12"/>
  <c r="CE116" i="12"/>
  <c r="CE114" i="12"/>
  <c r="CE112" i="12"/>
  <c r="CE110" i="12"/>
  <c r="CE108" i="12"/>
  <c r="CE106" i="12"/>
  <c r="CE104" i="12"/>
  <c r="CE102" i="12"/>
  <c r="CE100" i="12"/>
  <c r="CE98" i="12"/>
  <c r="CE96" i="12"/>
  <c r="CE94" i="12"/>
  <c r="CE92" i="12"/>
  <c r="CE90" i="12"/>
  <c r="CE88" i="12"/>
  <c r="CE86" i="12"/>
  <c r="CE84" i="12"/>
  <c r="CE82" i="12"/>
  <c r="CE80" i="12"/>
  <c r="CE78" i="12"/>
  <c r="CE76" i="12"/>
  <c r="CE74" i="12"/>
  <c r="CE72" i="12"/>
  <c r="CE70" i="12"/>
  <c r="CE68" i="12"/>
  <c r="CE66" i="12"/>
  <c r="CE64" i="12"/>
  <c r="CE62" i="12"/>
  <c r="CE60" i="12"/>
  <c r="CE58" i="12"/>
  <c r="CE56" i="12"/>
  <c r="CE54" i="12"/>
  <c r="CE52" i="12"/>
  <c r="CE50" i="12"/>
  <c r="CE48" i="12"/>
  <c r="CE46" i="12"/>
  <c r="CE44" i="12"/>
  <c r="CE42" i="12"/>
  <c r="CE40" i="12"/>
  <c r="CE38" i="12"/>
  <c r="CE36" i="12"/>
  <c r="CE34" i="12"/>
  <c r="CE32" i="12"/>
  <c r="CE30" i="12"/>
  <c r="CE28" i="12"/>
  <c r="CE26" i="12"/>
  <c r="CE24" i="12"/>
  <c r="CE22" i="12"/>
  <c r="CE20" i="12"/>
  <c r="CE18" i="12"/>
  <c r="CE16" i="12"/>
  <c r="CE14" i="12"/>
  <c r="CE12" i="12"/>
  <c r="CE10" i="12"/>
  <c r="CE8" i="12"/>
  <c r="CE6" i="12"/>
  <c r="CE125" i="12"/>
  <c r="CE123" i="12"/>
  <c r="CE121" i="12"/>
  <c r="CE119" i="12"/>
  <c r="CE117" i="12"/>
  <c r="CE115" i="12"/>
  <c r="CE113" i="12"/>
  <c r="CE111" i="12"/>
  <c r="CE109" i="12"/>
  <c r="CE107" i="12"/>
  <c r="CE105" i="12"/>
  <c r="CE103" i="12"/>
  <c r="CE101" i="12"/>
  <c r="CE99" i="12"/>
  <c r="CE97" i="12"/>
  <c r="CE95" i="12"/>
  <c r="CE93" i="12"/>
  <c r="CE91" i="12"/>
  <c r="CE89" i="12"/>
  <c r="CE87" i="12"/>
  <c r="CE85" i="12"/>
  <c r="CE83" i="12"/>
  <c r="CE81" i="12"/>
  <c r="CE79" i="12"/>
  <c r="CE77" i="12"/>
  <c r="CE75" i="12"/>
  <c r="CE73" i="12"/>
  <c r="CE71" i="12"/>
  <c r="CE69" i="12"/>
  <c r="CE67" i="12"/>
  <c r="CE65" i="12"/>
  <c r="CE63" i="12"/>
  <c r="CE61" i="12"/>
  <c r="CE59" i="12"/>
  <c r="CE57" i="12"/>
  <c r="CE55" i="12"/>
  <c r="CE53" i="12"/>
  <c r="CE51" i="12"/>
  <c r="CE49" i="12"/>
  <c r="CE47" i="12"/>
  <c r="CE45" i="12"/>
  <c r="CE43" i="12"/>
  <c r="CE41" i="12"/>
  <c r="CE39" i="12"/>
  <c r="CE37" i="12"/>
  <c r="CE35" i="12"/>
  <c r="CE33" i="12"/>
  <c r="CE31" i="12"/>
  <c r="CE29" i="12"/>
  <c r="CE27" i="12"/>
  <c r="CE25" i="12"/>
  <c r="CE23" i="12"/>
  <c r="CE21" i="12"/>
  <c r="CE19" i="12"/>
  <c r="CE17" i="12"/>
  <c r="CE15" i="12"/>
  <c r="CE13" i="12"/>
  <c r="CE11" i="12"/>
  <c r="CE9" i="12"/>
  <c r="CE7" i="12"/>
  <c r="CE5" i="12"/>
  <c r="BL23" i="12"/>
  <c r="BJ23" i="12"/>
  <c r="BM23" i="12"/>
  <c r="BQ23" i="12"/>
  <c r="BL39" i="12"/>
  <c r="BJ39" i="12"/>
  <c r="BM39" i="12"/>
  <c r="BQ39" i="12"/>
  <c r="BO119" i="12"/>
  <c r="BL24" i="12"/>
  <c r="BJ24" i="12"/>
  <c r="BQ24" i="12"/>
  <c r="BM24" i="12"/>
  <c r="BL42" i="12"/>
  <c r="BJ42" i="12"/>
  <c r="BQ42" i="12"/>
  <c r="BM42" i="12"/>
  <c r="BO51" i="12"/>
  <c r="BL117" i="12"/>
  <c r="BJ117" i="12"/>
  <c r="BQ117" i="12"/>
  <c r="BM117" i="12"/>
  <c r="BL44" i="12"/>
  <c r="BJ44" i="12"/>
  <c r="BM44" i="12"/>
  <c r="BQ44" i="12"/>
  <c r="BO44" i="12"/>
  <c r="BL92" i="12"/>
  <c r="BJ92" i="12"/>
  <c r="BQ92" i="12"/>
  <c r="BM92" i="12"/>
  <c r="BO49" i="12"/>
  <c r="BL31" i="12"/>
  <c r="BJ31" i="12"/>
  <c r="BM31" i="12"/>
  <c r="BQ31" i="12"/>
  <c r="BO31" i="12"/>
  <c r="BO27" i="12"/>
  <c r="BL27" i="12"/>
  <c r="BJ27" i="12"/>
  <c r="BM27" i="12"/>
  <c r="BQ27" i="12"/>
  <c r="BL35" i="12"/>
  <c r="BJ35" i="12"/>
  <c r="BM35" i="12"/>
  <c r="BQ35" i="12"/>
  <c r="BO35" i="12"/>
  <c r="BL38" i="12"/>
  <c r="BJ38" i="12"/>
  <c r="BM38" i="12"/>
  <c r="BQ38" i="12"/>
  <c r="BO38" i="12"/>
  <c r="BL5" i="12"/>
  <c r="BJ5" i="12"/>
  <c r="BM5" i="12"/>
  <c r="BQ5" i="12"/>
  <c r="BO5" i="12"/>
  <c r="BL6" i="12"/>
  <c r="BJ6" i="12"/>
  <c r="BQ6" i="12"/>
  <c r="BM6" i="12"/>
  <c r="BO6" i="12"/>
  <c r="BJ18" i="12"/>
  <c r="BL18" i="12"/>
  <c r="BM18" i="12"/>
  <c r="BQ18" i="12"/>
  <c r="BO18" i="12"/>
  <c r="BL41" i="12"/>
  <c r="BJ41" i="12"/>
  <c r="BQ41" i="12"/>
  <c r="BM41" i="12"/>
  <c r="BO13" i="12"/>
  <c r="BJ122" i="12"/>
  <c r="BL122" i="12"/>
  <c r="BM122" i="12"/>
  <c r="BQ122" i="12"/>
  <c r="BO54" i="12"/>
  <c r="BO68" i="12"/>
  <c r="BJ83" i="12"/>
  <c r="BL83" i="12"/>
  <c r="BQ83" i="12"/>
  <c r="BM83" i="12"/>
  <c r="BO83" i="12"/>
  <c r="BJ43" i="12"/>
  <c r="BL43" i="12"/>
  <c r="BQ43" i="12"/>
  <c r="BM43" i="12"/>
  <c r="BJ87" i="12"/>
  <c r="BL87" i="12"/>
  <c r="BQ87" i="12"/>
  <c r="BM87" i="12"/>
  <c r="BJ95" i="12"/>
  <c r="BL95" i="12"/>
  <c r="BQ95" i="12"/>
  <c r="BM95" i="12"/>
  <c r="BJ115" i="12"/>
  <c r="BL115" i="12"/>
  <c r="BQ115" i="12"/>
  <c r="BM115" i="12"/>
  <c r="BO115" i="12"/>
  <c r="BJ124" i="12"/>
  <c r="BL124" i="12"/>
  <c r="BM124" i="12"/>
  <c r="BQ124" i="12"/>
  <c r="BL50" i="12"/>
  <c r="BJ50" i="12"/>
  <c r="BQ50" i="12"/>
  <c r="BM50" i="12"/>
  <c r="BO50" i="12"/>
  <c r="BJ103" i="12"/>
  <c r="BL103" i="12"/>
  <c r="BQ103" i="12"/>
  <c r="BM103" i="12"/>
  <c r="BO103" i="12"/>
  <c r="BL94" i="12"/>
  <c r="BJ94" i="12"/>
  <c r="BM94" i="12"/>
  <c r="BQ94" i="12"/>
  <c r="BO94" i="12"/>
  <c r="BL84" i="12"/>
  <c r="BJ84" i="12"/>
  <c r="BQ84" i="12"/>
  <c r="BM84" i="12"/>
  <c r="BO102" i="12"/>
  <c r="BO107" i="12"/>
  <c r="BP126" i="12"/>
  <c r="BF126" i="12"/>
  <c r="BL32" i="12"/>
  <c r="BJ32" i="12"/>
  <c r="BQ32" i="12"/>
  <c r="BM32" i="12"/>
  <c r="BO30" i="12"/>
  <c r="BJ20" i="12"/>
  <c r="BL20" i="12"/>
  <c r="BQ20" i="12"/>
  <c r="BM20" i="12"/>
  <c r="BO20" i="12"/>
  <c r="BO63" i="12"/>
  <c r="BL52" i="12"/>
  <c r="BJ52" i="12"/>
  <c r="BM52" i="12"/>
  <c r="BQ52" i="12"/>
  <c r="BO52" i="12"/>
  <c r="BL65" i="12"/>
  <c r="BJ65" i="12"/>
  <c r="BQ65" i="12"/>
  <c r="BM65" i="12"/>
  <c r="BO45" i="12"/>
  <c r="BL85" i="12"/>
  <c r="BJ85" i="12"/>
  <c r="BQ85" i="12"/>
  <c r="BM85" i="12"/>
  <c r="BL93" i="12"/>
  <c r="BJ93" i="12"/>
  <c r="BQ93" i="12"/>
  <c r="BM93" i="12"/>
  <c r="BO28" i="12"/>
  <c r="BO57" i="12"/>
  <c r="CW73" i="12"/>
  <c r="CY73" i="12"/>
  <c r="CX112" i="12"/>
  <c r="CX101" i="12"/>
  <c r="CY77" i="12"/>
  <c r="CW77" i="12"/>
  <c r="CV126" i="12"/>
  <c r="CX180" i="12" s="1"/>
  <c r="CZ180" i="12"/>
  <c r="CZ177" i="12"/>
  <c r="CZ175" i="12"/>
  <c r="CX128" i="12"/>
  <c r="CU4" i="12"/>
  <c r="CR1" i="12" s="1"/>
  <c r="CT4" i="12"/>
  <c r="CZ178" i="12"/>
  <c r="CZ176" i="12"/>
  <c r="CZ174" i="12"/>
  <c r="CY4" i="12"/>
  <c r="CS4" i="12"/>
  <c r="CR4" i="12"/>
  <c r="BO66" i="12"/>
  <c r="DB77" i="12"/>
  <c r="DO77" i="12" s="1"/>
  <c r="DB7" i="12"/>
  <c r="DO7" i="12" s="1"/>
  <c r="ED156" i="14"/>
  <c r="DX138" i="14"/>
  <c r="DM143" i="14"/>
  <c r="DN151" i="14"/>
  <c r="DY143" i="14"/>
  <c r="DY151" i="14" s="1"/>
  <c r="DJ183" i="14"/>
  <c r="DX177" i="14"/>
  <c r="DX182" i="14"/>
  <c r="DY126" i="14"/>
  <c r="DW126" i="14"/>
  <c r="DX176" i="14" s="1"/>
  <c r="DX175" i="14" s="1"/>
  <c r="EB126" i="14"/>
  <c r="ED126" i="14"/>
  <c r="EA8" i="14"/>
  <c r="EA126" i="14" s="1"/>
  <c r="DZ126" i="14"/>
  <c r="E17" i="17"/>
  <c r="E19" i="17" s="1"/>
  <c r="J26" i="17"/>
  <c r="J28" i="17" s="1"/>
  <c r="G16" i="17"/>
  <c r="H15" i="17"/>
  <c r="H16" i="17" s="1"/>
  <c r="G70" i="10"/>
  <c r="Z151" i="12"/>
  <c r="DO73" i="12" l="1"/>
  <c r="DQ73" i="12"/>
  <c r="DI126" i="12"/>
  <c r="DK180" i="12" s="1"/>
  <c r="BK174" i="12"/>
  <c r="BK126" i="12"/>
  <c r="BK177" i="12" s="1"/>
  <c r="BA147" i="12"/>
  <c r="DO97" i="12"/>
  <c r="DM79" i="12"/>
  <c r="DN79" i="12" s="1"/>
  <c r="DM97" i="12"/>
  <c r="DN97" i="12" s="1"/>
  <c r="DQ7" i="12"/>
  <c r="EA143" i="14"/>
  <c r="CR125" i="12"/>
  <c r="CR123" i="12"/>
  <c r="CR121" i="12"/>
  <c r="CR119" i="12"/>
  <c r="CR117" i="12"/>
  <c r="CR115" i="12"/>
  <c r="CR113" i="12"/>
  <c r="CR111" i="12"/>
  <c r="CR109" i="12"/>
  <c r="CR107" i="12"/>
  <c r="CR105" i="12"/>
  <c r="CR103" i="12"/>
  <c r="CR101" i="12"/>
  <c r="CR99" i="12"/>
  <c r="CR97" i="12"/>
  <c r="CR95" i="12"/>
  <c r="CR93" i="12"/>
  <c r="CR91" i="12"/>
  <c r="CR89" i="12"/>
  <c r="CR87" i="12"/>
  <c r="CR85" i="12"/>
  <c r="CR83" i="12"/>
  <c r="CR81" i="12"/>
  <c r="CR79" i="12"/>
  <c r="CR77" i="12"/>
  <c r="CR75" i="12"/>
  <c r="CR73" i="12"/>
  <c r="CR71" i="12"/>
  <c r="CR69" i="12"/>
  <c r="CR67" i="12"/>
  <c r="CR65" i="12"/>
  <c r="CR63" i="12"/>
  <c r="CR61" i="12"/>
  <c r="CR59" i="12"/>
  <c r="CR57" i="12"/>
  <c r="CR55" i="12"/>
  <c r="CR53" i="12"/>
  <c r="CR51" i="12"/>
  <c r="CR49" i="12"/>
  <c r="CR47" i="12"/>
  <c r="CR45" i="12"/>
  <c r="CR43" i="12"/>
  <c r="CR41" i="12"/>
  <c r="CR39" i="12"/>
  <c r="CR37" i="12"/>
  <c r="CR35" i="12"/>
  <c r="CR33" i="12"/>
  <c r="CR31" i="12"/>
  <c r="CR29" i="12"/>
  <c r="CR27" i="12"/>
  <c r="CR25" i="12"/>
  <c r="CR23" i="12"/>
  <c r="CR21" i="12"/>
  <c r="CR19" i="12"/>
  <c r="CR17" i="12"/>
  <c r="CR15" i="12"/>
  <c r="CR13" i="12"/>
  <c r="CR11" i="12"/>
  <c r="CR9" i="12"/>
  <c r="CR7" i="12"/>
  <c r="CR5" i="12"/>
  <c r="CR124" i="12"/>
  <c r="CR122" i="12"/>
  <c r="CR120" i="12"/>
  <c r="CR118" i="12"/>
  <c r="CR116" i="12"/>
  <c r="CR114" i="12"/>
  <c r="CR112" i="12"/>
  <c r="CR110" i="12"/>
  <c r="CR108" i="12"/>
  <c r="CR106" i="12"/>
  <c r="CR104" i="12"/>
  <c r="CR102" i="12"/>
  <c r="CR100" i="12"/>
  <c r="CR98" i="12"/>
  <c r="CR96" i="12"/>
  <c r="CR94" i="12"/>
  <c r="CR92" i="12"/>
  <c r="CR90" i="12"/>
  <c r="CR88" i="12"/>
  <c r="CR86" i="12"/>
  <c r="CR84" i="12"/>
  <c r="CR82" i="12"/>
  <c r="CR80" i="12"/>
  <c r="CR78" i="12"/>
  <c r="CR76" i="12"/>
  <c r="CR74" i="12"/>
  <c r="CR72" i="12"/>
  <c r="CR70" i="12"/>
  <c r="CR68" i="12"/>
  <c r="CR66" i="12"/>
  <c r="CR64" i="12"/>
  <c r="CR62" i="12"/>
  <c r="CR60" i="12"/>
  <c r="CR58" i="12"/>
  <c r="CR56" i="12"/>
  <c r="CR54" i="12"/>
  <c r="CR52" i="12"/>
  <c r="CR50" i="12"/>
  <c r="CR48" i="12"/>
  <c r="CR46" i="12"/>
  <c r="CR44" i="12"/>
  <c r="CR42" i="12"/>
  <c r="CR40" i="12"/>
  <c r="CR38" i="12"/>
  <c r="CR36" i="12"/>
  <c r="CR34" i="12"/>
  <c r="CR32" i="12"/>
  <c r="CR30" i="12"/>
  <c r="CR28" i="12"/>
  <c r="CR26" i="12"/>
  <c r="CR24" i="12"/>
  <c r="CR22" i="12"/>
  <c r="CR20" i="12"/>
  <c r="CR18" i="12"/>
  <c r="CR16" i="12"/>
  <c r="CR14" i="12"/>
  <c r="CR12" i="12"/>
  <c r="CR10" i="12"/>
  <c r="CR8" i="12"/>
  <c r="CR6" i="12"/>
  <c r="CY112" i="12"/>
  <c r="CW112" i="12"/>
  <c r="DD112" i="12"/>
  <c r="CZ112" i="12"/>
  <c r="BN65" i="12"/>
  <c r="BX65" i="12"/>
  <c r="BN52" i="12"/>
  <c r="BX52" i="12"/>
  <c r="BN32" i="12"/>
  <c r="BX32" i="12"/>
  <c r="BN84" i="12"/>
  <c r="BX84" i="12"/>
  <c r="BN94" i="12"/>
  <c r="BX94" i="12"/>
  <c r="BN103" i="12"/>
  <c r="BX103" i="12"/>
  <c r="BN124" i="12"/>
  <c r="BX124" i="12"/>
  <c r="BN115" i="12"/>
  <c r="BX115" i="12"/>
  <c r="BN95" i="12"/>
  <c r="BX95" i="12"/>
  <c r="BN87" i="12"/>
  <c r="BX87" i="12"/>
  <c r="BN43" i="12"/>
  <c r="BX43" i="12"/>
  <c r="BN122" i="12"/>
  <c r="BX122" i="12"/>
  <c r="BN41" i="12"/>
  <c r="BX41" i="12"/>
  <c r="BN18" i="12"/>
  <c r="BX18" i="12"/>
  <c r="BN6" i="12"/>
  <c r="BX6" i="12"/>
  <c r="BK182" i="12"/>
  <c r="BN35" i="12"/>
  <c r="BX35" i="12"/>
  <c r="BN27" i="12"/>
  <c r="BX27" i="12"/>
  <c r="BN31" i="12"/>
  <c r="BX31" i="12"/>
  <c r="BN117" i="12"/>
  <c r="BX117" i="12"/>
  <c r="CP7" i="12"/>
  <c r="CG7" i="12"/>
  <c r="CH7" i="12" s="1"/>
  <c r="CF7" i="12"/>
  <c r="CP11" i="12"/>
  <c r="CG11" i="12"/>
  <c r="CH11" i="12" s="1"/>
  <c r="CF11" i="12"/>
  <c r="CP15" i="12"/>
  <c r="CG15" i="12"/>
  <c r="CH15" i="12" s="1"/>
  <c r="CF15" i="12"/>
  <c r="CP19" i="12"/>
  <c r="CG19" i="12"/>
  <c r="CH19" i="12" s="1"/>
  <c r="CF19" i="12"/>
  <c r="CP23" i="12"/>
  <c r="CG23" i="12"/>
  <c r="CH23" i="12" s="1"/>
  <c r="CF23" i="12"/>
  <c r="CP27" i="12"/>
  <c r="CG27" i="12"/>
  <c r="CH27" i="12" s="1"/>
  <c r="CF27" i="12"/>
  <c r="CP31" i="12"/>
  <c r="CG31" i="12"/>
  <c r="CH31" i="12" s="1"/>
  <c r="CF31" i="12"/>
  <c r="CP35" i="12"/>
  <c r="CG35" i="12"/>
  <c r="CH35" i="12" s="1"/>
  <c r="CF35" i="12"/>
  <c r="CP39" i="12"/>
  <c r="CG39" i="12"/>
  <c r="CH39" i="12" s="1"/>
  <c r="CF39" i="12"/>
  <c r="CP43" i="12"/>
  <c r="CG43" i="12"/>
  <c r="CH43" i="12" s="1"/>
  <c r="CF43" i="12"/>
  <c r="CP47" i="12"/>
  <c r="CG47" i="12"/>
  <c r="CH47" i="12" s="1"/>
  <c r="CF47" i="12"/>
  <c r="CP51" i="12"/>
  <c r="CG51" i="12"/>
  <c r="CH51" i="12" s="1"/>
  <c r="CF51" i="12"/>
  <c r="CP55" i="12"/>
  <c r="CG55" i="12"/>
  <c r="CH55" i="12" s="1"/>
  <c r="CF55" i="12"/>
  <c r="CP59" i="12"/>
  <c r="CG59" i="12"/>
  <c r="CH59" i="12" s="1"/>
  <c r="CF59" i="12"/>
  <c r="CP63" i="12"/>
  <c r="CG63" i="12"/>
  <c r="CH63" i="12" s="1"/>
  <c r="CF63" i="12"/>
  <c r="CP67" i="12"/>
  <c r="CG67" i="12"/>
  <c r="CH67" i="12" s="1"/>
  <c r="CF67" i="12"/>
  <c r="CP71" i="12"/>
  <c r="CG71" i="12"/>
  <c r="CH71" i="12" s="1"/>
  <c r="CF71" i="12"/>
  <c r="CP75" i="12"/>
  <c r="CG75" i="12"/>
  <c r="CH75" i="12" s="1"/>
  <c r="CF75" i="12"/>
  <c r="CP79" i="12"/>
  <c r="CG79" i="12"/>
  <c r="CH79" i="12" s="1"/>
  <c r="CF79" i="12"/>
  <c r="CP83" i="12"/>
  <c r="CG83" i="12"/>
  <c r="CH83" i="12" s="1"/>
  <c r="CF83" i="12"/>
  <c r="CP87" i="12"/>
  <c r="CG87" i="12"/>
  <c r="CH87" i="12" s="1"/>
  <c r="CF87" i="12"/>
  <c r="CP91" i="12"/>
  <c r="CG91" i="12"/>
  <c r="CH91" i="12" s="1"/>
  <c r="CF91" i="12"/>
  <c r="CP95" i="12"/>
  <c r="CG95" i="12"/>
  <c r="CH95" i="12" s="1"/>
  <c r="CF95" i="12"/>
  <c r="CP99" i="12"/>
  <c r="CG99" i="12"/>
  <c r="CH99" i="12" s="1"/>
  <c r="CF99" i="12"/>
  <c r="CP103" i="12"/>
  <c r="CG103" i="12"/>
  <c r="CH103" i="12" s="1"/>
  <c r="CF103" i="12"/>
  <c r="CP107" i="12"/>
  <c r="CG107" i="12"/>
  <c r="CH107" i="12" s="1"/>
  <c r="CF107" i="12"/>
  <c r="CP111" i="12"/>
  <c r="CG111" i="12"/>
  <c r="CH111" i="12" s="1"/>
  <c r="CF111" i="12"/>
  <c r="CP115" i="12"/>
  <c r="CG115" i="12"/>
  <c r="CH115" i="12" s="1"/>
  <c r="CF115" i="12"/>
  <c r="CG119" i="12"/>
  <c r="CH119" i="12" s="1"/>
  <c r="CP119" i="12"/>
  <c r="CF119" i="12"/>
  <c r="CP123" i="12"/>
  <c r="CG123" i="12"/>
  <c r="CH123" i="12" s="1"/>
  <c r="CF123" i="12"/>
  <c r="CP6" i="12"/>
  <c r="CG6" i="12"/>
  <c r="CH6" i="12" s="1"/>
  <c r="CF6" i="12"/>
  <c r="CP10" i="12"/>
  <c r="CG10" i="12"/>
  <c r="CH10" i="12" s="1"/>
  <c r="CF10" i="12"/>
  <c r="CP14" i="12"/>
  <c r="CG14" i="12"/>
  <c r="CH14" i="12" s="1"/>
  <c r="CF14" i="12"/>
  <c r="CP18" i="12"/>
  <c r="CG18" i="12"/>
  <c r="CH18" i="12" s="1"/>
  <c r="CF18" i="12"/>
  <c r="CP22" i="12"/>
  <c r="CG22" i="12"/>
  <c r="CH22" i="12" s="1"/>
  <c r="CF22" i="12"/>
  <c r="CP26" i="12"/>
  <c r="CG26" i="12"/>
  <c r="CH26" i="12" s="1"/>
  <c r="CF26" i="12"/>
  <c r="CP30" i="12"/>
  <c r="CG30" i="12"/>
  <c r="CH30" i="12" s="1"/>
  <c r="CF30" i="12"/>
  <c r="CP34" i="12"/>
  <c r="CG34" i="12"/>
  <c r="CH34" i="12" s="1"/>
  <c r="CF34" i="12"/>
  <c r="CP38" i="12"/>
  <c r="CG38" i="12"/>
  <c r="CH38" i="12" s="1"/>
  <c r="CF38" i="12"/>
  <c r="CP42" i="12"/>
  <c r="CG42" i="12"/>
  <c r="CH42" i="12" s="1"/>
  <c r="CF42" i="12"/>
  <c r="CP46" i="12"/>
  <c r="CG46" i="12"/>
  <c r="CH46" i="12" s="1"/>
  <c r="CF46" i="12"/>
  <c r="CP50" i="12"/>
  <c r="CG50" i="12"/>
  <c r="CH50" i="12" s="1"/>
  <c r="CF50" i="12"/>
  <c r="CP54" i="12"/>
  <c r="CG54" i="12"/>
  <c r="CH54" i="12" s="1"/>
  <c r="CF54" i="12"/>
  <c r="CP58" i="12"/>
  <c r="CG58" i="12"/>
  <c r="CH58" i="12" s="1"/>
  <c r="CF58" i="12"/>
  <c r="CP62" i="12"/>
  <c r="CG62" i="12"/>
  <c r="CH62" i="12" s="1"/>
  <c r="CF62" i="12"/>
  <c r="CP66" i="12"/>
  <c r="CG66" i="12"/>
  <c r="CH66" i="12" s="1"/>
  <c r="CF66" i="12"/>
  <c r="CP70" i="12"/>
  <c r="CG70" i="12"/>
  <c r="CH70" i="12" s="1"/>
  <c r="CF70" i="12"/>
  <c r="CP74" i="12"/>
  <c r="CG74" i="12"/>
  <c r="CH74" i="12" s="1"/>
  <c r="CF74" i="12"/>
  <c r="CP78" i="12"/>
  <c r="CG78" i="12"/>
  <c r="CH78" i="12" s="1"/>
  <c r="CF78" i="12"/>
  <c r="CP82" i="12"/>
  <c r="CG82" i="12"/>
  <c r="CH82" i="12" s="1"/>
  <c r="CF82" i="12"/>
  <c r="CP86" i="12"/>
  <c r="CG86" i="12"/>
  <c r="CH86" i="12" s="1"/>
  <c r="CF86" i="12"/>
  <c r="CP90" i="12"/>
  <c r="CG90" i="12"/>
  <c r="CH90" i="12" s="1"/>
  <c r="CF90" i="12"/>
  <c r="CP94" i="12"/>
  <c r="CG94" i="12"/>
  <c r="CH94" i="12" s="1"/>
  <c r="CF94" i="12"/>
  <c r="CP98" i="12"/>
  <c r="CG98" i="12"/>
  <c r="CH98" i="12" s="1"/>
  <c r="CF98" i="12"/>
  <c r="CP102" i="12"/>
  <c r="CG102" i="12"/>
  <c r="CH102" i="12" s="1"/>
  <c r="CF102" i="12"/>
  <c r="CG106" i="12"/>
  <c r="CH106" i="12" s="1"/>
  <c r="CP106" i="12"/>
  <c r="CF106" i="12"/>
  <c r="CP110" i="12"/>
  <c r="CG110" i="12"/>
  <c r="CH110" i="12" s="1"/>
  <c r="CF110" i="12"/>
  <c r="CP114" i="12"/>
  <c r="CG114" i="12"/>
  <c r="CH114" i="12" s="1"/>
  <c r="CF114" i="12"/>
  <c r="CP118" i="12"/>
  <c r="CG118" i="12"/>
  <c r="CH118" i="12" s="1"/>
  <c r="CF118" i="12"/>
  <c r="CP122" i="12"/>
  <c r="CG122" i="12"/>
  <c r="CH122" i="12" s="1"/>
  <c r="CF122" i="12"/>
  <c r="BN105" i="12"/>
  <c r="BX105" i="12"/>
  <c r="BJ17" i="12"/>
  <c r="BL17" i="12"/>
  <c r="BM17" i="12"/>
  <c r="BQ17" i="12"/>
  <c r="BN111" i="12"/>
  <c r="BX111" i="12"/>
  <c r="BN68" i="12"/>
  <c r="BX68" i="12"/>
  <c r="BN59" i="12"/>
  <c r="BX59" i="12"/>
  <c r="BN116" i="12"/>
  <c r="BX116" i="12"/>
  <c r="BN58" i="12"/>
  <c r="BX58" i="12"/>
  <c r="BN46" i="12"/>
  <c r="BX46" i="12"/>
  <c r="BN12" i="12"/>
  <c r="BX12" i="12"/>
  <c r="BU147" i="12"/>
  <c r="BU151" i="12" s="1"/>
  <c r="BS147" i="12"/>
  <c r="BS151" i="12" s="1"/>
  <c r="BN56" i="12"/>
  <c r="BX56" i="12"/>
  <c r="BN60" i="12"/>
  <c r="BX60" i="12"/>
  <c r="BN19" i="12"/>
  <c r="BX19" i="12"/>
  <c r="BN11" i="12"/>
  <c r="BX11" i="12"/>
  <c r="BN49" i="12"/>
  <c r="BX49" i="12"/>
  <c r="BN28" i="12"/>
  <c r="BX28" i="12"/>
  <c r="BN91" i="12"/>
  <c r="BX91" i="12"/>
  <c r="CB91" i="12" s="1"/>
  <c r="BN40" i="12"/>
  <c r="BX40" i="12"/>
  <c r="BL123" i="12"/>
  <c r="BJ123" i="12"/>
  <c r="BM123" i="12"/>
  <c r="BQ123" i="12"/>
  <c r="BQ126" i="12" s="1"/>
  <c r="CW181" i="12"/>
  <c r="DL79" i="12"/>
  <c r="DJ79" i="12"/>
  <c r="DL97" i="12"/>
  <c r="DJ97" i="12"/>
  <c r="DM178" i="12"/>
  <c r="DM176" i="12"/>
  <c r="DM174" i="12"/>
  <c r="DG4" i="12"/>
  <c r="DL4" i="12"/>
  <c r="DF4" i="12"/>
  <c r="DM180" i="12"/>
  <c r="DM177" i="12"/>
  <c r="DM175" i="12"/>
  <c r="DK128" i="12"/>
  <c r="DE4" i="12"/>
  <c r="DH4" i="12"/>
  <c r="DE1" i="12" s="1"/>
  <c r="CJ90" i="12"/>
  <c r="CL90" i="12"/>
  <c r="CM90" i="12"/>
  <c r="CQ90" i="12"/>
  <c r="DO79" i="12"/>
  <c r="BN125" i="12"/>
  <c r="BX125" i="12"/>
  <c r="BN33" i="12"/>
  <c r="BX33" i="12"/>
  <c r="BN63" i="12"/>
  <c r="BX63" i="12"/>
  <c r="CB63" i="12" s="1"/>
  <c r="CO90" i="12"/>
  <c r="BN96" i="12"/>
  <c r="BX96" i="12"/>
  <c r="BN69" i="12"/>
  <c r="BX69" i="12"/>
  <c r="BN36" i="12"/>
  <c r="BX36" i="12"/>
  <c r="BN55" i="12"/>
  <c r="BX55" i="12"/>
  <c r="BN62" i="12"/>
  <c r="BX62" i="12"/>
  <c r="BN113" i="12"/>
  <c r="BX113" i="12"/>
  <c r="BN14" i="12"/>
  <c r="BX14" i="12"/>
  <c r="BN81" i="12"/>
  <c r="BX81" i="12"/>
  <c r="BN114" i="12"/>
  <c r="BX114" i="12"/>
  <c r="BN78" i="12"/>
  <c r="BX78" i="12"/>
  <c r="BN30" i="12"/>
  <c r="BX30" i="12"/>
  <c r="BQ160" i="12"/>
  <c r="BQ164" i="12" s="1"/>
  <c r="CL74" i="12"/>
  <c r="CJ74" i="12"/>
  <c r="CM74" i="12"/>
  <c r="CQ74" i="12"/>
  <c r="BN26" i="12"/>
  <c r="BX26" i="12"/>
  <c r="BO17" i="12"/>
  <c r="BN118" i="12"/>
  <c r="BX118" i="12"/>
  <c r="BN120" i="12"/>
  <c r="BX120" i="12"/>
  <c r="BN61" i="12"/>
  <c r="BX61" i="12"/>
  <c r="BN10" i="12"/>
  <c r="BX10" i="12"/>
  <c r="CC126" i="12"/>
  <c r="BN66" i="12"/>
  <c r="BX66" i="12"/>
  <c r="BN29" i="12"/>
  <c r="BX29" i="12"/>
  <c r="BO123" i="12"/>
  <c r="BN102" i="12"/>
  <c r="BX102" i="12"/>
  <c r="CB102" i="12" s="1"/>
  <c r="DB112" i="12"/>
  <c r="CW101" i="12"/>
  <c r="CY101" i="12"/>
  <c r="CZ101" i="12"/>
  <c r="DD101" i="12"/>
  <c r="BN93" i="12"/>
  <c r="BX93" i="12"/>
  <c r="BN85" i="12"/>
  <c r="BX85" i="12"/>
  <c r="BN20" i="12"/>
  <c r="BX20" i="12"/>
  <c r="CB30" i="12"/>
  <c r="CB103" i="12"/>
  <c r="BN50" i="12"/>
  <c r="BX50" i="12"/>
  <c r="CB115" i="12"/>
  <c r="BN83" i="12"/>
  <c r="BX83" i="12"/>
  <c r="CB68" i="12"/>
  <c r="CB6" i="12"/>
  <c r="BN5" i="12"/>
  <c r="BX5" i="12"/>
  <c r="BN38" i="12"/>
  <c r="BX38" i="12"/>
  <c r="CB27" i="12"/>
  <c r="BN92" i="12"/>
  <c r="BX92" i="12"/>
  <c r="BN44" i="12"/>
  <c r="BX44" i="12"/>
  <c r="BN42" i="12"/>
  <c r="BX42" i="12"/>
  <c r="BA151" i="12"/>
  <c r="AZ147" i="12"/>
  <c r="AZ151" i="12" s="1"/>
  <c r="BN24" i="12"/>
  <c r="BX24" i="12"/>
  <c r="BN39" i="12"/>
  <c r="BX39" i="12"/>
  <c r="BN23" i="12"/>
  <c r="BX23" i="12"/>
  <c r="CG5" i="12"/>
  <c r="CF5" i="12"/>
  <c r="CE126" i="12"/>
  <c r="CP5" i="12"/>
  <c r="CG9" i="12"/>
  <c r="CH9" i="12" s="1"/>
  <c r="CF9" i="12"/>
  <c r="CP9" i="12"/>
  <c r="CG13" i="12"/>
  <c r="CH13" i="12" s="1"/>
  <c r="CF13" i="12"/>
  <c r="CP13" i="12"/>
  <c r="CG17" i="12"/>
  <c r="CH17" i="12" s="1"/>
  <c r="CF17" i="12"/>
  <c r="CP17" i="12"/>
  <c r="CG21" i="12"/>
  <c r="CH21" i="12" s="1"/>
  <c r="CF21" i="12"/>
  <c r="CP21" i="12"/>
  <c r="CG25" i="12"/>
  <c r="CH25" i="12" s="1"/>
  <c r="CF25" i="12"/>
  <c r="CP25" i="12"/>
  <c r="CG29" i="12"/>
  <c r="CH29" i="12" s="1"/>
  <c r="CF29" i="12"/>
  <c r="CP29" i="12"/>
  <c r="CG33" i="12"/>
  <c r="CH33" i="12" s="1"/>
  <c r="CF33" i="12"/>
  <c r="CP33" i="12"/>
  <c r="CG37" i="12"/>
  <c r="CH37" i="12" s="1"/>
  <c r="CF37" i="12"/>
  <c r="CP37" i="12"/>
  <c r="CG41" i="12"/>
  <c r="CH41" i="12" s="1"/>
  <c r="CF41" i="12"/>
  <c r="CP41" i="12"/>
  <c r="CG45" i="12"/>
  <c r="CH45" i="12" s="1"/>
  <c r="CF45" i="12"/>
  <c r="CP45" i="12"/>
  <c r="CG49" i="12"/>
  <c r="CH49" i="12" s="1"/>
  <c r="CF49" i="12"/>
  <c r="CP49" i="12"/>
  <c r="CG53" i="12"/>
  <c r="CH53" i="12" s="1"/>
  <c r="CF53" i="12"/>
  <c r="CP53" i="12"/>
  <c r="CG57" i="12"/>
  <c r="CH57" i="12" s="1"/>
  <c r="CF57" i="12"/>
  <c r="CP57" i="12"/>
  <c r="CG61" i="12"/>
  <c r="CH61" i="12" s="1"/>
  <c r="CF61" i="12"/>
  <c r="CP61" i="12"/>
  <c r="CG65" i="12"/>
  <c r="CH65" i="12" s="1"/>
  <c r="CF65" i="12"/>
  <c r="CP65" i="12"/>
  <c r="CG69" i="12"/>
  <c r="CH69" i="12" s="1"/>
  <c r="CF69" i="12"/>
  <c r="CP69" i="12"/>
  <c r="CG73" i="12"/>
  <c r="CH73" i="12" s="1"/>
  <c r="CF73" i="12"/>
  <c r="CP73" i="12"/>
  <c r="CG77" i="12"/>
  <c r="CH77" i="12" s="1"/>
  <c r="CF77" i="12"/>
  <c r="CP77" i="12"/>
  <c r="CG81" i="12"/>
  <c r="CH81" i="12" s="1"/>
  <c r="CF81" i="12"/>
  <c r="CP81" i="12"/>
  <c r="CG85" i="12"/>
  <c r="CH85" i="12" s="1"/>
  <c r="CF85" i="12"/>
  <c r="CP85" i="12"/>
  <c r="CG89" i="12"/>
  <c r="CH89" i="12" s="1"/>
  <c r="CF89" i="12"/>
  <c r="CP89" i="12"/>
  <c r="CG93" i="12"/>
  <c r="CH93" i="12" s="1"/>
  <c r="CF93" i="12"/>
  <c r="CP93" i="12"/>
  <c r="CG97" i="12"/>
  <c r="CH97" i="12" s="1"/>
  <c r="CF97" i="12"/>
  <c r="CP97" i="12"/>
  <c r="CG101" i="12"/>
  <c r="CH101" i="12" s="1"/>
  <c r="CF101" i="12"/>
  <c r="CP101" i="12"/>
  <c r="CG105" i="12"/>
  <c r="CH105" i="12" s="1"/>
  <c r="CF105" i="12"/>
  <c r="CP105" i="12"/>
  <c r="CG109" i="12"/>
  <c r="CH109" i="12" s="1"/>
  <c r="CF109" i="12"/>
  <c r="CP109" i="12"/>
  <c r="CG113" i="12"/>
  <c r="CH113" i="12" s="1"/>
  <c r="CF113" i="12"/>
  <c r="CP113" i="12"/>
  <c r="CG117" i="12"/>
  <c r="CH117" i="12" s="1"/>
  <c r="CF117" i="12"/>
  <c r="CP117" i="12"/>
  <c r="CG121" i="12"/>
  <c r="CH121" i="12" s="1"/>
  <c r="CF121" i="12"/>
  <c r="CP121" i="12"/>
  <c r="CP125" i="12"/>
  <c r="CG125" i="12"/>
  <c r="CH125" i="12" s="1"/>
  <c r="CF125" i="12"/>
  <c r="CG8" i="12"/>
  <c r="CH8" i="12" s="1"/>
  <c r="CF8" i="12"/>
  <c r="CP8" i="12"/>
  <c r="CG12" i="12"/>
  <c r="CH12" i="12" s="1"/>
  <c r="CF12" i="12"/>
  <c r="CP12" i="12"/>
  <c r="CG16" i="12"/>
  <c r="CH16" i="12" s="1"/>
  <c r="CF16" i="12"/>
  <c r="CP16" i="12"/>
  <c r="CG20" i="12"/>
  <c r="CH20" i="12" s="1"/>
  <c r="CF20" i="12"/>
  <c r="CP20" i="12"/>
  <c r="CG24" i="12"/>
  <c r="CH24" i="12" s="1"/>
  <c r="CF24" i="12"/>
  <c r="CP24" i="12"/>
  <c r="CG28" i="12"/>
  <c r="CH28" i="12" s="1"/>
  <c r="CF28" i="12"/>
  <c r="CP28" i="12"/>
  <c r="CG32" i="12"/>
  <c r="CH32" i="12" s="1"/>
  <c r="CF32" i="12"/>
  <c r="CP32" i="12"/>
  <c r="CG36" i="12"/>
  <c r="CH36" i="12" s="1"/>
  <c r="CF36" i="12"/>
  <c r="CP36" i="12"/>
  <c r="CG40" i="12"/>
  <c r="CH40" i="12" s="1"/>
  <c r="CF40" i="12"/>
  <c r="CP40" i="12"/>
  <c r="CG44" i="12"/>
  <c r="CH44" i="12" s="1"/>
  <c r="CF44" i="12"/>
  <c r="CP44" i="12"/>
  <c r="CG48" i="12"/>
  <c r="CH48" i="12" s="1"/>
  <c r="CF48" i="12"/>
  <c r="CP48" i="12"/>
  <c r="CG52" i="12"/>
  <c r="CH52" i="12" s="1"/>
  <c r="CF52" i="12"/>
  <c r="CP52" i="12"/>
  <c r="CG56" i="12"/>
  <c r="CH56" i="12" s="1"/>
  <c r="CF56" i="12"/>
  <c r="CP56" i="12"/>
  <c r="CG60" i="12"/>
  <c r="CH60" i="12" s="1"/>
  <c r="CF60" i="12"/>
  <c r="CP60" i="12"/>
  <c r="CG64" i="12"/>
  <c r="CH64" i="12" s="1"/>
  <c r="CF64" i="12"/>
  <c r="CP64" i="12"/>
  <c r="CG68" i="12"/>
  <c r="CH68" i="12" s="1"/>
  <c r="CF68" i="12"/>
  <c r="CP68" i="12"/>
  <c r="CG72" i="12"/>
  <c r="CH72" i="12" s="1"/>
  <c r="CF72" i="12"/>
  <c r="CP72" i="12"/>
  <c r="CG76" i="12"/>
  <c r="CH76" i="12" s="1"/>
  <c r="CF76" i="12"/>
  <c r="CP76" i="12"/>
  <c r="CG80" i="12"/>
  <c r="CH80" i="12" s="1"/>
  <c r="CF80" i="12"/>
  <c r="CP80" i="12"/>
  <c r="CG84" i="12"/>
  <c r="CH84" i="12" s="1"/>
  <c r="CF84" i="12"/>
  <c r="CP84" i="12"/>
  <c r="CG88" i="12"/>
  <c r="CH88" i="12" s="1"/>
  <c r="CF88" i="12"/>
  <c r="CP88" i="12"/>
  <c r="CG92" i="12"/>
  <c r="CH92" i="12" s="1"/>
  <c r="CF92" i="12"/>
  <c r="CP92" i="12"/>
  <c r="CG96" i="12"/>
  <c r="CH96" i="12" s="1"/>
  <c r="CF96" i="12"/>
  <c r="CP96" i="12"/>
  <c r="CG100" i="12"/>
  <c r="CH100" i="12" s="1"/>
  <c r="CF100" i="12"/>
  <c r="CP100" i="12"/>
  <c r="CG104" i="12"/>
  <c r="CH104" i="12" s="1"/>
  <c r="CF104" i="12"/>
  <c r="CP104" i="12"/>
  <c r="CG108" i="12"/>
  <c r="CH108" i="12" s="1"/>
  <c r="CF108" i="12"/>
  <c r="CP108" i="12"/>
  <c r="CG112" i="12"/>
  <c r="CH112" i="12" s="1"/>
  <c r="CF112" i="12"/>
  <c r="CP112" i="12"/>
  <c r="CG116" i="12"/>
  <c r="CH116" i="12" s="1"/>
  <c r="CF116" i="12"/>
  <c r="CP116" i="12"/>
  <c r="CG120" i="12"/>
  <c r="CH120" i="12" s="1"/>
  <c r="CF120" i="12"/>
  <c r="CP120" i="12"/>
  <c r="CP124" i="12"/>
  <c r="CG124" i="12"/>
  <c r="CH124" i="12" s="1"/>
  <c r="CF124" i="12"/>
  <c r="BN57" i="12"/>
  <c r="BX57" i="12"/>
  <c r="BN45" i="12"/>
  <c r="BX45" i="12"/>
  <c r="BN15" i="12"/>
  <c r="BX15" i="12"/>
  <c r="BN72" i="12"/>
  <c r="BX72" i="12"/>
  <c r="BN70" i="12"/>
  <c r="BX70" i="12"/>
  <c r="BN110" i="12"/>
  <c r="BX110" i="12"/>
  <c r="BN108" i="12"/>
  <c r="BX108" i="12"/>
  <c r="CB108" i="12" s="1"/>
  <c r="CB59" i="12"/>
  <c r="BN76" i="12"/>
  <c r="BX76" i="12"/>
  <c r="BN98" i="12"/>
  <c r="BX98" i="12"/>
  <c r="BN86" i="12"/>
  <c r="BX86" i="12"/>
  <c r="BN13" i="12"/>
  <c r="BX13" i="12"/>
  <c r="CB13" i="12" s="1"/>
  <c r="CC160" i="12"/>
  <c r="CC164" i="12" s="1"/>
  <c r="CJ82" i="12"/>
  <c r="CL82" i="12"/>
  <c r="CQ82" i="12"/>
  <c r="CM82" i="12"/>
  <c r="CO82" i="12"/>
  <c r="BN64" i="12"/>
  <c r="BX64" i="12"/>
  <c r="CB11" i="12"/>
  <c r="BN100" i="12"/>
  <c r="BX100" i="12"/>
  <c r="BN51" i="12"/>
  <c r="BX51" i="12"/>
  <c r="DJ7" i="12"/>
  <c r="DL7" i="12"/>
  <c r="DJ73" i="12"/>
  <c r="DL73" i="12"/>
  <c r="DL77" i="12"/>
  <c r="DJ77" i="12"/>
  <c r="DV125" i="12"/>
  <c r="DV123" i="12"/>
  <c r="DV121" i="12"/>
  <c r="DV119" i="12"/>
  <c r="DV117" i="12"/>
  <c r="DV115" i="12"/>
  <c r="DV113" i="12"/>
  <c r="DV111" i="12"/>
  <c r="DV109" i="12"/>
  <c r="DV107" i="12"/>
  <c r="DV105" i="12"/>
  <c r="DV103" i="12"/>
  <c r="DV101" i="12"/>
  <c r="DV99" i="12"/>
  <c r="DV97" i="12"/>
  <c r="DV95" i="12"/>
  <c r="DV93" i="12"/>
  <c r="DV91" i="12"/>
  <c r="DV89" i="12"/>
  <c r="DV87" i="12"/>
  <c r="DV85" i="12"/>
  <c r="DV83" i="12"/>
  <c r="DV81" i="12"/>
  <c r="DV79" i="12"/>
  <c r="DV77" i="12"/>
  <c r="DV75" i="12"/>
  <c r="DV73" i="12"/>
  <c r="DV71" i="12"/>
  <c r="DV69" i="12"/>
  <c r="DV67" i="12"/>
  <c r="DV65" i="12"/>
  <c r="DV63" i="12"/>
  <c r="DV61" i="12"/>
  <c r="DV59" i="12"/>
  <c r="DV57" i="12"/>
  <c r="DV55" i="12"/>
  <c r="DV53" i="12"/>
  <c r="DV51" i="12"/>
  <c r="DV49" i="12"/>
  <c r="DV47" i="12"/>
  <c r="DV45" i="12"/>
  <c r="DV43" i="12"/>
  <c r="DV41" i="12"/>
  <c r="EA4" i="12"/>
  <c r="DV39" i="12"/>
  <c r="DV37" i="12"/>
  <c r="DV35" i="12"/>
  <c r="DV33" i="12"/>
  <c r="DV31" i="12"/>
  <c r="DV29" i="12"/>
  <c r="DV27" i="12"/>
  <c r="DV25" i="12"/>
  <c r="DV23" i="12"/>
  <c r="DV21" i="12"/>
  <c r="DV19" i="12"/>
  <c r="DV17" i="12"/>
  <c r="DV15" i="12"/>
  <c r="DV13" i="12"/>
  <c r="DV11" i="12"/>
  <c r="DV9" i="12"/>
  <c r="DV7" i="12"/>
  <c r="DV5" i="12"/>
  <c r="EB4" i="12"/>
  <c r="DV4" i="12"/>
  <c r="DW4" i="12" s="1"/>
  <c r="DV124" i="12"/>
  <c r="DV122" i="12"/>
  <c r="DV120" i="12"/>
  <c r="DV118" i="12"/>
  <c r="DV116" i="12"/>
  <c r="DV114" i="12"/>
  <c r="DV112" i="12"/>
  <c r="DV110" i="12"/>
  <c r="DV108" i="12"/>
  <c r="DV106" i="12"/>
  <c r="DV104" i="12"/>
  <c r="DV102" i="12"/>
  <c r="DV100" i="12"/>
  <c r="DV98" i="12"/>
  <c r="DV96" i="12"/>
  <c r="DV94" i="12"/>
  <c r="DV92" i="12"/>
  <c r="DV90" i="12"/>
  <c r="DV88" i="12"/>
  <c r="DV86" i="12"/>
  <c r="DV84" i="12"/>
  <c r="DV82" i="12"/>
  <c r="DV80" i="12"/>
  <c r="DV78" i="12"/>
  <c r="DV76" i="12"/>
  <c r="DV74" i="12"/>
  <c r="DV72" i="12"/>
  <c r="DV70" i="12"/>
  <c r="DV68" i="12"/>
  <c r="DV66" i="12"/>
  <c r="DV64" i="12"/>
  <c r="DV62" i="12"/>
  <c r="DV60" i="12"/>
  <c r="DV58" i="12"/>
  <c r="DV56" i="12"/>
  <c r="DV54" i="12"/>
  <c r="DV52" i="12"/>
  <c r="DV50" i="12"/>
  <c r="DV48" i="12"/>
  <c r="DV46" i="12"/>
  <c r="DV44" i="12"/>
  <c r="DV42" i="12"/>
  <c r="EC4" i="12"/>
  <c r="DV40" i="12"/>
  <c r="DV38" i="12"/>
  <c r="DV36" i="12"/>
  <c r="DV34" i="12"/>
  <c r="DV32" i="12"/>
  <c r="DV30" i="12"/>
  <c r="DV28" i="12"/>
  <c r="DV26" i="12"/>
  <c r="DV24" i="12"/>
  <c r="DV22" i="12"/>
  <c r="DV20" i="12"/>
  <c r="DV18" i="12"/>
  <c r="DV16" i="12"/>
  <c r="DV14" i="12"/>
  <c r="DV12" i="12"/>
  <c r="DV10" i="12"/>
  <c r="DV8" i="12"/>
  <c r="DV6" i="12"/>
  <c r="ED4" i="12"/>
  <c r="DX4" i="12"/>
  <c r="DX79" i="12"/>
  <c r="DZ79" i="12" s="1"/>
  <c r="EA79" i="12" s="1"/>
  <c r="DX73" i="12"/>
  <c r="ED73" i="12" s="1"/>
  <c r="DX97" i="12"/>
  <c r="EB97" i="12" s="1"/>
  <c r="DX77" i="12"/>
  <c r="ED77" i="12" s="1"/>
  <c r="DX7" i="12"/>
  <c r="DZ7" i="12" s="1"/>
  <c r="EA7" i="12" s="1"/>
  <c r="DZ77" i="12"/>
  <c r="EA77" i="12" s="1"/>
  <c r="ED79" i="12"/>
  <c r="DI134" i="12"/>
  <c r="DI138" i="12" s="1"/>
  <c r="DK181" i="12" s="1"/>
  <c r="DJ181" i="12" s="1"/>
  <c r="CB26" i="12"/>
  <c r="BN75" i="12"/>
  <c r="BX75" i="12"/>
  <c r="BN9" i="12"/>
  <c r="BX9" i="12"/>
  <c r="BN106" i="12"/>
  <c r="BX106" i="12"/>
  <c r="BN37" i="12"/>
  <c r="BX37" i="12"/>
  <c r="CB61" i="12"/>
  <c r="BN121" i="12"/>
  <c r="BX121" i="12"/>
  <c r="BN71" i="12"/>
  <c r="BX71" i="12"/>
  <c r="BN67" i="12"/>
  <c r="BX67" i="12"/>
  <c r="CB62" i="12"/>
  <c r="BN21" i="12"/>
  <c r="BX21" i="12"/>
  <c r="BN80" i="12"/>
  <c r="BX80" i="12"/>
  <c r="BN104" i="12"/>
  <c r="BX104" i="12"/>
  <c r="BN48" i="12"/>
  <c r="BX48" i="12"/>
  <c r="BN89" i="12"/>
  <c r="BX89" i="12"/>
  <c r="CB89" i="12" s="1"/>
  <c r="CB81" i="12"/>
  <c r="BN22" i="12"/>
  <c r="BX22" i="12"/>
  <c r="BN25" i="12"/>
  <c r="BX25" i="12"/>
  <c r="CB29" i="12"/>
  <c r="BM126" i="12"/>
  <c r="BN8" i="12"/>
  <c r="BX8" i="12"/>
  <c r="BK134" i="12"/>
  <c r="BK138" i="12" s="1"/>
  <c r="BK183" i="12" s="1"/>
  <c r="BN109" i="12"/>
  <c r="BX109" i="12"/>
  <c r="BN16" i="12"/>
  <c r="BX16" i="12"/>
  <c r="BN107" i="12"/>
  <c r="BX107" i="12"/>
  <c r="DB101" i="12"/>
  <c r="BN88" i="12"/>
  <c r="BX88" i="12"/>
  <c r="BN54" i="12"/>
  <c r="BX54" i="12"/>
  <c r="BT126" i="12"/>
  <c r="BU5" i="12"/>
  <c r="BU126" i="12" s="1"/>
  <c r="BS126" i="12"/>
  <c r="BN53" i="12"/>
  <c r="BX53" i="12"/>
  <c r="CB53" i="12" s="1"/>
  <c r="BN34" i="12"/>
  <c r="BX34" i="12"/>
  <c r="BN99" i="12"/>
  <c r="BX99" i="12"/>
  <c r="BN119" i="12"/>
  <c r="BX119" i="12"/>
  <c r="CB119" i="12" s="1"/>
  <c r="BN47" i="12"/>
  <c r="BX47" i="12"/>
  <c r="DX188" i="14"/>
  <c r="DX183" i="14"/>
  <c r="K27" i="17" s="1"/>
  <c r="DX178" i="14"/>
  <c r="DW183" i="14"/>
  <c r="DM151" i="14"/>
  <c r="DZ143" i="14"/>
  <c r="EA151" i="14"/>
  <c r="ED164" i="14"/>
  <c r="I15" i="17"/>
  <c r="J14" i="17"/>
  <c r="E89" i="7"/>
  <c r="D88" i="7"/>
  <c r="DZ97" i="12" l="1"/>
  <c r="EA97" i="12" s="1"/>
  <c r="ED7" i="12"/>
  <c r="BL126" i="12"/>
  <c r="BO126" i="12"/>
  <c r="DZ73" i="12"/>
  <c r="EA73" i="12" s="1"/>
  <c r="BL147" i="12"/>
  <c r="BL151" i="12" s="1"/>
  <c r="ED97" i="12"/>
  <c r="BJ126" i="12"/>
  <c r="BK176" i="12" s="1"/>
  <c r="BK178" i="12" s="1"/>
  <c r="I70" i="10" s="1"/>
  <c r="BY47" i="12"/>
  <c r="BW47" i="12"/>
  <c r="BZ47" i="12"/>
  <c r="CD47" i="12"/>
  <c r="BW99" i="12"/>
  <c r="BY99" i="12"/>
  <c r="CD99" i="12"/>
  <c r="BZ99" i="12"/>
  <c r="CB47" i="12"/>
  <c r="BY16" i="12"/>
  <c r="BW16" i="12"/>
  <c r="CD16" i="12"/>
  <c r="BZ16" i="12"/>
  <c r="CB16" i="12"/>
  <c r="BY109" i="12"/>
  <c r="BW109" i="12"/>
  <c r="BZ109" i="12"/>
  <c r="CD109" i="12"/>
  <c r="BY48" i="12"/>
  <c r="BW48" i="12"/>
  <c r="BZ48" i="12"/>
  <c r="CD48" i="12"/>
  <c r="BY80" i="12"/>
  <c r="BW80" i="12"/>
  <c r="BZ80" i="12"/>
  <c r="CD80" i="12"/>
  <c r="CB80" i="12"/>
  <c r="BW71" i="12"/>
  <c r="BY71" i="12"/>
  <c r="BZ71" i="12"/>
  <c r="CD71" i="12"/>
  <c r="BW34" i="12"/>
  <c r="BY34" i="12"/>
  <c r="CD34" i="12"/>
  <c r="BZ34" i="12"/>
  <c r="CB34" i="12"/>
  <c r="BY54" i="12"/>
  <c r="BW54" i="12"/>
  <c r="CD54" i="12"/>
  <c r="BZ54" i="12"/>
  <c r="BY88" i="12"/>
  <c r="BW88" i="12"/>
  <c r="BZ88" i="12"/>
  <c r="CD88" i="12"/>
  <c r="CB88" i="12"/>
  <c r="BY107" i="12"/>
  <c r="BW107" i="12"/>
  <c r="CD107" i="12"/>
  <c r="BZ107" i="12"/>
  <c r="CB99" i="12"/>
  <c r="BY8" i="12"/>
  <c r="BW8" i="12"/>
  <c r="BZ8" i="12"/>
  <c r="CD8" i="12"/>
  <c r="CB8" i="12"/>
  <c r="CB25" i="12"/>
  <c r="BW25" i="12"/>
  <c r="BY25" i="12"/>
  <c r="BZ25" i="12"/>
  <c r="CD25" i="12"/>
  <c r="BW22" i="12"/>
  <c r="BY22" i="12"/>
  <c r="BZ22" i="12"/>
  <c r="CD22" i="12"/>
  <c r="CB22" i="12"/>
  <c r="BW21" i="12"/>
  <c r="BY21" i="12"/>
  <c r="CD21" i="12"/>
  <c r="BZ21" i="12"/>
  <c r="CB9" i="12"/>
  <c r="BW9" i="12"/>
  <c r="BY9" i="12"/>
  <c r="BZ9" i="12"/>
  <c r="CD9" i="12"/>
  <c r="BY75" i="12"/>
  <c r="BW75" i="12"/>
  <c r="CD75" i="12"/>
  <c r="BZ75" i="12"/>
  <c r="CB75" i="12"/>
  <c r="DW77" i="12"/>
  <c r="DY77" i="12"/>
  <c r="DY73" i="12"/>
  <c r="DW73" i="12"/>
  <c r="DV134" i="12"/>
  <c r="DV138" i="12" s="1"/>
  <c r="DX181" i="12" s="1"/>
  <c r="DV126" i="12"/>
  <c r="DX180" i="12" s="1"/>
  <c r="BY100" i="12"/>
  <c r="BW100" i="12"/>
  <c r="CD100" i="12"/>
  <c r="BZ100" i="12"/>
  <c r="CN82" i="12"/>
  <c r="CX82" i="12"/>
  <c r="BY76" i="12"/>
  <c r="BW76" i="12"/>
  <c r="CD76" i="12"/>
  <c r="BZ76" i="12"/>
  <c r="BW70" i="12"/>
  <c r="BY70" i="12"/>
  <c r="BZ70" i="12"/>
  <c r="CD70" i="12"/>
  <c r="CB70" i="12"/>
  <c r="BY72" i="12"/>
  <c r="BW72" i="12"/>
  <c r="BZ72" i="12"/>
  <c r="CD72" i="12"/>
  <c r="CB72" i="12"/>
  <c r="BY45" i="12"/>
  <c r="BW45" i="12"/>
  <c r="BZ45" i="12"/>
  <c r="CD45" i="12"/>
  <c r="BY57" i="12"/>
  <c r="BW57" i="12"/>
  <c r="BZ57" i="12"/>
  <c r="CD57" i="12"/>
  <c r="CF147" i="12"/>
  <c r="CF151" i="12" s="1"/>
  <c r="CP126" i="12"/>
  <c r="CF126" i="12"/>
  <c r="CB23" i="12"/>
  <c r="BY23" i="12"/>
  <c r="BW23" i="12"/>
  <c r="BZ23" i="12"/>
  <c r="CD23" i="12"/>
  <c r="CB39" i="12"/>
  <c r="BY39" i="12"/>
  <c r="BW39" i="12"/>
  <c r="BZ39" i="12"/>
  <c r="CD39" i="12"/>
  <c r="BY92" i="12"/>
  <c r="BW92" i="12"/>
  <c r="CD92" i="12"/>
  <c r="BZ92" i="12"/>
  <c r="CB92" i="12"/>
  <c r="BY5" i="12"/>
  <c r="BW5" i="12"/>
  <c r="BZ5" i="12"/>
  <c r="CD5" i="12"/>
  <c r="CB5" i="12"/>
  <c r="BW83" i="12"/>
  <c r="BY83" i="12"/>
  <c r="CD83" i="12"/>
  <c r="BZ83" i="12"/>
  <c r="BW20" i="12"/>
  <c r="BY20" i="12"/>
  <c r="BZ20" i="12"/>
  <c r="CD20" i="12"/>
  <c r="BW85" i="12"/>
  <c r="BY85" i="12"/>
  <c r="BZ85" i="12"/>
  <c r="CD85" i="12"/>
  <c r="CB85" i="12"/>
  <c r="BY93" i="12"/>
  <c r="BW93" i="12"/>
  <c r="BZ93" i="12"/>
  <c r="CD93" i="12"/>
  <c r="CB93" i="12"/>
  <c r="CB57" i="12"/>
  <c r="DA101" i="12"/>
  <c r="DK101" i="12"/>
  <c r="EB77" i="12"/>
  <c r="BY29" i="12"/>
  <c r="BW29" i="12"/>
  <c r="BZ29" i="12"/>
  <c r="CD29" i="12"/>
  <c r="BY66" i="12"/>
  <c r="BW66" i="12"/>
  <c r="BZ66" i="12"/>
  <c r="CD66" i="12"/>
  <c r="BW10" i="12"/>
  <c r="BY10" i="12"/>
  <c r="BZ10" i="12"/>
  <c r="CD10" i="12"/>
  <c r="CB10" i="12"/>
  <c r="BY26" i="12"/>
  <c r="BW26" i="12"/>
  <c r="BZ26" i="12"/>
  <c r="CD26" i="12"/>
  <c r="CB109" i="12"/>
  <c r="CN74" i="12"/>
  <c r="CX74" i="12"/>
  <c r="BW81" i="12"/>
  <c r="BY81" i="12"/>
  <c r="BZ81" i="12"/>
  <c r="CD81" i="12"/>
  <c r="BW113" i="12"/>
  <c r="BY113" i="12"/>
  <c r="BZ113" i="12"/>
  <c r="CD113" i="12"/>
  <c r="CB113" i="12"/>
  <c r="BY62" i="12"/>
  <c r="BW62" i="12"/>
  <c r="CD62" i="12"/>
  <c r="BZ62" i="12"/>
  <c r="CB71" i="12"/>
  <c r="EB79" i="12"/>
  <c r="CN90" i="12"/>
  <c r="CX90" i="12"/>
  <c r="DB90" i="12" s="1"/>
  <c r="DE122" i="12"/>
  <c r="DE120" i="12"/>
  <c r="DE125" i="12"/>
  <c r="DE118" i="12"/>
  <c r="DE116" i="12"/>
  <c r="DE114" i="12"/>
  <c r="DE112" i="12"/>
  <c r="DE110" i="12"/>
  <c r="DE108" i="12"/>
  <c r="DE106" i="12"/>
  <c r="DE104" i="12"/>
  <c r="DE102" i="12"/>
  <c r="DE100" i="12"/>
  <c r="DE98" i="12"/>
  <c r="DE96" i="12"/>
  <c r="DE94" i="12"/>
  <c r="DE92" i="12"/>
  <c r="DE90" i="12"/>
  <c r="DE88" i="12"/>
  <c r="DE86" i="12"/>
  <c r="DE84" i="12"/>
  <c r="DE82" i="12"/>
  <c r="DE80" i="12"/>
  <c r="DE78" i="12"/>
  <c r="DE76" i="12"/>
  <c r="DE74" i="12"/>
  <c r="DE72" i="12"/>
  <c r="DE70" i="12"/>
  <c r="DE68" i="12"/>
  <c r="DE66" i="12"/>
  <c r="DE64" i="12"/>
  <c r="DE62" i="12"/>
  <c r="DE60" i="12"/>
  <c r="DE58" i="12"/>
  <c r="DE56" i="12"/>
  <c r="DE54" i="12"/>
  <c r="DE52" i="12"/>
  <c r="DE50" i="12"/>
  <c r="DE48" i="12"/>
  <c r="DE46" i="12"/>
  <c r="DE44" i="12"/>
  <c r="DE42" i="12"/>
  <c r="DE40" i="12"/>
  <c r="DE38" i="12"/>
  <c r="DE36" i="12"/>
  <c r="DE34" i="12"/>
  <c r="DE32" i="12"/>
  <c r="DE30" i="12"/>
  <c r="DE28" i="12"/>
  <c r="DE26" i="12"/>
  <c r="DE24" i="12"/>
  <c r="DE22" i="12"/>
  <c r="DE20" i="12"/>
  <c r="DE18" i="12"/>
  <c r="DE16" i="12"/>
  <c r="DE14" i="12"/>
  <c r="DE12" i="12"/>
  <c r="DE10" i="12"/>
  <c r="DE8" i="12"/>
  <c r="DE6" i="12"/>
  <c r="DE123" i="12"/>
  <c r="DE121" i="12"/>
  <c r="DE119" i="12"/>
  <c r="DE124" i="12"/>
  <c r="DE117" i="12"/>
  <c r="DE115" i="12"/>
  <c r="DE113" i="12"/>
  <c r="DE111" i="12"/>
  <c r="DE109" i="12"/>
  <c r="DE107" i="12"/>
  <c r="DE105" i="12"/>
  <c r="DE103" i="12"/>
  <c r="DE101" i="12"/>
  <c r="DE99" i="12"/>
  <c r="DE97" i="12"/>
  <c r="DE95" i="12"/>
  <c r="DE93" i="12"/>
  <c r="DE91" i="12"/>
  <c r="DE89" i="12"/>
  <c r="DE87" i="12"/>
  <c r="DE85" i="12"/>
  <c r="DE83" i="12"/>
  <c r="DE81" i="12"/>
  <c r="DE79" i="12"/>
  <c r="DE77" i="12"/>
  <c r="DE75" i="12"/>
  <c r="DE73" i="12"/>
  <c r="DE71" i="12"/>
  <c r="DE69" i="12"/>
  <c r="DE67" i="12"/>
  <c r="DE65" i="12"/>
  <c r="DE63" i="12"/>
  <c r="DE61" i="12"/>
  <c r="DE59" i="12"/>
  <c r="DE57" i="12"/>
  <c r="DE55" i="12"/>
  <c r="DE53" i="12"/>
  <c r="DE51" i="12"/>
  <c r="DE49" i="12"/>
  <c r="DE47" i="12"/>
  <c r="DE45" i="12"/>
  <c r="DE43" i="12"/>
  <c r="DE41" i="12"/>
  <c r="DE39" i="12"/>
  <c r="DE37" i="12"/>
  <c r="DE35" i="12"/>
  <c r="DE33" i="12"/>
  <c r="DE31" i="12"/>
  <c r="DE29" i="12"/>
  <c r="DE27" i="12"/>
  <c r="DE25" i="12"/>
  <c r="DE23" i="12"/>
  <c r="DE21" i="12"/>
  <c r="DE19" i="12"/>
  <c r="DE17" i="12"/>
  <c r="DE15" i="12"/>
  <c r="DE13" i="12"/>
  <c r="DE11" i="12"/>
  <c r="DE9" i="12"/>
  <c r="DE7" i="12"/>
  <c r="DE5" i="12"/>
  <c r="EB73" i="12"/>
  <c r="BN123" i="12"/>
  <c r="BX123" i="12"/>
  <c r="BW28" i="12"/>
  <c r="BY28" i="12"/>
  <c r="BZ28" i="12"/>
  <c r="CD28" i="12"/>
  <c r="BW49" i="12"/>
  <c r="BY49" i="12"/>
  <c r="BZ49" i="12"/>
  <c r="CD49" i="12"/>
  <c r="BW11" i="12"/>
  <c r="BY11" i="12"/>
  <c r="CD11" i="12"/>
  <c r="BZ11" i="12"/>
  <c r="CB19" i="12"/>
  <c r="BY19" i="12"/>
  <c r="BW19" i="12"/>
  <c r="BZ19" i="12"/>
  <c r="CD19" i="12"/>
  <c r="BY60" i="12"/>
  <c r="BW60" i="12"/>
  <c r="BZ60" i="12"/>
  <c r="CD60" i="12"/>
  <c r="CB60" i="12"/>
  <c r="BW12" i="12"/>
  <c r="BY12" i="12"/>
  <c r="CD12" i="12"/>
  <c r="BZ12" i="12"/>
  <c r="CB12" i="12"/>
  <c r="BY59" i="12"/>
  <c r="BW59" i="12"/>
  <c r="CD59" i="12"/>
  <c r="BZ59" i="12"/>
  <c r="BN17" i="12"/>
  <c r="BN147" i="12" s="1"/>
  <c r="BX17" i="12"/>
  <c r="BW117" i="12"/>
  <c r="BY117" i="12"/>
  <c r="BZ117" i="12"/>
  <c r="CD117" i="12"/>
  <c r="CB117" i="12"/>
  <c r="CB49" i="12"/>
  <c r="BW27" i="12"/>
  <c r="BY27" i="12"/>
  <c r="CD27" i="12"/>
  <c r="BZ27" i="12"/>
  <c r="BY35" i="12"/>
  <c r="BW35" i="12"/>
  <c r="BZ35" i="12"/>
  <c r="CD35" i="12"/>
  <c r="CB35" i="12"/>
  <c r="BW6" i="12"/>
  <c r="BY6" i="12"/>
  <c r="CD6" i="12"/>
  <c r="BZ6" i="12"/>
  <c r="BY18" i="12"/>
  <c r="BW18" i="12"/>
  <c r="CD18" i="12"/>
  <c r="BZ18" i="12"/>
  <c r="CB18" i="12"/>
  <c r="CB83" i="12"/>
  <c r="BW103" i="12"/>
  <c r="BY103" i="12"/>
  <c r="BZ103" i="12"/>
  <c r="CD103" i="12"/>
  <c r="BY94" i="12"/>
  <c r="BW94" i="12"/>
  <c r="CD94" i="12"/>
  <c r="BZ94" i="12"/>
  <c r="CB94" i="12"/>
  <c r="BY32" i="12"/>
  <c r="BW32" i="12"/>
  <c r="CD32" i="12"/>
  <c r="BZ32" i="12"/>
  <c r="CB32" i="12"/>
  <c r="CB20" i="12"/>
  <c r="BW65" i="12"/>
  <c r="BY65" i="12"/>
  <c r="BZ65" i="12"/>
  <c r="CD65" i="12"/>
  <c r="CB65" i="12"/>
  <c r="CB28" i="12"/>
  <c r="CS8" i="12"/>
  <c r="DC8" i="12"/>
  <c r="CT8" i="12"/>
  <c r="CU8" i="12" s="1"/>
  <c r="CS12" i="12"/>
  <c r="DC12" i="12"/>
  <c r="CT12" i="12"/>
  <c r="CU12" i="12" s="1"/>
  <c r="CS16" i="12"/>
  <c r="DC16" i="12"/>
  <c r="CT16" i="12"/>
  <c r="CU16" i="12" s="1"/>
  <c r="CS20" i="12"/>
  <c r="DC20" i="12"/>
  <c r="CT20" i="12"/>
  <c r="CU20" i="12" s="1"/>
  <c r="CS24" i="12"/>
  <c r="DC24" i="12"/>
  <c r="CT24" i="12"/>
  <c r="CU24" i="12" s="1"/>
  <c r="CS28" i="12"/>
  <c r="DC28" i="12"/>
  <c r="CT28" i="12"/>
  <c r="CU28" i="12" s="1"/>
  <c r="CS32" i="12"/>
  <c r="DC32" i="12"/>
  <c r="CT32" i="12"/>
  <c r="CU32" i="12" s="1"/>
  <c r="CS36" i="12"/>
  <c r="DC36" i="12"/>
  <c r="CT36" i="12"/>
  <c r="CU36" i="12" s="1"/>
  <c r="CS40" i="12"/>
  <c r="DC40" i="12"/>
  <c r="CT40" i="12"/>
  <c r="CU40" i="12" s="1"/>
  <c r="CS44" i="12"/>
  <c r="DC44" i="12"/>
  <c r="CT44" i="12"/>
  <c r="CU44" i="12" s="1"/>
  <c r="CS48" i="12"/>
  <c r="DC48" i="12"/>
  <c r="CT48" i="12"/>
  <c r="CU48" i="12" s="1"/>
  <c r="CS52" i="12"/>
  <c r="DC52" i="12"/>
  <c r="CT52" i="12"/>
  <c r="CU52" i="12" s="1"/>
  <c r="CS56" i="12"/>
  <c r="DC56" i="12"/>
  <c r="CT56" i="12"/>
  <c r="CU56" i="12" s="1"/>
  <c r="CS60" i="12"/>
  <c r="DC60" i="12"/>
  <c r="CT60" i="12"/>
  <c r="CU60" i="12" s="1"/>
  <c r="CS64" i="12"/>
  <c r="DC64" i="12"/>
  <c r="CT64" i="12"/>
  <c r="CU64" i="12" s="1"/>
  <c r="CS68" i="12"/>
  <c r="DC68" i="12"/>
  <c r="CT68" i="12"/>
  <c r="CU68" i="12" s="1"/>
  <c r="CS72" i="12"/>
  <c r="DC72" i="12"/>
  <c r="CT72" i="12"/>
  <c r="CU72" i="12" s="1"/>
  <c r="CS76" i="12"/>
  <c r="DC76" i="12"/>
  <c r="CT76" i="12"/>
  <c r="CU76" i="12" s="1"/>
  <c r="CS80" i="12"/>
  <c r="DC80" i="12"/>
  <c r="CT80" i="12"/>
  <c r="CU80" i="12" s="1"/>
  <c r="CS84" i="12"/>
  <c r="DC84" i="12"/>
  <c r="CT84" i="12"/>
  <c r="CU84" i="12" s="1"/>
  <c r="CS88" i="12"/>
  <c r="DC88" i="12"/>
  <c r="CT88" i="12"/>
  <c r="CU88" i="12" s="1"/>
  <c r="CS92" i="12"/>
  <c r="DC92" i="12"/>
  <c r="CT92" i="12"/>
  <c r="CU92" i="12" s="1"/>
  <c r="CS96" i="12"/>
  <c r="DC96" i="12"/>
  <c r="CT96" i="12"/>
  <c r="CU96" i="12" s="1"/>
  <c r="CS100" i="12"/>
  <c r="DC100" i="12"/>
  <c r="CT100" i="12"/>
  <c r="CU100" i="12" s="1"/>
  <c r="CS104" i="12"/>
  <c r="DC104" i="12"/>
  <c r="CT104" i="12"/>
  <c r="CU104" i="12" s="1"/>
  <c r="CS108" i="12"/>
  <c r="DC108" i="12"/>
  <c r="CT108" i="12"/>
  <c r="CU108" i="12" s="1"/>
  <c r="CS112" i="12"/>
  <c r="DC112" i="12"/>
  <c r="CT112" i="12"/>
  <c r="CU112" i="12" s="1"/>
  <c r="CS116" i="12"/>
  <c r="DC116" i="12"/>
  <c r="CT116" i="12"/>
  <c r="CU116" i="12" s="1"/>
  <c r="CS120" i="12"/>
  <c r="DC120" i="12"/>
  <c r="CT120" i="12"/>
  <c r="CU120" i="12" s="1"/>
  <c r="DC124" i="12"/>
  <c r="CT124" i="12"/>
  <c r="CU124" i="12" s="1"/>
  <c r="CS124" i="12"/>
  <c r="DC7" i="12"/>
  <c r="CT7" i="12"/>
  <c r="CU7" i="12" s="1"/>
  <c r="CS7" i="12"/>
  <c r="DC11" i="12"/>
  <c r="CT11" i="12"/>
  <c r="CU11" i="12" s="1"/>
  <c r="CS11" i="12"/>
  <c r="DC15" i="12"/>
  <c r="CT15" i="12"/>
  <c r="CU15" i="12" s="1"/>
  <c r="CS15" i="12"/>
  <c r="DC19" i="12"/>
  <c r="CT19" i="12"/>
  <c r="CU19" i="12" s="1"/>
  <c r="CS19" i="12"/>
  <c r="DC23" i="12"/>
  <c r="CT23" i="12"/>
  <c r="CU23" i="12" s="1"/>
  <c r="CS23" i="12"/>
  <c r="DC27" i="12"/>
  <c r="CT27" i="12"/>
  <c r="CU27" i="12" s="1"/>
  <c r="CS27" i="12"/>
  <c r="DC31" i="12"/>
  <c r="CT31" i="12"/>
  <c r="CU31" i="12" s="1"/>
  <c r="CS31" i="12"/>
  <c r="DC35" i="12"/>
  <c r="CT35" i="12"/>
  <c r="CU35" i="12" s="1"/>
  <c r="CS35" i="12"/>
  <c r="DC39" i="12"/>
  <c r="CT39" i="12"/>
  <c r="CU39" i="12" s="1"/>
  <c r="CS39" i="12"/>
  <c r="DC43" i="12"/>
  <c r="CT43" i="12"/>
  <c r="CU43" i="12" s="1"/>
  <c r="CS43" i="12"/>
  <c r="DC47" i="12"/>
  <c r="CT47" i="12"/>
  <c r="CU47" i="12" s="1"/>
  <c r="CS47" i="12"/>
  <c r="DC51" i="12"/>
  <c r="CT51" i="12"/>
  <c r="CU51" i="12" s="1"/>
  <c r="CS51" i="12"/>
  <c r="DC55" i="12"/>
  <c r="CT55" i="12"/>
  <c r="CU55" i="12" s="1"/>
  <c r="CS55" i="12"/>
  <c r="DC59" i="12"/>
  <c r="CT59" i="12"/>
  <c r="CU59" i="12" s="1"/>
  <c r="CS59" i="12"/>
  <c r="DC63" i="12"/>
  <c r="CT63" i="12"/>
  <c r="CU63" i="12" s="1"/>
  <c r="CS63" i="12"/>
  <c r="DC67" i="12"/>
  <c r="CT67" i="12"/>
  <c r="CU67" i="12" s="1"/>
  <c r="CS67" i="12"/>
  <c r="DC71" i="12"/>
  <c r="CT71" i="12"/>
  <c r="CU71" i="12" s="1"/>
  <c r="CS71" i="12"/>
  <c r="DC75" i="12"/>
  <c r="CT75" i="12"/>
  <c r="CU75" i="12" s="1"/>
  <c r="CS75" i="12"/>
  <c r="DC79" i="12"/>
  <c r="CT79" i="12"/>
  <c r="CU79" i="12" s="1"/>
  <c r="CS79" i="12"/>
  <c r="DC83" i="12"/>
  <c r="CT83" i="12"/>
  <c r="CU83" i="12" s="1"/>
  <c r="CS83" i="12"/>
  <c r="DC87" i="12"/>
  <c r="CT87" i="12"/>
  <c r="CU87" i="12" s="1"/>
  <c r="CS87" i="12"/>
  <c r="DC91" i="12"/>
  <c r="CT91" i="12"/>
  <c r="CU91" i="12" s="1"/>
  <c r="CS91" i="12"/>
  <c r="DC95" i="12"/>
  <c r="CT95" i="12"/>
  <c r="CU95" i="12" s="1"/>
  <c r="CS95" i="12"/>
  <c r="DC99" i="12"/>
  <c r="CT99" i="12"/>
  <c r="CU99" i="12" s="1"/>
  <c r="CS99" i="12"/>
  <c r="DC103" i="12"/>
  <c r="CT103" i="12"/>
  <c r="CU103" i="12" s="1"/>
  <c r="CS103" i="12"/>
  <c r="DC107" i="12"/>
  <c r="CT107" i="12"/>
  <c r="CU107" i="12" s="1"/>
  <c r="CS107" i="12"/>
  <c r="DC111" i="12"/>
  <c r="CT111" i="12"/>
  <c r="CU111" i="12" s="1"/>
  <c r="CS111" i="12"/>
  <c r="DC115" i="12"/>
  <c r="CT115" i="12"/>
  <c r="CU115" i="12" s="1"/>
  <c r="CS115" i="12"/>
  <c r="DC119" i="12"/>
  <c r="CS119" i="12"/>
  <c r="CT119" i="12"/>
  <c r="CU119" i="12" s="1"/>
  <c r="DC123" i="12"/>
  <c r="CT123" i="12"/>
  <c r="CU123" i="12" s="1"/>
  <c r="CS123" i="12"/>
  <c r="CB66" i="12"/>
  <c r="BW119" i="12"/>
  <c r="BY119" i="12"/>
  <c r="BZ119" i="12"/>
  <c r="CD119" i="12"/>
  <c r="BW53" i="12"/>
  <c r="BY53" i="12"/>
  <c r="BZ53" i="12"/>
  <c r="CD53" i="12"/>
  <c r="DO101" i="12"/>
  <c r="BJ183" i="12"/>
  <c r="F18" i="17"/>
  <c r="BY89" i="12"/>
  <c r="BW89" i="12"/>
  <c r="BZ89" i="12"/>
  <c r="CD89" i="12"/>
  <c r="BY104" i="12"/>
  <c r="BW104" i="12"/>
  <c r="BZ104" i="12"/>
  <c r="CD104" i="12"/>
  <c r="CB104" i="12"/>
  <c r="BW67" i="12"/>
  <c r="BY67" i="12"/>
  <c r="CD67" i="12"/>
  <c r="BZ67" i="12"/>
  <c r="CB67" i="12"/>
  <c r="BW121" i="12"/>
  <c r="BY121" i="12"/>
  <c r="CD121" i="12"/>
  <c r="BZ121" i="12"/>
  <c r="CB121" i="12"/>
  <c r="CB48" i="12"/>
  <c r="BW37" i="12"/>
  <c r="BY37" i="12"/>
  <c r="CD37" i="12"/>
  <c r="BZ37" i="12"/>
  <c r="CB37" i="12"/>
  <c r="BW106" i="12"/>
  <c r="BY106" i="12"/>
  <c r="BZ106" i="12"/>
  <c r="CD106" i="12"/>
  <c r="CB106" i="12"/>
  <c r="EB7" i="12"/>
  <c r="DW7" i="12"/>
  <c r="DY7" i="12"/>
  <c r="DY97" i="12"/>
  <c r="DW97" i="12"/>
  <c r="DW79" i="12"/>
  <c r="DY79" i="12"/>
  <c r="DZ180" i="12"/>
  <c r="DZ177" i="12"/>
  <c r="DZ175" i="12"/>
  <c r="DX128" i="12"/>
  <c r="DU4" i="12"/>
  <c r="DR1" i="12" s="1"/>
  <c r="DT4" i="12"/>
  <c r="DZ178" i="12"/>
  <c r="DZ176" i="12"/>
  <c r="DZ174" i="12"/>
  <c r="DY4" i="12"/>
  <c r="DS4" i="12"/>
  <c r="DR4" i="12"/>
  <c r="BW51" i="12"/>
  <c r="BY51" i="12"/>
  <c r="CD51" i="12"/>
  <c r="BZ51" i="12"/>
  <c r="BW64" i="12"/>
  <c r="BY64" i="12"/>
  <c r="BZ64" i="12"/>
  <c r="CD64" i="12"/>
  <c r="CB64" i="12"/>
  <c r="DB82" i="12"/>
  <c r="BY13" i="12"/>
  <c r="BW13" i="12"/>
  <c r="BZ13" i="12"/>
  <c r="CD13" i="12"/>
  <c r="BW86" i="12"/>
  <c r="BY86" i="12"/>
  <c r="BZ86" i="12"/>
  <c r="CD86" i="12"/>
  <c r="CB86" i="12"/>
  <c r="BW98" i="12"/>
  <c r="BY98" i="12"/>
  <c r="BZ98" i="12"/>
  <c r="CD98" i="12"/>
  <c r="CB98" i="12"/>
  <c r="BY108" i="12"/>
  <c r="BW108" i="12"/>
  <c r="CD108" i="12"/>
  <c r="BZ108" i="12"/>
  <c r="BY110" i="12"/>
  <c r="BW110" i="12"/>
  <c r="CD110" i="12"/>
  <c r="BZ110" i="12"/>
  <c r="CB110" i="12"/>
  <c r="BY15" i="12"/>
  <c r="BW15" i="12"/>
  <c r="BZ15" i="12"/>
  <c r="CD15" i="12"/>
  <c r="CB15" i="12"/>
  <c r="CP160" i="12"/>
  <c r="CP164" i="12" s="1"/>
  <c r="CH147" i="12"/>
  <c r="CH151" i="12" s="1"/>
  <c r="CG126" i="12"/>
  <c r="CH5" i="12"/>
  <c r="CH126" i="12" s="1"/>
  <c r="BW24" i="12"/>
  <c r="BY24" i="12"/>
  <c r="BZ24" i="12"/>
  <c r="CD24" i="12"/>
  <c r="CB24" i="12"/>
  <c r="BY42" i="12"/>
  <c r="BW42" i="12"/>
  <c r="CD42" i="12"/>
  <c r="BZ42" i="12"/>
  <c r="CB42" i="12"/>
  <c r="BY44" i="12"/>
  <c r="BW44" i="12"/>
  <c r="BZ44" i="12"/>
  <c r="CD44" i="12"/>
  <c r="CB44" i="12"/>
  <c r="BY38" i="12"/>
  <c r="BW38" i="12"/>
  <c r="CD38" i="12"/>
  <c r="BZ38" i="12"/>
  <c r="CB38" i="12"/>
  <c r="BY50" i="12"/>
  <c r="BW50" i="12"/>
  <c r="CD50" i="12"/>
  <c r="BZ50" i="12"/>
  <c r="CB45" i="12"/>
  <c r="BY102" i="12"/>
  <c r="BW102" i="12"/>
  <c r="CD102" i="12"/>
  <c r="BZ102" i="12"/>
  <c r="CB123" i="12"/>
  <c r="BY61" i="12"/>
  <c r="BW61" i="12"/>
  <c r="BZ61" i="12"/>
  <c r="CD61" i="12"/>
  <c r="CB120" i="12"/>
  <c r="BW120" i="12"/>
  <c r="BY120" i="12"/>
  <c r="BZ120" i="12"/>
  <c r="CD120" i="12"/>
  <c r="BW118" i="12"/>
  <c r="BY118" i="12"/>
  <c r="BZ118" i="12"/>
  <c r="CD118" i="12"/>
  <c r="CB17" i="12"/>
  <c r="BW30" i="12"/>
  <c r="BY30" i="12"/>
  <c r="CD30" i="12"/>
  <c r="BZ30" i="12"/>
  <c r="BY78" i="12"/>
  <c r="BW78" i="12"/>
  <c r="CD78" i="12"/>
  <c r="BZ78" i="12"/>
  <c r="CB78" i="12"/>
  <c r="BW114" i="12"/>
  <c r="BY114" i="12"/>
  <c r="BZ114" i="12"/>
  <c r="CD114" i="12"/>
  <c r="CB114" i="12"/>
  <c r="BW14" i="12"/>
  <c r="BY14" i="12"/>
  <c r="BZ14" i="12"/>
  <c r="CD14" i="12"/>
  <c r="CB14" i="12"/>
  <c r="CB21" i="12"/>
  <c r="BW55" i="12"/>
  <c r="BY55" i="12"/>
  <c r="BZ55" i="12"/>
  <c r="CD55" i="12"/>
  <c r="CB55" i="12"/>
  <c r="BY36" i="12"/>
  <c r="BW36" i="12"/>
  <c r="BZ36" i="12"/>
  <c r="CD36" i="12"/>
  <c r="CB36" i="12"/>
  <c r="BW69" i="12"/>
  <c r="BY69" i="12"/>
  <c r="BZ69" i="12"/>
  <c r="CD69" i="12"/>
  <c r="CB69" i="12"/>
  <c r="BY96" i="12"/>
  <c r="BW96" i="12"/>
  <c r="BZ96" i="12"/>
  <c r="CD96" i="12"/>
  <c r="CB96" i="12"/>
  <c r="BY63" i="12"/>
  <c r="BW63" i="12"/>
  <c r="BZ63" i="12"/>
  <c r="CD63" i="12"/>
  <c r="BY33" i="12"/>
  <c r="BW33" i="12"/>
  <c r="CD33" i="12"/>
  <c r="BZ33" i="12"/>
  <c r="CB33" i="12"/>
  <c r="BY125" i="12"/>
  <c r="BW125" i="12"/>
  <c r="BZ125" i="12"/>
  <c r="CD125" i="12"/>
  <c r="CB125" i="12"/>
  <c r="CB118" i="12"/>
  <c r="BY40" i="12"/>
  <c r="BW40" i="12"/>
  <c r="BZ40" i="12"/>
  <c r="CD40" i="12"/>
  <c r="CB40" i="12"/>
  <c r="BY91" i="12"/>
  <c r="BW91" i="12"/>
  <c r="CD91" i="12"/>
  <c r="BZ91" i="12"/>
  <c r="CB100" i="12"/>
  <c r="BY56" i="12"/>
  <c r="BW56" i="12"/>
  <c r="BZ56" i="12"/>
  <c r="CD56" i="12"/>
  <c r="CB56" i="12"/>
  <c r="BY46" i="12"/>
  <c r="BW46" i="12"/>
  <c r="CD46" i="12"/>
  <c r="BZ46" i="12"/>
  <c r="CB46" i="12"/>
  <c r="BY58" i="12"/>
  <c r="BW58" i="12"/>
  <c r="CD58" i="12"/>
  <c r="BZ58" i="12"/>
  <c r="CB58" i="12"/>
  <c r="BY116" i="12"/>
  <c r="BW116" i="12"/>
  <c r="CD116" i="12"/>
  <c r="BZ116" i="12"/>
  <c r="CB116" i="12"/>
  <c r="CB76" i="12"/>
  <c r="BY68" i="12"/>
  <c r="BW68" i="12"/>
  <c r="CD68" i="12"/>
  <c r="BZ68" i="12"/>
  <c r="BY111" i="12"/>
  <c r="BW111" i="12"/>
  <c r="BZ111" i="12"/>
  <c r="CD111" i="12"/>
  <c r="CB111" i="12"/>
  <c r="BY105" i="12"/>
  <c r="BW105" i="12"/>
  <c r="BZ105" i="12"/>
  <c r="CD105" i="12"/>
  <c r="CB105" i="12"/>
  <c r="CB51" i="12"/>
  <c r="BY31" i="12"/>
  <c r="BW31" i="12"/>
  <c r="BZ31" i="12"/>
  <c r="CD31" i="12"/>
  <c r="CB31" i="12"/>
  <c r="BN126" i="12"/>
  <c r="BY41" i="12"/>
  <c r="BW41" i="12"/>
  <c r="BZ41" i="12"/>
  <c r="CD41" i="12"/>
  <c r="CB41" i="12"/>
  <c r="CB122" i="12"/>
  <c r="BW122" i="12"/>
  <c r="BY122" i="12"/>
  <c r="CD122" i="12"/>
  <c r="BZ122" i="12"/>
  <c r="CB54" i="12"/>
  <c r="BY43" i="12"/>
  <c r="BW43" i="12"/>
  <c r="CD43" i="12"/>
  <c r="BZ43" i="12"/>
  <c r="CB43" i="12"/>
  <c r="BW87" i="12"/>
  <c r="BY87" i="12"/>
  <c r="BZ87" i="12"/>
  <c r="CD87" i="12"/>
  <c r="CB87" i="12"/>
  <c r="BY95" i="12"/>
  <c r="BW95" i="12"/>
  <c r="BZ95" i="12"/>
  <c r="CD95" i="12"/>
  <c r="CB95" i="12"/>
  <c r="BW115" i="12"/>
  <c r="BY115" i="12"/>
  <c r="CD115" i="12"/>
  <c r="BZ115" i="12"/>
  <c r="BW124" i="12"/>
  <c r="BY124" i="12"/>
  <c r="CD124" i="12"/>
  <c r="BZ124" i="12"/>
  <c r="CB124" i="12"/>
  <c r="CB50" i="12"/>
  <c r="BY84" i="12"/>
  <c r="BW84" i="12"/>
  <c r="CD84" i="12"/>
  <c r="BZ84" i="12"/>
  <c r="CB84" i="12"/>
  <c r="CB107" i="12"/>
  <c r="BY52" i="12"/>
  <c r="BW52" i="12"/>
  <c r="BZ52" i="12"/>
  <c r="CD52" i="12"/>
  <c r="CB52" i="12"/>
  <c r="DA112" i="12"/>
  <c r="DK112" i="12"/>
  <c r="DC6" i="12"/>
  <c r="CT6" i="12"/>
  <c r="CU6" i="12" s="1"/>
  <c r="CS6" i="12"/>
  <c r="DC10" i="12"/>
  <c r="CT10" i="12"/>
  <c r="CU10" i="12" s="1"/>
  <c r="CS10" i="12"/>
  <c r="DC14" i="12"/>
  <c r="CT14" i="12"/>
  <c r="CU14" i="12" s="1"/>
  <c r="CS14" i="12"/>
  <c r="DC18" i="12"/>
  <c r="CT18" i="12"/>
  <c r="CU18" i="12" s="1"/>
  <c r="CS18" i="12"/>
  <c r="DC22" i="12"/>
  <c r="CT22" i="12"/>
  <c r="CU22" i="12" s="1"/>
  <c r="CS22" i="12"/>
  <c r="DC26" i="12"/>
  <c r="CT26" i="12"/>
  <c r="CU26" i="12" s="1"/>
  <c r="CS26" i="12"/>
  <c r="DC30" i="12"/>
  <c r="CT30" i="12"/>
  <c r="CU30" i="12" s="1"/>
  <c r="CS30" i="12"/>
  <c r="DC34" i="12"/>
  <c r="CT34" i="12"/>
  <c r="CU34" i="12" s="1"/>
  <c r="CS34" i="12"/>
  <c r="DC38" i="12"/>
  <c r="CT38" i="12"/>
  <c r="CU38" i="12" s="1"/>
  <c r="CS38" i="12"/>
  <c r="DC42" i="12"/>
  <c r="CT42" i="12"/>
  <c r="CU42" i="12" s="1"/>
  <c r="CS42" i="12"/>
  <c r="DC46" i="12"/>
  <c r="CT46" i="12"/>
  <c r="CU46" i="12" s="1"/>
  <c r="CS46" i="12"/>
  <c r="DC50" i="12"/>
  <c r="CT50" i="12"/>
  <c r="CU50" i="12" s="1"/>
  <c r="CS50" i="12"/>
  <c r="DC54" i="12"/>
  <c r="CT54" i="12"/>
  <c r="CU54" i="12" s="1"/>
  <c r="CS54" i="12"/>
  <c r="DC58" i="12"/>
  <c r="CT58" i="12"/>
  <c r="CU58" i="12" s="1"/>
  <c r="CS58" i="12"/>
  <c r="DC62" i="12"/>
  <c r="CT62" i="12"/>
  <c r="CU62" i="12" s="1"/>
  <c r="CS62" i="12"/>
  <c r="DC66" i="12"/>
  <c r="CT66" i="12"/>
  <c r="CU66" i="12" s="1"/>
  <c r="CS66" i="12"/>
  <c r="DC70" i="12"/>
  <c r="CT70" i="12"/>
  <c r="CU70" i="12" s="1"/>
  <c r="CS70" i="12"/>
  <c r="DC74" i="12"/>
  <c r="CT74" i="12"/>
  <c r="CU74" i="12" s="1"/>
  <c r="CS74" i="12"/>
  <c r="DC78" i="12"/>
  <c r="CT78" i="12"/>
  <c r="CU78" i="12" s="1"/>
  <c r="CS78" i="12"/>
  <c r="DC82" i="12"/>
  <c r="CT82" i="12"/>
  <c r="CU82" i="12" s="1"/>
  <c r="CS82" i="12"/>
  <c r="DC86" i="12"/>
  <c r="CT86" i="12"/>
  <c r="CU86" i="12" s="1"/>
  <c r="CS86" i="12"/>
  <c r="DC90" i="12"/>
  <c r="CT90" i="12"/>
  <c r="CU90" i="12" s="1"/>
  <c r="CS90" i="12"/>
  <c r="DC94" i="12"/>
  <c r="CT94" i="12"/>
  <c r="CU94" i="12" s="1"/>
  <c r="CS94" i="12"/>
  <c r="DC98" i="12"/>
  <c r="CT98" i="12"/>
  <c r="CU98" i="12" s="1"/>
  <c r="CS98" i="12"/>
  <c r="DC102" i="12"/>
  <c r="CT102" i="12"/>
  <c r="CU102" i="12" s="1"/>
  <c r="CS102" i="12"/>
  <c r="DC106" i="12"/>
  <c r="CT106" i="12"/>
  <c r="CU106" i="12" s="1"/>
  <c r="CS106" i="12"/>
  <c r="DC110" i="12"/>
  <c r="CT110" i="12"/>
  <c r="CU110" i="12" s="1"/>
  <c r="CS110" i="12"/>
  <c r="DC114" i="12"/>
  <c r="CT114" i="12"/>
  <c r="CU114" i="12" s="1"/>
  <c r="CS114" i="12"/>
  <c r="DC118" i="12"/>
  <c r="CT118" i="12"/>
  <c r="CU118" i="12" s="1"/>
  <c r="CS118" i="12"/>
  <c r="DC122" i="12"/>
  <c r="CT122" i="12"/>
  <c r="CU122" i="12" s="1"/>
  <c r="CS122" i="12"/>
  <c r="CR126" i="12"/>
  <c r="CS5" i="12"/>
  <c r="DC5" i="12"/>
  <c r="CT5" i="12"/>
  <c r="CS9" i="12"/>
  <c r="DC9" i="12"/>
  <c r="CT9" i="12"/>
  <c r="CU9" i="12" s="1"/>
  <c r="CS13" i="12"/>
  <c r="DC13" i="12"/>
  <c r="CT13" i="12"/>
  <c r="CU13" i="12" s="1"/>
  <c r="CS17" i="12"/>
  <c r="DC17" i="12"/>
  <c r="CT17" i="12"/>
  <c r="CU17" i="12" s="1"/>
  <c r="CS21" i="12"/>
  <c r="DC21" i="12"/>
  <c r="CT21" i="12"/>
  <c r="CU21" i="12" s="1"/>
  <c r="CS25" i="12"/>
  <c r="DC25" i="12"/>
  <c r="CT25" i="12"/>
  <c r="CU25" i="12" s="1"/>
  <c r="CS29" i="12"/>
  <c r="DC29" i="12"/>
  <c r="CT29" i="12"/>
  <c r="CU29" i="12" s="1"/>
  <c r="CS33" i="12"/>
  <c r="DC33" i="12"/>
  <c r="CT33" i="12"/>
  <c r="CU33" i="12" s="1"/>
  <c r="CS37" i="12"/>
  <c r="DC37" i="12"/>
  <c r="CT37" i="12"/>
  <c r="CU37" i="12" s="1"/>
  <c r="CS41" i="12"/>
  <c r="DC41" i="12"/>
  <c r="CT41" i="12"/>
  <c r="CU41" i="12" s="1"/>
  <c r="CS45" i="12"/>
  <c r="DC45" i="12"/>
  <c r="CT45" i="12"/>
  <c r="CU45" i="12" s="1"/>
  <c r="CS49" i="12"/>
  <c r="DC49" i="12"/>
  <c r="CT49" i="12"/>
  <c r="CU49" i="12" s="1"/>
  <c r="CS53" i="12"/>
  <c r="DC53" i="12"/>
  <c r="CT53" i="12"/>
  <c r="CU53" i="12" s="1"/>
  <c r="CS57" i="12"/>
  <c r="DC57" i="12"/>
  <c r="CT57" i="12"/>
  <c r="CU57" i="12" s="1"/>
  <c r="CS61" i="12"/>
  <c r="DC61" i="12"/>
  <c r="CT61" i="12"/>
  <c r="CU61" i="12" s="1"/>
  <c r="CS65" i="12"/>
  <c r="DC65" i="12"/>
  <c r="CT65" i="12"/>
  <c r="CU65" i="12" s="1"/>
  <c r="CS69" i="12"/>
  <c r="DC69" i="12"/>
  <c r="CT69" i="12"/>
  <c r="CU69" i="12" s="1"/>
  <c r="CS73" i="12"/>
  <c r="DC73" i="12"/>
  <c r="CT73" i="12"/>
  <c r="CU73" i="12" s="1"/>
  <c r="CS77" i="12"/>
  <c r="DC77" i="12"/>
  <c r="CT77" i="12"/>
  <c r="CU77" i="12" s="1"/>
  <c r="CS81" i="12"/>
  <c r="DC81" i="12"/>
  <c r="CT81" i="12"/>
  <c r="CU81" i="12" s="1"/>
  <c r="CS85" i="12"/>
  <c r="DC85" i="12"/>
  <c r="CT85" i="12"/>
  <c r="CU85" i="12" s="1"/>
  <c r="CS89" i="12"/>
  <c r="DC89" i="12"/>
  <c r="CT89" i="12"/>
  <c r="CU89" i="12" s="1"/>
  <c r="CS93" i="12"/>
  <c r="DC93" i="12"/>
  <c r="CT93" i="12"/>
  <c r="CU93" i="12" s="1"/>
  <c r="CS97" i="12"/>
  <c r="DC97" i="12"/>
  <c r="CT97" i="12"/>
  <c r="CU97" i="12" s="1"/>
  <c r="CS101" i="12"/>
  <c r="DC101" i="12"/>
  <c r="CT101" i="12"/>
  <c r="CU101" i="12" s="1"/>
  <c r="CS105" i="12"/>
  <c r="DC105" i="12"/>
  <c r="CT105" i="12"/>
  <c r="CU105" i="12" s="1"/>
  <c r="CS109" i="12"/>
  <c r="DC109" i="12"/>
  <c r="CT109" i="12"/>
  <c r="CU109" i="12" s="1"/>
  <c r="CS113" i="12"/>
  <c r="DC113" i="12"/>
  <c r="CT113" i="12"/>
  <c r="CU113" i="12" s="1"/>
  <c r="CS117" i="12"/>
  <c r="DC117" i="12"/>
  <c r="CT117" i="12"/>
  <c r="CU117" i="12" s="1"/>
  <c r="CS121" i="12"/>
  <c r="DC121" i="12"/>
  <c r="CT121" i="12"/>
  <c r="CU121" i="12" s="1"/>
  <c r="DC125" i="12"/>
  <c r="CT125" i="12"/>
  <c r="CU125" i="12" s="1"/>
  <c r="CS125" i="12"/>
  <c r="DZ151" i="14"/>
  <c r="F17" i="17"/>
  <c r="K14" i="17"/>
  <c r="F19" i="17" l="1"/>
  <c r="BK175" i="12"/>
  <c r="DW181" i="12"/>
  <c r="BN151" i="12"/>
  <c r="BM147" i="12"/>
  <c r="BM151" i="12" s="1"/>
  <c r="CU5" i="12"/>
  <c r="CU126" i="12" s="1"/>
  <c r="CT126" i="12"/>
  <c r="CS126" i="12"/>
  <c r="DL112" i="12"/>
  <c r="DJ112" i="12"/>
  <c r="DQ112" i="12"/>
  <c r="DM112" i="12"/>
  <c r="CA52" i="12"/>
  <c r="CK52" i="12"/>
  <c r="CA87" i="12"/>
  <c r="CK87" i="12"/>
  <c r="CA43" i="12"/>
  <c r="CK43" i="12"/>
  <c r="CA41" i="12"/>
  <c r="CK41" i="12"/>
  <c r="CA31" i="12"/>
  <c r="CK31" i="12"/>
  <c r="CA105" i="12"/>
  <c r="CK105" i="12"/>
  <c r="CA68" i="12"/>
  <c r="CK68" i="12"/>
  <c r="CA116" i="12"/>
  <c r="CK116" i="12"/>
  <c r="CA46" i="12"/>
  <c r="CK46" i="12"/>
  <c r="CO46" i="12" s="1"/>
  <c r="CA56" i="12"/>
  <c r="CK56" i="12"/>
  <c r="CA91" i="12"/>
  <c r="CK91" i="12"/>
  <c r="CA40" i="12"/>
  <c r="CK40" i="12"/>
  <c r="CA125" i="12"/>
  <c r="CK125" i="12"/>
  <c r="CA33" i="12"/>
  <c r="CK33" i="12"/>
  <c r="CO33" i="12" s="1"/>
  <c r="CA96" i="12"/>
  <c r="CK96" i="12"/>
  <c r="CA36" i="12"/>
  <c r="CK36" i="12"/>
  <c r="CA114" i="12"/>
  <c r="CK114" i="12"/>
  <c r="CA78" i="12"/>
  <c r="CK78" i="12"/>
  <c r="CA30" i="12"/>
  <c r="CK30" i="12"/>
  <c r="CA118" i="12"/>
  <c r="CK118" i="12"/>
  <c r="CA120" i="12"/>
  <c r="CK120" i="12"/>
  <c r="CO120" i="12" s="1"/>
  <c r="CA15" i="12"/>
  <c r="CK15" i="12"/>
  <c r="CA110" i="12"/>
  <c r="CK110" i="12"/>
  <c r="CO110" i="12" s="1"/>
  <c r="CA108" i="12"/>
  <c r="CK108" i="12"/>
  <c r="CA98" i="12"/>
  <c r="CK98" i="12"/>
  <c r="CA106" i="12"/>
  <c r="CK106" i="12"/>
  <c r="CA37" i="12"/>
  <c r="CK37" i="12"/>
  <c r="CO37" i="12" s="1"/>
  <c r="CA121" i="12"/>
  <c r="CK121" i="12"/>
  <c r="CA53" i="12"/>
  <c r="CK53" i="12"/>
  <c r="CA119" i="12"/>
  <c r="CK119" i="12"/>
  <c r="DC160" i="12"/>
  <c r="DC164" i="12" s="1"/>
  <c r="CA32" i="12"/>
  <c r="CK32" i="12"/>
  <c r="CA103" i="12"/>
  <c r="CK103" i="12"/>
  <c r="CA27" i="12"/>
  <c r="CK27" i="12"/>
  <c r="BY17" i="12"/>
  <c r="BY147" i="12" s="1"/>
  <c r="BY151" i="12" s="1"/>
  <c r="BW17" i="12"/>
  <c r="CD17" i="12"/>
  <c r="CD160" i="12" s="1"/>
  <c r="CD164" i="12" s="1"/>
  <c r="BZ17" i="12"/>
  <c r="CA59" i="12"/>
  <c r="CK59" i="12"/>
  <c r="CA49" i="12"/>
  <c r="CK49" i="12"/>
  <c r="CA28" i="12"/>
  <c r="CK28" i="12"/>
  <c r="CO28" i="12" s="1"/>
  <c r="DG5" i="12"/>
  <c r="DF5" i="12"/>
  <c r="DE126" i="12"/>
  <c r="DP5" i="12"/>
  <c r="DG9" i="12"/>
  <c r="DH9" i="12" s="1"/>
  <c r="DF9" i="12"/>
  <c r="DP9" i="12"/>
  <c r="DG13" i="12"/>
  <c r="DH13" i="12" s="1"/>
  <c r="DF13" i="12"/>
  <c r="DP13" i="12"/>
  <c r="DG17" i="12"/>
  <c r="DH17" i="12" s="1"/>
  <c r="DF17" i="12"/>
  <c r="DP17" i="12"/>
  <c r="DG21" i="12"/>
  <c r="DH21" i="12" s="1"/>
  <c r="DF21" i="12"/>
  <c r="DP21" i="12"/>
  <c r="DG25" i="12"/>
  <c r="DH25" i="12" s="1"/>
  <c r="DF25" i="12"/>
  <c r="DP25" i="12"/>
  <c r="DG29" i="12"/>
  <c r="DH29" i="12" s="1"/>
  <c r="DF29" i="12"/>
  <c r="DP29" i="12"/>
  <c r="DG33" i="12"/>
  <c r="DH33" i="12" s="1"/>
  <c r="DF33" i="12"/>
  <c r="DP33" i="12"/>
  <c r="DG37" i="12"/>
  <c r="DH37" i="12" s="1"/>
  <c r="DF37" i="12"/>
  <c r="DP37" i="12"/>
  <c r="DG41" i="12"/>
  <c r="DH41" i="12" s="1"/>
  <c r="DF41" i="12"/>
  <c r="DP41" i="12"/>
  <c r="DG45" i="12"/>
  <c r="DH45" i="12" s="1"/>
  <c r="DF45" i="12"/>
  <c r="DP45" i="12"/>
  <c r="DG49" i="12"/>
  <c r="DH49" i="12" s="1"/>
  <c r="DF49" i="12"/>
  <c r="DP49" i="12"/>
  <c r="DG53" i="12"/>
  <c r="DH53" i="12" s="1"/>
  <c r="DF53" i="12"/>
  <c r="DP53" i="12"/>
  <c r="DG57" i="12"/>
  <c r="DH57" i="12" s="1"/>
  <c r="DF57" i="12"/>
  <c r="DP57" i="12"/>
  <c r="DG61" i="12"/>
  <c r="DH61" i="12" s="1"/>
  <c r="DF61" i="12"/>
  <c r="DP61" i="12"/>
  <c r="DG65" i="12"/>
  <c r="DH65" i="12" s="1"/>
  <c r="DF65" i="12"/>
  <c r="DP65" i="12"/>
  <c r="DG69" i="12"/>
  <c r="DH69" i="12" s="1"/>
  <c r="DF69" i="12"/>
  <c r="DP69" i="12"/>
  <c r="DG73" i="12"/>
  <c r="DH73" i="12" s="1"/>
  <c r="DF73" i="12"/>
  <c r="DP73" i="12"/>
  <c r="DG77" i="12"/>
  <c r="DH77" i="12" s="1"/>
  <c r="DF77" i="12"/>
  <c r="DP77" i="12"/>
  <c r="DG81" i="12"/>
  <c r="DH81" i="12" s="1"/>
  <c r="DF81" i="12"/>
  <c r="DP81" i="12"/>
  <c r="DG85" i="12"/>
  <c r="DH85" i="12" s="1"/>
  <c r="DF85" i="12"/>
  <c r="DP85" i="12"/>
  <c r="DG89" i="12"/>
  <c r="DH89" i="12" s="1"/>
  <c r="DF89" i="12"/>
  <c r="DP89" i="12"/>
  <c r="DG93" i="12"/>
  <c r="DH93" i="12" s="1"/>
  <c r="DF93" i="12"/>
  <c r="DP93" i="12"/>
  <c r="DG97" i="12"/>
  <c r="DH97" i="12" s="1"/>
  <c r="DF97" i="12"/>
  <c r="DP97" i="12"/>
  <c r="DG101" i="12"/>
  <c r="DH101" i="12" s="1"/>
  <c r="DF101" i="12"/>
  <c r="DP101" i="12"/>
  <c r="DG105" i="12"/>
  <c r="DH105" i="12" s="1"/>
  <c r="DF105" i="12"/>
  <c r="DP105" i="12"/>
  <c r="DG109" i="12"/>
  <c r="DH109" i="12" s="1"/>
  <c r="DF109" i="12"/>
  <c r="DP109" i="12"/>
  <c r="DG113" i="12"/>
  <c r="DH113" i="12" s="1"/>
  <c r="DF113" i="12"/>
  <c r="DP113" i="12"/>
  <c r="DG117" i="12"/>
  <c r="DH117" i="12" s="1"/>
  <c r="DF117" i="12"/>
  <c r="DP117" i="12"/>
  <c r="DG119" i="12"/>
  <c r="DH119" i="12" s="1"/>
  <c r="DF119" i="12"/>
  <c r="DP119" i="12"/>
  <c r="DG123" i="12"/>
  <c r="DH123" i="12" s="1"/>
  <c r="DF123" i="12"/>
  <c r="DP123" i="12"/>
  <c r="DP8" i="12"/>
  <c r="DG8" i="12"/>
  <c r="DH8" i="12" s="1"/>
  <c r="DF8" i="12"/>
  <c r="DP12" i="12"/>
  <c r="DG12" i="12"/>
  <c r="DH12" i="12" s="1"/>
  <c r="DF12" i="12"/>
  <c r="DP16" i="12"/>
  <c r="DG16" i="12"/>
  <c r="DH16" i="12" s="1"/>
  <c r="DF16" i="12"/>
  <c r="DP20" i="12"/>
  <c r="DG20" i="12"/>
  <c r="DH20" i="12" s="1"/>
  <c r="DF20" i="12"/>
  <c r="DP24" i="12"/>
  <c r="DG24" i="12"/>
  <c r="DH24" i="12" s="1"/>
  <c r="DF24" i="12"/>
  <c r="DP28" i="12"/>
  <c r="DG28" i="12"/>
  <c r="DH28" i="12" s="1"/>
  <c r="DF28" i="12"/>
  <c r="DP32" i="12"/>
  <c r="DG32" i="12"/>
  <c r="DH32" i="12" s="1"/>
  <c r="DF32" i="12"/>
  <c r="DP36" i="12"/>
  <c r="DG36" i="12"/>
  <c r="DH36" i="12" s="1"/>
  <c r="DF36" i="12"/>
  <c r="DP40" i="12"/>
  <c r="DG40" i="12"/>
  <c r="DH40" i="12" s="1"/>
  <c r="DF40" i="12"/>
  <c r="DP44" i="12"/>
  <c r="DG44" i="12"/>
  <c r="DH44" i="12" s="1"/>
  <c r="DF44" i="12"/>
  <c r="DP48" i="12"/>
  <c r="DG48" i="12"/>
  <c r="DH48" i="12" s="1"/>
  <c r="DF48" i="12"/>
  <c r="DP52" i="12"/>
  <c r="DG52" i="12"/>
  <c r="DH52" i="12" s="1"/>
  <c r="DF52" i="12"/>
  <c r="DP56" i="12"/>
  <c r="DG56" i="12"/>
  <c r="DH56" i="12" s="1"/>
  <c r="DF56" i="12"/>
  <c r="DP60" i="12"/>
  <c r="DG60" i="12"/>
  <c r="DH60" i="12" s="1"/>
  <c r="DF60" i="12"/>
  <c r="DP64" i="12"/>
  <c r="DG64" i="12"/>
  <c r="DH64" i="12" s="1"/>
  <c r="DF64" i="12"/>
  <c r="DP68" i="12"/>
  <c r="DG68" i="12"/>
  <c r="DH68" i="12" s="1"/>
  <c r="DF68" i="12"/>
  <c r="DP72" i="12"/>
  <c r="DG72" i="12"/>
  <c r="DH72" i="12" s="1"/>
  <c r="DF72" i="12"/>
  <c r="DP76" i="12"/>
  <c r="DG76" i="12"/>
  <c r="DH76" i="12" s="1"/>
  <c r="DF76" i="12"/>
  <c r="DP80" i="12"/>
  <c r="DG80" i="12"/>
  <c r="DH80" i="12" s="1"/>
  <c r="DF80" i="12"/>
  <c r="DP84" i="12"/>
  <c r="DG84" i="12"/>
  <c r="DH84" i="12" s="1"/>
  <c r="DF84" i="12"/>
  <c r="DP88" i="12"/>
  <c r="DG88" i="12"/>
  <c r="DH88" i="12" s="1"/>
  <c r="DF88" i="12"/>
  <c r="DP92" i="12"/>
  <c r="DG92" i="12"/>
  <c r="DH92" i="12" s="1"/>
  <c r="DF92" i="12"/>
  <c r="DP96" i="12"/>
  <c r="DG96" i="12"/>
  <c r="DH96" i="12" s="1"/>
  <c r="DF96" i="12"/>
  <c r="DP100" i="12"/>
  <c r="DG100" i="12"/>
  <c r="DH100" i="12" s="1"/>
  <c r="DF100" i="12"/>
  <c r="DP104" i="12"/>
  <c r="DG104" i="12"/>
  <c r="DH104" i="12" s="1"/>
  <c r="DF104" i="12"/>
  <c r="DP108" i="12"/>
  <c r="DG108" i="12"/>
  <c r="DH108" i="12" s="1"/>
  <c r="DF108" i="12"/>
  <c r="DP112" i="12"/>
  <c r="DG112" i="12"/>
  <c r="DH112" i="12" s="1"/>
  <c r="DF112" i="12"/>
  <c r="DP116" i="12"/>
  <c r="DG116" i="12"/>
  <c r="DH116" i="12" s="1"/>
  <c r="DF116" i="12"/>
  <c r="DF125" i="12"/>
  <c r="DP125" i="12"/>
  <c r="DG125" i="12"/>
  <c r="DH125" i="12" s="1"/>
  <c r="DP122" i="12"/>
  <c r="DG122" i="12"/>
  <c r="DH122" i="12" s="1"/>
  <c r="DF122" i="12"/>
  <c r="CA62" i="12"/>
  <c r="CK62" i="12"/>
  <c r="CA113" i="12"/>
  <c r="CK113" i="12"/>
  <c r="CA81" i="12"/>
  <c r="CK81" i="12"/>
  <c r="CA10" i="12"/>
  <c r="CK10" i="12"/>
  <c r="CA66" i="12"/>
  <c r="CK66" i="12"/>
  <c r="CA29" i="12"/>
  <c r="CK29" i="12"/>
  <c r="DL101" i="12"/>
  <c r="DJ101" i="12"/>
  <c r="DQ101" i="12"/>
  <c r="DM101" i="12"/>
  <c r="CA85" i="12"/>
  <c r="CK85" i="12"/>
  <c r="CA20" i="12"/>
  <c r="CK20" i="12"/>
  <c r="CA83" i="12"/>
  <c r="CK83" i="12"/>
  <c r="CB126" i="12"/>
  <c r="CA5" i="12"/>
  <c r="CK5" i="12"/>
  <c r="BX126" i="12"/>
  <c r="CA39" i="12"/>
  <c r="CK39" i="12"/>
  <c r="CO39" i="12" s="1"/>
  <c r="CA72" i="12"/>
  <c r="CK72" i="12"/>
  <c r="CA100" i="12"/>
  <c r="CK100" i="12"/>
  <c r="CA75" i="12"/>
  <c r="CK75" i="12"/>
  <c r="CA22" i="12"/>
  <c r="CK22" i="12"/>
  <c r="CA25" i="12"/>
  <c r="CK25" i="12"/>
  <c r="CA8" i="12"/>
  <c r="CK8" i="12"/>
  <c r="BX134" i="12"/>
  <c r="BX138" i="12" s="1"/>
  <c r="BX183" i="12" s="1"/>
  <c r="CA54" i="12"/>
  <c r="CK54" i="12"/>
  <c r="CA71" i="12"/>
  <c r="CK71" i="12"/>
  <c r="CO71" i="12" s="1"/>
  <c r="CA99" i="12"/>
  <c r="CK99" i="12"/>
  <c r="DC126" i="12"/>
  <c r="CA84" i="12"/>
  <c r="CK84" i="12"/>
  <c r="CO84" i="12" s="1"/>
  <c r="CA124" i="12"/>
  <c r="CK124" i="12"/>
  <c r="CA115" i="12"/>
  <c r="CK115" i="12"/>
  <c r="CA95" i="12"/>
  <c r="CK95" i="12"/>
  <c r="CA122" i="12"/>
  <c r="CK122" i="12"/>
  <c r="CO122" i="12" s="1"/>
  <c r="CA111" i="12"/>
  <c r="CK111" i="12"/>
  <c r="CO116" i="12"/>
  <c r="CA58" i="12"/>
  <c r="CK58" i="12"/>
  <c r="CO118" i="12"/>
  <c r="CA63" i="12"/>
  <c r="CK63" i="12"/>
  <c r="CA69" i="12"/>
  <c r="CK69" i="12"/>
  <c r="CA55" i="12"/>
  <c r="CK55" i="12"/>
  <c r="CA14" i="12"/>
  <c r="CK14" i="12"/>
  <c r="CO78" i="12"/>
  <c r="CA61" i="12"/>
  <c r="CK61" i="12"/>
  <c r="CA102" i="12"/>
  <c r="CK102" i="12"/>
  <c r="DO112" i="12"/>
  <c r="CA50" i="12"/>
  <c r="CK50" i="12"/>
  <c r="CA38" i="12"/>
  <c r="CK38" i="12"/>
  <c r="CA44" i="12"/>
  <c r="CK44" i="12"/>
  <c r="CA42" i="12"/>
  <c r="CK42" i="12"/>
  <c r="CO42" i="12" s="1"/>
  <c r="CA24" i="12"/>
  <c r="CK24" i="12"/>
  <c r="CA86" i="12"/>
  <c r="CK86" i="12"/>
  <c r="CA13" i="12"/>
  <c r="CK13" i="12"/>
  <c r="CA64" i="12"/>
  <c r="CK64" i="12"/>
  <c r="CA51" i="12"/>
  <c r="CK51" i="12"/>
  <c r="CO51" i="12" s="1"/>
  <c r="DR125" i="12"/>
  <c r="DR123" i="12"/>
  <c r="DR121" i="12"/>
  <c r="DR119" i="12"/>
  <c r="DR117" i="12"/>
  <c r="DR115" i="12"/>
  <c r="DR113" i="12"/>
  <c r="DR111" i="12"/>
  <c r="DR109" i="12"/>
  <c r="DR107" i="12"/>
  <c r="DR105" i="12"/>
  <c r="DR103" i="12"/>
  <c r="DR101" i="12"/>
  <c r="DR99" i="12"/>
  <c r="DR97" i="12"/>
  <c r="DR95" i="12"/>
  <c r="DR93" i="12"/>
  <c r="DR91" i="12"/>
  <c r="DR89" i="12"/>
  <c r="DR87" i="12"/>
  <c r="DR85" i="12"/>
  <c r="DR83" i="12"/>
  <c r="DR81" i="12"/>
  <c r="DR79" i="12"/>
  <c r="DR77" i="12"/>
  <c r="DR75" i="12"/>
  <c r="DR73" i="12"/>
  <c r="DR71" i="12"/>
  <c r="DR69" i="12"/>
  <c r="DR67" i="12"/>
  <c r="DR65" i="12"/>
  <c r="DR63" i="12"/>
  <c r="DR61" i="12"/>
  <c r="DR59" i="12"/>
  <c r="DR57" i="12"/>
  <c r="DR55" i="12"/>
  <c r="DR53" i="12"/>
  <c r="DR51" i="12"/>
  <c r="DR49" i="12"/>
  <c r="DR47" i="12"/>
  <c r="DR45" i="12"/>
  <c r="DR43" i="12"/>
  <c r="DR41" i="12"/>
  <c r="DR39" i="12"/>
  <c r="DR37" i="12"/>
  <c r="DR35" i="12"/>
  <c r="DR33" i="12"/>
  <c r="DR31" i="12"/>
  <c r="DR29" i="12"/>
  <c r="DR27" i="12"/>
  <c r="DR25" i="12"/>
  <c r="DR23" i="12"/>
  <c r="DR21" i="12"/>
  <c r="DR19" i="12"/>
  <c r="DR17" i="12"/>
  <c r="DR15" i="12"/>
  <c r="DR13" i="12"/>
  <c r="DR11" i="12"/>
  <c r="DR9" i="12"/>
  <c r="DR7" i="12"/>
  <c r="DR5" i="12"/>
  <c r="DR124" i="12"/>
  <c r="DR122" i="12"/>
  <c r="DR120" i="12"/>
  <c r="DR118" i="12"/>
  <c r="DR116" i="12"/>
  <c r="DR114" i="12"/>
  <c r="DR112" i="12"/>
  <c r="DR110" i="12"/>
  <c r="DR108" i="12"/>
  <c r="DR106" i="12"/>
  <c r="DR104" i="12"/>
  <c r="DR102" i="12"/>
  <c r="DR100" i="12"/>
  <c r="DR98" i="12"/>
  <c r="DR96" i="12"/>
  <c r="DR94" i="12"/>
  <c r="DR92" i="12"/>
  <c r="DR90" i="12"/>
  <c r="DR88" i="12"/>
  <c r="DR86" i="12"/>
  <c r="DR84" i="12"/>
  <c r="DR82" i="12"/>
  <c r="DR80" i="12"/>
  <c r="DR78" i="12"/>
  <c r="DR76" i="12"/>
  <c r="DR74" i="12"/>
  <c r="DR72" i="12"/>
  <c r="DR70" i="12"/>
  <c r="DR68" i="12"/>
  <c r="DR66" i="12"/>
  <c r="DR64" i="12"/>
  <c r="DR62" i="12"/>
  <c r="DR60" i="12"/>
  <c r="DR58" i="12"/>
  <c r="DR56" i="12"/>
  <c r="DR54" i="12"/>
  <c r="DR52" i="12"/>
  <c r="DR50" i="12"/>
  <c r="DR48" i="12"/>
  <c r="DR46" i="12"/>
  <c r="DR44" i="12"/>
  <c r="DR42" i="12"/>
  <c r="DR40" i="12"/>
  <c r="DR38" i="12"/>
  <c r="DR36" i="12"/>
  <c r="DR34" i="12"/>
  <c r="DR32" i="12"/>
  <c r="DR30" i="12"/>
  <c r="DR28" i="12"/>
  <c r="DR26" i="12"/>
  <c r="DR24" i="12"/>
  <c r="DR22" i="12"/>
  <c r="DR20" i="12"/>
  <c r="DR18" i="12"/>
  <c r="DR16" i="12"/>
  <c r="DR14" i="12"/>
  <c r="DR12" i="12"/>
  <c r="DR10" i="12"/>
  <c r="DR8" i="12"/>
  <c r="DR6" i="12"/>
  <c r="CO121" i="12"/>
  <c r="CA67" i="12"/>
  <c r="CK67" i="12"/>
  <c r="CA104" i="12"/>
  <c r="CK104" i="12"/>
  <c r="CA89" i="12"/>
  <c r="CK89" i="12"/>
  <c r="CU147" i="12"/>
  <c r="CU151" i="12" s="1"/>
  <c r="CS147" i="12"/>
  <c r="CS151" i="12" s="1"/>
  <c r="CA65" i="12"/>
  <c r="CK65" i="12"/>
  <c r="CO32" i="12"/>
  <c r="CA94" i="12"/>
  <c r="CK94" i="12"/>
  <c r="CO94" i="12" s="1"/>
  <c r="CO83" i="12"/>
  <c r="CA18" i="12"/>
  <c r="CK18" i="12"/>
  <c r="CA6" i="12"/>
  <c r="CK6" i="12"/>
  <c r="CA35" i="12"/>
  <c r="CK35" i="12"/>
  <c r="CA117" i="12"/>
  <c r="CK117" i="12"/>
  <c r="CA12" i="12"/>
  <c r="CK12" i="12"/>
  <c r="CO12" i="12" s="1"/>
  <c r="CA60" i="12"/>
  <c r="CK60" i="12"/>
  <c r="CA19" i="12"/>
  <c r="CK19" i="12"/>
  <c r="CA11" i="12"/>
  <c r="CK11" i="12"/>
  <c r="BW123" i="12"/>
  <c r="BY123" i="12"/>
  <c r="BZ123" i="12"/>
  <c r="CD123" i="12"/>
  <c r="CD126" i="12" s="1"/>
  <c r="DP7" i="12"/>
  <c r="DG7" i="12"/>
  <c r="DH7" i="12" s="1"/>
  <c r="DF7" i="12"/>
  <c r="DP11" i="12"/>
  <c r="DG11" i="12"/>
  <c r="DH11" i="12" s="1"/>
  <c r="DF11" i="12"/>
  <c r="DP15" i="12"/>
  <c r="DG15" i="12"/>
  <c r="DH15" i="12" s="1"/>
  <c r="DF15" i="12"/>
  <c r="DP19" i="12"/>
  <c r="DG19" i="12"/>
  <c r="DH19" i="12" s="1"/>
  <c r="DF19" i="12"/>
  <c r="DP23" i="12"/>
  <c r="DG23" i="12"/>
  <c r="DH23" i="12" s="1"/>
  <c r="DF23" i="12"/>
  <c r="DP27" i="12"/>
  <c r="DG27" i="12"/>
  <c r="DH27" i="12" s="1"/>
  <c r="DF27" i="12"/>
  <c r="DP31" i="12"/>
  <c r="DG31" i="12"/>
  <c r="DH31" i="12" s="1"/>
  <c r="DF31" i="12"/>
  <c r="DP35" i="12"/>
  <c r="DG35" i="12"/>
  <c r="DH35" i="12" s="1"/>
  <c r="DF35" i="12"/>
  <c r="DP39" i="12"/>
  <c r="DG39" i="12"/>
  <c r="DH39" i="12" s="1"/>
  <c r="DF39" i="12"/>
  <c r="DP43" i="12"/>
  <c r="DG43" i="12"/>
  <c r="DH43" i="12" s="1"/>
  <c r="DF43" i="12"/>
  <c r="DP47" i="12"/>
  <c r="DG47" i="12"/>
  <c r="DH47" i="12" s="1"/>
  <c r="DF47" i="12"/>
  <c r="DP51" i="12"/>
  <c r="DG51" i="12"/>
  <c r="DH51" i="12" s="1"/>
  <c r="DF51" i="12"/>
  <c r="DP55" i="12"/>
  <c r="DG55" i="12"/>
  <c r="DH55" i="12" s="1"/>
  <c r="DF55" i="12"/>
  <c r="DP59" i="12"/>
  <c r="DG59" i="12"/>
  <c r="DH59" i="12" s="1"/>
  <c r="DF59" i="12"/>
  <c r="DP63" i="12"/>
  <c r="DG63" i="12"/>
  <c r="DH63" i="12" s="1"/>
  <c r="DF63" i="12"/>
  <c r="DP67" i="12"/>
  <c r="DG67" i="12"/>
  <c r="DH67" i="12" s="1"/>
  <c r="DF67" i="12"/>
  <c r="DP71" i="12"/>
  <c r="DG71" i="12"/>
  <c r="DH71" i="12" s="1"/>
  <c r="DF71" i="12"/>
  <c r="DP75" i="12"/>
  <c r="DG75" i="12"/>
  <c r="DH75" i="12" s="1"/>
  <c r="DF75" i="12"/>
  <c r="DP79" i="12"/>
  <c r="DG79" i="12"/>
  <c r="DH79" i="12" s="1"/>
  <c r="DF79" i="12"/>
  <c r="DP83" i="12"/>
  <c r="DG83" i="12"/>
  <c r="DH83" i="12" s="1"/>
  <c r="DF83" i="12"/>
  <c r="DP87" i="12"/>
  <c r="DG87" i="12"/>
  <c r="DH87" i="12" s="1"/>
  <c r="DF87" i="12"/>
  <c r="DP91" i="12"/>
  <c r="DG91" i="12"/>
  <c r="DH91" i="12" s="1"/>
  <c r="DF91" i="12"/>
  <c r="DP95" i="12"/>
  <c r="DG95" i="12"/>
  <c r="DH95" i="12" s="1"/>
  <c r="DF95" i="12"/>
  <c r="DP99" i="12"/>
  <c r="DG99" i="12"/>
  <c r="DH99" i="12" s="1"/>
  <c r="DF99" i="12"/>
  <c r="DP103" i="12"/>
  <c r="DG103" i="12"/>
  <c r="DH103" i="12" s="1"/>
  <c r="DF103" i="12"/>
  <c r="DP107" i="12"/>
  <c r="DG107" i="12"/>
  <c r="DH107" i="12" s="1"/>
  <c r="DF107" i="12"/>
  <c r="DP111" i="12"/>
  <c r="DG111" i="12"/>
  <c r="DH111" i="12" s="1"/>
  <c r="DF111" i="12"/>
  <c r="DP115" i="12"/>
  <c r="DG115" i="12"/>
  <c r="DH115" i="12" s="1"/>
  <c r="DF115" i="12"/>
  <c r="DF124" i="12"/>
  <c r="DP124" i="12"/>
  <c r="DG124" i="12"/>
  <c r="DH124" i="12" s="1"/>
  <c r="DP121" i="12"/>
  <c r="DG121" i="12"/>
  <c r="DH121" i="12" s="1"/>
  <c r="DF121" i="12"/>
  <c r="DG6" i="12"/>
  <c r="DH6" i="12" s="1"/>
  <c r="DF6" i="12"/>
  <c r="DP6" i="12"/>
  <c r="DG10" i="12"/>
  <c r="DH10" i="12" s="1"/>
  <c r="DF10" i="12"/>
  <c r="DP10" i="12"/>
  <c r="DG14" i="12"/>
  <c r="DH14" i="12" s="1"/>
  <c r="DF14" i="12"/>
  <c r="DP14" i="12"/>
  <c r="DG18" i="12"/>
  <c r="DH18" i="12" s="1"/>
  <c r="DF18" i="12"/>
  <c r="DP18" i="12"/>
  <c r="DG22" i="12"/>
  <c r="DH22" i="12" s="1"/>
  <c r="DF22" i="12"/>
  <c r="DP22" i="12"/>
  <c r="DG26" i="12"/>
  <c r="DH26" i="12" s="1"/>
  <c r="DF26" i="12"/>
  <c r="DP26" i="12"/>
  <c r="DG30" i="12"/>
  <c r="DH30" i="12" s="1"/>
  <c r="DF30" i="12"/>
  <c r="DP30" i="12"/>
  <c r="DG34" i="12"/>
  <c r="DH34" i="12" s="1"/>
  <c r="DF34" i="12"/>
  <c r="DP34" i="12"/>
  <c r="DG38" i="12"/>
  <c r="DH38" i="12" s="1"/>
  <c r="DF38" i="12"/>
  <c r="DP38" i="12"/>
  <c r="DG42" i="12"/>
  <c r="DH42" i="12" s="1"/>
  <c r="DF42" i="12"/>
  <c r="DP42" i="12"/>
  <c r="DG46" i="12"/>
  <c r="DH46" i="12" s="1"/>
  <c r="DF46" i="12"/>
  <c r="DP46" i="12"/>
  <c r="DG50" i="12"/>
  <c r="DH50" i="12" s="1"/>
  <c r="DF50" i="12"/>
  <c r="DP50" i="12"/>
  <c r="DG54" i="12"/>
  <c r="DH54" i="12" s="1"/>
  <c r="DF54" i="12"/>
  <c r="DP54" i="12"/>
  <c r="DG58" i="12"/>
  <c r="DH58" i="12" s="1"/>
  <c r="DF58" i="12"/>
  <c r="DP58" i="12"/>
  <c r="DG62" i="12"/>
  <c r="DH62" i="12" s="1"/>
  <c r="DF62" i="12"/>
  <c r="DP62" i="12"/>
  <c r="DG66" i="12"/>
  <c r="DH66" i="12" s="1"/>
  <c r="DF66" i="12"/>
  <c r="DP66" i="12"/>
  <c r="DG70" i="12"/>
  <c r="DH70" i="12" s="1"/>
  <c r="DF70" i="12"/>
  <c r="DP70" i="12"/>
  <c r="DG74" i="12"/>
  <c r="DH74" i="12" s="1"/>
  <c r="DF74" i="12"/>
  <c r="DP74" i="12"/>
  <c r="DG78" i="12"/>
  <c r="DH78" i="12" s="1"/>
  <c r="DF78" i="12"/>
  <c r="DP78" i="12"/>
  <c r="DG82" i="12"/>
  <c r="DH82" i="12" s="1"/>
  <c r="DF82" i="12"/>
  <c r="DP82" i="12"/>
  <c r="DG86" i="12"/>
  <c r="DH86" i="12" s="1"/>
  <c r="DF86" i="12"/>
  <c r="DP86" i="12"/>
  <c r="DG90" i="12"/>
  <c r="DH90" i="12" s="1"/>
  <c r="DF90" i="12"/>
  <c r="DP90" i="12"/>
  <c r="DG94" i="12"/>
  <c r="DH94" i="12" s="1"/>
  <c r="DF94" i="12"/>
  <c r="DP94" i="12"/>
  <c r="DG98" i="12"/>
  <c r="DH98" i="12" s="1"/>
  <c r="DF98" i="12"/>
  <c r="DP98" i="12"/>
  <c r="DG102" i="12"/>
  <c r="DH102" i="12" s="1"/>
  <c r="DF102" i="12"/>
  <c r="DP102" i="12"/>
  <c r="DG106" i="12"/>
  <c r="DH106" i="12" s="1"/>
  <c r="DF106" i="12"/>
  <c r="DP106" i="12"/>
  <c r="DG110" i="12"/>
  <c r="DH110" i="12" s="1"/>
  <c r="DF110" i="12"/>
  <c r="DP110" i="12"/>
  <c r="DG114" i="12"/>
  <c r="DH114" i="12" s="1"/>
  <c r="DF114" i="12"/>
  <c r="DP114" i="12"/>
  <c r="DG118" i="12"/>
  <c r="DH118" i="12" s="1"/>
  <c r="DF118" i="12"/>
  <c r="DP118" i="12"/>
  <c r="DG120" i="12"/>
  <c r="DH120" i="12" s="1"/>
  <c r="DF120" i="12"/>
  <c r="DP120" i="12"/>
  <c r="CW90" i="12"/>
  <c r="CY90" i="12"/>
  <c r="CZ90" i="12"/>
  <c r="DD90" i="12"/>
  <c r="CY74" i="12"/>
  <c r="CW74" i="12"/>
  <c r="DD74" i="12"/>
  <c r="CZ74" i="12"/>
  <c r="DB74" i="12"/>
  <c r="CA26" i="12"/>
  <c r="CK26" i="12"/>
  <c r="CA93" i="12"/>
  <c r="CK93" i="12"/>
  <c r="BX174" i="12"/>
  <c r="CA92" i="12"/>
  <c r="CK92" i="12"/>
  <c r="CA23" i="12"/>
  <c r="CK23" i="12"/>
  <c r="CA57" i="12"/>
  <c r="CK57" i="12"/>
  <c r="CA45" i="12"/>
  <c r="CK45" i="12"/>
  <c r="CA70" i="12"/>
  <c r="CK70" i="12"/>
  <c r="CA76" i="12"/>
  <c r="CK76" i="12"/>
  <c r="CW82" i="12"/>
  <c r="CY82" i="12"/>
  <c r="CZ82" i="12"/>
  <c r="DD82" i="12"/>
  <c r="CA9" i="12"/>
  <c r="CK9" i="12"/>
  <c r="CO9" i="12" s="1"/>
  <c r="CA21" i="12"/>
  <c r="CK21" i="12"/>
  <c r="CO25" i="12"/>
  <c r="BW126" i="12"/>
  <c r="BX176" i="12" s="1"/>
  <c r="CA107" i="12"/>
  <c r="CK107" i="12"/>
  <c r="CA88" i="12"/>
  <c r="CK88" i="12"/>
  <c r="CA34" i="12"/>
  <c r="CK34" i="12"/>
  <c r="CA80" i="12"/>
  <c r="CK80" i="12"/>
  <c r="CA48" i="12"/>
  <c r="CK48" i="12"/>
  <c r="CA109" i="12"/>
  <c r="CK109" i="12"/>
  <c r="CA16" i="12"/>
  <c r="CK16" i="12"/>
  <c r="CA47" i="12"/>
  <c r="CK47" i="12"/>
  <c r="I30" i="7"/>
  <c r="I31" i="7"/>
  <c r="D31" i="7"/>
  <c r="D30" i="7"/>
  <c r="BX175" i="12" l="1"/>
  <c r="BY126" i="12"/>
  <c r="CJ34" i="12"/>
  <c r="CL34" i="12"/>
  <c r="CM34" i="12"/>
  <c r="CQ34" i="12"/>
  <c r="CO107" i="12"/>
  <c r="CL107" i="12"/>
  <c r="CJ107" i="12"/>
  <c r="CQ107" i="12"/>
  <c r="CM107" i="12"/>
  <c r="CL21" i="12"/>
  <c r="CJ21" i="12"/>
  <c r="CM21" i="12"/>
  <c r="CQ21" i="12"/>
  <c r="CJ76" i="12"/>
  <c r="CL76" i="12"/>
  <c r="CQ76" i="12"/>
  <c r="CM76" i="12"/>
  <c r="CJ92" i="12"/>
  <c r="CL92" i="12"/>
  <c r="CQ92" i="12"/>
  <c r="CM92" i="12"/>
  <c r="CL16" i="12"/>
  <c r="CJ16" i="12"/>
  <c r="CM16" i="12"/>
  <c r="CQ16" i="12"/>
  <c r="CJ109" i="12"/>
  <c r="CL109" i="12"/>
  <c r="CM109" i="12"/>
  <c r="CQ109" i="12"/>
  <c r="CO48" i="12"/>
  <c r="CJ48" i="12"/>
  <c r="CL48" i="12"/>
  <c r="CQ48" i="12"/>
  <c r="CM48" i="12"/>
  <c r="CJ80" i="12"/>
  <c r="CL80" i="12"/>
  <c r="CQ80" i="12"/>
  <c r="CM80" i="12"/>
  <c r="CO80" i="12"/>
  <c r="DA82" i="12"/>
  <c r="DK82" i="12"/>
  <c r="CJ45" i="12"/>
  <c r="CL45" i="12"/>
  <c r="CQ45" i="12"/>
  <c r="CM45" i="12"/>
  <c r="CJ57" i="12"/>
  <c r="CL57" i="12"/>
  <c r="CM57" i="12"/>
  <c r="CQ57" i="12"/>
  <c r="CL23" i="12"/>
  <c r="CJ23" i="12"/>
  <c r="CM23" i="12"/>
  <c r="CQ23" i="12"/>
  <c r="CJ26" i="12"/>
  <c r="CL26" i="12"/>
  <c r="CM26" i="12"/>
  <c r="CQ26" i="12"/>
  <c r="CO26" i="12"/>
  <c r="CO109" i="12"/>
  <c r="DA74" i="12"/>
  <c r="DK74" i="12"/>
  <c r="DA90" i="12"/>
  <c r="DK90" i="12"/>
  <c r="CA123" i="12"/>
  <c r="CK123" i="12"/>
  <c r="CO35" i="12"/>
  <c r="CJ35" i="12"/>
  <c r="CL35" i="12"/>
  <c r="CQ35" i="12"/>
  <c r="CM35" i="12"/>
  <c r="CO6" i="12"/>
  <c r="CL6" i="12"/>
  <c r="CJ6" i="12"/>
  <c r="CQ6" i="12"/>
  <c r="CM6" i="12"/>
  <c r="CJ18" i="12"/>
  <c r="CL18" i="12"/>
  <c r="CM18" i="12"/>
  <c r="CQ18" i="12"/>
  <c r="CJ65" i="12"/>
  <c r="CL65" i="12"/>
  <c r="CQ65" i="12"/>
  <c r="CM65" i="12"/>
  <c r="CO65" i="12"/>
  <c r="CL67" i="12"/>
  <c r="CJ67" i="12"/>
  <c r="CM67" i="12"/>
  <c r="CQ67" i="12"/>
  <c r="DS6" i="12"/>
  <c r="EC6" i="12"/>
  <c r="DT6" i="12"/>
  <c r="DU6" i="12" s="1"/>
  <c r="DS10" i="12"/>
  <c r="EC10" i="12"/>
  <c r="DT10" i="12"/>
  <c r="DU10" i="12" s="1"/>
  <c r="DS14" i="12"/>
  <c r="EC14" i="12"/>
  <c r="DT14" i="12"/>
  <c r="DU14" i="12" s="1"/>
  <c r="DS18" i="12"/>
  <c r="EC18" i="12"/>
  <c r="DT18" i="12"/>
  <c r="DU18" i="12" s="1"/>
  <c r="DS22" i="12"/>
  <c r="EC22" i="12"/>
  <c r="DT22" i="12"/>
  <c r="DU22" i="12" s="1"/>
  <c r="DS26" i="12"/>
  <c r="EC26" i="12"/>
  <c r="DT26" i="12"/>
  <c r="DU26" i="12" s="1"/>
  <c r="DS30" i="12"/>
  <c r="EC30" i="12"/>
  <c r="DT30" i="12"/>
  <c r="DU30" i="12" s="1"/>
  <c r="DS34" i="12"/>
  <c r="EC34" i="12"/>
  <c r="DT34" i="12"/>
  <c r="DU34" i="12" s="1"/>
  <c r="DS38" i="12"/>
  <c r="EC38" i="12"/>
  <c r="DT38" i="12"/>
  <c r="DU38" i="12" s="1"/>
  <c r="DS42" i="12"/>
  <c r="EC42" i="12"/>
  <c r="DT42" i="12"/>
  <c r="DU42" i="12" s="1"/>
  <c r="DS46" i="12"/>
  <c r="EC46" i="12"/>
  <c r="DT46" i="12"/>
  <c r="DU46" i="12" s="1"/>
  <c r="DS50" i="12"/>
  <c r="EC50" i="12"/>
  <c r="DT50" i="12"/>
  <c r="DU50" i="12" s="1"/>
  <c r="DS54" i="12"/>
  <c r="EC54" i="12"/>
  <c r="DT54" i="12"/>
  <c r="DU54" i="12" s="1"/>
  <c r="DS58" i="12"/>
  <c r="EC58" i="12"/>
  <c r="DT58" i="12"/>
  <c r="DU58" i="12" s="1"/>
  <c r="DS62" i="12"/>
  <c r="EC62" i="12"/>
  <c r="DT62" i="12"/>
  <c r="DU62" i="12" s="1"/>
  <c r="DS66" i="12"/>
  <c r="EC66" i="12"/>
  <c r="DT66" i="12"/>
  <c r="DU66" i="12" s="1"/>
  <c r="DS70" i="12"/>
  <c r="EC70" i="12"/>
  <c r="DT70" i="12"/>
  <c r="DU70" i="12" s="1"/>
  <c r="DS74" i="12"/>
  <c r="EC74" i="12"/>
  <c r="DT74" i="12"/>
  <c r="DU74" i="12" s="1"/>
  <c r="DS78" i="12"/>
  <c r="EC78" i="12"/>
  <c r="DT78" i="12"/>
  <c r="DU78" i="12" s="1"/>
  <c r="DS82" i="12"/>
  <c r="EC82" i="12"/>
  <c r="DT82" i="12"/>
  <c r="DU82" i="12" s="1"/>
  <c r="DS86" i="12"/>
  <c r="EC86" i="12"/>
  <c r="DT86" i="12"/>
  <c r="DU86" i="12" s="1"/>
  <c r="DS90" i="12"/>
  <c r="EC90" i="12"/>
  <c r="DT90" i="12"/>
  <c r="DU90" i="12" s="1"/>
  <c r="DS94" i="12"/>
  <c r="EC94" i="12"/>
  <c r="DT94" i="12"/>
  <c r="DU94" i="12" s="1"/>
  <c r="DS98" i="12"/>
  <c r="EC98" i="12"/>
  <c r="DT98" i="12"/>
  <c r="DU98" i="12" s="1"/>
  <c r="DS102" i="12"/>
  <c r="EC102" i="12"/>
  <c r="DT102" i="12"/>
  <c r="DU102" i="12" s="1"/>
  <c r="DS106" i="12"/>
  <c r="EC106" i="12"/>
  <c r="DT106" i="12"/>
  <c r="DU106" i="12" s="1"/>
  <c r="DS110" i="12"/>
  <c r="EC110" i="12"/>
  <c r="DT110" i="12"/>
  <c r="DU110" i="12" s="1"/>
  <c r="DS114" i="12"/>
  <c r="EC114" i="12"/>
  <c r="DT114" i="12"/>
  <c r="DU114" i="12" s="1"/>
  <c r="DS118" i="12"/>
  <c r="EC118" i="12"/>
  <c r="DT118" i="12"/>
  <c r="DU118" i="12" s="1"/>
  <c r="DS122" i="12"/>
  <c r="EC122" i="12"/>
  <c r="DT122" i="12"/>
  <c r="DU122" i="12" s="1"/>
  <c r="DR126" i="12"/>
  <c r="DS5" i="12"/>
  <c r="EC5" i="12"/>
  <c r="DT5" i="12"/>
  <c r="DS9" i="12"/>
  <c r="EC9" i="12"/>
  <c r="DT9" i="12"/>
  <c r="DU9" i="12" s="1"/>
  <c r="DS13" i="12"/>
  <c r="EC13" i="12"/>
  <c r="DT13" i="12"/>
  <c r="DU13" i="12" s="1"/>
  <c r="DS17" i="12"/>
  <c r="EC17" i="12"/>
  <c r="DT17" i="12"/>
  <c r="DU17" i="12" s="1"/>
  <c r="DS21" i="12"/>
  <c r="EC21" i="12"/>
  <c r="DT21" i="12"/>
  <c r="DU21" i="12" s="1"/>
  <c r="DS25" i="12"/>
  <c r="EC25" i="12"/>
  <c r="DT25" i="12"/>
  <c r="DU25" i="12" s="1"/>
  <c r="DS29" i="12"/>
  <c r="EC29" i="12"/>
  <c r="DT29" i="12"/>
  <c r="DU29" i="12" s="1"/>
  <c r="DS33" i="12"/>
  <c r="EC33" i="12"/>
  <c r="DT33" i="12"/>
  <c r="DU33" i="12" s="1"/>
  <c r="DS37" i="12"/>
  <c r="EC37" i="12"/>
  <c r="DT37" i="12"/>
  <c r="DU37" i="12" s="1"/>
  <c r="DS41" i="12"/>
  <c r="EC41" i="12"/>
  <c r="DT41" i="12"/>
  <c r="DU41" i="12" s="1"/>
  <c r="DS45" i="12"/>
  <c r="EC45" i="12"/>
  <c r="DT45" i="12"/>
  <c r="DU45" i="12" s="1"/>
  <c r="DS49" i="12"/>
  <c r="EC49" i="12"/>
  <c r="DT49" i="12"/>
  <c r="DU49" i="12" s="1"/>
  <c r="DS53" i="12"/>
  <c r="EC53" i="12"/>
  <c r="DT53" i="12"/>
  <c r="DU53" i="12" s="1"/>
  <c r="DS57" i="12"/>
  <c r="EC57" i="12"/>
  <c r="DT57" i="12"/>
  <c r="DU57" i="12" s="1"/>
  <c r="DS61" i="12"/>
  <c r="EC61" i="12"/>
  <c r="DT61" i="12"/>
  <c r="DU61" i="12" s="1"/>
  <c r="DS65" i="12"/>
  <c r="EC65" i="12"/>
  <c r="DT65" i="12"/>
  <c r="DU65" i="12" s="1"/>
  <c r="DS69" i="12"/>
  <c r="EC69" i="12"/>
  <c r="DT69" i="12"/>
  <c r="DU69" i="12" s="1"/>
  <c r="DS73" i="12"/>
  <c r="EC73" i="12"/>
  <c r="DT73" i="12"/>
  <c r="DU73" i="12" s="1"/>
  <c r="DS77" i="12"/>
  <c r="EC77" i="12"/>
  <c r="DT77" i="12"/>
  <c r="DU77" i="12" s="1"/>
  <c r="DS81" i="12"/>
  <c r="EC81" i="12"/>
  <c r="DT81" i="12"/>
  <c r="DU81" i="12" s="1"/>
  <c r="DS85" i="12"/>
  <c r="EC85" i="12"/>
  <c r="DT85" i="12"/>
  <c r="DU85" i="12" s="1"/>
  <c r="DS89" i="12"/>
  <c r="EC89" i="12"/>
  <c r="DT89" i="12"/>
  <c r="DU89" i="12" s="1"/>
  <c r="DS93" i="12"/>
  <c r="EC93" i="12"/>
  <c r="DT93" i="12"/>
  <c r="DU93" i="12" s="1"/>
  <c r="DS97" i="12"/>
  <c r="EC97" i="12"/>
  <c r="DT97" i="12"/>
  <c r="DU97" i="12" s="1"/>
  <c r="DS101" i="12"/>
  <c r="EC101" i="12"/>
  <c r="DT101" i="12"/>
  <c r="DU101" i="12" s="1"/>
  <c r="DS105" i="12"/>
  <c r="EC105" i="12"/>
  <c r="DT105" i="12"/>
  <c r="DU105" i="12" s="1"/>
  <c r="DS109" i="12"/>
  <c r="EC109" i="12"/>
  <c r="DT109" i="12"/>
  <c r="DU109" i="12" s="1"/>
  <c r="DS113" i="12"/>
  <c r="EC113" i="12"/>
  <c r="DT113" i="12"/>
  <c r="DU113" i="12" s="1"/>
  <c r="DS117" i="12"/>
  <c r="EC117" i="12"/>
  <c r="DT117" i="12"/>
  <c r="DU117" i="12" s="1"/>
  <c r="DS121" i="12"/>
  <c r="EC121" i="12"/>
  <c r="DT121" i="12"/>
  <c r="DU121" i="12" s="1"/>
  <c r="DS125" i="12"/>
  <c r="DT125" i="12"/>
  <c r="DU125" i="12" s="1"/>
  <c r="EC125" i="12"/>
  <c r="CJ13" i="12"/>
  <c r="CL13" i="12"/>
  <c r="CQ13" i="12"/>
  <c r="CM13" i="12"/>
  <c r="CO13" i="12"/>
  <c r="CJ86" i="12"/>
  <c r="CL86" i="12"/>
  <c r="CQ86" i="12"/>
  <c r="CM86" i="12"/>
  <c r="CO86" i="12"/>
  <c r="CL24" i="12"/>
  <c r="CJ24" i="12"/>
  <c r="CM24" i="12"/>
  <c r="CQ24" i="12"/>
  <c r="CO24" i="12"/>
  <c r="CJ102" i="12"/>
  <c r="CL102" i="12"/>
  <c r="CQ102" i="12"/>
  <c r="CM102" i="12"/>
  <c r="CO102" i="12"/>
  <c r="CJ61" i="12"/>
  <c r="CL61" i="12"/>
  <c r="CQ61" i="12"/>
  <c r="CM61" i="12"/>
  <c r="CO61" i="12"/>
  <c r="CJ14" i="12"/>
  <c r="CL14" i="12"/>
  <c r="CQ14" i="12"/>
  <c r="CM14" i="12"/>
  <c r="CO14" i="12"/>
  <c r="CJ69" i="12"/>
  <c r="CL69" i="12"/>
  <c r="CQ69" i="12"/>
  <c r="CM69" i="12"/>
  <c r="CO69" i="12"/>
  <c r="CJ58" i="12"/>
  <c r="CL58" i="12"/>
  <c r="CQ58" i="12"/>
  <c r="CM58" i="12"/>
  <c r="CL122" i="12"/>
  <c r="CJ122" i="12"/>
  <c r="CQ122" i="12"/>
  <c r="CM122" i="12"/>
  <c r="CJ95" i="12"/>
  <c r="CL95" i="12"/>
  <c r="CQ95" i="12"/>
  <c r="CM95" i="12"/>
  <c r="CO95" i="12"/>
  <c r="CJ99" i="12"/>
  <c r="CL99" i="12"/>
  <c r="CQ99" i="12"/>
  <c r="CM99" i="12"/>
  <c r="CO16" i="12"/>
  <c r="CJ54" i="12"/>
  <c r="CL54" i="12"/>
  <c r="CQ54" i="12"/>
  <c r="CM54" i="12"/>
  <c r="CO99" i="12"/>
  <c r="CL8" i="12"/>
  <c r="CJ8" i="12"/>
  <c r="CQ8" i="12"/>
  <c r="CM8" i="12"/>
  <c r="CO8" i="12"/>
  <c r="CL39" i="12"/>
  <c r="CJ39" i="12"/>
  <c r="CQ39" i="12"/>
  <c r="CM39" i="12"/>
  <c r="CO92" i="12"/>
  <c r="CL5" i="12"/>
  <c r="CJ5" i="12"/>
  <c r="CM5" i="12"/>
  <c r="CQ5" i="12"/>
  <c r="CO5" i="12"/>
  <c r="CO57" i="12"/>
  <c r="CL81" i="12"/>
  <c r="CJ81" i="12"/>
  <c r="CM81" i="12"/>
  <c r="CQ81" i="12"/>
  <c r="CO81" i="12"/>
  <c r="CJ113" i="12"/>
  <c r="CL113" i="12"/>
  <c r="CQ113" i="12"/>
  <c r="CM113" i="12"/>
  <c r="CO113" i="12"/>
  <c r="DF147" i="12"/>
  <c r="DF151" i="12" s="1"/>
  <c r="DP160" i="12"/>
  <c r="DP164" i="12" s="1"/>
  <c r="DH5" i="12"/>
  <c r="DH126" i="12" s="1"/>
  <c r="DG126" i="12"/>
  <c r="CJ27" i="12"/>
  <c r="CL27" i="12"/>
  <c r="CQ27" i="12"/>
  <c r="CM27" i="12"/>
  <c r="CO27" i="12"/>
  <c r="CL103" i="12"/>
  <c r="CJ103" i="12"/>
  <c r="CQ103" i="12"/>
  <c r="CM103" i="12"/>
  <c r="CO103" i="12"/>
  <c r="CJ119" i="12"/>
  <c r="CL119" i="12"/>
  <c r="CM119" i="12"/>
  <c r="CQ119" i="12"/>
  <c r="CO119" i="12"/>
  <c r="CJ53" i="12"/>
  <c r="CL53" i="12"/>
  <c r="CQ53" i="12"/>
  <c r="CM53" i="12"/>
  <c r="CO53" i="12"/>
  <c r="CL121" i="12"/>
  <c r="CJ121" i="12"/>
  <c r="CM121" i="12"/>
  <c r="CQ121" i="12"/>
  <c r="CJ37" i="12"/>
  <c r="CL37" i="12"/>
  <c r="CQ37" i="12"/>
  <c r="CM37" i="12"/>
  <c r="CL106" i="12"/>
  <c r="CJ106" i="12"/>
  <c r="CQ106" i="12"/>
  <c r="CM106" i="12"/>
  <c r="CO106" i="12"/>
  <c r="CJ98" i="12"/>
  <c r="CL98" i="12"/>
  <c r="CM98" i="12"/>
  <c r="CQ98" i="12"/>
  <c r="CO98" i="12"/>
  <c r="CO45" i="12"/>
  <c r="CL120" i="12"/>
  <c r="CJ120" i="12"/>
  <c r="CQ120" i="12"/>
  <c r="CM120" i="12"/>
  <c r="CL118" i="12"/>
  <c r="CJ118" i="12"/>
  <c r="CQ118" i="12"/>
  <c r="CM118" i="12"/>
  <c r="CL30" i="12"/>
  <c r="CJ30" i="12"/>
  <c r="CM30" i="12"/>
  <c r="CQ30" i="12"/>
  <c r="CO30" i="12"/>
  <c r="CJ78" i="12"/>
  <c r="CL78" i="12"/>
  <c r="CM78" i="12"/>
  <c r="CQ78" i="12"/>
  <c r="CL114" i="12"/>
  <c r="CJ114" i="12"/>
  <c r="CQ114" i="12"/>
  <c r="CM114" i="12"/>
  <c r="CO114" i="12"/>
  <c r="CJ36" i="12"/>
  <c r="CL36" i="12"/>
  <c r="CQ36" i="12"/>
  <c r="CM36" i="12"/>
  <c r="CO36" i="12"/>
  <c r="CL40" i="12"/>
  <c r="CJ40" i="12"/>
  <c r="CM40" i="12"/>
  <c r="CQ40" i="12"/>
  <c r="CO40" i="12"/>
  <c r="CJ46" i="12"/>
  <c r="CL46" i="12"/>
  <c r="CQ46" i="12"/>
  <c r="CM46" i="12"/>
  <c r="CO58" i="12"/>
  <c r="CJ68" i="12"/>
  <c r="CL68" i="12"/>
  <c r="CQ68" i="12"/>
  <c r="CM68" i="12"/>
  <c r="CO68" i="12"/>
  <c r="CJ105" i="12"/>
  <c r="CL105" i="12"/>
  <c r="CM105" i="12"/>
  <c r="CQ105" i="12"/>
  <c r="CO105" i="12"/>
  <c r="CJ41" i="12"/>
  <c r="CL41" i="12"/>
  <c r="CM41" i="12"/>
  <c r="CQ41" i="12"/>
  <c r="CO41" i="12"/>
  <c r="CO43" i="12"/>
  <c r="CL43" i="12"/>
  <c r="CJ43" i="12"/>
  <c r="CM43" i="12"/>
  <c r="CQ43" i="12"/>
  <c r="CJ87" i="12"/>
  <c r="CL87" i="12"/>
  <c r="CQ87" i="12"/>
  <c r="CM87" i="12"/>
  <c r="CO87" i="12"/>
  <c r="DN112" i="12"/>
  <c r="DX112" i="12"/>
  <c r="CJ47" i="12"/>
  <c r="CL47" i="12"/>
  <c r="CM47" i="12"/>
  <c r="CQ47" i="12"/>
  <c r="CO47" i="12"/>
  <c r="CO88" i="12"/>
  <c r="CJ88" i="12"/>
  <c r="CL88" i="12"/>
  <c r="CQ88" i="12"/>
  <c r="CM88" i="12"/>
  <c r="CL9" i="12"/>
  <c r="CJ9" i="12"/>
  <c r="CQ9" i="12"/>
  <c r="CM9" i="12"/>
  <c r="CJ70" i="12"/>
  <c r="CL70" i="12"/>
  <c r="CQ70" i="12"/>
  <c r="CM70" i="12"/>
  <c r="CO70" i="12"/>
  <c r="CL93" i="12"/>
  <c r="CJ93" i="12"/>
  <c r="CM93" i="12"/>
  <c r="CQ93" i="12"/>
  <c r="CO93" i="12"/>
  <c r="DO74" i="12"/>
  <c r="CJ11" i="12"/>
  <c r="CL11" i="12"/>
  <c r="CQ11" i="12"/>
  <c r="CM11" i="12"/>
  <c r="CO11" i="12"/>
  <c r="CJ19" i="12"/>
  <c r="CL19" i="12"/>
  <c r="CM19" i="12"/>
  <c r="CQ19" i="12"/>
  <c r="CO60" i="12"/>
  <c r="CJ60" i="12"/>
  <c r="CL60" i="12"/>
  <c r="CQ60" i="12"/>
  <c r="CM60" i="12"/>
  <c r="CL12" i="12"/>
  <c r="CJ12" i="12"/>
  <c r="CQ12" i="12"/>
  <c r="CM12" i="12"/>
  <c r="CJ117" i="12"/>
  <c r="CL117" i="12"/>
  <c r="CM117" i="12"/>
  <c r="CQ117" i="12"/>
  <c r="CO117" i="12"/>
  <c r="CL94" i="12"/>
  <c r="CJ94" i="12"/>
  <c r="CM94" i="12"/>
  <c r="CQ94" i="12"/>
  <c r="CJ89" i="12"/>
  <c r="CL89" i="12"/>
  <c r="CQ89" i="12"/>
  <c r="CM89" i="12"/>
  <c r="CO89" i="12"/>
  <c r="CJ104" i="12"/>
  <c r="CL104" i="12"/>
  <c r="CQ104" i="12"/>
  <c r="CM104" i="12"/>
  <c r="CO104" i="12"/>
  <c r="EC8" i="12"/>
  <c r="DT8" i="12"/>
  <c r="DU8" i="12" s="1"/>
  <c r="DS8" i="12"/>
  <c r="EC12" i="12"/>
  <c r="DT12" i="12"/>
  <c r="DU12" i="12" s="1"/>
  <c r="DS12" i="12"/>
  <c r="EC16" i="12"/>
  <c r="DT16" i="12"/>
  <c r="DU16" i="12" s="1"/>
  <c r="DS16" i="12"/>
  <c r="EC20" i="12"/>
  <c r="DT20" i="12"/>
  <c r="DU20" i="12" s="1"/>
  <c r="DS20" i="12"/>
  <c r="EC24" i="12"/>
  <c r="DT24" i="12"/>
  <c r="DU24" i="12" s="1"/>
  <c r="DS24" i="12"/>
  <c r="EC28" i="12"/>
  <c r="DT28" i="12"/>
  <c r="DU28" i="12" s="1"/>
  <c r="DS28" i="12"/>
  <c r="EC32" i="12"/>
  <c r="DT32" i="12"/>
  <c r="DU32" i="12" s="1"/>
  <c r="DS32" i="12"/>
  <c r="EC36" i="12"/>
  <c r="DT36" i="12"/>
  <c r="DU36" i="12" s="1"/>
  <c r="DS36" i="12"/>
  <c r="EC40" i="12"/>
  <c r="DT40" i="12"/>
  <c r="DU40" i="12" s="1"/>
  <c r="DS40" i="12"/>
  <c r="EC44" i="12"/>
  <c r="DT44" i="12"/>
  <c r="DU44" i="12" s="1"/>
  <c r="DS44" i="12"/>
  <c r="EC48" i="12"/>
  <c r="DT48" i="12"/>
  <c r="DU48" i="12" s="1"/>
  <c r="DS48" i="12"/>
  <c r="EC52" i="12"/>
  <c r="DT52" i="12"/>
  <c r="DU52" i="12" s="1"/>
  <c r="DS52" i="12"/>
  <c r="EC56" i="12"/>
  <c r="DT56" i="12"/>
  <c r="DU56" i="12" s="1"/>
  <c r="DS56" i="12"/>
  <c r="EC60" i="12"/>
  <c r="DT60" i="12"/>
  <c r="DU60" i="12" s="1"/>
  <c r="DS60" i="12"/>
  <c r="EC64" i="12"/>
  <c r="DT64" i="12"/>
  <c r="DU64" i="12" s="1"/>
  <c r="DS64" i="12"/>
  <c r="EC68" i="12"/>
  <c r="DT68" i="12"/>
  <c r="DU68" i="12" s="1"/>
  <c r="DS68" i="12"/>
  <c r="EC72" i="12"/>
  <c r="DT72" i="12"/>
  <c r="DU72" i="12" s="1"/>
  <c r="DS72" i="12"/>
  <c r="EC76" i="12"/>
  <c r="DT76" i="12"/>
  <c r="DU76" i="12" s="1"/>
  <c r="DS76" i="12"/>
  <c r="EC80" i="12"/>
  <c r="DT80" i="12"/>
  <c r="DU80" i="12" s="1"/>
  <c r="DS80" i="12"/>
  <c r="EC84" i="12"/>
  <c r="DT84" i="12"/>
  <c r="DU84" i="12" s="1"/>
  <c r="DS84" i="12"/>
  <c r="EC88" i="12"/>
  <c r="DT88" i="12"/>
  <c r="DU88" i="12" s="1"/>
  <c r="DS88" i="12"/>
  <c r="EC92" i="12"/>
  <c r="DT92" i="12"/>
  <c r="DU92" i="12" s="1"/>
  <c r="DS92" i="12"/>
  <c r="EC96" i="12"/>
  <c r="DT96" i="12"/>
  <c r="DU96" i="12" s="1"/>
  <c r="DS96" i="12"/>
  <c r="EC100" i="12"/>
  <c r="DT100" i="12"/>
  <c r="DU100" i="12" s="1"/>
  <c r="DS100" i="12"/>
  <c r="EC104" i="12"/>
  <c r="DT104" i="12"/>
  <c r="DU104" i="12" s="1"/>
  <c r="DS104" i="12"/>
  <c r="EC108" i="12"/>
  <c r="DT108" i="12"/>
  <c r="DU108" i="12" s="1"/>
  <c r="DS108" i="12"/>
  <c r="EC112" i="12"/>
  <c r="DT112" i="12"/>
  <c r="DU112" i="12" s="1"/>
  <c r="DS112" i="12"/>
  <c r="EC116" i="12"/>
  <c r="DT116" i="12"/>
  <c r="DU116" i="12" s="1"/>
  <c r="DS116" i="12"/>
  <c r="EC120" i="12"/>
  <c r="DT120" i="12"/>
  <c r="DU120" i="12" s="1"/>
  <c r="DS120" i="12"/>
  <c r="DT124" i="12"/>
  <c r="DU124" i="12" s="1"/>
  <c r="EC124" i="12"/>
  <c r="DS124" i="12"/>
  <c r="EC7" i="12"/>
  <c r="DT7" i="12"/>
  <c r="DU7" i="12" s="1"/>
  <c r="DS7" i="12"/>
  <c r="EC11" i="12"/>
  <c r="DT11" i="12"/>
  <c r="DU11" i="12" s="1"/>
  <c r="DS11" i="12"/>
  <c r="EC15" i="12"/>
  <c r="DT15" i="12"/>
  <c r="DU15" i="12" s="1"/>
  <c r="DS15" i="12"/>
  <c r="EC19" i="12"/>
  <c r="DT19" i="12"/>
  <c r="DU19" i="12" s="1"/>
  <c r="DS19" i="12"/>
  <c r="EC23" i="12"/>
  <c r="DT23" i="12"/>
  <c r="DU23" i="12" s="1"/>
  <c r="DS23" i="12"/>
  <c r="EC27" i="12"/>
  <c r="DT27" i="12"/>
  <c r="DU27" i="12" s="1"/>
  <c r="DS27" i="12"/>
  <c r="EC31" i="12"/>
  <c r="DT31" i="12"/>
  <c r="DU31" i="12" s="1"/>
  <c r="DS31" i="12"/>
  <c r="EC35" i="12"/>
  <c r="DT35" i="12"/>
  <c r="DU35" i="12" s="1"/>
  <c r="DS35" i="12"/>
  <c r="EC39" i="12"/>
  <c r="DT39" i="12"/>
  <c r="DU39" i="12" s="1"/>
  <c r="DS39" i="12"/>
  <c r="EC43" i="12"/>
  <c r="DT43" i="12"/>
  <c r="DU43" i="12" s="1"/>
  <c r="DS43" i="12"/>
  <c r="EC47" i="12"/>
  <c r="DT47" i="12"/>
  <c r="DU47" i="12" s="1"/>
  <c r="DS47" i="12"/>
  <c r="EC51" i="12"/>
  <c r="DT51" i="12"/>
  <c r="DU51" i="12" s="1"/>
  <c r="DS51" i="12"/>
  <c r="EC55" i="12"/>
  <c r="DT55" i="12"/>
  <c r="DU55" i="12" s="1"/>
  <c r="DS55" i="12"/>
  <c r="EC59" i="12"/>
  <c r="DT59" i="12"/>
  <c r="DU59" i="12" s="1"/>
  <c r="DS59" i="12"/>
  <c r="EC63" i="12"/>
  <c r="DT63" i="12"/>
  <c r="DU63" i="12" s="1"/>
  <c r="DS63" i="12"/>
  <c r="EC67" i="12"/>
  <c r="DT67" i="12"/>
  <c r="DU67" i="12" s="1"/>
  <c r="DS67" i="12"/>
  <c r="EC71" i="12"/>
  <c r="DT71" i="12"/>
  <c r="DU71" i="12" s="1"/>
  <c r="DS71" i="12"/>
  <c r="EC75" i="12"/>
  <c r="DT75" i="12"/>
  <c r="DU75" i="12" s="1"/>
  <c r="DS75" i="12"/>
  <c r="EC79" i="12"/>
  <c r="DT79" i="12"/>
  <c r="DU79" i="12" s="1"/>
  <c r="DS79" i="12"/>
  <c r="EC83" i="12"/>
  <c r="DT83" i="12"/>
  <c r="DU83" i="12" s="1"/>
  <c r="DS83" i="12"/>
  <c r="EC87" i="12"/>
  <c r="DT87" i="12"/>
  <c r="DU87" i="12" s="1"/>
  <c r="DS87" i="12"/>
  <c r="EC91" i="12"/>
  <c r="DT91" i="12"/>
  <c r="DU91" i="12" s="1"/>
  <c r="DS91" i="12"/>
  <c r="EC95" i="12"/>
  <c r="DT95" i="12"/>
  <c r="DU95" i="12" s="1"/>
  <c r="DS95" i="12"/>
  <c r="EC99" i="12"/>
  <c r="DT99" i="12"/>
  <c r="DU99" i="12" s="1"/>
  <c r="DS99" i="12"/>
  <c r="EC103" i="12"/>
  <c r="DT103" i="12"/>
  <c r="DU103" i="12" s="1"/>
  <c r="DS103" i="12"/>
  <c r="EC107" i="12"/>
  <c r="DT107" i="12"/>
  <c r="DU107" i="12" s="1"/>
  <c r="DS107" i="12"/>
  <c r="EC111" i="12"/>
  <c r="DT111" i="12"/>
  <c r="DU111" i="12" s="1"/>
  <c r="DS111" i="12"/>
  <c r="EC115" i="12"/>
  <c r="DT115" i="12"/>
  <c r="DU115" i="12" s="1"/>
  <c r="DS115" i="12"/>
  <c r="EC119" i="12"/>
  <c r="DT119" i="12"/>
  <c r="DU119" i="12" s="1"/>
  <c r="DS119" i="12"/>
  <c r="EC123" i="12"/>
  <c r="DT123" i="12"/>
  <c r="DU123" i="12" s="1"/>
  <c r="DS123" i="12"/>
  <c r="CL51" i="12"/>
  <c r="CJ51" i="12"/>
  <c r="CM51" i="12"/>
  <c r="CQ51" i="12"/>
  <c r="CL64" i="12"/>
  <c r="CJ64" i="12"/>
  <c r="CM64" i="12"/>
  <c r="CQ64" i="12"/>
  <c r="CO64" i="12"/>
  <c r="CJ42" i="12"/>
  <c r="CL42" i="12"/>
  <c r="CQ42" i="12"/>
  <c r="CM42" i="12"/>
  <c r="CO44" i="12"/>
  <c r="CJ44" i="12"/>
  <c r="CL44" i="12"/>
  <c r="CQ44" i="12"/>
  <c r="CM44" i="12"/>
  <c r="CL38" i="12"/>
  <c r="CJ38" i="12"/>
  <c r="CQ38" i="12"/>
  <c r="CM38" i="12"/>
  <c r="CO50" i="12"/>
  <c r="CJ50" i="12"/>
  <c r="CL50" i="12"/>
  <c r="CQ50" i="12"/>
  <c r="CM50" i="12"/>
  <c r="EB112" i="12"/>
  <c r="CJ55" i="12"/>
  <c r="CL55" i="12"/>
  <c r="CQ55" i="12"/>
  <c r="CM55" i="12"/>
  <c r="CO55" i="12"/>
  <c r="CL63" i="12"/>
  <c r="CJ63" i="12"/>
  <c r="CM63" i="12"/>
  <c r="CQ63" i="12"/>
  <c r="CO63" i="12"/>
  <c r="CJ111" i="12"/>
  <c r="CL111" i="12"/>
  <c r="CQ111" i="12"/>
  <c r="CM111" i="12"/>
  <c r="CO111" i="12"/>
  <c r="CL115" i="12"/>
  <c r="CJ115" i="12"/>
  <c r="CQ115" i="12"/>
  <c r="CM115" i="12"/>
  <c r="CO115" i="12"/>
  <c r="CJ124" i="12"/>
  <c r="CL124" i="12"/>
  <c r="CM124" i="12"/>
  <c r="CQ124" i="12"/>
  <c r="CJ84" i="12"/>
  <c r="CL84" i="12"/>
  <c r="CQ84" i="12"/>
  <c r="CM84" i="12"/>
  <c r="CL71" i="12"/>
  <c r="CJ71" i="12"/>
  <c r="CM71" i="12"/>
  <c r="CQ71" i="12"/>
  <c r="CO34" i="12"/>
  <c r="G18" i="17"/>
  <c r="CJ25" i="12"/>
  <c r="CL25" i="12"/>
  <c r="CQ25" i="12"/>
  <c r="CM25" i="12"/>
  <c r="CL22" i="12"/>
  <c r="CJ22" i="12"/>
  <c r="CM22" i="12"/>
  <c r="CQ22" i="12"/>
  <c r="CO22" i="12"/>
  <c r="CO75" i="12"/>
  <c r="CL75" i="12"/>
  <c r="CJ75" i="12"/>
  <c r="CQ75" i="12"/>
  <c r="CM75" i="12"/>
  <c r="CO100" i="12"/>
  <c r="CJ100" i="12"/>
  <c r="CL100" i="12"/>
  <c r="CQ100" i="12"/>
  <c r="CM100" i="12"/>
  <c r="CO72" i="12"/>
  <c r="CJ72" i="12"/>
  <c r="CL72" i="12"/>
  <c r="CQ72" i="12"/>
  <c r="CM72" i="12"/>
  <c r="CO23" i="12"/>
  <c r="BX177" i="12"/>
  <c r="BX178" i="12" s="1"/>
  <c r="BX182" i="12"/>
  <c r="BW183" i="12" s="1"/>
  <c r="BZ126" i="12"/>
  <c r="CL83" i="12"/>
  <c r="CJ83" i="12"/>
  <c r="CM83" i="12"/>
  <c r="CQ83" i="12"/>
  <c r="CJ20" i="12"/>
  <c r="CL20" i="12"/>
  <c r="CM20" i="12"/>
  <c r="CQ20" i="12"/>
  <c r="CJ85" i="12"/>
  <c r="CL85" i="12"/>
  <c r="CQ85" i="12"/>
  <c r="CM85" i="12"/>
  <c r="CO85" i="12"/>
  <c r="DN101" i="12"/>
  <c r="DX101" i="12"/>
  <c r="CJ29" i="12"/>
  <c r="CL29" i="12"/>
  <c r="CQ29" i="12"/>
  <c r="CM29" i="12"/>
  <c r="CO29" i="12"/>
  <c r="CO66" i="12"/>
  <c r="CJ66" i="12"/>
  <c r="CL66" i="12"/>
  <c r="CQ66" i="12"/>
  <c r="CM66" i="12"/>
  <c r="CJ10" i="12"/>
  <c r="CL10" i="12"/>
  <c r="CQ10" i="12"/>
  <c r="CM10" i="12"/>
  <c r="CO10" i="12"/>
  <c r="CJ62" i="12"/>
  <c r="CL62" i="12"/>
  <c r="CQ62" i="12"/>
  <c r="CM62" i="12"/>
  <c r="CO62" i="12"/>
  <c r="DH147" i="12"/>
  <c r="DH151" i="12" s="1"/>
  <c r="DP126" i="12"/>
  <c r="DF126" i="12"/>
  <c r="CL28" i="12"/>
  <c r="CJ28" i="12"/>
  <c r="CM28" i="12"/>
  <c r="CQ28" i="12"/>
  <c r="CJ49" i="12"/>
  <c r="CL49" i="12"/>
  <c r="CM49" i="12"/>
  <c r="CQ49" i="12"/>
  <c r="CO19" i="12"/>
  <c r="CL59" i="12"/>
  <c r="CJ59" i="12"/>
  <c r="CQ59" i="12"/>
  <c r="CM59" i="12"/>
  <c r="CO59" i="12"/>
  <c r="CA17" i="12"/>
  <c r="CA147" i="12" s="1"/>
  <c r="CK17" i="12"/>
  <c r="CK134" i="12" s="1"/>
  <c r="CK138" i="12" s="1"/>
  <c r="CK183" i="12" s="1"/>
  <c r="CO49" i="12"/>
  <c r="CO18" i="12"/>
  <c r="CJ32" i="12"/>
  <c r="CL32" i="12"/>
  <c r="CM32" i="12"/>
  <c r="CQ32" i="12"/>
  <c r="CO20" i="12"/>
  <c r="CO67" i="12"/>
  <c r="CO108" i="12"/>
  <c r="CJ108" i="12"/>
  <c r="CL108" i="12"/>
  <c r="CM108" i="12"/>
  <c r="CQ108" i="12"/>
  <c r="CJ110" i="12"/>
  <c r="CL110" i="12"/>
  <c r="CM110" i="12"/>
  <c r="CQ110" i="12"/>
  <c r="CL15" i="12"/>
  <c r="CJ15" i="12"/>
  <c r="CM15" i="12"/>
  <c r="CQ15" i="12"/>
  <c r="CO15" i="12"/>
  <c r="CO38" i="12"/>
  <c r="CO21" i="12"/>
  <c r="CO96" i="12"/>
  <c r="CJ96" i="12"/>
  <c r="CL96" i="12"/>
  <c r="CQ96" i="12"/>
  <c r="CM96" i="12"/>
  <c r="CL33" i="12"/>
  <c r="CJ33" i="12"/>
  <c r="CQ33" i="12"/>
  <c r="CM33" i="12"/>
  <c r="CJ125" i="12"/>
  <c r="CL125" i="12"/>
  <c r="CQ125" i="12"/>
  <c r="CM125" i="12"/>
  <c r="CO125" i="12"/>
  <c r="CL91" i="12"/>
  <c r="CJ91" i="12"/>
  <c r="CM91" i="12"/>
  <c r="CQ91" i="12"/>
  <c r="CO91" i="12"/>
  <c r="CJ56" i="12"/>
  <c r="CL56" i="12"/>
  <c r="CQ56" i="12"/>
  <c r="CM56" i="12"/>
  <c r="CO56" i="12"/>
  <c r="CJ116" i="12"/>
  <c r="CL116" i="12"/>
  <c r="CM116" i="12"/>
  <c r="CQ116" i="12"/>
  <c r="CO76" i="12"/>
  <c r="CJ31" i="12"/>
  <c r="CL31" i="12"/>
  <c r="CM31" i="12"/>
  <c r="CQ31" i="12"/>
  <c r="CO31" i="12"/>
  <c r="CO54" i="12"/>
  <c r="CO124" i="12"/>
  <c r="CJ52" i="12"/>
  <c r="CL52" i="12"/>
  <c r="CQ52" i="12"/>
  <c r="CM52" i="12"/>
  <c r="CO52" i="12"/>
  <c r="K70" i="10"/>
  <c r="B93" i="7"/>
  <c r="B42" i="7"/>
  <c r="G17" i="17" l="1"/>
  <c r="G19" i="17" s="1"/>
  <c r="CA151" i="12"/>
  <c r="BZ147" i="12"/>
  <c r="BZ151" i="12" s="1"/>
  <c r="H18" i="17"/>
  <c r="CN56" i="12"/>
  <c r="CX56" i="12"/>
  <c r="CN91" i="12"/>
  <c r="CX91" i="12"/>
  <c r="CN125" i="12"/>
  <c r="CX125" i="12"/>
  <c r="DB125" i="12" s="1"/>
  <c r="CN33" i="12"/>
  <c r="CX33" i="12"/>
  <c r="CN96" i="12"/>
  <c r="CX96" i="12"/>
  <c r="CN32" i="12"/>
  <c r="CX32" i="12"/>
  <c r="CN59" i="12"/>
  <c r="CX59" i="12"/>
  <c r="CN49" i="12"/>
  <c r="CX49" i="12"/>
  <c r="CN28" i="12"/>
  <c r="CX28" i="12"/>
  <c r="CN10" i="12"/>
  <c r="CX10" i="12"/>
  <c r="DB10" i="12" s="1"/>
  <c r="CN66" i="12"/>
  <c r="CX66" i="12"/>
  <c r="DB66" i="12" s="1"/>
  <c r="CN29" i="12"/>
  <c r="CX29" i="12"/>
  <c r="DB29" i="12" s="1"/>
  <c r="DW101" i="12"/>
  <c r="DY101" i="12"/>
  <c r="ED101" i="12"/>
  <c r="DZ101" i="12"/>
  <c r="EA101" i="12" s="1"/>
  <c r="EB101" i="12"/>
  <c r="CN20" i="12"/>
  <c r="CX20" i="12"/>
  <c r="CN83" i="12"/>
  <c r="CX83" i="12"/>
  <c r="CN100" i="12"/>
  <c r="CX100" i="12"/>
  <c r="DB100" i="12" s="1"/>
  <c r="CN22" i="12"/>
  <c r="CX22" i="12"/>
  <c r="CN71" i="12"/>
  <c r="CX71" i="12"/>
  <c r="CN124" i="12"/>
  <c r="CX124" i="12"/>
  <c r="CN115" i="12"/>
  <c r="CX115" i="12"/>
  <c r="CN111" i="12"/>
  <c r="CX111" i="12"/>
  <c r="CN63" i="12"/>
  <c r="CX63" i="12"/>
  <c r="CN55" i="12"/>
  <c r="CX55" i="12"/>
  <c r="CN50" i="12"/>
  <c r="CX50" i="12"/>
  <c r="DB50" i="12"/>
  <c r="CN42" i="12"/>
  <c r="CX42" i="12"/>
  <c r="DU147" i="12"/>
  <c r="DU151" i="12" s="1"/>
  <c r="CN104" i="12"/>
  <c r="CX104" i="12"/>
  <c r="CA126" i="12"/>
  <c r="CN12" i="12"/>
  <c r="CX12" i="12"/>
  <c r="CN60" i="12"/>
  <c r="CX60" i="12"/>
  <c r="DB60" i="12" s="1"/>
  <c r="CN19" i="12"/>
  <c r="CX19" i="12"/>
  <c r="CN11" i="12"/>
  <c r="CX11" i="12"/>
  <c r="DB11" i="12" s="1"/>
  <c r="CN47" i="12"/>
  <c r="CX47" i="12"/>
  <c r="CN87" i="12"/>
  <c r="CX87" i="12"/>
  <c r="CN105" i="12"/>
  <c r="CX105" i="12"/>
  <c r="CN68" i="12"/>
  <c r="CX68" i="12"/>
  <c r="DB68" i="12" s="1"/>
  <c r="CN114" i="12"/>
  <c r="CX114" i="12"/>
  <c r="CN30" i="12"/>
  <c r="CX30" i="12"/>
  <c r="CN98" i="12"/>
  <c r="CX98" i="12"/>
  <c r="CN106" i="12"/>
  <c r="CX106" i="12"/>
  <c r="CN37" i="12"/>
  <c r="CX37" i="12"/>
  <c r="CN103" i="12"/>
  <c r="CX103" i="12"/>
  <c r="DB103" i="12" s="1"/>
  <c r="CN113" i="12"/>
  <c r="CX113" i="12"/>
  <c r="CN81" i="12"/>
  <c r="CX81" i="12"/>
  <c r="CN5" i="12"/>
  <c r="CX5" i="12"/>
  <c r="CK174" i="12"/>
  <c r="CN39" i="12"/>
  <c r="CX39" i="12"/>
  <c r="CN99" i="12"/>
  <c r="CX99" i="12"/>
  <c r="CN58" i="12"/>
  <c r="CX58" i="12"/>
  <c r="DB58" i="12" s="1"/>
  <c r="CN69" i="12"/>
  <c r="CX69" i="12"/>
  <c r="CN102" i="12"/>
  <c r="CX102" i="12"/>
  <c r="CN24" i="12"/>
  <c r="CX24" i="12"/>
  <c r="CN86" i="12"/>
  <c r="CX86" i="12"/>
  <c r="EC126" i="12"/>
  <c r="CN6" i="12"/>
  <c r="CX6" i="12"/>
  <c r="DB6" i="12" s="1"/>
  <c r="CJ123" i="12"/>
  <c r="CL123" i="12"/>
  <c r="CQ123" i="12"/>
  <c r="CM123" i="12"/>
  <c r="CO123" i="12"/>
  <c r="DL90" i="12"/>
  <c r="DJ90" i="12"/>
  <c r="DQ90" i="12"/>
  <c r="DM90" i="12"/>
  <c r="DO90" i="12"/>
  <c r="CN26" i="12"/>
  <c r="CX26" i="12"/>
  <c r="CN45" i="12"/>
  <c r="CX45" i="12"/>
  <c r="DB45" i="12" s="1"/>
  <c r="DJ82" i="12"/>
  <c r="DL82" i="12"/>
  <c r="DM82" i="12"/>
  <c r="DQ82" i="12"/>
  <c r="DO82" i="12"/>
  <c r="CN80" i="12"/>
  <c r="CX80" i="12"/>
  <c r="CN48" i="12"/>
  <c r="CX48" i="12"/>
  <c r="DB48" i="12"/>
  <c r="CN109" i="12"/>
  <c r="CX109" i="12"/>
  <c r="DB109" i="12" s="1"/>
  <c r="CN16" i="12"/>
  <c r="CX16" i="12"/>
  <c r="DB16" i="12" s="1"/>
  <c r="CN21" i="12"/>
  <c r="CX21" i="12"/>
  <c r="DB21" i="12" s="1"/>
  <c r="CN116" i="12"/>
  <c r="CX116" i="12"/>
  <c r="CN52" i="12"/>
  <c r="CX52" i="12"/>
  <c r="DB124" i="12"/>
  <c r="CN31" i="12"/>
  <c r="CX31" i="12"/>
  <c r="DB56" i="12"/>
  <c r="CN15" i="12"/>
  <c r="CX15" i="12"/>
  <c r="CN110" i="12"/>
  <c r="CX110" i="12"/>
  <c r="CN108" i="12"/>
  <c r="CX108" i="12"/>
  <c r="CO17" i="12"/>
  <c r="CJ17" i="12"/>
  <c r="CJ126" i="12" s="1"/>
  <c r="CK176" i="12" s="1"/>
  <c r="CL17" i="12"/>
  <c r="CQ17" i="12"/>
  <c r="CQ160" i="12" s="1"/>
  <c r="CQ164" i="12" s="1"/>
  <c r="CM17" i="12"/>
  <c r="DB59" i="12"/>
  <c r="CN62" i="12"/>
  <c r="CX62" i="12"/>
  <c r="CN85" i="12"/>
  <c r="CX85" i="12"/>
  <c r="DB85" i="12" s="1"/>
  <c r="CN72" i="12"/>
  <c r="CX72" i="12"/>
  <c r="DB72" i="12" s="1"/>
  <c r="CN75" i="12"/>
  <c r="CX75" i="12"/>
  <c r="CN25" i="12"/>
  <c r="CX25" i="12"/>
  <c r="CN84" i="12"/>
  <c r="CX84" i="12"/>
  <c r="DB115" i="12"/>
  <c r="DB111" i="12"/>
  <c r="DB55" i="12"/>
  <c r="CN38" i="12"/>
  <c r="CX38" i="12"/>
  <c r="CN44" i="12"/>
  <c r="CX44" i="12"/>
  <c r="CN64" i="12"/>
  <c r="CX64" i="12"/>
  <c r="CN51" i="12"/>
  <c r="CX51" i="12"/>
  <c r="DS147" i="12"/>
  <c r="DS151" i="12" s="1"/>
  <c r="EC160" i="12"/>
  <c r="EC164" i="12" s="1"/>
  <c r="DB104" i="12"/>
  <c r="CN89" i="12"/>
  <c r="CX89" i="12"/>
  <c r="DB89" i="12" s="1"/>
  <c r="CN94" i="12"/>
  <c r="CX94" i="12"/>
  <c r="CN117" i="12"/>
  <c r="CX117" i="12"/>
  <c r="CN93" i="12"/>
  <c r="CX93" i="12"/>
  <c r="CN70" i="12"/>
  <c r="CX70" i="12"/>
  <c r="CN9" i="12"/>
  <c r="CX9" i="12"/>
  <c r="CN88" i="12"/>
  <c r="CX88" i="12"/>
  <c r="DY112" i="12"/>
  <c r="DW112" i="12"/>
  <c r="ED112" i="12"/>
  <c r="DZ112" i="12"/>
  <c r="EA112" i="12" s="1"/>
  <c r="DB87" i="12"/>
  <c r="CN43" i="12"/>
  <c r="CX43" i="12"/>
  <c r="CN41" i="12"/>
  <c r="CX41" i="12"/>
  <c r="CN46" i="12"/>
  <c r="CX46" i="12"/>
  <c r="CN40" i="12"/>
  <c r="CX40" i="12"/>
  <c r="CN36" i="12"/>
  <c r="CX36" i="12"/>
  <c r="DB114" i="12"/>
  <c r="CN78" i="12"/>
  <c r="CX78" i="12"/>
  <c r="CN118" i="12"/>
  <c r="CX118" i="12"/>
  <c r="CN120" i="12"/>
  <c r="CX120" i="12"/>
  <c r="DB106" i="12"/>
  <c r="CN121" i="12"/>
  <c r="CX121" i="12"/>
  <c r="CN53" i="12"/>
  <c r="CX53" i="12"/>
  <c r="CN119" i="12"/>
  <c r="CX119" i="12"/>
  <c r="CN27" i="12"/>
  <c r="CX27" i="12"/>
  <c r="DB113" i="12"/>
  <c r="CK126" i="12"/>
  <c r="CN8" i="12"/>
  <c r="CX8" i="12"/>
  <c r="DB8" i="12" s="1"/>
  <c r="CL147" i="12"/>
  <c r="CL151" i="12" s="1"/>
  <c r="CN54" i="12"/>
  <c r="CX54" i="12"/>
  <c r="CN95" i="12"/>
  <c r="CX95" i="12"/>
  <c r="CN122" i="12"/>
  <c r="CX122" i="12"/>
  <c r="DB69" i="12"/>
  <c r="CN14" i="12"/>
  <c r="CX14" i="12"/>
  <c r="DB14" i="12" s="1"/>
  <c r="CN61" i="12"/>
  <c r="CX61" i="12"/>
  <c r="DB102" i="12"/>
  <c r="DB86" i="12"/>
  <c r="CN13" i="12"/>
  <c r="CX13" i="12"/>
  <c r="DU5" i="12"/>
  <c r="DU126" i="12" s="1"/>
  <c r="DT126" i="12"/>
  <c r="DS126" i="12"/>
  <c r="CN67" i="12"/>
  <c r="CX67" i="12"/>
  <c r="CN65" i="12"/>
  <c r="CX65" i="12"/>
  <c r="CN18" i="12"/>
  <c r="CX18" i="12"/>
  <c r="CL126" i="12"/>
  <c r="CN35" i="12"/>
  <c r="CX35" i="12"/>
  <c r="DB35" i="12" s="1"/>
  <c r="DL74" i="12"/>
  <c r="DJ74" i="12"/>
  <c r="DQ74" i="12"/>
  <c r="DM74" i="12"/>
  <c r="CN23" i="12"/>
  <c r="CX23" i="12"/>
  <c r="CN57" i="12"/>
  <c r="CX57" i="12"/>
  <c r="DB57" i="12" s="1"/>
  <c r="DB80" i="12"/>
  <c r="CN92" i="12"/>
  <c r="CX92" i="12"/>
  <c r="CN76" i="12"/>
  <c r="CX76" i="12"/>
  <c r="DB76" i="12" s="1"/>
  <c r="CN107" i="12"/>
  <c r="CX107" i="12"/>
  <c r="CN34" i="12"/>
  <c r="CX34" i="12"/>
  <c r="DB34" i="12" s="1"/>
  <c r="H16" i="7"/>
  <c r="CY107" i="12" l="1"/>
  <c r="CW107" i="12"/>
  <c r="DD107" i="12"/>
  <c r="CZ107" i="12"/>
  <c r="CY92" i="12"/>
  <c r="CW92" i="12"/>
  <c r="CZ92" i="12"/>
  <c r="DD92" i="12"/>
  <c r="CY18" i="12"/>
  <c r="CW18" i="12"/>
  <c r="DD18" i="12"/>
  <c r="CZ18" i="12"/>
  <c r="CY67" i="12"/>
  <c r="CW67" i="12"/>
  <c r="DD67" i="12"/>
  <c r="CZ67" i="12"/>
  <c r="CW95" i="12"/>
  <c r="CY95" i="12"/>
  <c r="DD95" i="12"/>
  <c r="CZ95" i="12"/>
  <c r="CW27" i="12"/>
  <c r="CY27" i="12"/>
  <c r="DD27" i="12"/>
  <c r="CZ27" i="12"/>
  <c r="CY53" i="12"/>
  <c r="CW53" i="12"/>
  <c r="CZ53" i="12"/>
  <c r="DD53" i="12"/>
  <c r="CY121" i="12"/>
  <c r="CW121" i="12"/>
  <c r="DD121" i="12"/>
  <c r="CZ121" i="12"/>
  <c r="DB121" i="12"/>
  <c r="CW120" i="12"/>
  <c r="CY120" i="12"/>
  <c r="CZ120" i="12"/>
  <c r="DD120" i="12"/>
  <c r="DB120" i="12"/>
  <c r="CW118" i="12"/>
  <c r="CY118" i="12"/>
  <c r="CZ118" i="12"/>
  <c r="DD118" i="12"/>
  <c r="DB118" i="12"/>
  <c r="CY78" i="12"/>
  <c r="CW78" i="12"/>
  <c r="DD78" i="12"/>
  <c r="CZ78" i="12"/>
  <c r="DB78" i="12"/>
  <c r="CY46" i="12"/>
  <c r="CW46" i="12"/>
  <c r="CZ46" i="12"/>
  <c r="DD46" i="12"/>
  <c r="DB46" i="12"/>
  <c r="CW43" i="12"/>
  <c r="CY43" i="12"/>
  <c r="CZ43" i="12"/>
  <c r="DD43" i="12"/>
  <c r="CY88" i="12"/>
  <c r="CW88" i="12"/>
  <c r="DD88" i="12"/>
  <c r="CZ88" i="12"/>
  <c r="CY9" i="12"/>
  <c r="CW9" i="12"/>
  <c r="CZ9" i="12"/>
  <c r="DD9" i="12"/>
  <c r="DB9" i="12"/>
  <c r="CW70" i="12"/>
  <c r="CY70" i="12"/>
  <c r="DD70" i="12"/>
  <c r="CZ70" i="12"/>
  <c r="CY93" i="12"/>
  <c r="CW93" i="12"/>
  <c r="CZ93" i="12"/>
  <c r="DD93" i="12"/>
  <c r="DB93" i="12"/>
  <c r="CW117" i="12"/>
  <c r="CY117" i="12"/>
  <c r="CZ117" i="12"/>
  <c r="DD117" i="12"/>
  <c r="DB117" i="12"/>
  <c r="CY51" i="12"/>
  <c r="CW51" i="12"/>
  <c r="DD51" i="12"/>
  <c r="CZ51" i="12"/>
  <c r="DB51" i="12"/>
  <c r="CY64" i="12"/>
  <c r="CW64" i="12"/>
  <c r="DD64" i="12"/>
  <c r="CZ64" i="12"/>
  <c r="DB64" i="12"/>
  <c r="CY44" i="12"/>
  <c r="CW44" i="12"/>
  <c r="DD44" i="12"/>
  <c r="CZ44" i="12"/>
  <c r="CW38" i="12"/>
  <c r="CY38" i="12"/>
  <c r="DD38" i="12"/>
  <c r="CZ38" i="12"/>
  <c r="CW75" i="12"/>
  <c r="CY75" i="12"/>
  <c r="CZ75" i="12"/>
  <c r="DD75" i="12"/>
  <c r="CW62" i="12"/>
  <c r="CY62" i="12"/>
  <c r="DD62" i="12"/>
  <c r="CZ62" i="12"/>
  <c r="DB18" i="12"/>
  <c r="CW108" i="12"/>
  <c r="CY108" i="12"/>
  <c r="CZ108" i="12"/>
  <c r="DD108" i="12"/>
  <c r="CY110" i="12"/>
  <c r="CW110" i="12"/>
  <c r="DD110" i="12"/>
  <c r="CZ110" i="12"/>
  <c r="DB110" i="12"/>
  <c r="CY15" i="12"/>
  <c r="CW15" i="12"/>
  <c r="CZ15" i="12"/>
  <c r="DD15" i="12"/>
  <c r="DB15" i="12"/>
  <c r="CY31" i="12"/>
  <c r="CW31" i="12"/>
  <c r="CZ31" i="12"/>
  <c r="DD31" i="12"/>
  <c r="DB31" i="12"/>
  <c r="CY52" i="12"/>
  <c r="CW52" i="12"/>
  <c r="DD52" i="12"/>
  <c r="CZ52" i="12"/>
  <c r="CW116" i="12"/>
  <c r="CY116" i="12"/>
  <c r="DD116" i="12"/>
  <c r="CZ116" i="12"/>
  <c r="DB116" i="12"/>
  <c r="DB52" i="12"/>
  <c r="CW48" i="12"/>
  <c r="CY48" i="12"/>
  <c r="CZ48" i="12"/>
  <c r="DD48" i="12"/>
  <c r="CW80" i="12"/>
  <c r="CY80" i="12"/>
  <c r="CZ80" i="12"/>
  <c r="DD80" i="12"/>
  <c r="DN82" i="12"/>
  <c r="DX82" i="12"/>
  <c r="CN123" i="12"/>
  <c r="CX123" i="12"/>
  <c r="DB123" i="12" s="1"/>
  <c r="CQ126" i="12"/>
  <c r="CY86" i="12"/>
  <c r="CW86" i="12"/>
  <c r="DD86" i="12"/>
  <c r="CZ86" i="12"/>
  <c r="CW24" i="12"/>
  <c r="CY24" i="12"/>
  <c r="DD24" i="12"/>
  <c r="CZ24" i="12"/>
  <c r="DB24" i="12"/>
  <c r="CY99" i="12"/>
  <c r="CW99" i="12"/>
  <c r="DD99" i="12"/>
  <c r="CZ99" i="12"/>
  <c r="DB99" i="12"/>
  <c r="CW39" i="12"/>
  <c r="CY39" i="12"/>
  <c r="DD39" i="12"/>
  <c r="CZ39" i="12"/>
  <c r="DB39" i="12"/>
  <c r="CK175" i="12"/>
  <c r="CY81" i="12"/>
  <c r="CW81" i="12"/>
  <c r="CZ81" i="12"/>
  <c r="DD81" i="12"/>
  <c r="DB81" i="12"/>
  <c r="CY103" i="12"/>
  <c r="CW103" i="12"/>
  <c r="DD103" i="12"/>
  <c r="CZ103" i="12"/>
  <c r="DB53" i="12"/>
  <c r="CW30" i="12"/>
  <c r="CY30" i="12"/>
  <c r="DD30" i="12"/>
  <c r="CZ30" i="12"/>
  <c r="DB30" i="12"/>
  <c r="DB43" i="12"/>
  <c r="DB70" i="12"/>
  <c r="CW11" i="12"/>
  <c r="CY11" i="12"/>
  <c r="DD11" i="12"/>
  <c r="CZ11" i="12"/>
  <c r="CW19" i="12"/>
  <c r="CY19" i="12"/>
  <c r="DD19" i="12"/>
  <c r="CZ19" i="12"/>
  <c r="CW42" i="12"/>
  <c r="CY42" i="12"/>
  <c r="DD42" i="12"/>
  <c r="CZ42" i="12"/>
  <c r="DB42" i="12"/>
  <c r="CW111" i="12"/>
  <c r="CY111" i="12"/>
  <c r="CZ111" i="12"/>
  <c r="DD111" i="12"/>
  <c r="CY115" i="12"/>
  <c r="CW115" i="12"/>
  <c r="CZ115" i="12"/>
  <c r="DD115" i="12"/>
  <c r="CW124" i="12"/>
  <c r="CY124" i="12"/>
  <c r="CZ124" i="12"/>
  <c r="DD124" i="12"/>
  <c r="CW71" i="12"/>
  <c r="CY71" i="12"/>
  <c r="CZ71" i="12"/>
  <c r="DD71" i="12"/>
  <c r="DB71" i="12"/>
  <c r="CY83" i="12"/>
  <c r="CW83" i="12"/>
  <c r="DD83" i="12"/>
  <c r="CZ83" i="12"/>
  <c r="DB83" i="12"/>
  <c r="CW20" i="12"/>
  <c r="CY20" i="12"/>
  <c r="DD20" i="12"/>
  <c r="CZ20" i="12"/>
  <c r="CW29" i="12"/>
  <c r="CY29" i="12"/>
  <c r="DD29" i="12"/>
  <c r="CZ29" i="12"/>
  <c r="CY28" i="12"/>
  <c r="CW28" i="12"/>
  <c r="CZ28" i="12"/>
  <c r="DD28" i="12"/>
  <c r="DB28" i="12"/>
  <c r="CY49" i="12"/>
  <c r="CW49" i="12"/>
  <c r="DD49" i="12"/>
  <c r="CZ49" i="12"/>
  <c r="DB19" i="12"/>
  <c r="CY32" i="12"/>
  <c r="CW32" i="12"/>
  <c r="CZ32" i="12"/>
  <c r="DD32" i="12"/>
  <c r="DB32" i="12"/>
  <c r="DB20" i="12"/>
  <c r="DB38" i="12"/>
  <c r="CW96" i="12"/>
  <c r="CY96" i="12"/>
  <c r="CZ96" i="12"/>
  <c r="DD96" i="12"/>
  <c r="CY33" i="12"/>
  <c r="CW33" i="12"/>
  <c r="CZ33" i="12"/>
  <c r="DD33" i="12"/>
  <c r="DB33" i="12"/>
  <c r="CY125" i="12"/>
  <c r="CW125" i="12"/>
  <c r="DD125" i="12"/>
  <c r="CZ125" i="12"/>
  <c r="DB91" i="12"/>
  <c r="CW91" i="12"/>
  <c r="CY91" i="12"/>
  <c r="CZ91" i="12"/>
  <c r="DD91" i="12"/>
  <c r="CY56" i="12"/>
  <c r="CW56" i="12"/>
  <c r="DD56" i="12"/>
  <c r="CZ56" i="12"/>
  <c r="CW76" i="12"/>
  <c r="CY76" i="12"/>
  <c r="DD76" i="12"/>
  <c r="CZ76" i="12"/>
  <c r="DN74" i="12"/>
  <c r="DX74" i="12"/>
  <c r="CW65" i="12"/>
  <c r="CY65" i="12"/>
  <c r="CZ65" i="12"/>
  <c r="DD65" i="12"/>
  <c r="CY122" i="12"/>
  <c r="CW122" i="12"/>
  <c r="CZ122" i="12"/>
  <c r="DD122" i="12"/>
  <c r="DB122" i="12"/>
  <c r="CY8" i="12"/>
  <c r="CW8" i="12"/>
  <c r="DD8" i="12"/>
  <c r="CZ8" i="12"/>
  <c r="DB92" i="12"/>
  <c r="CW34" i="12"/>
  <c r="CY34" i="12"/>
  <c r="CZ34" i="12"/>
  <c r="DD34" i="12"/>
  <c r="DB107" i="12"/>
  <c r="CW57" i="12"/>
  <c r="CY57" i="12"/>
  <c r="DD57" i="12"/>
  <c r="CZ57" i="12"/>
  <c r="CW23" i="12"/>
  <c r="CY23" i="12"/>
  <c r="CZ23" i="12"/>
  <c r="DD23" i="12"/>
  <c r="CW35" i="12"/>
  <c r="CY35" i="12"/>
  <c r="CZ35" i="12"/>
  <c r="DD35" i="12"/>
  <c r="CY13" i="12"/>
  <c r="CW13" i="12"/>
  <c r="CZ13" i="12"/>
  <c r="DD13" i="12"/>
  <c r="CW61" i="12"/>
  <c r="CY61" i="12"/>
  <c r="CZ61" i="12"/>
  <c r="DD61" i="12"/>
  <c r="CW14" i="12"/>
  <c r="CY14" i="12"/>
  <c r="CZ14" i="12"/>
  <c r="DD14" i="12"/>
  <c r="CY54" i="12"/>
  <c r="CW54" i="12"/>
  <c r="CZ54" i="12"/>
  <c r="DD54" i="12"/>
  <c r="CK177" i="12"/>
  <c r="CK178" i="12" s="1"/>
  <c r="CK182" i="12"/>
  <c r="CJ183" i="12" s="1"/>
  <c r="CW119" i="12"/>
  <c r="CY119" i="12"/>
  <c r="CZ119" i="12"/>
  <c r="DD119" i="12"/>
  <c r="DB119" i="12"/>
  <c r="CY36" i="12"/>
  <c r="CW36" i="12"/>
  <c r="DD36" i="12"/>
  <c r="CZ36" i="12"/>
  <c r="CW40" i="12"/>
  <c r="CY40" i="12"/>
  <c r="DD40" i="12"/>
  <c r="CZ40" i="12"/>
  <c r="DB40" i="12"/>
  <c r="CW41" i="12"/>
  <c r="CY41" i="12"/>
  <c r="CZ41" i="12"/>
  <c r="DD41" i="12"/>
  <c r="DB41" i="12"/>
  <c r="DB88" i="12"/>
  <c r="CW94" i="12"/>
  <c r="CY94" i="12"/>
  <c r="DD94" i="12"/>
  <c r="CZ94" i="12"/>
  <c r="DB94" i="12"/>
  <c r="CW89" i="12"/>
  <c r="CY89" i="12"/>
  <c r="CZ89" i="12"/>
  <c r="DD89" i="12"/>
  <c r="DB44" i="12"/>
  <c r="CW84" i="12"/>
  <c r="CY84" i="12"/>
  <c r="DD84" i="12"/>
  <c r="CZ84" i="12"/>
  <c r="DB84" i="12"/>
  <c r="CW25" i="12"/>
  <c r="CY25" i="12"/>
  <c r="CZ25" i="12"/>
  <c r="DD25" i="12"/>
  <c r="DB25" i="12"/>
  <c r="DB75" i="12"/>
  <c r="CW72" i="12"/>
  <c r="CY72" i="12"/>
  <c r="CZ72" i="12"/>
  <c r="DD72" i="12"/>
  <c r="CW85" i="12"/>
  <c r="CY85" i="12"/>
  <c r="CZ85" i="12"/>
  <c r="DD85" i="12"/>
  <c r="CN17" i="12"/>
  <c r="CN126" i="12" s="1"/>
  <c r="CX17" i="12"/>
  <c r="CX134" i="12" s="1"/>
  <c r="CX138" i="12" s="1"/>
  <c r="CX183" i="12" s="1"/>
  <c r="DB67" i="12"/>
  <c r="CY21" i="12"/>
  <c r="CW21" i="12"/>
  <c r="CZ21" i="12"/>
  <c r="DD21" i="12"/>
  <c r="CY16" i="12"/>
  <c r="CW16" i="12"/>
  <c r="CZ16" i="12"/>
  <c r="DD16" i="12"/>
  <c r="CW109" i="12"/>
  <c r="CY109" i="12"/>
  <c r="CZ109" i="12"/>
  <c r="DD109" i="12"/>
  <c r="CY45" i="12"/>
  <c r="CW45" i="12"/>
  <c r="CZ45" i="12"/>
  <c r="DD45" i="12"/>
  <c r="CY26" i="12"/>
  <c r="CW26" i="12"/>
  <c r="DD26" i="12"/>
  <c r="CZ26" i="12"/>
  <c r="DB26" i="12"/>
  <c r="DN90" i="12"/>
  <c r="DX90" i="12"/>
  <c r="CY6" i="12"/>
  <c r="CW6" i="12"/>
  <c r="DD6" i="12"/>
  <c r="CZ6" i="12"/>
  <c r="CM126" i="12"/>
  <c r="DB65" i="12"/>
  <c r="DB13" i="12"/>
  <c r="CY102" i="12"/>
  <c r="CW102" i="12"/>
  <c r="CZ102" i="12"/>
  <c r="DD102" i="12"/>
  <c r="DB61" i="12"/>
  <c r="CW69" i="12"/>
  <c r="CY69" i="12"/>
  <c r="CZ69" i="12"/>
  <c r="DD69" i="12"/>
  <c r="CY58" i="12"/>
  <c r="CW58" i="12"/>
  <c r="CZ58" i="12"/>
  <c r="DD58" i="12"/>
  <c r="DB95" i="12"/>
  <c r="CO126" i="12"/>
  <c r="CY5" i="12"/>
  <c r="CW5" i="12"/>
  <c r="DD5" i="12"/>
  <c r="CZ5" i="12"/>
  <c r="DB5" i="12"/>
  <c r="CW113" i="12"/>
  <c r="CY113" i="12"/>
  <c r="CZ113" i="12"/>
  <c r="DD113" i="12"/>
  <c r="DB27" i="12"/>
  <c r="CW37" i="12"/>
  <c r="CY37" i="12"/>
  <c r="DD37" i="12"/>
  <c r="CZ37" i="12"/>
  <c r="DB37" i="12"/>
  <c r="CY106" i="12"/>
  <c r="CW106" i="12"/>
  <c r="DD106" i="12"/>
  <c r="CZ106" i="12"/>
  <c r="CW98" i="12"/>
  <c r="CY98" i="12"/>
  <c r="CZ98" i="12"/>
  <c r="DD98" i="12"/>
  <c r="DB98" i="12"/>
  <c r="CW114" i="12"/>
  <c r="CY114" i="12"/>
  <c r="DD114" i="12"/>
  <c r="CZ114" i="12"/>
  <c r="DB36" i="12"/>
  <c r="CY68" i="12"/>
  <c r="CW68" i="12"/>
  <c r="CZ68" i="12"/>
  <c r="DD68" i="12"/>
  <c r="CW105" i="12"/>
  <c r="CY105" i="12"/>
  <c r="CZ105" i="12"/>
  <c r="DD105" i="12"/>
  <c r="DB105" i="12"/>
  <c r="CW87" i="12"/>
  <c r="CY87" i="12"/>
  <c r="DD87" i="12"/>
  <c r="CZ87" i="12"/>
  <c r="CY47" i="12"/>
  <c r="CW47" i="12"/>
  <c r="DD47" i="12"/>
  <c r="CZ47" i="12"/>
  <c r="DB47" i="12"/>
  <c r="CW60" i="12"/>
  <c r="CY60" i="12"/>
  <c r="CZ60" i="12"/>
  <c r="DD60" i="12"/>
  <c r="CW12" i="12"/>
  <c r="CY12" i="12"/>
  <c r="CZ12" i="12"/>
  <c r="DD12" i="12"/>
  <c r="DB12" i="12"/>
  <c r="CY104" i="12"/>
  <c r="CW104" i="12"/>
  <c r="DD104" i="12"/>
  <c r="CZ104" i="12"/>
  <c r="CY50" i="12"/>
  <c r="CW50" i="12"/>
  <c r="CZ50" i="12"/>
  <c r="DD50" i="12"/>
  <c r="CY55" i="12"/>
  <c r="CW55" i="12"/>
  <c r="DD55" i="12"/>
  <c r="CZ55" i="12"/>
  <c r="CY63" i="12"/>
  <c r="CW63" i="12"/>
  <c r="CZ63" i="12"/>
  <c r="DD63" i="12"/>
  <c r="DB63" i="12"/>
  <c r="CW22" i="12"/>
  <c r="CY22" i="12"/>
  <c r="CZ22" i="12"/>
  <c r="DD22" i="12"/>
  <c r="DB22" i="12"/>
  <c r="CY100" i="12"/>
  <c r="CW100" i="12"/>
  <c r="CZ100" i="12"/>
  <c r="DD100" i="12"/>
  <c r="DB23" i="12"/>
  <c r="CY66" i="12"/>
  <c r="CW66" i="12"/>
  <c r="DD66" i="12"/>
  <c r="CZ66" i="12"/>
  <c r="CY10" i="12"/>
  <c r="CW10" i="12"/>
  <c r="CZ10" i="12"/>
  <c r="DD10" i="12"/>
  <c r="DB62" i="12"/>
  <c r="CY59" i="12"/>
  <c r="CW59" i="12"/>
  <c r="DD59" i="12"/>
  <c r="CZ59" i="12"/>
  <c r="DB49" i="12"/>
  <c r="DB108" i="12"/>
  <c r="DB96" i="12"/>
  <c r="DB54" i="12"/>
  <c r="H17" i="17"/>
  <c r="H19" i="17" s="1"/>
  <c r="CX126" i="12" l="1"/>
  <c r="CX174" i="12"/>
  <c r="DB17" i="12"/>
  <c r="I18" i="17"/>
  <c r="DA66" i="12"/>
  <c r="DK66" i="12"/>
  <c r="DA63" i="12"/>
  <c r="DK63" i="12"/>
  <c r="DA50" i="12"/>
  <c r="DK50" i="12"/>
  <c r="DA106" i="12"/>
  <c r="DK106" i="12"/>
  <c r="DA102" i="12"/>
  <c r="DK102" i="12"/>
  <c r="DA6" i="12"/>
  <c r="DK6" i="12"/>
  <c r="DW90" i="12"/>
  <c r="DY90" i="12"/>
  <c r="ED90" i="12"/>
  <c r="DZ90" i="12"/>
  <c r="EA90" i="12" s="1"/>
  <c r="DA45" i="12"/>
  <c r="DK45" i="12"/>
  <c r="DA85" i="12"/>
  <c r="DK85" i="12"/>
  <c r="DA72" i="12"/>
  <c r="DK72" i="12"/>
  <c r="DA25" i="12"/>
  <c r="DK25" i="12"/>
  <c r="DA84" i="12"/>
  <c r="DK84" i="12"/>
  <c r="DA119" i="12"/>
  <c r="DK119" i="12"/>
  <c r="CN147" i="12"/>
  <c r="DA54" i="12"/>
  <c r="DK54" i="12"/>
  <c r="DA13" i="12"/>
  <c r="DK13" i="12"/>
  <c r="DA35" i="12"/>
  <c r="DK35" i="12"/>
  <c r="DA57" i="12"/>
  <c r="DK57" i="12"/>
  <c r="DA34" i="12"/>
  <c r="DK34" i="12"/>
  <c r="DA122" i="12"/>
  <c r="DK122" i="12"/>
  <c r="DA65" i="12"/>
  <c r="DK65" i="12"/>
  <c r="DW74" i="12"/>
  <c r="DY74" i="12"/>
  <c r="DZ74" i="12"/>
  <c r="EA74" i="12" s="1"/>
  <c r="ED74" i="12"/>
  <c r="EB74" i="12"/>
  <c r="DA76" i="12"/>
  <c r="DK76" i="12"/>
  <c r="DA56" i="12"/>
  <c r="DK56" i="12"/>
  <c r="DA32" i="12"/>
  <c r="DK32" i="12"/>
  <c r="DA49" i="12"/>
  <c r="DK49" i="12"/>
  <c r="DA28" i="12"/>
  <c r="DK28" i="12"/>
  <c r="DA83" i="12"/>
  <c r="DK83" i="12"/>
  <c r="DA71" i="12"/>
  <c r="DK71" i="12"/>
  <c r="DA124" i="12"/>
  <c r="DK124" i="12"/>
  <c r="DA115" i="12"/>
  <c r="DK115" i="12"/>
  <c r="DA111" i="12"/>
  <c r="DK111" i="12"/>
  <c r="DA19" i="12"/>
  <c r="DK19" i="12"/>
  <c r="DA11" i="12"/>
  <c r="DK11" i="12"/>
  <c r="DA103" i="12"/>
  <c r="DK103" i="12"/>
  <c r="DA81" i="12"/>
  <c r="DK81" i="12"/>
  <c r="DA39" i="12"/>
  <c r="DK39" i="12"/>
  <c r="DA24" i="12"/>
  <c r="DK24" i="12"/>
  <c r="DA86" i="12"/>
  <c r="DK86" i="12"/>
  <c r="DW82" i="12"/>
  <c r="DY82" i="12"/>
  <c r="ED82" i="12"/>
  <c r="DZ82" i="12"/>
  <c r="EA82" i="12" s="1"/>
  <c r="EB82" i="12"/>
  <c r="DA80" i="12"/>
  <c r="DK80" i="12"/>
  <c r="DA48" i="12"/>
  <c r="DK48" i="12"/>
  <c r="DA108" i="12"/>
  <c r="DK108" i="12"/>
  <c r="DA38" i="12"/>
  <c r="DK38" i="12"/>
  <c r="DA44" i="12"/>
  <c r="DK44" i="12"/>
  <c r="DA51" i="12"/>
  <c r="DK51" i="12"/>
  <c r="DA117" i="12"/>
  <c r="DK117" i="12"/>
  <c r="DA70" i="12"/>
  <c r="DK70" i="12"/>
  <c r="DO70" i="12" s="1"/>
  <c r="DA9" i="12"/>
  <c r="DK9" i="12"/>
  <c r="DA78" i="12"/>
  <c r="DK78" i="12"/>
  <c r="DA118" i="12"/>
  <c r="DK118" i="12"/>
  <c r="DA121" i="12"/>
  <c r="DK121" i="12"/>
  <c r="DA95" i="12"/>
  <c r="DK95" i="12"/>
  <c r="DA107" i="12"/>
  <c r="DK107" i="12"/>
  <c r="DA100" i="12"/>
  <c r="DK100" i="12"/>
  <c r="DO63" i="12"/>
  <c r="DO54" i="12"/>
  <c r="DO108" i="12"/>
  <c r="DA59" i="12"/>
  <c r="DK59" i="12"/>
  <c r="DA10" i="12"/>
  <c r="DK10" i="12"/>
  <c r="DA22" i="12"/>
  <c r="DK22" i="12"/>
  <c r="DA55" i="12"/>
  <c r="DK55" i="12"/>
  <c r="DA104" i="12"/>
  <c r="DK104" i="12"/>
  <c r="DA12" i="12"/>
  <c r="DK12" i="12"/>
  <c r="DA60" i="12"/>
  <c r="DK60" i="12"/>
  <c r="DA47" i="12"/>
  <c r="DK47" i="12"/>
  <c r="DA87" i="12"/>
  <c r="DK87" i="12"/>
  <c r="DA105" i="12"/>
  <c r="DK105" i="12"/>
  <c r="DA68" i="12"/>
  <c r="DK68" i="12"/>
  <c r="DA114" i="12"/>
  <c r="DK114" i="12"/>
  <c r="DA98" i="12"/>
  <c r="DK98" i="12"/>
  <c r="DA37" i="12"/>
  <c r="DK37" i="12"/>
  <c r="DA113" i="12"/>
  <c r="DK113" i="12"/>
  <c r="DA5" i="12"/>
  <c r="DK5" i="12"/>
  <c r="CX182" i="12"/>
  <c r="CW183" i="12" s="1"/>
  <c r="CX177" i="12"/>
  <c r="DO95" i="12"/>
  <c r="DA58" i="12"/>
  <c r="DK58" i="12"/>
  <c r="DA69" i="12"/>
  <c r="DK69" i="12"/>
  <c r="DO13" i="12"/>
  <c r="DA26" i="12"/>
  <c r="DK26" i="12"/>
  <c r="DO26" i="12" s="1"/>
  <c r="DA109" i="12"/>
  <c r="DK109" i="12"/>
  <c r="DA16" i="12"/>
  <c r="DK16" i="12"/>
  <c r="DA21" i="12"/>
  <c r="DK21" i="12"/>
  <c r="CW17" i="12"/>
  <c r="CY17" i="12"/>
  <c r="DD17" i="12"/>
  <c r="CZ17" i="12"/>
  <c r="DO84" i="12"/>
  <c r="DA89" i="12"/>
  <c r="DK89" i="12"/>
  <c r="DA94" i="12"/>
  <c r="DK94" i="12"/>
  <c r="DA41" i="12"/>
  <c r="DK41" i="12"/>
  <c r="DA40" i="12"/>
  <c r="DK40" i="12"/>
  <c r="DA36" i="12"/>
  <c r="DK36" i="12"/>
  <c r="DA14" i="12"/>
  <c r="DK14" i="12"/>
  <c r="DA61" i="12"/>
  <c r="DK61" i="12"/>
  <c r="DO61" i="12" s="1"/>
  <c r="DA23" i="12"/>
  <c r="DK23" i="12"/>
  <c r="DA8" i="12"/>
  <c r="DK8" i="12"/>
  <c r="CY147" i="12"/>
  <c r="CY151" i="12" s="1"/>
  <c r="DA91" i="12"/>
  <c r="DK91" i="12"/>
  <c r="DA125" i="12"/>
  <c r="DK125" i="12"/>
  <c r="DA33" i="12"/>
  <c r="DK33" i="12"/>
  <c r="DA96" i="12"/>
  <c r="DK96" i="12"/>
  <c r="DO19" i="12"/>
  <c r="DA29" i="12"/>
  <c r="DK29" i="12"/>
  <c r="DA20" i="12"/>
  <c r="DK20" i="12"/>
  <c r="DO20" i="12" s="1"/>
  <c r="DA42" i="12"/>
  <c r="DK42" i="12"/>
  <c r="DA30" i="12"/>
  <c r="DK30" i="12"/>
  <c r="DO39" i="12"/>
  <c r="DA99" i="12"/>
  <c r="DK99" i="12"/>
  <c r="DO24" i="12"/>
  <c r="CY123" i="12"/>
  <c r="CW123" i="12"/>
  <c r="DD123" i="12"/>
  <c r="CZ123" i="12"/>
  <c r="EB90" i="12"/>
  <c r="DA116" i="12"/>
  <c r="DK116" i="12"/>
  <c r="DO116" i="12" s="1"/>
  <c r="DA52" i="12"/>
  <c r="DK52" i="12"/>
  <c r="DA31" i="12"/>
  <c r="DK31" i="12"/>
  <c r="DA15" i="12"/>
  <c r="DK15" i="12"/>
  <c r="DA110" i="12"/>
  <c r="DK110" i="12"/>
  <c r="DA62" i="12"/>
  <c r="DK62" i="12"/>
  <c r="DA75" i="12"/>
  <c r="DK75" i="12"/>
  <c r="DA64" i="12"/>
  <c r="DK64" i="12"/>
  <c r="DO51" i="12"/>
  <c r="DA93" i="12"/>
  <c r="DK93" i="12"/>
  <c r="DA88" i="12"/>
  <c r="DK88" i="12"/>
  <c r="DA43" i="12"/>
  <c r="DK43" i="12"/>
  <c r="DA46" i="12"/>
  <c r="DK46" i="12"/>
  <c r="DO78" i="12"/>
  <c r="DA120" i="12"/>
  <c r="DK120" i="12"/>
  <c r="DA53" i="12"/>
  <c r="DK53" i="12"/>
  <c r="DA27" i="12"/>
  <c r="DK27" i="12"/>
  <c r="DA67" i="12"/>
  <c r="DK67" i="12"/>
  <c r="DO67" i="12" s="1"/>
  <c r="DA18" i="12"/>
  <c r="DK18" i="12"/>
  <c r="DO18" i="12" s="1"/>
  <c r="DA92" i="12"/>
  <c r="DK92" i="12"/>
  <c r="DB126" i="12"/>
  <c r="C89" i="4"/>
  <c r="B88" i="4" s="1"/>
  <c r="D38" i="4"/>
  <c r="C38" i="4"/>
  <c r="C29" i="4"/>
  <c r="C54" i="4"/>
  <c r="C45" i="4"/>
  <c r="D29" i="4"/>
  <c r="C85" i="4"/>
  <c r="C84" i="4"/>
  <c r="C82" i="4"/>
  <c r="C69" i="4"/>
  <c r="C76" i="4"/>
  <c r="H5" i="16"/>
  <c r="D5" i="16" s="1"/>
  <c r="D18" i="16" s="1"/>
  <c r="H18" i="16" s="1"/>
  <c r="C61" i="4"/>
  <c r="C44" i="4"/>
  <c r="C28" i="4"/>
  <c r="AQ2" i="13"/>
  <c r="H18" i="7"/>
  <c r="B47" i="11"/>
  <c r="H16" i="11"/>
  <c r="I87" i="7"/>
  <c r="B16" i="11"/>
  <c r="H65" i="11" s="1"/>
  <c r="I26" i="7"/>
  <c r="I93" i="7"/>
  <c r="A4" i="4"/>
  <c r="C18" i="7"/>
  <c r="Z192" i="14" l="1"/>
  <c r="X192" i="14"/>
  <c r="DD126" i="12"/>
  <c r="CW126" i="12"/>
  <c r="CX176" i="12" s="1"/>
  <c r="CX175" i="12" s="1"/>
  <c r="CY126" i="12"/>
  <c r="DL43" i="12"/>
  <c r="DJ43" i="12"/>
  <c r="DQ43" i="12"/>
  <c r="DM43" i="12"/>
  <c r="DL88" i="12"/>
  <c r="DJ88" i="12"/>
  <c r="DQ88" i="12"/>
  <c r="DM88" i="12"/>
  <c r="DJ93" i="12"/>
  <c r="DL93" i="12"/>
  <c r="DM93" i="12"/>
  <c r="DQ93" i="12"/>
  <c r="DO93" i="12"/>
  <c r="DL64" i="12"/>
  <c r="DJ64" i="12"/>
  <c r="DM64" i="12"/>
  <c r="DQ64" i="12"/>
  <c r="DL75" i="12"/>
  <c r="DJ75" i="12"/>
  <c r="DQ75" i="12"/>
  <c r="DM75" i="12"/>
  <c r="DL62" i="12"/>
  <c r="DJ62" i="12"/>
  <c r="DQ62" i="12"/>
  <c r="DM62" i="12"/>
  <c r="DL31" i="12"/>
  <c r="DJ31" i="12"/>
  <c r="DQ31" i="12"/>
  <c r="DM31" i="12"/>
  <c r="DO31" i="12"/>
  <c r="DO99" i="12"/>
  <c r="DL99" i="12"/>
  <c r="DJ99" i="12"/>
  <c r="DQ99" i="12"/>
  <c r="DM99" i="12"/>
  <c r="DJ30" i="12"/>
  <c r="DL30" i="12"/>
  <c r="DQ30" i="12"/>
  <c r="DM30" i="12"/>
  <c r="DO43" i="12"/>
  <c r="DJ125" i="12"/>
  <c r="DL125" i="12"/>
  <c r="DQ125" i="12"/>
  <c r="DM125" i="12"/>
  <c r="DO125" i="12"/>
  <c r="DJ91" i="12"/>
  <c r="DL91" i="12"/>
  <c r="DQ91" i="12"/>
  <c r="DM91" i="12"/>
  <c r="DJ94" i="12"/>
  <c r="DL94" i="12"/>
  <c r="DQ94" i="12"/>
  <c r="DM94" i="12"/>
  <c r="DO89" i="12"/>
  <c r="DL89" i="12"/>
  <c r="DJ89" i="12"/>
  <c r="DQ89" i="12"/>
  <c r="DM89" i="12"/>
  <c r="DA17" i="12"/>
  <c r="DA147" i="12" s="1"/>
  <c r="DK17" i="12"/>
  <c r="DJ69" i="12"/>
  <c r="DL69" i="12"/>
  <c r="DQ69" i="12"/>
  <c r="DM69" i="12"/>
  <c r="DO69" i="12"/>
  <c r="DL58" i="12"/>
  <c r="DJ58" i="12"/>
  <c r="DM58" i="12"/>
  <c r="DQ58" i="12"/>
  <c r="DO58" i="12"/>
  <c r="DL37" i="12"/>
  <c r="DJ37" i="12"/>
  <c r="DM37" i="12"/>
  <c r="DQ37" i="12"/>
  <c r="DJ98" i="12"/>
  <c r="DL98" i="12"/>
  <c r="DQ98" i="12"/>
  <c r="DM98" i="12"/>
  <c r="DO98" i="12"/>
  <c r="DJ87" i="12"/>
  <c r="DL87" i="12"/>
  <c r="DM87" i="12"/>
  <c r="DQ87" i="12"/>
  <c r="DO87" i="12"/>
  <c r="DL47" i="12"/>
  <c r="DJ47" i="12"/>
  <c r="DQ47" i="12"/>
  <c r="DM47" i="12"/>
  <c r="DJ60" i="12"/>
  <c r="DL60" i="12"/>
  <c r="DQ60" i="12"/>
  <c r="DM60" i="12"/>
  <c r="DO60" i="12"/>
  <c r="DJ12" i="12"/>
  <c r="DL12" i="12"/>
  <c r="DM12" i="12"/>
  <c r="DQ12" i="12"/>
  <c r="DO12" i="12"/>
  <c r="DL10" i="12"/>
  <c r="DJ10" i="12"/>
  <c r="DQ10" i="12"/>
  <c r="DM10" i="12"/>
  <c r="DO10" i="12"/>
  <c r="DO62" i="12"/>
  <c r="DO100" i="12"/>
  <c r="DL100" i="12"/>
  <c r="DJ100" i="12"/>
  <c r="DM100" i="12"/>
  <c r="DQ100" i="12"/>
  <c r="DL107" i="12"/>
  <c r="DJ107" i="12"/>
  <c r="DQ107" i="12"/>
  <c r="DM107" i="12"/>
  <c r="DL95" i="12"/>
  <c r="DJ95" i="12"/>
  <c r="DQ95" i="12"/>
  <c r="DM95" i="12"/>
  <c r="DO121" i="12"/>
  <c r="DJ121" i="12"/>
  <c r="DL121" i="12"/>
  <c r="DM121" i="12"/>
  <c r="DQ121" i="12"/>
  <c r="DO118" i="12"/>
  <c r="DL118" i="12"/>
  <c r="DJ118" i="12"/>
  <c r="DM118" i="12"/>
  <c r="DQ118" i="12"/>
  <c r="DJ78" i="12"/>
  <c r="DL78" i="12"/>
  <c r="DM78" i="12"/>
  <c r="DQ78" i="12"/>
  <c r="DJ9" i="12"/>
  <c r="DL9" i="12"/>
  <c r="DM9" i="12"/>
  <c r="DQ9" i="12"/>
  <c r="DO9" i="12"/>
  <c r="DJ51" i="12"/>
  <c r="DL51" i="12"/>
  <c r="DM51" i="12"/>
  <c r="DQ51" i="12"/>
  <c r="DO64" i="12"/>
  <c r="DL86" i="12"/>
  <c r="DJ86" i="12"/>
  <c r="DM86" i="12"/>
  <c r="DQ86" i="12"/>
  <c r="DO86" i="12"/>
  <c r="DL24" i="12"/>
  <c r="DJ24" i="12"/>
  <c r="DM24" i="12"/>
  <c r="DQ24" i="12"/>
  <c r="DJ39" i="12"/>
  <c r="DL39" i="12"/>
  <c r="DM39" i="12"/>
  <c r="DQ39" i="12"/>
  <c r="DL81" i="12"/>
  <c r="DJ81" i="12"/>
  <c r="DM81" i="12"/>
  <c r="DQ81" i="12"/>
  <c r="DO81" i="12"/>
  <c r="DJ111" i="12"/>
  <c r="DL111" i="12"/>
  <c r="DQ111" i="12"/>
  <c r="DM111" i="12"/>
  <c r="DO111" i="12"/>
  <c r="DO115" i="12"/>
  <c r="DL115" i="12"/>
  <c r="DJ115" i="12"/>
  <c r="DM115" i="12"/>
  <c r="DQ115" i="12"/>
  <c r="DL124" i="12"/>
  <c r="DJ124" i="12"/>
  <c r="DM124" i="12"/>
  <c r="DQ124" i="12"/>
  <c r="DO124" i="12"/>
  <c r="DL71" i="12"/>
  <c r="DJ71" i="12"/>
  <c r="DQ71" i="12"/>
  <c r="DM71" i="12"/>
  <c r="DO71" i="12"/>
  <c r="DJ49" i="12"/>
  <c r="DL49" i="12"/>
  <c r="DM49" i="12"/>
  <c r="DQ49" i="12"/>
  <c r="DJ32" i="12"/>
  <c r="DL32" i="12"/>
  <c r="DM32" i="12"/>
  <c r="DQ32" i="12"/>
  <c r="DO32" i="12"/>
  <c r="DO91" i="12"/>
  <c r="DL65" i="12"/>
  <c r="DJ65" i="12"/>
  <c r="DQ65" i="12"/>
  <c r="DM65" i="12"/>
  <c r="DO122" i="12"/>
  <c r="DJ122" i="12"/>
  <c r="DL122" i="12"/>
  <c r="DM122" i="12"/>
  <c r="DQ122" i="12"/>
  <c r="DD160" i="12"/>
  <c r="DD164" i="12" s="1"/>
  <c r="DJ34" i="12"/>
  <c r="DL34" i="12"/>
  <c r="DQ34" i="12"/>
  <c r="DM34" i="12"/>
  <c r="DO34" i="12"/>
  <c r="DO107" i="12"/>
  <c r="DL119" i="12"/>
  <c r="DJ119" i="12"/>
  <c r="DM119" i="12"/>
  <c r="DQ119" i="12"/>
  <c r="DO119" i="12"/>
  <c r="DO88" i="12"/>
  <c r="DJ84" i="12"/>
  <c r="DL84" i="12"/>
  <c r="DM84" i="12"/>
  <c r="DQ84" i="12"/>
  <c r="DL25" i="12"/>
  <c r="DJ25" i="12"/>
  <c r="DQ25" i="12"/>
  <c r="DM25" i="12"/>
  <c r="DO25" i="12"/>
  <c r="DL45" i="12"/>
  <c r="DJ45" i="12"/>
  <c r="DM45" i="12"/>
  <c r="DQ45" i="12"/>
  <c r="DO45" i="12"/>
  <c r="DL6" i="12"/>
  <c r="DJ6" i="12"/>
  <c r="DM6" i="12"/>
  <c r="DQ6" i="12"/>
  <c r="DO6" i="12"/>
  <c r="CZ126" i="12"/>
  <c r="DL102" i="12"/>
  <c r="DJ102" i="12"/>
  <c r="DQ102" i="12"/>
  <c r="DM102" i="12"/>
  <c r="DO102" i="12"/>
  <c r="DO37" i="12"/>
  <c r="DO47" i="12"/>
  <c r="DO66" i="12"/>
  <c r="DJ66" i="12"/>
  <c r="DL66" i="12"/>
  <c r="DQ66" i="12"/>
  <c r="DM66" i="12"/>
  <c r="DJ92" i="12"/>
  <c r="DL92" i="12"/>
  <c r="DQ92" i="12"/>
  <c r="DM92" i="12"/>
  <c r="DL18" i="12"/>
  <c r="DJ18" i="12"/>
  <c r="DQ18" i="12"/>
  <c r="DM18" i="12"/>
  <c r="DJ67" i="12"/>
  <c r="DL67" i="12"/>
  <c r="DM67" i="12"/>
  <c r="DQ67" i="12"/>
  <c r="DJ27" i="12"/>
  <c r="DL27" i="12"/>
  <c r="DM27" i="12"/>
  <c r="DQ27" i="12"/>
  <c r="DJ53" i="12"/>
  <c r="DL53" i="12"/>
  <c r="DM53" i="12"/>
  <c r="DQ53" i="12"/>
  <c r="DL120" i="12"/>
  <c r="DJ120" i="12"/>
  <c r="DQ120" i="12"/>
  <c r="DM120" i="12"/>
  <c r="DO120" i="12"/>
  <c r="DJ46" i="12"/>
  <c r="DL46" i="12"/>
  <c r="DM46" i="12"/>
  <c r="DQ46" i="12"/>
  <c r="DO46" i="12"/>
  <c r="DJ110" i="12"/>
  <c r="DL110" i="12"/>
  <c r="DM110" i="12"/>
  <c r="DQ110" i="12"/>
  <c r="DL15" i="12"/>
  <c r="DJ15" i="12"/>
  <c r="DQ15" i="12"/>
  <c r="DM15" i="12"/>
  <c r="DO15" i="12"/>
  <c r="DJ52" i="12"/>
  <c r="DL52" i="12"/>
  <c r="DM52" i="12"/>
  <c r="DQ52" i="12"/>
  <c r="DJ116" i="12"/>
  <c r="DL116" i="12"/>
  <c r="DM116" i="12"/>
  <c r="DQ116" i="12"/>
  <c r="DO52" i="12"/>
  <c r="DA123" i="12"/>
  <c r="DA126" i="12" s="1"/>
  <c r="DK123" i="12"/>
  <c r="DO53" i="12"/>
  <c r="DL42" i="12"/>
  <c r="DJ42" i="12"/>
  <c r="DQ42" i="12"/>
  <c r="DM42" i="12"/>
  <c r="DJ20" i="12"/>
  <c r="DL20" i="12"/>
  <c r="DQ20" i="12"/>
  <c r="DM20" i="12"/>
  <c r="DJ29" i="12"/>
  <c r="DL29" i="12"/>
  <c r="DM29" i="12"/>
  <c r="DQ29" i="12"/>
  <c r="DO29" i="12"/>
  <c r="DJ96" i="12"/>
  <c r="DL96" i="12"/>
  <c r="DQ96" i="12"/>
  <c r="DM96" i="12"/>
  <c r="DJ33" i="12"/>
  <c r="DL33" i="12"/>
  <c r="DM33" i="12"/>
  <c r="DQ33" i="12"/>
  <c r="DO33" i="12"/>
  <c r="DL8" i="12"/>
  <c r="DK134" i="12"/>
  <c r="DK138" i="12" s="1"/>
  <c r="DK183" i="12" s="1"/>
  <c r="DJ8" i="12"/>
  <c r="DQ8" i="12"/>
  <c r="DM8" i="12"/>
  <c r="DO8" i="12"/>
  <c r="DL23" i="12"/>
  <c r="DJ23" i="12"/>
  <c r="DQ23" i="12"/>
  <c r="DM23" i="12"/>
  <c r="DL61" i="12"/>
  <c r="DJ61" i="12"/>
  <c r="DQ61" i="12"/>
  <c r="DM61" i="12"/>
  <c r="DJ14" i="12"/>
  <c r="DL14" i="12"/>
  <c r="DM14" i="12"/>
  <c r="DQ14" i="12"/>
  <c r="DO14" i="12"/>
  <c r="DJ36" i="12"/>
  <c r="DL36" i="12"/>
  <c r="DQ36" i="12"/>
  <c r="DM36" i="12"/>
  <c r="DL40" i="12"/>
  <c r="DJ40" i="12"/>
  <c r="DM40" i="12"/>
  <c r="DQ40" i="12"/>
  <c r="DL41" i="12"/>
  <c r="DJ41" i="12"/>
  <c r="DM41" i="12"/>
  <c r="DQ41" i="12"/>
  <c r="DO41" i="12"/>
  <c r="DO75" i="12"/>
  <c r="DL21" i="12"/>
  <c r="DJ21" i="12"/>
  <c r="DQ21" i="12"/>
  <c r="DM21" i="12"/>
  <c r="DO21" i="12"/>
  <c r="DL16" i="12"/>
  <c r="DJ16" i="12"/>
  <c r="DM16" i="12"/>
  <c r="DQ16" i="12"/>
  <c r="DO16" i="12"/>
  <c r="DJ109" i="12"/>
  <c r="DL109" i="12"/>
  <c r="DM109" i="12"/>
  <c r="DQ109" i="12"/>
  <c r="DO109" i="12"/>
  <c r="DL26" i="12"/>
  <c r="DJ26" i="12"/>
  <c r="DM26" i="12"/>
  <c r="DQ26" i="12"/>
  <c r="CX178" i="12"/>
  <c r="DJ5" i="12"/>
  <c r="DL5" i="12"/>
  <c r="DK126" i="12"/>
  <c r="DK174" i="12"/>
  <c r="DM5" i="12"/>
  <c r="DQ5" i="12"/>
  <c r="DJ113" i="12"/>
  <c r="DL113" i="12"/>
  <c r="DM113" i="12"/>
  <c r="DQ113" i="12"/>
  <c r="DO113" i="12"/>
  <c r="DO27" i="12"/>
  <c r="DL114" i="12"/>
  <c r="DJ114" i="12"/>
  <c r="DM114" i="12"/>
  <c r="DQ114" i="12"/>
  <c r="DO114" i="12"/>
  <c r="DL68" i="12"/>
  <c r="DJ68" i="12"/>
  <c r="DQ68" i="12"/>
  <c r="DM68" i="12"/>
  <c r="DO68" i="12"/>
  <c r="DJ105" i="12"/>
  <c r="DL105" i="12"/>
  <c r="DM105" i="12"/>
  <c r="DQ105" i="12"/>
  <c r="DO105" i="12"/>
  <c r="DO104" i="12"/>
  <c r="DL104" i="12"/>
  <c r="DJ104" i="12"/>
  <c r="DQ104" i="12"/>
  <c r="DM104" i="12"/>
  <c r="DO55" i="12"/>
  <c r="DJ55" i="12"/>
  <c r="DL55" i="12"/>
  <c r="DM55" i="12"/>
  <c r="DQ55" i="12"/>
  <c r="DL22" i="12"/>
  <c r="DJ22" i="12"/>
  <c r="DQ22" i="12"/>
  <c r="DM22" i="12"/>
  <c r="DO22" i="12"/>
  <c r="DL59" i="12"/>
  <c r="DJ59" i="12"/>
  <c r="DQ59" i="12"/>
  <c r="DM59" i="12"/>
  <c r="DO59" i="12"/>
  <c r="DO96" i="12"/>
  <c r="DL70" i="12"/>
  <c r="DJ70" i="12"/>
  <c r="DM70" i="12"/>
  <c r="DQ70" i="12"/>
  <c r="DJ117" i="12"/>
  <c r="DL117" i="12"/>
  <c r="DM117" i="12"/>
  <c r="DQ117" i="12"/>
  <c r="DO117" i="12"/>
  <c r="DO44" i="12"/>
  <c r="DL44" i="12"/>
  <c r="DJ44" i="12"/>
  <c r="DM44" i="12"/>
  <c r="DQ44" i="12"/>
  <c r="DJ38" i="12"/>
  <c r="DL38" i="12"/>
  <c r="DQ38" i="12"/>
  <c r="DM38" i="12"/>
  <c r="DJ108" i="12"/>
  <c r="DL108" i="12"/>
  <c r="DM108" i="12"/>
  <c r="DQ108" i="12"/>
  <c r="DO110" i="12"/>
  <c r="DJ48" i="12"/>
  <c r="DL48" i="12"/>
  <c r="DM48" i="12"/>
  <c r="DQ48" i="12"/>
  <c r="DO48" i="12"/>
  <c r="DJ80" i="12"/>
  <c r="DL80" i="12"/>
  <c r="DM80" i="12"/>
  <c r="DQ80" i="12"/>
  <c r="DO80" i="12"/>
  <c r="DJ103" i="12"/>
  <c r="DL103" i="12"/>
  <c r="DM103" i="12"/>
  <c r="DQ103" i="12"/>
  <c r="DO103" i="12"/>
  <c r="DO30" i="12"/>
  <c r="DL11" i="12"/>
  <c r="DJ11" i="12"/>
  <c r="DQ11" i="12"/>
  <c r="DM11" i="12"/>
  <c r="DO11" i="12"/>
  <c r="DL19" i="12"/>
  <c r="DJ19" i="12"/>
  <c r="DQ19" i="12"/>
  <c r="DM19" i="12"/>
  <c r="DO42" i="12"/>
  <c r="DO83" i="12"/>
  <c r="DJ83" i="12"/>
  <c r="DL83" i="12"/>
  <c r="DM83" i="12"/>
  <c r="DQ83" i="12"/>
  <c r="DJ28" i="12"/>
  <c r="DL28" i="12"/>
  <c r="DM28" i="12"/>
  <c r="DQ28" i="12"/>
  <c r="DO28" i="12"/>
  <c r="DO38" i="12"/>
  <c r="DJ56" i="12"/>
  <c r="DL56" i="12"/>
  <c r="DM56" i="12"/>
  <c r="DQ56" i="12"/>
  <c r="DO56" i="12"/>
  <c r="DL76" i="12"/>
  <c r="DJ76" i="12"/>
  <c r="DQ76" i="12"/>
  <c r="DM76" i="12"/>
  <c r="DO76" i="12"/>
  <c r="DO92" i="12"/>
  <c r="DL57" i="12"/>
  <c r="DJ57" i="12"/>
  <c r="DQ57" i="12"/>
  <c r="DM57" i="12"/>
  <c r="DO57" i="12"/>
  <c r="DJ35" i="12"/>
  <c r="DL35" i="12"/>
  <c r="DM35" i="12"/>
  <c r="DQ35" i="12"/>
  <c r="DO35" i="12"/>
  <c r="DJ13" i="12"/>
  <c r="DL13" i="12"/>
  <c r="DM13" i="12"/>
  <c r="DQ13" i="12"/>
  <c r="DL54" i="12"/>
  <c r="DJ54" i="12"/>
  <c r="DM54" i="12"/>
  <c r="DQ54" i="12"/>
  <c r="CM147" i="12"/>
  <c r="CM151" i="12" s="1"/>
  <c r="CN151" i="12"/>
  <c r="DO40" i="12"/>
  <c r="DO94" i="12"/>
  <c r="DJ72" i="12"/>
  <c r="DL72" i="12"/>
  <c r="DM72" i="12"/>
  <c r="DQ72" i="12"/>
  <c r="DO72" i="12"/>
  <c r="DJ85" i="12"/>
  <c r="DL85" i="12"/>
  <c r="DQ85" i="12"/>
  <c r="DM85" i="12"/>
  <c r="DO85" i="12"/>
  <c r="DO65" i="12"/>
  <c r="DO5" i="12"/>
  <c r="DL106" i="12"/>
  <c r="DJ106" i="12"/>
  <c r="DM106" i="12"/>
  <c r="DQ106" i="12"/>
  <c r="DO106" i="12"/>
  <c r="DO36" i="12"/>
  <c r="DL50" i="12"/>
  <c r="DJ50" i="12"/>
  <c r="DM50" i="12"/>
  <c r="DQ50" i="12"/>
  <c r="DO50" i="12"/>
  <c r="DL63" i="12"/>
  <c r="DJ63" i="12"/>
  <c r="DQ63" i="12"/>
  <c r="DM63" i="12"/>
  <c r="DO23" i="12"/>
  <c r="DO49" i="12"/>
  <c r="E89" i="4"/>
  <c r="C90" i="4"/>
  <c r="D90" i="4"/>
  <c r="F38" i="4"/>
  <c r="E38" i="4"/>
  <c r="AW100" i="13"/>
  <c r="AU100" i="13"/>
  <c r="AV99" i="13"/>
  <c r="AW98" i="13"/>
  <c r="AU98" i="13"/>
  <c r="AV97" i="13"/>
  <c r="AW96" i="13"/>
  <c r="AU96" i="13"/>
  <c r="AV95" i="13"/>
  <c r="AW94" i="13"/>
  <c r="AU94" i="13"/>
  <c r="AV93" i="13"/>
  <c r="AW92" i="13"/>
  <c r="AU92" i="13"/>
  <c r="AV91" i="13"/>
  <c r="AV100" i="13"/>
  <c r="AW99" i="13"/>
  <c r="AU99" i="13"/>
  <c r="AV98" i="13"/>
  <c r="AW97" i="13"/>
  <c r="AU97" i="13"/>
  <c r="AV96" i="13"/>
  <c r="AW95" i="13"/>
  <c r="AU95" i="13"/>
  <c r="AV94" i="13"/>
  <c r="AW93" i="13"/>
  <c r="AU93" i="13"/>
  <c r="AV92" i="13"/>
  <c r="AW91" i="13"/>
  <c r="AU91" i="13"/>
  <c r="AW90" i="13"/>
  <c r="AU90" i="13"/>
  <c r="AV89" i="13"/>
  <c r="AW88" i="13"/>
  <c r="AU88" i="13"/>
  <c r="AV87" i="13"/>
  <c r="AW86" i="13"/>
  <c r="AU86" i="13"/>
  <c r="AW80" i="13"/>
  <c r="AU80" i="13"/>
  <c r="AV79" i="13"/>
  <c r="AV73" i="13"/>
  <c r="AW72" i="13"/>
  <c r="AU72" i="13"/>
  <c r="AW66" i="13"/>
  <c r="AU66" i="13"/>
  <c r="AV65" i="13"/>
  <c r="AW64" i="13"/>
  <c r="AU64" i="13"/>
  <c r="AW62" i="13"/>
  <c r="AU62" i="13"/>
  <c r="AW58" i="13"/>
  <c r="AU58" i="13"/>
  <c r="AV53" i="13"/>
  <c r="AW52" i="13"/>
  <c r="AU52" i="13"/>
  <c r="AV51" i="13"/>
  <c r="AV45" i="13"/>
  <c r="AV37" i="13"/>
  <c r="AW32" i="13"/>
  <c r="AU32" i="13"/>
  <c r="AW30" i="13"/>
  <c r="AU30" i="13"/>
  <c r="AV90" i="13"/>
  <c r="AW89" i="13"/>
  <c r="AU89" i="13"/>
  <c r="AV88" i="13"/>
  <c r="AW87" i="13"/>
  <c r="AU87" i="13"/>
  <c r="AV86" i="13"/>
  <c r="AV80" i="13"/>
  <c r="AW79" i="13"/>
  <c r="AU79" i="13"/>
  <c r="AW73" i="13"/>
  <c r="AU73" i="13"/>
  <c r="AV72" i="13"/>
  <c r="AV66" i="13"/>
  <c r="AW65" i="13"/>
  <c r="AU65" i="13"/>
  <c r="AV64" i="13"/>
  <c r="AV62" i="13"/>
  <c r="AV58" i="13"/>
  <c r="AW53" i="13"/>
  <c r="AU53" i="13"/>
  <c r="AV52" i="13"/>
  <c r="AW51" i="13"/>
  <c r="AU51" i="13"/>
  <c r="AW45" i="13"/>
  <c r="AU45" i="13"/>
  <c r="AW37" i="13"/>
  <c r="AU37" i="13"/>
  <c r="AV32" i="13"/>
  <c r="AV30" i="13"/>
  <c r="AW26" i="13"/>
  <c r="AU26" i="13"/>
  <c r="AV25" i="13"/>
  <c r="AW24" i="13"/>
  <c r="AU24" i="13"/>
  <c r="AV23" i="13"/>
  <c r="AW22" i="13"/>
  <c r="AU22" i="13"/>
  <c r="AV21" i="13"/>
  <c r="AV19" i="13"/>
  <c r="AW18" i="13"/>
  <c r="AU18" i="13"/>
  <c r="AW14" i="13"/>
  <c r="AU14" i="13"/>
  <c r="AV13" i="13"/>
  <c r="AW12" i="13"/>
  <c r="AU12" i="13"/>
  <c r="AV11" i="13"/>
  <c r="AW10" i="13"/>
  <c r="AU10" i="13"/>
  <c r="AV9" i="13"/>
  <c r="AW8" i="13"/>
  <c r="AU8" i="13"/>
  <c r="AV26" i="13"/>
  <c r="AW25" i="13"/>
  <c r="AU25" i="13"/>
  <c r="AV24" i="13"/>
  <c r="AW23" i="13"/>
  <c r="AU23" i="13"/>
  <c r="AV22" i="13"/>
  <c r="AW21" i="13"/>
  <c r="AU21" i="13"/>
  <c r="AW19" i="13"/>
  <c r="AU19" i="13"/>
  <c r="AV18" i="13"/>
  <c r="AV14" i="13"/>
  <c r="AW13" i="13"/>
  <c r="AU13" i="13"/>
  <c r="AV12" i="13"/>
  <c r="AW11" i="13"/>
  <c r="AU11" i="13"/>
  <c r="AV10" i="13"/>
  <c r="AW9" i="13"/>
  <c r="AU9" i="13"/>
  <c r="AV8" i="13"/>
  <c r="J18" i="17"/>
  <c r="C62" i="4"/>
  <c r="D62" i="4"/>
  <c r="E29" i="4"/>
  <c r="F29" i="4"/>
  <c r="E54" i="4"/>
  <c r="E45" i="4"/>
  <c r="E85" i="4"/>
  <c r="E61" i="4"/>
  <c r="E82" i="4"/>
  <c r="E76" i="4"/>
  <c r="E69" i="4"/>
  <c r="D73" i="4"/>
  <c r="C73" i="4"/>
  <c r="D70" i="4"/>
  <c r="C70" i="4"/>
  <c r="H30" i="16"/>
  <c r="I55" i="7" s="1"/>
  <c r="I65" i="7" s="1"/>
  <c r="I5" i="16"/>
  <c r="I30" i="16" s="1"/>
  <c r="E44" i="4"/>
  <c r="B65" i="4"/>
  <c r="B64" i="4"/>
  <c r="E5" i="16"/>
  <c r="E18" i="16" s="1"/>
  <c r="I18" i="16" s="1"/>
  <c r="E84" i="4"/>
  <c r="E28" i="4"/>
  <c r="I29" i="7"/>
  <c r="I42" i="7"/>
  <c r="AX2" i="13"/>
  <c r="I18" i="7"/>
  <c r="AQ103" i="13"/>
  <c r="AQ29" i="13"/>
  <c r="AQ4" i="13"/>
  <c r="H4" i="11"/>
  <c r="B35" i="11"/>
  <c r="C47" i="11"/>
  <c r="I16" i="11"/>
  <c r="D87" i="7"/>
  <c r="B4" i="11"/>
  <c r="J87" i="7"/>
  <c r="C16" i="11"/>
  <c r="I65" i="11" s="1"/>
  <c r="D93" i="7"/>
  <c r="J93" i="7"/>
  <c r="J26" i="7"/>
  <c r="D11" i="7"/>
  <c r="D26" i="7"/>
  <c r="D18" i="7"/>
  <c r="AM192" i="14" l="1"/>
  <c r="AK192" i="14"/>
  <c r="CZ147" i="12"/>
  <c r="CZ151" i="12" s="1"/>
  <c r="DA151" i="12"/>
  <c r="DN35" i="12"/>
  <c r="DX35" i="12"/>
  <c r="DN57" i="12"/>
  <c r="DX57" i="12"/>
  <c r="DN76" i="12"/>
  <c r="DX76" i="12"/>
  <c r="DN56" i="12"/>
  <c r="DX56" i="12"/>
  <c r="DN28" i="12"/>
  <c r="DX28" i="12"/>
  <c r="DN83" i="12"/>
  <c r="DX83" i="12"/>
  <c r="DN11" i="12"/>
  <c r="DX11" i="12"/>
  <c r="DN80" i="12"/>
  <c r="DX80" i="12"/>
  <c r="DN108" i="12"/>
  <c r="DX108" i="12"/>
  <c r="DN44" i="12"/>
  <c r="DX44" i="12"/>
  <c r="DN117" i="12"/>
  <c r="DX117" i="12"/>
  <c r="DN70" i="12"/>
  <c r="DX70" i="12"/>
  <c r="DN22" i="12"/>
  <c r="DX22" i="12"/>
  <c r="DN105" i="12"/>
  <c r="DX105" i="12"/>
  <c r="DN68" i="12"/>
  <c r="DX68" i="12"/>
  <c r="DN114" i="12"/>
  <c r="DX114" i="12"/>
  <c r="DN113" i="12"/>
  <c r="DX113" i="12"/>
  <c r="DN5" i="12"/>
  <c r="DX5" i="12"/>
  <c r="DK177" i="12"/>
  <c r="DK182" i="12"/>
  <c r="DN26" i="12"/>
  <c r="DX26" i="12"/>
  <c r="DN16" i="12"/>
  <c r="DX16" i="12"/>
  <c r="DN21" i="12"/>
  <c r="DX21" i="12"/>
  <c r="DN36" i="12"/>
  <c r="DX36" i="12"/>
  <c r="DN14" i="12"/>
  <c r="DX14" i="12"/>
  <c r="DN8" i="12"/>
  <c r="DX8" i="12"/>
  <c r="DN96" i="12"/>
  <c r="DX96" i="12"/>
  <c r="DN20" i="12"/>
  <c r="DX20" i="12"/>
  <c r="DN42" i="12"/>
  <c r="DX42" i="12"/>
  <c r="DL123" i="12"/>
  <c r="DJ123" i="12"/>
  <c r="DQ123" i="12"/>
  <c r="DM123" i="12"/>
  <c r="DO123" i="12"/>
  <c r="DN116" i="12"/>
  <c r="DX116" i="12"/>
  <c r="DN52" i="12"/>
  <c r="DX52" i="12"/>
  <c r="DN15" i="12"/>
  <c r="DX15" i="12"/>
  <c r="DN53" i="12"/>
  <c r="DX53" i="12"/>
  <c r="DN27" i="12"/>
  <c r="DX27" i="12"/>
  <c r="DN67" i="12"/>
  <c r="DX67" i="12"/>
  <c r="DN6" i="12"/>
  <c r="DX6" i="12"/>
  <c r="DN84" i="12"/>
  <c r="DX84" i="12"/>
  <c r="DN119" i="12"/>
  <c r="DX119" i="12"/>
  <c r="DN32" i="12"/>
  <c r="DX32" i="12"/>
  <c r="DN49" i="12"/>
  <c r="DX49" i="12"/>
  <c r="DN71" i="12"/>
  <c r="DX71" i="12"/>
  <c r="DN124" i="12"/>
  <c r="DX124" i="12"/>
  <c r="DN115" i="12"/>
  <c r="DX115" i="12"/>
  <c r="DN86" i="12"/>
  <c r="DX86" i="12"/>
  <c r="DN9" i="12"/>
  <c r="DX9" i="12"/>
  <c r="DN78" i="12"/>
  <c r="DX78" i="12"/>
  <c r="DN118" i="12"/>
  <c r="DX118" i="12"/>
  <c r="DN100" i="12"/>
  <c r="DX100" i="12"/>
  <c r="DN10" i="12"/>
  <c r="DX10" i="12"/>
  <c r="DN12" i="12"/>
  <c r="DX12" i="12"/>
  <c r="DN60" i="12"/>
  <c r="DX60" i="12"/>
  <c r="DN47" i="12"/>
  <c r="DX47" i="12"/>
  <c r="DN87" i="12"/>
  <c r="DX87" i="12"/>
  <c r="DN98" i="12"/>
  <c r="DX98" i="12"/>
  <c r="DN58" i="12"/>
  <c r="DX58" i="12"/>
  <c r="DN69" i="12"/>
  <c r="DX69" i="12"/>
  <c r="DL17" i="12"/>
  <c r="DL126" i="12" s="1"/>
  <c r="DJ17" i="12"/>
  <c r="DJ126" i="12" s="1"/>
  <c r="DK176" i="12" s="1"/>
  <c r="DK175" i="12" s="1"/>
  <c r="DQ17" i="12"/>
  <c r="DM17" i="12"/>
  <c r="DO17" i="12"/>
  <c r="DN89" i="12"/>
  <c r="DX89" i="12"/>
  <c r="EB89" i="12"/>
  <c r="DN91" i="12"/>
  <c r="DX91" i="12"/>
  <c r="DN30" i="12"/>
  <c r="DX30" i="12"/>
  <c r="DN64" i="12"/>
  <c r="DX64" i="12"/>
  <c r="DN88" i="12"/>
  <c r="DX88" i="12"/>
  <c r="DN43" i="12"/>
  <c r="DX43" i="12"/>
  <c r="EB49" i="12"/>
  <c r="DN63" i="12"/>
  <c r="DX63" i="12"/>
  <c r="DN50" i="12"/>
  <c r="DX50" i="12"/>
  <c r="DN106" i="12"/>
  <c r="DX106" i="12"/>
  <c r="DN85" i="12"/>
  <c r="DX85" i="12"/>
  <c r="DN72" i="12"/>
  <c r="DX72" i="12"/>
  <c r="DN54" i="12"/>
  <c r="DX54" i="12"/>
  <c r="DN13" i="12"/>
  <c r="DX13" i="12"/>
  <c r="EB57" i="12"/>
  <c r="EB76" i="12"/>
  <c r="EB83" i="12"/>
  <c r="DN19" i="12"/>
  <c r="DX19" i="12"/>
  <c r="EB11" i="12"/>
  <c r="DN103" i="12"/>
  <c r="DX103" i="12"/>
  <c r="DN48" i="12"/>
  <c r="DX48" i="12"/>
  <c r="DN38" i="12"/>
  <c r="DX38" i="12"/>
  <c r="EB44" i="12"/>
  <c r="EB96" i="12"/>
  <c r="DN59" i="12"/>
  <c r="DX59" i="12"/>
  <c r="EB22" i="12"/>
  <c r="DN55" i="12"/>
  <c r="DX55" i="12"/>
  <c r="DN104" i="12"/>
  <c r="DX104" i="12"/>
  <c r="EB68" i="12"/>
  <c r="EB27" i="12"/>
  <c r="DN109" i="12"/>
  <c r="DX109" i="12"/>
  <c r="EB21" i="12"/>
  <c r="DN41" i="12"/>
  <c r="DX41" i="12"/>
  <c r="DN40" i="12"/>
  <c r="DX40" i="12"/>
  <c r="DQ126" i="12"/>
  <c r="DN61" i="12"/>
  <c r="DX61" i="12"/>
  <c r="DN23" i="12"/>
  <c r="DX23" i="12"/>
  <c r="EB8" i="12"/>
  <c r="DQ160" i="12"/>
  <c r="DQ164" i="12" s="1"/>
  <c r="DJ183" i="12"/>
  <c r="DN33" i="12"/>
  <c r="DX33" i="12"/>
  <c r="DN29" i="12"/>
  <c r="DX29" i="12"/>
  <c r="DN110" i="12"/>
  <c r="DX110" i="12"/>
  <c r="DN46" i="12"/>
  <c r="DX46" i="12"/>
  <c r="DN120" i="12"/>
  <c r="DX120" i="12"/>
  <c r="DN18" i="12"/>
  <c r="DX18" i="12"/>
  <c r="DN92" i="12"/>
  <c r="DX92" i="12"/>
  <c r="EB92" i="12" s="1"/>
  <c r="DN66" i="12"/>
  <c r="DX66" i="12"/>
  <c r="EB66" i="12" s="1"/>
  <c r="DN102" i="12"/>
  <c r="DX102" i="12"/>
  <c r="DN45" i="12"/>
  <c r="DX45" i="12"/>
  <c r="DN25" i="12"/>
  <c r="DX25" i="12"/>
  <c r="EB25" i="12" s="1"/>
  <c r="EB88" i="12"/>
  <c r="DN34" i="12"/>
  <c r="DX34" i="12"/>
  <c r="EB34" i="12" s="1"/>
  <c r="DN122" i="12"/>
  <c r="DX122" i="12"/>
  <c r="DN65" i="12"/>
  <c r="DX65" i="12"/>
  <c r="EB65" i="12" s="1"/>
  <c r="EB91" i="12"/>
  <c r="EB71" i="12"/>
  <c r="EB115" i="12"/>
  <c r="DN111" i="12"/>
  <c r="DX111" i="12"/>
  <c r="DN81" i="12"/>
  <c r="DX81" i="12"/>
  <c r="DN39" i="12"/>
  <c r="DX39" i="12"/>
  <c r="DN24" i="12"/>
  <c r="DX24" i="12"/>
  <c r="DN51" i="12"/>
  <c r="DX51" i="12"/>
  <c r="EB118" i="12"/>
  <c r="DN121" i="12"/>
  <c r="DX121" i="12"/>
  <c r="DN95" i="12"/>
  <c r="DX95" i="12"/>
  <c r="DN107" i="12"/>
  <c r="DX107" i="12"/>
  <c r="EB100" i="12"/>
  <c r="EB10" i="12"/>
  <c r="EB60" i="12"/>
  <c r="EB98" i="12"/>
  <c r="DN37" i="12"/>
  <c r="DX37" i="12"/>
  <c r="EB69" i="12"/>
  <c r="DN94" i="12"/>
  <c r="DX94" i="12"/>
  <c r="EB94" i="12" s="1"/>
  <c r="DN125" i="12"/>
  <c r="DX125" i="12"/>
  <c r="EB43" i="12"/>
  <c r="DN99" i="12"/>
  <c r="DX99" i="12"/>
  <c r="EB99" i="12" s="1"/>
  <c r="DN31" i="12"/>
  <c r="DX31" i="12"/>
  <c r="EB31" i="12" s="1"/>
  <c r="DN62" i="12"/>
  <c r="DX62" i="12"/>
  <c r="DN75" i="12"/>
  <c r="DX75" i="12"/>
  <c r="EB75" i="12" s="1"/>
  <c r="DN93" i="12"/>
  <c r="DX93" i="12"/>
  <c r="G89" i="4"/>
  <c r="E90" i="4"/>
  <c r="F90" i="4"/>
  <c r="H38" i="4"/>
  <c r="G38" i="4"/>
  <c r="J18" i="7"/>
  <c r="BC100" i="13"/>
  <c r="BD99" i="13"/>
  <c r="BB99" i="13"/>
  <c r="BC98" i="13"/>
  <c r="BD97" i="13"/>
  <c r="BB97" i="13"/>
  <c r="BC96" i="13"/>
  <c r="BD95" i="13"/>
  <c r="BB95" i="13"/>
  <c r="BC94" i="13"/>
  <c r="BD93" i="13"/>
  <c r="BB93" i="13"/>
  <c r="BC92" i="13"/>
  <c r="BD91" i="13"/>
  <c r="BB91" i="13"/>
  <c r="BC90" i="13"/>
  <c r="BD89" i="13"/>
  <c r="BB89" i="13"/>
  <c r="BC88" i="13"/>
  <c r="BD87" i="13"/>
  <c r="BB87" i="13"/>
  <c r="BC86" i="13"/>
  <c r="BC80" i="13"/>
  <c r="BD79" i="13"/>
  <c r="BB79" i="13"/>
  <c r="BD73" i="13"/>
  <c r="BB73" i="13"/>
  <c r="BC72" i="13"/>
  <c r="BC66" i="13"/>
  <c r="BD65" i="13"/>
  <c r="BB65" i="13"/>
  <c r="BC64" i="13"/>
  <c r="BC62" i="13"/>
  <c r="BC58" i="13"/>
  <c r="BD53" i="13"/>
  <c r="BB53" i="13"/>
  <c r="BC52" i="13"/>
  <c r="BD51" i="13"/>
  <c r="BB51" i="13"/>
  <c r="BD45" i="13"/>
  <c r="BB45" i="13"/>
  <c r="BD37" i="13"/>
  <c r="BB37" i="13"/>
  <c r="BC32" i="13"/>
  <c r="BC30" i="13"/>
  <c r="BD100" i="13"/>
  <c r="BB100" i="13"/>
  <c r="BC99" i="13"/>
  <c r="BD98" i="13"/>
  <c r="BB98" i="13"/>
  <c r="BC97" i="13"/>
  <c r="BD96" i="13"/>
  <c r="BB96" i="13"/>
  <c r="BC95" i="13"/>
  <c r="BD94" i="13"/>
  <c r="BB94" i="13"/>
  <c r="BC93" i="13"/>
  <c r="BD92" i="13"/>
  <c r="BB92" i="13"/>
  <c r="BC91" i="13"/>
  <c r="BD90" i="13"/>
  <c r="BB90" i="13"/>
  <c r="BC89" i="13"/>
  <c r="BD88" i="13"/>
  <c r="BB88" i="13"/>
  <c r="BC87" i="13"/>
  <c r="BD86" i="13"/>
  <c r="BB86" i="13"/>
  <c r="BD80" i="13"/>
  <c r="BB80" i="13"/>
  <c r="BC79" i="13"/>
  <c r="BC73" i="13"/>
  <c r="BD72" i="13"/>
  <c r="BB72" i="13"/>
  <c r="BD66" i="13"/>
  <c r="BB66" i="13"/>
  <c r="BC65" i="13"/>
  <c r="BD64" i="13"/>
  <c r="BB64" i="13"/>
  <c r="BD62" i="13"/>
  <c r="BB62" i="13"/>
  <c r="BD58" i="13"/>
  <c r="BB58" i="13"/>
  <c r="BC53" i="13"/>
  <c r="BD52" i="13"/>
  <c r="BB52" i="13"/>
  <c r="BC51" i="13"/>
  <c r="BC45" i="13"/>
  <c r="BC37" i="13"/>
  <c r="BD32" i="13"/>
  <c r="BB32" i="13"/>
  <c r="BD30" i="13"/>
  <c r="BB30" i="13"/>
  <c r="BC26" i="13"/>
  <c r="BD25" i="13"/>
  <c r="BB25" i="13"/>
  <c r="BC24" i="13"/>
  <c r="BD23" i="13"/>
  <c r="BB23" i="13"/>
  <c r="BC22" i="13"/>
  <c r="BD21" i="13"/>
  <c r="BB21" i="13"/>
  <c r="BD19" i="13"/>
  <c r="BB19" i="13"/>
  <c r="BC18" i="13"/>
  <c r="BC14" i="13"/>
  <c r="BD13" i="13"/>
  <c r="BB13" i="13"/>
  <c r="BC12" i="13"/>
  <c r="BD11" i="13"/>
  <c r="BB11" i="13"/>
  <c r="BC10" i="13"/>
  <c r="BD9" i="13"/>
  <c r="BB9" i="13"/>
  <c r="BC8" i="13"/>
  <c r="BD26" i="13"/>
  <c r="BB26" i="13"/>
  <c r="BC25" i="13"/>
  <c r="BD24" i="13"/>
  <c r="BB24" i="13"/>
  <c r="BC23" i="13"/>
  <c r="BD22" i="13"/>
  <c r="BB22" i="13"/>
  <c r="BC21" i="13"/>
  <c r="BC19" i="13"/>
  <c r="BD18" i="13"/>
  <c r="BB18" i="13"/>
  <c r="BD14" i="13"/>
  <c r="BB14" i="13"/>
  <c r="BC13" i="13"/>
  <c r="BD12" i="13"/>
  <c r="BB12" i="13"/>
  <c r="BC11" i="13"/>
  <c r="BD10" i="13"/>
  <c r="BB10" i="13"/>
  <c r="BC9" i="13"/>
  <c r="BD8" i="13"/>
  <c r="BB8" i="13"/>
  <c r="D102" i="7"/>
  <c r="J55" i="7"/>
  <c r="J65" i="7" s="1"/>
  <c r="J52" i="7"/>
  <c r="I52" i="7"/>
  <c r="D29" i="7"/>
  <c r="C72" i="10" s="1"/>
  <c r="G29" i="4"/>
  <c r="G54" i="4"/>
  <c r="G45" i="4"/>
  <c r="H29" i="4"/>
  <c r="E62" i="4"/>
  <c r="F62" i="4"/>
  <c r="G85" i="4"/>
  <c r="J28" i="7"/>
  <c r="J31" i="7" s="1"/>
  <c r="J27" i="7"/>
  <c r="J30" i="7" s="1"/>
  <c r="D96" i="7"/>
  <c r="D95" i="7"/>
  <c r="D94" i="7"/>
  <c r="G76" i="4"/>
  <c r="G61" i="4"/>
  <c r="G82" i="4"/>
  <c r="G69" i="4"/>
  <c r="F73" i="4"/>
  <c r="E73" i="4"/>
  <c r="F70" i="4"/>
  <c r="E70" i="4"/>
  <c r="C55" i="4"/>
  <c r="C56" i="4"/>
  <c r="C39" i="4"/>
  <c r="D39" i="4"/>
  <c r="J5" i="16"/>
  <c r="J30" i="16" s="1"/>
  <c r="G44" i="4"/>
  <c r="G28" i="4"/>
  <c r="J42" i="7"/>
  <c r="E55" i="4" s="1"/>
  <c r="BE2" i="13"/>
  <c r="AX103" i="13"/>
  <c r="AX4" i="13"/>
  <c r="AX29" i="13"/>
  <c r="J29" i="7"/>
  <c r="B65" i="11"/>
  <c r="D47" i="11"/>
  <c r="J16" i="11"/>
  <c r="C35" i="11"/>
  <c r="I4" i="11"/>
  <c r="E87" i="7"/>
  <c r="C4" i="11"/>
  <c r="K87" i="7"/>
  <c r="D16" i="11"/>
  <c r="J65" i="11" s="1"/>
  <c r="K26" i="7"/>
  <c r="E26" i="7"/>
  <c r="E18" i="7"/>
  <c r="AX192" i="14" l="1"/>
  <c r="I51" i="7"/>
  <c r="I63" i="7"/>
  <c r="J51" i="7"/>
  <c r="J63" i="7"/>
  <c r="B37" i="11"/>
  <c r="DY93" i="12"/>
  <c r="DW93" i="12"/>
  <c r="ED93" i="12"/>
  <c r="DZ93" i="12"/>
  <c r="EA93" i="12" s="1"/>
  <c r="EB93" i="12"/>
  <c r="DW99" i="12"/>
  <c r="DY99" i="12"/>
  <c r="DZ99" i="12"/>
  <c r="EA99" i="12" s="1"/>
  <c r="ED99" i="12"/>
  <c r="EB37" i="12"/>
  <c r="DY37" i="12"/>
  <c r="DW37" i="12"/>
  <c r="DZ37" i="12"/>
  <c r="EA37" i="12" s="1"/>
  <c r="ED37" i="12"/>
  <c r="DY107" i="12"/>
  <c r="DW107" i="12"/>
  <c r="ED107" i="12"/>
  <c r="DZ107" i="12"/>
  <c r="EA107" i="12" s="1"/>
  <c r="DW95" i="12"/>
  <c r="DY95" i="12"/>
  <c r="ED95" i="12"/>
  <c r="DZ95" i="12"/>
  <c r="EA95" i="12" s="1"/>
  <c r="EB95" i="12"/>
  <c r="DY121" i="12"/>
  <c r="DW121" i="12"/>
  <c r="ED121" i="12"/>
  <c r="DZ121" i="12"/>
  <c r="EA121" i="12" s="1"/>
  <c r="DW111" i="12"/>
  <c r="DY111" i="12"/>
  <c r="DZ111" i="12"/>
  <c r="EA111" i="12" s="1"/>
  <c r="ED111" i="12"/>
  <c r="DW102" i="12"/>
  <c r="DY102" i="12"/>
  <c r="ED102" i="12"/>
  <c r="DZ102" i="12"/>
  <c r="EA102" i="12" s="1"/>
  <c r="DW110" i="12"/>
  <c r="DY110" i="12"/>
  <c r="DZ110" i="12"/>
  <c r="EA110" i="12" s="1"/>
  <c r="ED110" i="12"/>
  <c r="DY29" i="12"/>
  <c r="DW29" i="12"/>
  <c r="ED29" i="12"/>
  <c r="DZ29" i="12"/>
  <c r="EA29" i="12" s="1"/>
  <c r="EB29" i="12"/>
  <c r="DY40" i="12"/>
  <c r="DW40" i="12"/>
  <c r="DZ40" i="12"/>
  <c r="EA40" i="12" s="1"/>
  <c r="ED40" i="12"/>
  <c r="EB41" i="12"/>
  <c r="DW41" i="12"/>
  <c r="DY41" i="12"/>
  <c r="DZ41" i="12"/>
  <c r="EA41" i="12" s="1"/>
  <c r="ED41" i="12"/>
  <c r="DW104" i="12"/>
  <c r="DY104" i="12"/>
  <c r="DZ104" i="12"/>
  <c r="EA104" i="12" s="1"/>
  <c r="ED104" i="12"/>
  <c r="DW55" i="12"/>
  <c r="DY55" i="12"/>
  <c r="ED55" i="12"/>
  <c r="DZ55" i="12"/>
  <c r="EA55" i="12" s="1"/>
  <c r="DY103" i="12"/>
  <c r="DW103" i="12"/>
  <c r="ED103" i="12"/>
  <c r="DZ103" i="12"/>
  <c r="EA103" i="12" s="1"/>
  <c r="EB103" i="12"/>
  <c r="DW19" i="12"/>
  <c r="DY19" i="12"/>
  <c r="DZ19" i="12"/>
  <c r="EA19" i="12" s="1"/>
  <c r="ED19" i="12"/>
  <c r="EB19" i="12"/>
  <c r="DW13" i="12"/>
  <c r="DY13" i="12"/>
  <c r="DZ13" i="12"/>
  <c r="EA13" i="12" s="1"/>
  <c r="ED13" i="12"/>
  <c r="EB13" i="12"/>
  <c r="EB54" i="12"/>
  <c r="DW54" i="12"/>
  <c r="DY54" i="12"/>
  <c r="DZ54" i="12"/>
  <c r="EA54" i="12" s="1"/>
  <c r="ED54" i="12"/>
  <c r="EB40" i="12"/>
  <c r="EB85" i="12"/>
  <c r="DY85" i="12"/>
  <c r="DW85" i="12"/>
  <c r="ED85" i="12"/>
  <c r="DZ85" i="12"/>
  <c r="EA85" i="12" s="1"/>
  <c r="DY50" i="12"/>
  <c r="DW50" i="12"/>
  <c r="ED50" i="12"/>
  <c r="DZ50" i="12"/>
  <c r="EA50" i="12" s="1"/>
  <c r="EB50" i="12"/>
  <c r="DW43" i="12"/>
  <c r="DY43" i="12"/>
  <c r="ED43" i="12"/>
  <c r="DZ43" i="12"/>
  <c r="EA43" i="12" s="1"/>
  <c r="DY88" i="12"/>
  <c r="DW88" i="12"/>
  <c r="ED88" i="12"/>
  <c r="DZ88" i="12"/>
  <c r="EA88" i="12" s="1"/>
  <c r="EB64" i="12"/>
  <c r="DW64" i="12"/>
  <c r="DY64" i="12"/>
  <c r="DZ64" i="12"/>
  <c r="EA64" i="12" s="1"/>
  <c r="ED64" i="12"/>
  <c r="DW91" i="12"/>
  <c r="DY91" i="12"/>
  <c r="DZ91" i="12"/>
  <c r="EA91" i="12" s="1"/>
  <c r="ED91" i="12"/>
  <c r="DN17" i="12"/>
  <c r="DX17" i="12"/>
  <c r="DW69" i="12"/>
  <c r="DY69" i="12"/>
  <c r="ED69" i="12"/>
  <c r="DZ69" i="12"/>
  <c r="EA69" i="12" s="1"/>
  <c r="DY58" i="12"/>
  <c r="DW58" i="12"/>
  <c r="ED58" i="12"/>
  <c r="DZ58" i="12"/>
  <c r="EA58" i="12" s="1"/>
  <c r="EB58" i="12"/>
  <c r="EB47" i="12"/>
  <c r="DY47" i="12"/>
  <c r="DW47" i="12"/>
  <c r="ED47" i="12"/>
  <c r="DZ47" i="12"/>
  <c r="EA47" i="12" s="1"/>
  <c r="DW60" i="12"/>
  <c r="DY60" i="12"/>
  <c r="DZ60" i="12"/>
  <c r="EA60" i="12" s="1"/>
  <c r="ED60" i="12"/>
  <c r="DW12" i="12"/>
  <c r="DY12" i="12"/>
  <c r="DZ12" i="12"/>
  <c r="EA12" i="12" s="1"/>
  <c r="ED12" i="12"/>
  <c r="EB12" i="12"/>
  <c r="DY100" i="12"/>
  <c r="DW100" i="12"/>
  <c r="DZ100" i="12"/>
  <c r="EA100" i="12" s="1"/>
  <c r="ED100" i="12"/>
  <c r="EB121" i="12"/>
  <c r="DY86" i="12"/>
  <c r="DW86" i="12"/>
  <c r="DZ86" i="12"/>
  <c r="EA86" i="12" s="1"/>
  <c r="ED86" i="12"/>
  <c r="EB86" i="12"/>
  <c r="DY115" i="12"/>
  <c r="DW115" i="12"/>
  <c r="DZ115" i="12"/>
  <c r="EA115" i="12" s="1"/>
  <c r="ED115" i="12"/>
  <c r="DY124" i="12"/>
  <c r="DW124" i="12"/>
  <c r="DZ124" i="12"/>
  <c r="EA124" i="12" s="1"/>
  <c r="ED124" i="12"/>
  <c r="EB124" i="12"/>
  <c r="EB84" i="12"/>
  <c r="DY84" i="12"/>
  <c r="DW84" i="12"/>
  <c r="ED84" i="12"/>
  <c r="DZ84" i="12"/>
  <c r="EA84" i="12" s="1"/>
  <c r="EB102" i="12"/>
  <c r="EB15" i="12"/>
  <c r="DY15" i="12"/>
  <c r="DW15" i="12"/>
  <c r="ED15" i="12"/>
  <c r="DZ15" i="12"/>
  <c r="EA15" i="12" s="1"/>
  <c r="DW52" i="12"/>
  <c r="DY52" i="12"/>
  <c r="ED52" i="12"/>
  <c r="DZ52" i="12"/>
  <c r="EA52" i="12" s="1"/>
  <c r="DY116" i="12"/>
  <c r="DW116" i="12"/>
  <c r="ED116" i="12"/>
  <c r="DZ116" i="12"/>
  <c r="EA116" i="12" s="1"/>
  <c r="EB116" i="12"/>
  <c r="EB52" i="12"/>
  <c r="DN123" i="12"/>
  <c r="DX123" i="12"/>
  <c r="DX174" i="12" s="1"/>
  <c r="DY42" i="12"/>
  <c r="DW42" i="12"/>
  <c r="ED42" i="12"/>
  <c r="DZ42" i="12"/>
  <c r="EA42" i="12" s="1"/>
  <c r="DW20" i="12"/>
  <c r="DY20" i="12"/>
  <c r="DZ20" i="12"/>
  <c r="EA20" i="12" s="1"/>
  <c r="ED20" i="12"/>
  <c r="EB20" i="12"/>
  <c r="DY96" i="12"/>
  <c r="DW96" i="12"/>
  <c r="ED96" i="12"/>
  <c r="DZ96" i="12"/>
  <c r="EA96" i="12" s="1"/>
  <c r="DL147" i="12"/>
  <c r="DL151" i="12" s="1"/>
  <c r="DY8" i="12"/>
  <c r="DX134" i="12"/>
  <c r="DX138" i="12" s="1"/>
  <c r="DX183" i="12" s="1"/>
  <c r="K18" i="17" s="1"/>
  <c r="DW8" i="12"/>
  <c r="DZ8" i="12"/>
  <c r="EA8" i="12" s="1"/>
  <c r="ED8" i="12"/>
  <c r="DW14" i="12"/>
  <c r="DY14" i="12"/>
  <c r="DZ14" i="12"/>
  <c r="EA14" i="12" s="1"/>
  <c r="ED14" i="12"/>
  <c r="EB14" i="12"/>
  <c r="EB36" i="12"/>
  <c r="DW36" i="12"/>
  <c r="DY36" i="12"/>
  <c r="DZ36" i="12"/>
  <c r="EA36" i="12" s="1"/>
  <c r="ED36" i="12"/>
  <c r="DY26" i="12"/>
  <c r="DW26" i="12"/>
  <c r="DZ26" i="12"/>
  <c r="EA26" i="12" s="1"/>
  <c r="ED26" i="12"/>
  <c r="EB26" i="12"/>
  <c r="DW5" i="12"/>
  <c r="DY5" i="12"/>
  <c r="DX126" i="12"/>
  <c r="ED5" i="12"/>
  <c r="DZ5" i="12"/>
  <c r="DN126" i="12"/>
  <c r="DW114" i="12"/>
  <c r="DY114" i="12"/>
  <c r="DZ114" i="12"/>
  <c r="EA114" i="12" s="1"/>
  <c r="ED114" i="12"/>
  <c r="EB114" i="12"/>
  <c r="EB55" i="12"/>
  <c r="DY70" i="12"/>
  <c r="DW70" i="12"/>
  <c r="DZ70" i="12"/>
  <c r="EA70" i="12" s="1"/>
  <c r="ED70" i="12"/>
  <c r="EB70" i="12"/>
  <c r="DY117" i="12"/>
  <c r="DW117" i="12"/>
  <c r="DZ117" i="12"/>
  <c r="EA117" i="12" s="1"/>
  <c r="ED117" i="12"/>
  <c r="EB117" i="12"/>
  <c r="DY80" i="12"/>
  <c r="DW80" i="12"/>
  <c r="ED80" i="12"/>
  <c r="DZ80" i="12"/>
  <c r="EA80" i="12" s="1"/>
  <c r="EB80" i="12"/>
  <c r="DW83" i="12"/>
  <c r="DY83" i="12"/>
  <c r="DZ83" i="12"/>
  <c r="EA83" i="12" s="1"/>
  <c r="ED83" i="12"/>
  <c r="DY28" i="12"/>
  <c r="DW28" i="12"/>
  <c r="DZ28" i="12"/>
  <c r="EA28" i="12" s="1"/>
  <c r="ED28" i="12"/>
  <c r="EB28" i="12"/>
  <c r="DY76" i="12"/>
  <c r="DW76" i="12"/>
  <c r="ED76" i="12"/>
  <c r="DZ76" i="12"/>
  <c r="EA76" i="12" s="1"/>
  <c r="EB5" i="12"/>
  <c r="DW75" i="12"/>
  <c r="DY75" i="12"/>
  <c r="DZ75" i="12"/>
  <c r="EA75" i="12" s="1"/>
  <c r="ED75" i="12"/>
  <c r="DY62" i="12"/>
  <c r="DW62" i="12"/>
  <c r="ED62" i="12"/>
  <c r="DZ62" i="12"/>
  <c r="EA62" i="12" s="1"/>
  <c r="DY31" i="12"/>
  <c r="DW31" i="12"/>
  <c r="ED31" i="12"/>
  <c r="DZ31" i="12"/>
  <c r="EA31" i="12" s="1"/>
  <c r="DW125" i="12"/>
  <c r="DY125" i="12"/>
  <c r="ED125" i="12"/>
  <c r="DZ125" i="12"/>
  <c r="EA125" i="12" s="1"/>
  <c r="DY94" i="12"/>
  <c r="DW94" i="12"/>
  <c r="ED94" i="12"/>
  <c r="DZ94" i="12"/>
  <c r="EA94" i="12" s="1"/>
  <c r="DY51" i="12"/>
  <c r="DW51" i="12"/>
  <c r="ED51" i="12"/>
  <c r="DZ51" i="12"/>
  <c r="EA51" i="12" s="1"/>
  <c r="EB51" i="12"/>
  <c r="DW24" i="12"/>
  <c r="DY24" i="12"/>
  <c r="DZ24" i="12"/>
  <c r="EA24" i="12" s="1"/>
  <c r="ED24" i="12"/>
  <c r="EB24" i="12"/>
  <c r="DY39" i="12"/>
  <c r="DW39" i="12"/>
  <c r="ED39" i="12"/>
  <c r="DZ39" i="12"/>
  <c r="EA39" i="12" s="1"/>
  <c r="EB39" i="12"/>
  <c r="DW81" i="12"/>
  <c r="DY81" i="12"/>
  <c r="ED81" i="12"/>
  <c r="DZ81" i="12"/>
  <c r="EA81" i="12" s="1"/>
  <c r="EB81" i="12"/>
  <c r="DY65" i="12"/>
  <c r="DW65" i="12"/>
  <c r="ED65" i="12"/>
  <c r="DZ65" i="12"/>
  <c r="EA65" i="12" s="1"/>
  <c r="DW122" i="12"/>
  <c r="DY122" i="12"/>
  <c r="ED122" i="12"/>
  <c r="DZ122" i="12"/>
  <c r="EA122" i="12" s="1"/>
  <c r="DW34" i="12"/>
  <c r="DY34" i="12"/>
  <c r="ED34" i="12"/>
  <c r="DZ34" i="12"/>
  <c r="EA34" i="12" s="1"/>
  <c r="EB107" i="12"/>
  <c r="DW25" i="12"/>
  <c r="DY25" i="12"/>
  <c r="DZ25" i="12"/>
  <c r="EA25" i="12" s="1"/>
  <c r="ED25" i="12"/>
  <c r="DY45" i="12"/>
  <c r="DW45" i="12"/>
  <c r="DZ45" i="12"/>
  <c r="EA45" i="12" s="1"/>
  <c r="ED45" i="12"/>
  <c r="EB45" i="12"/>
  <c r="DW66" i="12"/>
  <c r="DY66" i="12"/>
  <c r="DZ66" i="12"/>
  <c r="EA66" i="12" s="1"/>
  <c r="ED66" i="12"/>
  <c r="DY92" i="12"/>
  <c r="DW92" i="12"/>
  <c r="ED92" i="12"/>
  <c r="DZ92" i="12"/>
  <c r="EA92" i="12" s="1"/>
  <c r="DY18" i="12"/>
  <c r="DW18" i="12"/>
  <c r="ED18" i="12"/>
  <c r="DZ18" i="12"/>
  <c r="EA18" i="12" s="1"/>
  <c r="EB18" i="12"/>
  <c r="DY120" i="12"/>
  <c r="DW120" i="12"/>
  <c r="ED120" i="12"/>
  <c r="DZ120" i="12"/>
  <c r="EA120" i="12" s="1"/>
  <c r="DW46" i="12"/>
  <c r="DY46" i="12"/>
  <c r="DZ46" i="12"/>
  <c r="EA46" i="12" s="1"/>
  <c r="ED46" i="12"/>
  <c r="EB46" i="12"/>
  <c r="DW33" i="12"/>
  <c r="DY33" i="12"/>
  <c r="DZ33" i="12"/>
  <c r="EA33" i="12" s="1"/>
  <c r="ED33" i="12"/>
  <c r="EB33" i="12"/>
  <c r="DW23" i="12"/>
  <c r="DY23" i="12"/>
  <c r="DZ23" i="12"/>
  <c r="EA23" i="12" s="1"/>
  <c r="ED23" i="12"/>
  <c r="DY61" i="12"/>
  <c r="DW61" i="12"/>
  <c r="DZ61" i="12"/>
  <c r="EA61" i="12" s="1"/>
  <c r="ED61" i="12"/>
  <c r="EB61" i="12"/>
  <c r="DY109" i="12"/>
  <c r="DW109" i="12"/>
  <c r="ED109" i="12"/>
  <c r="DZ109" i="12"/>
  <c r="EA109" i="12" s="1"/>
  <c r="EB109" i="12"/>
  <c r="EB104" i="12"/>
  <c r="DY59" i="12"/>
  <c r="DW59" i="12"/>
  <c r="DZ59" i="12"/>
  <c r="EA59" i="12" s="1"/>
  <c r="ED59" i="12"/>
  <c r="DY38" i="12"/>
  <c r="DW38" i="12"/>
  <c r="DZ38" i="12"/>
  <c r="EA38" i="12" s="1"/>
  <c r="ED38" i="12"/>
  <c r="DY48" i="12"/>
  <c r="DW48" i="12"/>
  <c r="ED48" i="12"/>
  <c r="DZ48" i="12"/>
  <c r="EA48" i="12" s="1"/>
  <c r="EB48" i="12"/>
  <c r="EB38" i="12"/>
  <c r="DW72" i="12"/>
  <c r="DY72" i="12"/>
  <c r="ED72" i="12"/>
  <c r="DZ72" i="12"/>
  <c r="EA72" i="12" s="1"/>
  <c r="EB72" i="12"/>
  <c r="DY106" i="12"/>
  <c r="DW106" i="12"/>
  <c r="ED106" i="12"/>
  <c r="DZ106" i="12"/>
  <c r="EA106" i="12" s="1"/>
  <c r="EB106" i="12"/>
  <c r="DW63" i="12"/>
  <c r="DY63" i="12"/>
  <c r="DZ63" i="12"/>
  <c r="EA63" i="12" s="1"/>
  <c r="ED63" i="12"/>
  <c r="EB63" i="12"/>
  <c r="EB30" i="12"/>
  <c r="DY30" i="12"/>
  <c r="DW30" i="12"/>
  <c r="ED30" i="12"/>
  <c r="DZ30" i="12"/>
  <c r="EA30" i="12" s="1"/>
  <c r="EB125" i="12"/>
  <c r="DW89" i="12"/>
  <c r="DY89" i="12"/>
  <c r="DZ89" i="12"/>
  <c r="EA89" i="12" s="1"/>
  <c r="ED89" i="12"/>
  <c r="EB17" i="12"/>
  <c r="DW98" i="12"/>
  <c r="DY98" i="12"/>
  <c r="DZ98" i="12"/>
  <c r="EA98" i="12" s="1"/>
  <c r="ED98" i="12"/>
  <c r="DW87" i="12"/>
  <c r="DY87" i="12"/>
  <c r="DZ87" i="12"/>
  <c r="EA87" i="12" s="1"/>
  <c r="ED87" i="12"/>
  <c r="EB87" i="12"/>
  <c r="DW10" i="12"/>
  <c r="DY10" i="12"/>
  <c r="DZ10" i="12"/>
  <c r="EA10" i="12" s="1"/>
  <c r="ED10" i="12"/>
  <c r="EB62" i="12"/>
  <c r="DY118" i="12"/>
  <c r="DW118" i="12"/>
  <c r="ED118" i="12"/>
  <c r="DZ118" i="12"/>
  <c r="EA118" i="12" s="1"/>
  <c r="DY78" i="12"/>
  <c r="DW78" i="12"/>
  <c r="DZ78" i="12"/>
  <c r="EA78" i="12" s="1"/>
  <c r="ED78" i="12"/>
  <c r="EB78" i="12"/>
  <c r="DY9" i="12"/>
  <c r="DW9" i="12"/>
  <c r="ED9" i="12"/>
  <c r="DZ9" i="12"/>
  <c r="EA9" i="12" s="1"/>
  <c r="EB9" i="12"/>
  <c r="EB111" i="12"/>
  <c r="DY71" i="12"/>
  <c r="DW71" i="12"/>
  <c r="ED71" i="12"/>
  <c r="DZ71" i="12"/>
  <c r="EA71" i="12" s="1"/>
  <c r="DY49" i="12"/>
  <c r="DW49" i="12"/>
  <c r="ED49" i="12"/>
  <c r="DZ49" i="12"/>
  <c r="EA49" i="12" s="1"/>
  <c r="EB32" i="12"/>
  <c r="DY32" i="12"/>
  <c r="DW32" i="12"/>
  <c r="ED32" i="12"/>
  <c r="DZ32" i="12"/>
  <c r="EA32" i="12" s="1"/>
  <c r="EB122" i="12"/>
  <c r="DY119" i="12"/>
  <c r="DW119" i="12"/>
  <c r="ED119" i="12"/>
  <c r="DZ119" i="12"/>
  <c r="EA119" i="12" s="1"/>
  <c r="EB119" i="12"/>
  <c r="DW6" i="12"/>
  <c r="DY6" i="12"/>
  <c r="DZ6" i="12"/>
  <c r="EA6" i="12" s="1"/>
  <c r="ED6" i="12"/>
  <c r="EB6" i="12"/>
  <c r="DY67" i="12"/>
  <c r="DW67" i="12"/>
  <c r="ED67" i="12"/>
  <c r="DZ67" i="12"/>
  <c r="EA67" i="12" s="1"/>
  <c r="EB67" i="12"/>
  <c r="DW27" i="12"/>
  <c r="DY27" i="12"/>
  <c r="DZ27" i="12"/>
  <c r="EA27" i="12" s="1"/>
  <c r="ED27" i="12"/>
  <c r="EB53" i="12"/>
  <c r="DW53" i="12"/>
  <c r="DY53" i="12"/>
  <c r="DZ53" i="12"/>
  <c r="EA53" i="12" s="1"/>
  <c r="ED53" i="12"/>
  <c r="EB120" i="12"/>
  <c r="EB123" i="12"/>
  <c r="DN147" i="12"/>
  <c r="DY21" i="12"/>
  <c r="DW21" i="12"/>
  <c r="ED21" i="12"/>
  <c r="DZ21" i="12"/>
  <c r="EA21" i="12" s="1"/>
  <c r="DY16" i="12"/>
  <c r="DW16" i="12"/>
  <c r="ED16" i="12"/>
  <c r="DZ16" i="12"/>
  <c r="EA16" i="12" s="1"/>
  <c r="EB16" i="12"/>
  <c r="DK178" i="12"/>
  <c r="G84" i="4" s="1"/>
  <c r="DM126" i="12"/>
  <c r="DY113" i="12"/>
  <c r="DW113" i="12"/>
  <c r="DZ113" i="12"/>
  <c r="EA113" i="12" s="1"/>
  <c r="ED113" i="12"/>
  <c r="EB113" i="12"/>
  <c r="DW68" i="12"/>
  <c r="DY68" i="12"/>
  <c r="DZ68" i="12"/>
  <c r="EA68" i="12" s="1"/>
  <c r="ED68" i="12"/>
  <c r="DW105" i="12"/>
  <c r="DY105" i="12"/>
  <c r="DZ105" i="12"/>
  <c r="EA105" i="12" s="1"/>
  <c r="ED105" i="12"/>
  <c r="EB105" i="12"/>
  <c r="DW22" i="12"/>
  <c r="DY22" i="12"/>
  <c r="ED22" i="12"/>
  <c r="DZ22" i="12"/>
  <c r="EA22" i="12" s="1"/>
  <c r="EB59" i="12"/>
  <c r="DW44" i="12"/>
  <c r="DY44" i="12"/>
  <c r="DZ44" i="12"/>
  <c r="EA44" i="12" s="1"/>
  <c r="ED44" i="12"/>
  <c r="DW108" i="12"/>
  <c r="DY108" i="12"/>
  <c r="DZ108" i="12"/>
  <c r="EA108" i="12" s="1"/>
  <c r="ED108" i="12"/>
  <c r="EB108" i="12"/>
  <c r="EB110" i="12"/>
  <c r="DW11" i="12"/>
  <c r="DY11" i="12"/>
  <c r="ED11" i="12"/>
  <c r="DZ11" i="12"/>
  <c r="EA11" i="12" s="1"/>
  <c r="EB42" i="12"/>
  <c r="DY56" i="12"/>
  <c r="DW56" i="12"/>
  <c r="ED56" i="12"/>
  <c r="DZ56" i="12"/>
  <c r="EA56" i="12" s="1"/>
  <c r="EB56" i="12"/>
  <c r="DY57" i="12"/>
  <c r="DW57" i="12"/>
  <c r="ED57" i="12"/>
  <c r="DZ57" i="12"/>
  <c r="EA57" i="12" s="1"/>
  <c r="DY35" i="12"/>
  <c r="DW35" i="12"/>
  <c r="ED35" i="12"/>
  <c r="DZ35" i="12"/>
  <c r="EA35" i="12" s="1"/>
  <c r="EB35" i="12"/>
  <c r="DO126" i="12"/>
  <c r="EB23" i="12"/>
  <c r="B6" i="11"/>
  <c r="H6" i="11"/>
  <c r="AK196" i="14"/>
  <c r="I89" i="4"/>
  <c r="G90" i="4"/>
  <c r="H90" i="4"/>
  <c r="J38" i="4"/>
  <c r="I38" i="4"/>
  <c r="BJ100" i="13"/>
  <c r="BK99" i="13"/>
  <c r="BI99" i="13"/>
  <c r="BJ98" i="13"/>
  <c r="BK97" i="13"/>
  <c r="BI97" i="13"/>
  <c r="BJ96" i="13"/>
  <c r="BK95" i="13"/>
  <c r="BI95" i="13"/>
  <c r="BJ94" i="13"/>
  <c r="BK93" i="13"/>
  <c r="BI93" i="13"/>
  <c r="BJ92" i="13"/>
  <c r="BK91" i="13"/>
  <c r="BI91" i="13"/>
  <c r="BJ90" i="13"/>
  <c r="BK89" i="13"/>
  <c r="BI89" i="13"/>
  <c r="BJ88" i="13"/>
  <c r="BK87" i="13"/>
  <c r="BI87" i="13"/>
  <c r="BJ86" i="13"/>
  <c r="BJ80" i="13"/>
  <c r="BK79" i="13"/>
  <c r="BI79" i="13"/>
  <c r="BK73" i="13"/>
  <c r="BI73" i="13"/>
  <c r="BJ72" i="13"/>
  <c r="BJ66" i="13"/>
  <c r="BK100" i="13"/>
  <c r="BI100" i="13"/>
  <c r="BJ99" i="13"/>
  <c r="BK98" i="13"/>
  <c r="BI98" i="13"/>
  <c r="BJ97" i="13"/>
  <c r="BK96" i="13"/>
  <c r="BI96" i="13"/>
  <c r="BJ95" i="13"/>
  <c r="BK94" i="13"/>
  <c r="BI94" i="13"/>
  <c r="BJ93" i="13"/>
  <c r="BK92" i="13"/>
  <c r="BI92" i="13"/>
  <c r="BJ91" i="13"/>
  <c r="BK90" i="13"/>
  <c r="BI90" i="13"/>
  <c r="BJ89" i="13"/>
  <c r="BK88" i="13"/>
  <c r="BI88" i="13"/>
  <c r="BJ87" i="13"/>
  <c r="BK86" i="13"/>
  <c r="BI86" i="13"/>
  <c r="BK80" i="13"/>
  <c r="BI80" i="13"/>
  <c r="BJ79" i="13"/>
  <c r="BJ73" i="13"/>
  <c r="BK72" i="13"/>
  <c r="BI72" i="13"/>
  <c r="BK66" i="13"/>
  <c r="BI66" i="13"/>
  <c r="BJ65" i="13"/>
  <c r="BK64" i="13"/>
  <c r="BI64" i="13"/>
  <c r="BK62" i="13"/>
  <c r="BI62" i="13"/>
  <c r="BK58" i="13"/>
  <c r="BK65" i="13"/>
  <c r="BJ64" i="13"/>
  <c r="BI58" i="13"/>
  <c r="BJ53" i="13"/>
  <c r="BK52" i="13"/>
  <c r="BI52" i="13"/>
  <c r="BJ51" i="13"/>
  <c r="BJ45" i="13"/>
  <c r="BJ37" i="13"/>
  <c r="BK32" i="13"/>
  <c r="BI32" i="13"/>
  <c r="BK30" i="13"/>
  <c r="BI30" i="13"/>
  <c r="BI65" i="13"/>
  <c r="BJ62" i="13"/>
  <c r="BJ58" i="13"/>
  <c r="BK53" i="13"/>
  <c r="BI53" i="13"/>
  <c r="BJ52" i="13"/>
  <c r="BK51" i="13"/>
  <c r="BI51" i="13"/>
  <c r="BK45" i="13"/>
  <c r="BI45" i="13"/>
  <c r="BK37" i="13"/>
  <c r="BI37" i="13"/>
  <c r="BJ32" i="13"/>
  <c r="BJ30" i="13"/>
  <c r="BK26" i="13"/>
  <c r="BI26" i="13"/>
  <c r="BJ25" i="13"/>
  <c r="BK24" i="13"/>
  <c r="BI24" i="13"/>
  <c r="BJ23" i="13"/>
  <c r="BK22" i="13"/>
  <c r="BI22" i="13"/>
  <c r="BJ21" i="13"/>
  <c r="BJ19" i="13"/>
  <c r="BK18" i="13"/>
  <c r="BI18" i="13"/>
  <c r="BK14" i="13"/>
  <c r="BI14" i="13"/>
  <c r="BJ13" i="13"/>
  <c r="BK12" i="13"/>
  <c r="BI12" i="13"/>
  <c r="BJ11" i="13"/>
  <c r="BK10" i="13"/>
  <c r="BI10" i="13"/>
  <c r="BJ9" i="13"/>
  <c r="BK8" i="13"/>
  <c r="BI8" i="13"/>
  <c r="BJ26" i="13"/>
  <c r="BK25" i="13"/>
  <c r="BI25" i="13"/>
  <c r="BJ24" i="13"/>
  <c r="BK23" i="13"/>
  <c r="BI23" i="13"/>
  <c r="BJ22" i="13"/>
  <c r="BK21" i="13"/>
  <c r="BI21" i="13"/>
  <c r="BK19" i="13"/>
  <c r="BI19" i="13"/>
  <c r="BJ18" i="13"/>
  <c r="BJ14" i="13"/>
  <c r="BK13" i="13"/>
  <c r="BI13" i="13"/>
  <c r="BJ12" i="13"/>
  <c r="BK11" i="13"/>
  <c r="BI11" i="13"/>
  <c r="BJ10" i="13"/>
  <c r="BK9" i="13"/>
  <c r="BI9" i="13"/>
  <c r="BJ8" i="13"/>
  <c r="K55" i="7"/>
  <c r="K65" i="7" s="1"/>
  <c r="K52" i="7"/>
  <c r="I29" i="4"/>
  <c r="J29" i="4"/>
  <c r="I54" i="4"/>
  <c r="I45" i="4"/>
  <c r="F5" i="16"/>
  <c r="F18" i="16" s="1"/>
  <c r="J18" i="16" s="1"/>
  <c r="G62" i="4"/>
  <c r="H62" i="4"/>
  <c r="C47" i="10"/>
  <c r="K18" i="7"/>
  <c r="AZ192" i="14" s="1"/>
  <c r="I85" i="4"/>
  <c r="E93" i="7"/>
  <c r="E27" i="7"/>
  <c r="E30" i="7" s="1"/>
  <c r="E28" i="7"/>
  <c r="E31" i="7" s="1"/>
  <c r="K28" i="7"/>
  <c r="K27" i="7"/>
  <c r="K93" i="7"/>
  <c r="I61" i="4"/>
  <c r="I82" i="4"/>
  <c r="I76" i="4"/>
  <c r="I69" i="4"/>
  <c r="H73" i="4"/>
  <c r="G73" i="4"/>
  <c r="H70" i="4"/>
  <c r="G70" i="4"/>
  <c r="E56" i="4"/>
  <c r="E39" i="4"/>
  <c r="F39" i="4"/>
  <c r="K5" i="16"/>
  <c r="G5" i="16" s="1"/>
  <c r="G18" i="16" s="1"/>
  <c r="K18" i="16" s="1"/>
  <c r="I44" i="4"/>
  <c r="I28" i="4"/>
  <c r="K29" i="7"/>
  <c r="K42" i="7"/>
  <c r="G39" i="4" s="1"/>
  <c r="BL2" i="13"/>
  <c r="BE103" i="13"/>
  <c r="BE4" i="13"/>
  <c r="BE29" i="13"/>
  <c r="E29" i="7"/>
  <c r="C65" i="11"/>
  <c r="J4" i="11"/>
  <c r="D35" i="11"/>
  <c r="E47" i="11"/>
  <c r="K16" i="11"/>
  <c r="F87" i="7"/>
  <c r="D4" i="11"/>
  <c r="L87" i="7"/>
  <c r="E16" i="11"/>
  <c r="B18" i="11" s="1"/>
  <c r="L26" i="7"/>
  <c r="F26" i="7"/>
  <c r="K51" i="7" l="1"/>
  <c r="K63" i="7"/>
  <c r="K30" i="16"/>
  <c r="EB126" i="12"/>
  <c r="DY17" i="12"/>
  <c r="DY147" i="12" s="1"/>
  <c r="DY151" i="12" s="1"/>
  <c r="DW17" i="12"/>
  <c r="ED17" i="12"/>
  <c r="DZ17" i="12"/>
  <c r="EA17" i="12" s="1"/>
  <c r="DM147" i="12"/>
  <c r="DM151" i="12" s="1"/>
  <c r="DN151" i="12"/>
  <c r="EA5" i="12"/>
  <c r="DX182" i="12"/>
  <c r="DW183" i="12" s="1"/>
  <c r="DX177" i="12"/>
  <c r="EA147" i="12"/>
  <c r="DY123" i="12"/>
  <c r="DW123" i="12"/>
  <c r="DZ123" i="12"/>
  <c r="EA123" i="12" s="1"/>
  <c r="ED123" i="12"/>
  <c r="AK143" i="14"/>
  <c r="AK185" i="14"/>
  <c r="AK147" i="14"/>
  <c r="AK156" i="12"/>
  <c r="AK163" i="12"/>
  <c r="AK143" i="12"/>
  <c r="AK146" i="12"/>
  <c r="AK160" i="12"/>
  <c r="AK185" i="12"/>
  <c r="AK147" i="12"/>
  <c r="AK150" i="12"/>
  <c r="AK159" i="12"/>
  <c r="AJ199" i="14"/>
  <c r="AJ198" i="14"/>
  <c r="AJ197" i="14"/>
  <c r="AK156" i="14"/>
  <c r="AK160" i="14"/>
  <c r="I90" i="4"/>
  <c r="J90" i="4"/>
  <c r="BR100" i="13"/>
  <c r="BP100" i="13"/>
  <c r="BQ99" i="13"/>
  <c r="BR98" i="13"/>
  <c r="BP98" i="13"/>
  <c r="BQ97" i="13"/>
  <c r="BR96" i="13"/>
  <c r="BP96" i="13"/>
  <c r="BQ95" i="13"/>
  <c r="BR94" i="13"/>
  <c r="BP94" i="13"/>
  <c r="BQ93" i="13"/>
  <c r="BR92" i="13"/>
  <c r="BP92" i="13"/>
  <c r="BQ91" i="13"/>
  <c r="BR90" i="13"/>
  <c r="BP90" i="13"/>
  <c r="BQ89" i="13"/>
  <c r="BR88" i="13"/>
  <c r="BP88" i="13"/>
  <c r="BQ87" i="13"/>
  <c r="BR86" i="13"/>
  <c r="BP86" i="13"/>
  <c r="BR80" i="13"/>
  <c r="BP80" i="13"/>
  <c r="BQ79" i="13"/>
  <c r="BQ73" i="13"/>
  <c r="BR72" i="13"/>
  <c r="BP72" i="13"/>
  <c r="BR66" i="13"/>
  <c r="BP66" i="13"/>
  <c r="BQ65" i="13"/>
  <c r="BR64" i="13"/>
  <c r="BP64" i="13"/>
  <c r="BR62" i="13"/>
  <c r="BP62" i="13"/>
  <c r="BR58" i="13"/>
  <c r="BP58" i="13"/>
  <c r="BQ53" i="13"/>
  <c r="BR52" i="13"/>
  <c r="BP52" i="13"/>
  <c r="BQ51" i="13"/>
  <c r="BQ45" i="13"/>
  <c r="BQ100" i="13"/>
  <c r="BR99" i="13"/>
  <c r="BP99" i="13"/>
  <c r="BQ98" i="13"/>
  <c r="BR97" i="13"/>
  <c r="BP97" i="13"/>
  <c r="BQ96" i="13"/>
  <c r="BR95" i="13"/>
  <c r="BP95" i="13"/>
  <c r="BQ94" i="13"/>
  <c r="BR93" i="13"/>
  <c r="BP93" i="13"/>
  <c r="BQ92" i="13"/>
  <c r="BR91" i="13"/>
  <c r="BP91" i="13"/>
  <c r="BQ90" i="13"/>
  <c r="BR89" i="13"/>
  <c r="BP89" i="13"/>
  <c r="BQ88" i="13"/>
  <c r="BR87" i="13"/>
  <c r="BP87" i="13"/>
  <c r="BQ86" i="13"/>
  <c r="BQ80" i="13"/>
  <c r="BR79" i="13"/>
  <c r="BP79" i="13"/>
  <c r="BR73" i="13"/>
  <c r="BP73" i="13"/>
  <c r="BQ72" i="13"/>
  <c r="BQ66" i="13"/>
  <c r="BR65" i="13"/>
  <c r="BP65" i="13"/>
  <c r="BQ64" i="13"/>
  <c r="BQ62" i="13"/>
  <c r="BQ58" i="13"/>
  <c r="BR53" i="13"/>
  <c r="BP53" i="13"/>
  <c r="BQ52" i="13"/>
  <c r="BR51" i="13"/>
  <c r="BP51" i="13"/>
  <c r="BR45" i="13"/>
  <c r="BP45" i="13"/>
  <c r="BQ37" i="13"/>
  <c r="BR32" i="13"/>
  <c r="BP32" i="13"/>
  <c r="BR30" i="13"/>
  <c r="BP30" i="13"/>
  <c r="BR37" i="13"/>
  <c r="BP37" i="13"/>
  <c r="BQ32" i="13"/>
  <c r="BQ30" i="13"/>
  <c r="BQ26" i="13"/>
  <c r="BR25" i="13"/>
  <c r="BP25" i="13"/>
  <c r="BQ24" i="13"/>
  <c r="BR23" i="13"/>
  <c r="BP23" i="13"/>
  <c r="BQ22" i="13"/>
  <c r="BR21" i="13"/>
  <c r="BP21" i="13"/>
  <c r="BR19" i="13"/>
  <c r="BP19" i="13"/>
  <c r="BQ18" i="13"/>
  <c r="BQ14" i="13"/>
  <c r="BR13" i="13"/>
  <c r="BP13" i="13"/>
  <c r="BQ12" i="13"/>
  <c r="BR11" i="13"/>
  <c r="BP11" i="13"/>
  <c r="BQ10" i="13"/>
  <c r="BR9" i="13"/>
  <c r="BP9" i="13"/>
  <c r="BQ8" i="13"/>
  <c r="BR26" i="13"/>
  <c r="BP26" i="13"/>
  <c r="BQ25" i="13"/>
  <c r="BR24" i="13"/>
  <c r="BP24" i="13"/>
  <c r="BQ23" i="13"/>
  <c r="BR22" i="13"/>
  <c r="BP22" i="13"/>
  <c r="BQ21" i="13"/>
  <c r="BQ19" i="13"/>
  <c r="BR18" i="13"/>
  <c r="BP18" i="13"/>
  <c r="BR14" i="13"/>
  <c r="BP14" i="13"/>
  <c r="BQ13" i="13"/>
  <c r="BR12" i="13"/>
  <c r="BP12" i="13"/>
  <c r="BQ11" i="13"/>
  <c r="BR10" i="13"/>
  <c r="BP10" i="13"/>
  <c r="BQ9" i="13"/>
  <c r="BR8" i="13"/>
  <c r="BP8" i="13"/>
  <c r="L55" i="7"/>
  <c r="L65" i="7" s="1"/>
  <c r="L52" i="7"/>
  <c r="F27" i="7"/>
  <c r="I62" i="4"/>
  <c r="J62" i="4"/>
  <c r="BL103" i="13"/>
  <c r="E72" i="10"/>
  <c r="BL29" i="13"/>
  <c r="BL4" i="13"/>
  <c r="F89" i="7"/>
  <c r="L93" i="7"/>
  <c r="L28" i="7"/>
  <c r="L31" i="7" s="1"/>
  <c r="L27" i="7"/>
  <c r="L30" i="7" s="1"/>
  <c r="F93" i="7"/>
  <c r="F80" i="7"/>
  <c r="F76" i="7"/>
  <c r="F94" i="7" s="1"/>
  <c r="F28" i="7"/>
  <c r="E96" i="7"/>
  <c r="E95" i="7"/>
  <c r="E94" i="7"/>
  <c r="J70" i="4"/>
  <c r="I70" i="4"/>
  <c r="J73" i="4"/>
  <c r="I73" i="4"/>
  <c r="G56" i="4"/>
  <c r="G55" i="4"/>
  <c r="H39" i="4"/>
  <c r="L29" i="7"/>
  <c r="L42" i="7"/>
  <c r="J39" i="4" s="1"/>
  <c r="F29" i="7"/>
  <c r="D65" i="11"/>
  <c r="I6" i="11"/>
  <c r="C6" i="11"/>
  <c r="C37" i="11"/>
  <c r="F18" i="7"/>
  <c r="BM192" i="14" s="1"/>
  <c r="H26" i="7"/>
  <c r="K65" i="11"/>
  <c r="E35" i="11"/>
  <c r="K4" i="11"/>
  <c r="H18" i="11"/>
  <c r="B49" i="11"/>
  <c r="G87" i="7"/>
  <c r="E4" i="11"/>
  <c r="K31" i="7"/>
  <c r="K30" i="7"/>
  <c r="G26" i="7"/>
  <c r="BK192" i="14" l="1"/>
  <c r="C49" i="4"/>
  <c r="G49" i="4"/>
  <c r="I49" i="4"/>
  <c r="E49" i="4"/>
  <c r="AK167" i="12"/>
  <c r="J33" i="4"/>
  <c r="C33" i="4"/>
  <c r="G33" i="4"/>
  <c r="E33" i="4"/>
  <c r="L51" i="7"/>
  <c r="L63" i="7"/>
  <c r="I33" i="4" s="1"/>
  <c r="DW126" i="12"/>
  <c r="DX176" i="12" s="1"/>
  <c r="DX175" i="12" s="1"/>
  <c r="ED126" i="12"/>
  <c r="DY126" i="12"/>
  <c r="EA151" i="12"/>
  <c r="DZ147" i="12"/>
  <c r="DZ151" i="12" s="1"/>
  <c r="EA126" i="12"/>
  <c r="ED160" i="12"/>
  <c r="ED164" i="12" s="1"/>
  <c r="DX178" i="12"/>
  <c r="I84" i="4" s="1"/>
  <c r="DZ126" i="12"/>
  <c r="AJ163" i="14"/>
  <c r="AJ161" i="14"/>
  <c r="AJ162" i="14"/>
  <c r="AJ157" i="14"/>
  <c r="AK164" i="14"/>
  <c r="AJ159" i="14"/>
  <c r="AJ158" i="14"/>
  <c r="AK154" i="12"/>
  <c r="AK172" i="12" s="1"/>
  <c r="AJ158" i="12"/>
  <c r="AJ159" i="12"/>
  <c r="AJ157" i="12"/>
  <c r="AK164" i="12"/>
  <c r="AK151" i="14"/>
  <c r="AJ196" i="14"/>
  <c r="AJ150" i="12"/>
  <c r="AJ162" i="12"/>
  <c r="AJ163" i="12"/>
  <c r="AJ161" i="12"/>
  <c r="AJ145" i="12"/>
  <c r="AJ146" i="12"/>
  <c r="AJ144" i="12"/>
  <c r="AK151" i="12"/>
  <c r="F96" i="7"/>
  <c r="E48" i="10"/>
  <c r="F95" i="7"/>
  <c r="G28" i="7"/>
  <c r="H28" i="7" s="1"/>
  <c r="G27" i="7"/>
  <c r="H27" i="7" s="1"/>
  <c r="G76" i="7"/>
  <c r="G80" i="7"/>
  <c r="G89" i="7"/>
  <c r="I56" i="4"/>
  <c r="I55" i="4"/>
  <c r="I39" i="4"/>
  <c r="G40" i="4"/>
  <c r="G93" i="7"/>
  <c r="H29" i="7"/>
  <c r="E65" i="11"/>
  <c r="G29" i="7"/>
  <c r="C86" i="4" s="1"/>
  <c r="G18" i="7"/>
  <c r="AX196" i="14" s="1"/>
  <c r="H87" i="7"/>
  <c r="G90" i="7" s="1"/>
  <c r="L4" i="11"/>
  <c r="F35" i="11"/>
  <c r="F4" i="11"/>
  <c r="F31" i="7"/>
  <c r="F30" i="7"/>
  <c r="G72" i="10" s="1"/>
  <c r="BX192" i="14" l="1"/>
  <c r="DM192" i="14"/>
  <c r="CK192" i="14"/>
  <c r="CM192" i="14"/>
  <c r="DK192" i="14"/>
  <c r="DZ192" i="14"/>
  <c r="CZ192" i="14"/>
  <c r="BZ192" i="14"/>
  <c r="DX192" i="14"/>
  <c r="CX192" i="14"/>
  <c r="AW199" i="14"/>
  <c r="AW197" i="14"/>
  <c r="AW198" i="14"/>
  <c r="C35" i="10"/>
  <c r="E36" i="10"/>
  <c r="AJ160" i="14"/>
  <c r="AJ143" i="12"/>
  <c r="AJ166" i="12"/>
  <c r="AJ167" i="12"/>
  <c r="AJ165" i="12"/>
  <c r="CK143" i="14"/>
  <c r="AJ165" i="14"/>
  <c r="AJ166" i="14"/>
  <c r="AJ167" i="14"/>
  <c r="DX160" i="12"/>
  <c r="DK160" i="12"/>
  <c r="BK196" i="14"/>
  <c r="DK185" i="14"/>
  <c r="CX160" i="14"/>
  <c r="AX185" i="14"/>
  <c r="DX156" i="14"/>
  <c r="DX159" i="12"/>
  <c r="DX163" i="12"/>
  <c r="DK156" i="12"/>
  <c r="CX150" i="12"/>
  <c r="AX163" i="12"/>
  <c r="CK185" i="12"/>
  <c r="DX150" i="12"/>
  <c r="DX156" i="12"/>
  <c r="DK146" i="12"/>
  <c r="CX143" i="12"/>
  <c r="AX150" i="12"/>
  <c r="DK185" i="12"/>
  <c r="DX147" i="12"/>
  <c r="DW150" i="12" s="1"/>
  <c r="CK156" i="14"/>
  <c r="DK156" i="14"/>
  <c r="DX143" i="14"/>
  <c r="DK143" i="14"/>
  <c r="DK150" i="12"/>
  <c r="CX146" i="12"/>
  <c r="CK143" i="12"/>
  <c r="CK156" i="12"/>
  <c r="AX143" i="12"/>
  <c r="DK143" i="12"/>
  <c r="DK163" i="12"/>
  <c r="CX163" i="12"/>
  <c r="CX156" i="12"/>
  <c r="AX156" i="14"/>
  <c r="CX185" i="14"/>
  <c r="DX185" i="14"/>
  <c r="AK169" i="12"/>
  <c r="AJ154" i="12"/>
  <c r="AJ160" i="12"/>
  <c r="AK169" i="14"/>
  <c r="AJ156" i="12"/>
  <c r="DK147" i="14"/>
  <c r="CK185" i="14"/>
  <c r="AX147" i="14"/>
  <c r="AJ156" i="14"/>
  <c r="DK160" i="14"/>
  <c r="CK147" i="14"/>
  <c r="AX160" i="14"/>
  <c r="CK159" i="12"/>
  <c r="CK163" i="12"/>
  <c r="AX159" i="12"/>
  <c r="CK147" i="12"/>
  <c r="DK159" i="12"/>
  <c r="CX159" i="12"/>
  <c r="CK146" i="12"/>
  <c r="CK150" i="12"/>
  <c r="AX146" i="12"/>
  <c r="AX154" i="12" s="1"/>
  <c r="DK147" i="12"/>
  <c r="DJ150" i="12" s="1"/>
  <c r="AX143" i="14"/>
  <c r="CK160" i="14"/>
  <c r="CX156" i="14"/>
  <c r="DX147" i="14"/>
  <c r="CX143" i="14"/>
  <c r="DX143" i="12"/>
  <c r="DX146" i="12"/>
  <c r="DX154" i="12" s="1"/>
  <c r="AX147" i="12"/>
  <c r="AX185" i="12"/>
  <c r="AX156" i="12"/>
  <c r="CK160" i="12"/>
  <c r="AX160" i="12"/>
  <c r="CX185" i="12"/>
  <c r="CX147" i="12"/>
  <c r="CW150" i="12" s="1"/>
  <c r="DX185" i="12"/>
  <c r="CX147" i="14"/>
  <c r="DX160" i="14"/>
  <c r="CX160" i="12"/>
  <c r="X147" i="12"/>
  <c r="X156" i="12"/>
  <c r="X143" i="14"/>
  <c r="X147" i="14"/>
  <c r="X185" i="12"/>
  <c r="C21" i="17" s="1"/>
  <c r="X160" i="14"/>
  <c r="D21" i="17"/>
  <c r="X196" i="14"/>
  <c r="X156" i="14"/>
  <c r="X150" i="12"/>
  <c r="X163" i="12"/>
  <c r="X146" i="12"/>
  <c r="X159" i="12"/>
  <c r="X143" i="12"/>
  <c r="X160" i="12"/>
  <c r="D30" i="17"/>
  <c r="X185" i="14"/>
  <c r="C30" i="17" s="1"/>
  <c r="H21" i="17"/>
  <c r="I86" i="4"/>
  <c r="G86" i="4"/>
  <c r="E86" i="4"/>
  <c r="H93" i="7"/>
  <c r="H80" i="7"/>
  <c r="H76" i="7"/>
  <c r="G96" i="7"/>
  <c r="G95" i="7"/>
  <c r="G94" i="7"/>
  <c r="G30" i="7"/>
  <c r="H89" i="7"/>
  <c r="C40" i="4"/>
  <c r="G57" i="4"/>
  <c r="C57" i="4"/>
  <c r="G31" i="7"/>
  <c r="K6" i="11" s="1"/>
  <c r="E19" i="11"/>
  <c r="E50" i="11"/>
  <c r="B19" i="11"/>
  <c r="K19" i="11"/>
  <c r="J6" i="11"/>
  <c r="D6" i="11"/>
  <c r="D37" i="11"/>
  <c r="B50" i="11"/>
  <c r="H19" i="11"/>
  <c r="C19" i="11"/>
  <c r="C50" i="11"/>
  <c r="I19" i="11"/>
  <c r="F65" i="11"/>
  <c r="H30" i="7"/>
  <c r="K72" i="10" s="1"/>
  <c r="H31" i="7"/>
  <c r="BK147" i="14" s="1"/>
  <c r="AW150" i="12" l="1"/>
  <c r="DK167" i="12"/>
  <c r="CX154" i="12"/>
  <c r="DX167" i="12"/>
  <c r="DX172" i="12" s="1"/>
  <c r="AW196" i="14"/>
  <c r="F36" i="10"/>
  <c r="D35" i="10"/>
  <c r="G36" i="10"/>
  <c r="H36" i="10"/>
  <c r="CK154" i="12"/>
  <c r="CJ150" i="12"/>
  <c r="CX167" i="12"/>
  <c r="AX167" i="12"/>
  <c r="AX172" i="12" s="1"/>
  <c r="DK154" i="12"/>
  <c r="DK172" i="12" s="1"/>
  <c r="BK160" i="14"/>
  <c r="DW162" i="14"/>
  <c r="DW161" i="14"/>
  <c r="DW163" i="14"/>
  <c r="BK143" i="14"/>
  <c r="BX146" i="12"/>
  <c r="CJ162" i="12"/>
  <c r="CJ163" i="12"/>
  <c r="CJ161" i="12"/>
  <c r="AW159" i="12"/>
  <c r="AW157" i="12"/>
  <c r="AW158" i="12"/>
  <c r="AX164" i="12"/>
  <c r="BK160" i="12"/>
  <c r="DW145" i="12"/>
  <c r="DW146" i="12"/>
  <c r="DW144" i="12"/>
  <c r="DX151" i="12"/>
  <c r="BX147" i="12"/>
  <c r="CX151" i="14"/>
  <c r="CW159" i="14"/>
  <c r="CX164" i="14"/>
  <c r="CW157" i="14"/>
  <c r="CW158" i="14"/>
  <c r="AX151" i="14"/>
  <c r="BX185" i="12"/>
  <c r="G21" i="17" s="1"/>
  <c r="BX156" i="12"/>
  <c r="CK167" i="12"/>
  <c r="BK156" i="14"/>
  <c r="DJ161" i="14"/>
  <c r="DJ163" i="14"/>
  <c r="DJ162" i="14"/>
  <c r="BX196" i="14"/>
  <c r="BK185" i="14"/>
  <c r="BX143" i="14"/>
  <c r="AW159" i="14"/>
  <c r="AX164" i="14"/>
  <c r="AW157" i="14"/>
  <c r="AW158" i="14"/>
  <c r="DJ145" i="12"/>
  <c r="DJ146" i="12"/>
  <c r="DJ144" i="12"/>
  <c r="DK151" i="12"/>
  <c r="BK143" i="12"/>
  <c r="CJ146" i="12"/>
  <c r="CJ144" i="12"/>
  <c r="CJ145" i="12"/>
  <c r="CK151" i="12"/>
  <c r="DK151" i="14"/>
  <c r="DJ158" i="14"/>
  <c r="DJ157" i="14"/>
  <c r="DK164" i="14"/>
  <c r="DJ159" i="14"/>
  <c r="BX147" i="14"/>
  <c r="BK146" i="12"/>
  <c r="CW145" i="12"/>
  <c r="CW146" i="12"/>
  <c r="CW144" i="12"/>
  <c r="CX151" i="12"/>
  <c r="BK163" i="12"/>
  <c r="DJ159" i="12"/>
  <c r="DJ157" i="12"/>
  <c r="DJ158" i="12"/>
  <c r="DK164" i="12"/>
  <c r="BX156" i="14"/>
  <c r="BJ199" i="14"/>
  <c r="BJ198" i="14"/>
  <c r="BJ197" i="14"/>
  <c r="CK196" i="14"/>
  <c r="CX196" i="14"/>
  <c r="AJ164" i="14"/>
  <c r="BX185" i="14"/>
  <c r="G30" i="17" s="1"/>
  <c r="CW163" i="12"/>
  <c r="CW161" i="12"/>
  <c r="CW162" i="12"/>
  <c r="AW163" i="12"/>
  <c r="AW161" i="12"/>
  <c r="AW162" i="12"/>
  <c r="BK156" i="12"/>
  <c r="BX159" i="12"/>
  <c r="CJ162" i="14"/>
  <c r="CJ161" i="14"/>
  <c r="CJ163" i="14"/>
  <c r="BK150" i="12"/>
  <c r="BX163" i="12"/>
  <c r="AW162" i="14"/>
  <c r="AW163" i="14"/>
  <c r="AW161" i="14"/>
  <c r="DX196" i="14"/>
  <c r="DK196" i="14"/>
  <c r="AK184" i="14"/>
  <c r="AJ185" i="14" s="1"/>
  <c r="AK184" i="12"/>
  <c r="AJ185" i="12" s="1"/>
  <c r="AJ172" i="12"/>
  <c r="BX160" i="14"/>
  <c r="CW158" i="12"/>
  <c r="CW159" i="12"/>
  <c r="CW157" i="12"/>
  <c r="CX164" i="12"/>
  <c r="BK147" i="12"/>
  <c r="AW146" i="12"/>
  <c r="AW144" i="12"/>
  <c r="AW145" i="12"/>
  <c r="AX151" i="12"/>
  <c r="BX143" i="12"/>
  <c r="CJ158" i="12"/>
  <c r="CJ159" i="12"/>
  <c r="CJ157" i="12"/>
  <c r="CK164" i="12"/>
  <c r="BK185" i="12"/>
  <c r="F21" i="17" s="1"/>
  <c r="BX160" i="12"/>
  <c r="DX151" i="14"/>
  <c r="CJ157" i="14"/>
  <c r="CJ158" i="14"/>
  <c r="CJ159" i="14"/>
  <c r="CK164" i="14"/>
  <c r="BX150" i="12"/>
  <c r="DW158" i="12"/>
  <c r="DW159" i="12"/>
  <c r="DW157" i="12"/>
  <c r="DX164" i="12"/>
  <c r="BK159" i="12"/>
  <c r="DX164" i="14"/>
  <c r="DW159" i="14"/>
  <c r="DW158" i="14"/>
  <c r="DW157" i="14"/>
  <c r="CW162" i="14"/>
  <c r="CW163" i="14"/>
  <c r="CW161" i="14"/>
  <c r="DJ163" i="12"/>
  <c r="DJ161" i="12"/>
  <c r="DJ162" i="12"/>
  <c r="DW163" i="12"/>
  <c r="DW161" i="12"/>
  <c r="DW162" i="12"/>
  <c r="CK151" i="14"/>
  <c r="AJ164" i="12"/>
  <c r="W162" i="12"/>
  <c r="W163" i="12"/>
  <c r="W161" i="12"/>
  <c r="W159" i="12"/>
  <c r="W157" i="12"/>
  <c r="W158" i="12"/>
  <c r="W163" i="14"/>
  <c r="W161" i="14"/>
  <c r="W162" i="14"/>
  <c r="W159" i="14"/>
  <c r="W157" i="14"/>
  <c r="W158" i="14"/>
  <c r="X167" i="12"/>
  <c r="X164" i="12"/>
  <c r="X154" i="12"/>
  <c r="X172" i="12" s="1"/>
  <c r="X164" i="14"/>
  <c r="X151" i="14"/>
  <c r="W150" i="12"/>
  <c r="X151" i="12"/>
  <c r="W146" i="12"/>
  <c r="I14" i="17"/>
  <c r="I16" i="17" s="1"/>
  <c r="J15" i="17"/>
  <c r="J16" i="17" s="1"/>
  <c r="J17" i="17"/>
  <c r="J19" i="17" s="1"/>
  <c r="I17" i="17"/>
  <c r="I19" i="17" s="1"/>
  <c r="K17" i="17"/>
  <c r="K19" i="17" s="1"/>
  <c r="K15" i="17"/>
  <c r="K16" i="17" s="1"/>
  <c r="I21" i="17"/>
  <c r="H30" i="17"/>
  <c r="F30" i="17"/>
  <c r="E21" i="17"/>
  <c r="J30" i="17"/>
  <c r="K30" i="17"/>
  <c r="I30" i="17"/>
  <c r="E30" i="17"/>
  <c r="J21" i="17"/>
  <c r="K21" i="17"/>
  <c r="I72" i="10"/>
  <c r="H96" i="7"/>
  <c r="H95" i="7"/>
  <c r="H94" i="7"/>
  <c r="L6" i="11"/>
  <c r="E37" i="11"/>
  <c r="E6" i="11"/>
  <c r="F6" i="11"/>
  <c r="F37" i="11"/>
  <c r="D50" i="11"/>
  <c r="J19" i="11"/>
  <c r="D19" i="11"/>
  <c r="CK172" i="12" l="1"/>
  <c r="BK167" i="12"/>
  <c r="CX172" i="12"/>
  <c r="CW160" i="14"/>
  <c r="DJ160" i="12"/>
  <c r="CJ160" i="14"/>
  <c r="DW160" i="14"/>
  <c r="AW160" i="14"/>
  <c r="BJ150" i="12"/>
  <c r="DJ143" i="12"/>
  <c r="CW160" i="12"/>
  <c r="DJ156" i="12"/>
  <c r="AW156" i="14"/>
  <c r="CW156" i="14"/>
  <c r="CK169" i="14"/>
  <c r="DW167" i="14"/>
  <c r="DW166" i="14"/>
  <c r="DW165" i="14"/>
  <c r="DW166" i="12"/>
  <c r="DW167" i="12"/>
  <c r="DW165" i="12"/>
  <c r="CJ166" i="14"/>
  <c r="CJ165" i="14"/>
  <c r="CJ167" i="14"/>
  <c r="BW162" i="12"/>
  <c r="BW163" i="12"/>
  <c r="BW161" i="12"/>
  <c r="CJ166" i="12"/>
  <c r="CJ167" i="12"/>
  <c r="CJ165" i="12"/>
  <c r="BW145" i="12"/>
  <c r="BW146" i="12"/>
  <c r="BW144" i="12"/>
  <c r="BX151" i="12"/>
  <c r="CW166" i="12"/>
  <c r="CW167" i="12"/>
  <c r="CW165" i="12"/>
  <c r="BW161" i="14"/>
  <c r="BW162" i="14"/>
  <c r="BW163" i="14"/>
  <c r="DW199" i="14"/>
  <c r="DW198" i="14"/>
  <c r="DW197" i="14"/>
  <c r="BJ159" i="12"/>
  <c r="BJ157" i="12"/>
  <c r="BJ158" i="12"/>
  <c r="BK164" i="12"/>
  <c r="CW197" i="14"/>
  <c r="CW199" i="14"/>
  <c r="CW198" i="14"/>
  <c r="BW157" i="14"/>
  <c r="BW158" i="14"/>
  <c r="BW159" i="14"/>
  <c r="BX164" i="14"/>
  <c r="DJ167" i="12"/>
  <c r="DJ165" i="12"/>
  <c r="DJ166" i="12"/>
  <c r="CX169" i="12"/>
  <c r="CW154" i="12"/>
  <c r="DJ167" i="14"/>
  <c r="DJ166" i="14"/>
  <c r="DJ165" i="14"/>
  <c r="BJ146" i="12"/>
  <c r="BJ144" i="12"/>
  <c r="BJ145" i="12"/>
  <c r="BK151" i="12"/>
  <c r="BJ157" i="14"/>
  <c r="BJ158" i="14"/>
  <c r="BJ159" i="14"/>
  <c r="BK164" i="14"/>
  <c r="DW154" i="12"/>
  <c r="DX169" i="12"/>
  <c r="BX154" i="12"/>
  <c r="BK151" i="14"/>
  <c r="DW160" i="12"/>
  <c r="DW156" i="14"/>
  <c r="DW156" i="12"/>
  <c r="CJ156" i="14"/>
  <c r="DX169" i="14"/>
  <c r="CJ156" i="12"/>
  <c r="AW154" i="12"/>
  <c r="AX169" i="12"/>
  <c r="AW143" i="12"/>
  <c r="CW156" i="12"/>
  <c r="DJ199" i="14"/>
  <c r="DJ198" i="14"/>
  <c r="DJ197" i="14"/>
  <c r="BX167" i="12"/>
  <c r="AW160" i="12"/>
  <c r="CJ199" i="14"/>
  <c r="CJ198" i="14"/>
  <c r="CJ197" i="14"/>
  <c r="BJ196" i="14"/>
  <c r="CW143" i="12"/>
  <c r="BK154" i="12"/>
  <c r="BK172" i="12" s="1"/>
  <c r="DJ156" i="14"/>
  <c r="DK169" i="14"/>
  <c r="CK169" i="12"/>
  <c r="CJ154" i="12"/>
  <c r="CJ143" i="12"/>
  <c r="DJ154" i="12"/>
  <c r="DK169" i="12"/>
  <c r="AW166" i="14"/>
  <c r="AW165" i="14"/>
  <c r="AW167" i="14"/>
  <c r="BX151" i="14"/>
  <c r="BW199" i="14"/>
  <c r="BW198" i="14"/>
  <c r="BW197" i="14"/>
  <c r="DJ160" i="14"/>
  <c r="BW159" i="12"/>
  <c r="BW157" i="12"/>
  <c r="BW158" i="12"/>
  <c r="BX164" i="12"/>
  <c r="AX169" i="14"/>
  <c r="CW166" i="14"/>
  <c r="CW165" i="14"/>
  <c r="CW167" i="14"/>
  <c r="CX169" i="14"/>
  <c r="BW150" i="12"/>
  <c r="DW143" i="12"/>
  <c r="BJ163" i="12"/>
  <c r="BJ161" i="12"/>
  <c r="BJ162" i="12"/>
  <c r="AW166" i="12"/>
  <c r="AW167" i="12"/>
  <c r="AW165" i="12"/>
  <c r="AW156" i="12"/>
  <c r="CJ160" i="12"/>
  <c r="BJ163" i="14"/>
  <c r="BJ162" i="14"/>
  <c r="BJ161" i="14"/>
  <c r="X169" i="14"/>
  <c r="X184" i="14" s="1"/>
  <c r="W185" i="14" s="1"/>
  <c r="W156" i="12"/>
  <c r="W160" i="12"/>
  <c r="W166" i="12"/>
  <c r="W167" i="12"/>
  <c r="W165" i="12"/>
  <c r="W156" i="14"/>
  <c r="W160" i="14"/>
  <c r="C29" i="17"/>
  <c r="C31" i="17" s="1"/>
  <c r="W154" i="12"/>
  <c r="X169" i="12"/>
  <c r="D29" i="17"/>
  <c r="D31" i="17" s="1"/>
  <c r="N320" i="9"/>
  <c r="P320" i="9"/>
  <c r="CJ164" i="12" l="1"/>
  <c r="CJ196" i="14"/>
  <c r="DJ164" i="14"/>
  <c r="DW164" i="14"/>
  <c r="BW196" i="14"/>
  <c r="BW160" i="12"/>
  <c r="CW164" i="14"/>
  <c r="AW164" i="14"/>
  <c r="CX184" i="14"/>
  <c r="CW185" i="14" s="1"/>
  <c r="AX184" i="14"/>
  <c r="AW185" i="14" s="1"/>
  <c r="DJ172" i="12"/>
  <c r="DK184" i="12"/>
  <c r="DJ185" i="12" s="1"/>
  <c r="AX184" i="12"/>
  <c r="AW185" i="12" s="1"/>
  <c r="AW172" i="12"/>
  <c r="BK169" i="14"/>
  <c r="BJ167" i="14"/>
  <c r="BJ166" i="14"/>
  <c r="BJ165" i="14"/>
  <c r="CX184" i="12"/>
  <c r="CW185" i="12" s="1"/>
  <c r="CW172" i="12"/>
  <c r="BW156" i="14"/>
  <c r="BW160" i="14"/>
  <c r="BX169" i="12"/>
  <c r="BW154" i="12"/>
  <c r="BJ160" i="14"/>
  <c r="AW164" i="12"/>
  <c r="BJ160" i="12"/>
  <c r="BW166" i="12"/>
  <c r="BW167" i="12"/>
  <c r="BW165" i="12"/>
  <c r="BW156" i="12"/>
  <c r="BX169" i="14"/>
  <c r="CK184" i="12"/>
  <c r="CJ185" i="12" s="1"/>
  <c r="CJ172" i="12"/>
  <c r="DK184" i="14"/>
  <c r="DJ185" i="14" s="1"/>
  <c r="DJ196" i="14"/>
  <c r="DX184" i="14"/>
  <c r="DW185" i="14" s="1"/>
  <c r="BX172" i="12"/>
  <c r="DX184" i="12"/>
  <c r="DW185" i="12" s="1"/>
  <c r="DW172" i="12"/>
  <c r="BJ156" i="14"/>
  <c r="BJ154" i="12"/>
  <c r="BK169" i="12"/>
  <c r="BJ143" i="12"/>
  <c r="DJ164" i="12"/>
  <c r="BW167" i="14"/>
  <c r="BW166" i="14"/>
  <c r="BW165" i="14"/>
  <c r="CW196" i="14"/>
  <c r="BJ166" i="12"/>
  <c r="BJ167" i="12"/>
  <c r="BJ165" i="12"/>
  <c r="BJ156" i="12"/>
  <c r="DW196" i="14"/>
  <c r="CW164" i="12"/>
  <c r="BW143" i="12"/>
  <c r="CJ164" i="14"/>
  <c r="DW164" i="12"/>
  <c r="CK184" i="14"/>
  <c r="CJ185" i="14" s="1"/>
  <c r="W164" i="12"/>
  <c r="X184" i="12"/>
  <c r="C20" i="17" s="1"/>
  <c r="C22" i="17" s="1"/>
  <c r="W172" i="12"/>
  <c r="D20" i="17"/>
  <c r="D22" i="17" s="1"/>
  <c r="I20" i="17"/>
  <c r="I22" i="17" s="1"/>
  <c r="L319" i="9"/>
  <c r="K319" i="9"/>
  <c r="L318" i="9"/>
  <c r="K318" i="9"/>
  <c r="L317" i="9"/>
  <c r="K317" i="9"/>
  <c r="L316" i="9"/>
  <c r="K316" i="9"/>
  <c r="K315" i="9"/>
  <c r="K314" i="9"/>
  <c r="K313" i="9"/>
  <c r="K312" i="9"/>
  <c r="K311" i="9"/>
  <c r="K310" i="9"/>
  <c r="K309" i="9"/>
  <c r="L308" i="9"/>
  <c r="K308" i="9"/>
  <c r="K307" i="9"/>
  <c r="K306" i="9"/>
  <c r="K305" i="9"/>
  <c r="K304" i="9"/>
  <c r="K303" i="9"/>
  <c r="K302" i="9"/>
  <c r="K301" i="9"/>
  <c r="L300" i="9"/>
  <c r="K300" i="9"/>
  <c r="L299" i="9"/>
  <c r="K299" i="9"/>
  <c r="L298" i="9"/>
  <c r="K298" i="9"/>
  <c r="L297" i="9"/>
  <c r="K297" i="9"/>
  <c r="L296" i="9"/>
  <c r="K296" i="9"/>
  <c r="L295" i="9"/>
  <c r="K295" i="9"/>
  <c r="L294" i="9"/>
  <c r="K294" i="9"/>
  <c r="L293" i="9"/>
  <c r="K293" i="9"/>
  <c r="L292" i="9"/>
  <c r="K292" i="9"/>
  <c r="L291"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L229" i="9"/>
  <c r="K229" i="9"/>
  <c r="L228" i="9"/>
  <c r="K228" i="9"/>
  <c r="L227" i="9"/>
  <c r="K227" i="9"/>
  <c r="L226" i="9"/>
  <c r="K226" i="9"/>
  <c r="L225" i="9"/>
  <c r="K225" i="9"/>
  <c r="L224" i="9"/>
  <c r="K224" i="9"/>
  <c r="L223" i="9"/>
  <c r="K223" i="9"/>
  <c r="L222" i="9"/>
  <c r="K222" i="9"/>
  <c r="K221" i="9"/>
  <c r="L221" i="9" s="1"/>
  <c r="K220" i="9"/>
  <c r="L220" i="9" s="1"/>
  <c r="K219" i="9"/>
  <c r="L219" i="9" s="1"/>
  <c r="K218" i="9"/>
  <c r="L218" i="9" s="1"/>
  <c r="K217" i="9"/>
  <c r="K216" i="9"/>
  <c r="L216" i="9" s="1"/>
  <c r="K215" i="9"/>
  <c r="L215" i="9" s="1"/>
  <c r="L214" i="9"/>
  <c r="K214" i="9"/>
  <c r="L213" i="9"/>
  <c r="K213" i="9"/>
  <c r="K212" i="9"/>
  <c r="L212" i="9" s="1"/>
  <c r="K211" i="9"/>
  <c r="L211" i="9" s="1"/>
  <c r="K210" i="9"/>
  <c r="L210" i="9" s="1"/>
  <c r="K209" i="9"/>
  <c r="L209" i="9" s="1"/>
  <c r="K208" i="9"/>
  <c r="L208" i="9" s="1"/>
  <c r="K207" i="9"/>
  <c r="L207" i="9" s="1"/>
  <c r="K206" i="9"/>
  <c r="L206" i="9" s="1"/>
  <c r="L205" i="9"/>
  <c r="K205" i="9"/>
  <c r="L204" i="9"/>
  <c r="K204" i="9"/>
  <c r="K203" i="9"/>
  <c r="L203" i="9" s="1"/>
  <c r="K202" i="9"/>
  <c r="L202" i="9" s="1"/>
  <c r="K201" i="9"/>
  <c r="L201" i="9" s="1"/>
  <c r="K200" i="9"/>
  <c r="L200" i="9" s="1"/>
  <c r="K199" i="9"/>
  <c r="L199" i="9" s="1"/>
  <c r="K198" i="9"/>
  <c r="L198" i="9" s="1"/>
  <c r="K197" i="9"/>
  <c r="L197" i="9" s="1"/>
  <c r="K196" i="9"/>
  <c r="L196" i="9" s="1"/>
  <c r="K195" i="9"/>
  <c r="L195" i="9" s="1"/>
  <c r="K194" i="9"/>
  <c r="L194" i="9" s="1"/>
  <c r="K193" i="9"/>
  <c r="L193" i="9" s="1"/>
  <c r="K192" i="9"/>
  <c r="L192" i="9" s="1"/>
  <c r="K191" i="9"/>
  <c r="L191" i="9" s="1"/>
  <c r="K190" i="9"/>
  <c r="L189" i="9"/>
  <c r="K189" i="9"/>
  <c r="L188" i="9"/>
  <c r="K188" i="9"/>
  <c r="K187" i="9"/>
  <c r="L187" i="9" s="1"/>
  <c r="K186" i="9"/>
  <c r="L186" i="9" s="1"/>
  <c r="K185" i="9"/>
  <c r="K184" i="9"/>
  <c r="L184" i="9" s="1"/>
  <c r="K183" i="9"/>
  <c r="K182" i="9"/>
  <c r="L182" i="9" s="1"/>
  <c r="K181" i="9"/>
  <c r="L181" i="9" s="1"/>
  <c r="K180" i="9"/>
  <c r="L180" i="9" s="1"/>
  <c r="K179" i="9"/>
  <c r="L179" i="9" s="1"/>
  <c r="K178" i="9"/>
  <c r="L178" i="9" s="1"/>
  <c r="K177" i="9"/>
  <c r="K176" i="9"/>
  <c r="L176" i="9" s="1"/>
  <c r="K175" i="9"/>
  <c r="K174" i="9"/>
  <c r="L174" i="9" s="1"/>
  <c r="K173" i="9"/>
  <c r="L173" i="9" s="1"/>
  <c r="L172" i="9"/>
  <c r="K172" i="9"/>
  <c r="L171" i="9"/>
  <c r="K171" i="9"/>
  <c r="K170" i="9"/>
  <c r="K169" i="9"/>
  <c r="L169" i="9" s="1"/>
  <c r="K168" i="9"/>
  <c r="L168" i="9" s="1"/>
  <c r="L167" i="9"/>
  <c r="K167" i="9"/>
  <c r="L166" i="9"/>
  <c r="K166" i="9"/>
  <c r="K165" i="9"/>
  <c r="L165" i="9" s="1"/>
  <c r="K164" i="9"/>
  <c r="L164" i="9" s="1"/>
  <c r="K163" i="9"/>
  <c r="K162" i="9"/>
  <c r="L162" i="9" s="1"/>
  <c r="K161" i="9"/>
  <c r="L161" i="9" s="1"/>
  <c r="K160" i="9"/>
  <c r="L160" i="9" s="1"/>
  <c r="K159" i="9"/>
  <c r="L159" i="9" s="1"/>
  <c r="K158" i="9"/>
  <c r="L158" i="9" s="1"/>
  <c r="K157" i="9"/>
  <c r="L157" i="9" s="1"/>
  <c r="K156" i="9"/>
  <c r="L156" i="9" s="1"/>
  <c r="K155" i="9"/>
  <c r="L155" i="9" s="1"/>
  <c r="K154" i="9"/>
  <c r="L154" i="9" s="1"/>
  <c r="K153" i="9"/>
  <c r="L153" i="9" s="1"/>
  <c r="K152" i="9"/>
  <c r="L152" i="9" s="1"/>
  <c r="K151" i="9"/>
  <c r="K150" i="9"/>
  <c r="L150" i="9" s="1"/>
  <c r="K149" i="9"/>
  <c r="L149" i="9" s="1"/>
  <c r="K148" i="9"/>
  <c r="L148" i="9" s="1"/>
  <c r="K147" i="9"/>
  <c r="L147" i="9" s="1"/>
  <c r="K146" i="9"/>
  <c r="L146" i="9" s="1"/>
  <c r="K145" i="9"/>
  <c r="K144" i="9"/>
  <c r="L144" i="9" s="1"/>
  <c r="K143" i="9"/>
  <c r="L143" i="9" s="1"/>
  <c r="K142" i="9"/>
  <c r="L142" i="9" s="1"/>
  <c r="K141" i="9"/>
  <c r="L141" i="9" s="1"/>
  <c r="K140" i="9"/>
  <c r="L140" i="9" s="1"/>
  <c r="K139" i="9"/>
  <c r="L139" i="9" s="1"/>
  <c r="K138" i="9"/>
  <c r="L138" i="9" s="1"/>
  <c r="K137" i="9"/>
  <c r="L137" i="9" s="1"/>
  <c r="K136" i="9"/>
  <c r="L136" i="9" s="1"/>
  <c r="K135" i="9"/>
  <c r="L135" i="9" s="1"/>
  <c r="K134" i="9"/>
  <c r="L133" i="9"/>
  <c r="K133" i="9"/>
  <c r="L132" i="9"/>
  <c r="K132" i="9"/>
  <c r="K131" i="9"/>
  <c r="L131" i="9" s="1"/>
  <c r="K130" i="9"/>
  <c r="L130" i="9" s="1"/>
  <c r="K129" i="9"/>
  <c r="K128" i="9"/>
  <c r="L128" i="9" s="1"/>
  <c r="K127" i="9"/>
  <c r="L127" i="9" s="1"/>
  <c r="K126" i="9"/>
  <c r="L126" i="9" s="1"/>
  <c r="K125" i="9"/>
  <c r="L125" i="9" s="1"/>
  <c r="K124" i="9"/>
  <c r="L124" i="9" s="1"/>
  <c r="K123" i="9"/>
  <c r="L123" i="9" s="1"/>
  <c r="K122" i="9"/>
  <c r="L122" i="9" s="1"/>
  <c r="K121" i="9"/>
  <c r="L121" i="9" s="1"/>
  <c r="K120" i="9"/>
  <c r="L120" i="9" s="1"/>
  <c r="K119" i="9"/>
  <c r="L119" i="9" s="1"/>
  <c r="K118" i="9"/>
  <c r="L118" i="9" s="1"/>
  <c r="K117" i="9"/>
  <c r="L117" i="9" s="1"/>
  <c r="K116" i="9"/>
  <c r="L116" i="9" s="1"/>
  <c r="K115" i="9"/>
  <c r="L115" i="9" s="1"/>
  <c r="K114" i="9"/>
  <c r="L114" i="9" s="1"/>
  <c r="K113" i="9"/>
  <c r="L113" i="9" s="1"/>
  <c r="K112" i="9"/>
  <c r="L112" i="9" s="1"/>
  <c r="K111" i="9"/>
  <c r="L111" i="9" s="1"/>
  <c r="K110" i="9"/>
  <c r="L110" i="9" s="1"/>
  <c r="K109" i="9"/>
  <c r="L109" i="9" s="1"/>
  <c r="K108" i="9"/>
  <c r="L108" i="9" s="1"/>
  <c r="K107" i="9"/>
  <c r="L107" i="9" s="1"/>
  <c r="L106" i="9"/>
  <c r="K106" i="9"/>
  <c r="L105" i="9"/>
  <c r="K105" i="9"/>
  <c r="K104" i="9"/>
  <c r="L104" i="9" s="1"/>
  <c r="K103" i="9"/>
  <c r="L103" i="9" s="1"/>
  <c r="K102" i="9"/>
  <c r="L102" i="9" s="1"/>
  <c r="K101" i="9"/>
  <c r="L101" i="9" s="1"/>
  <c r="K100" i="9"/>
  <c r="L100" i="9" s="1"/>
  <c r="K99" i="9"/>
  <c r="L99" i="9" s="1"/>
  <c r="K98" i="9"/>
  <c r="L98" i="9" s="1"/>
  <c r="K97" i="9"/>
  <c r="L97" i="9" s="1"/>
  <c r="K96" i="9"/>
  <c r="L96" i="9" s="1"/>
  <c r="K95" i="9"/>
  <c r="L95" i="9" s="1"/>
  <c r="K94" i="9"/>
  <c r="L94" i="9" s="1"/>
  <c r="K93" i="9"/>
  <c r="L93" i="9" s="1"/>
  <c r="K92" i="9"/>
  <c r="L92" i="9" s="1"/>
  <c r="K91" i="9"/>
  <c r="L91" i="9" s="1"/>
  <c r="K90" i="9"/>
  <c r="L90" i="9" s="1"/>
  <c r="K89" i="9"/>
  <c r="L89" i="9" s="1"/>
  <c r="K88" i="9"/>
  <c r="L88" i="9" s="1"/>
  <c r="K87" i="9"/>
  <c r="L87" i="9" s="1"/>
  <c r="K86" i="9"/>
  <c r="L86" i="9" s="1"/>
  <c r="K85" i="9"/>
  <c r="L85" i="9" s="1"/>
  <c r="K84" i="9"/>
  <c r="L84" i="9" s="1"/>
  <c r="K83" i="9"/>
  <c r="L83" i="9" s="1"/>
  <c r="K82" i="9"/>
  <c r="L82" i="9" s="1"/>
  <c r="K81" i="9"/>
  <c r="L81" i="9" s="1"/>
  <c r="K80" i="9"/>
  <c r="L80" i="9" s="1"/>
  <c r="K79" i="9"/>
  <c r="L79" i="9" s="1"/>
  <c r="K78" i="9"/>
  <c r="L78" i="9" s="1"/>
  <c r="K77" i="9"/>
  <c r="L77" i="9" s="1"/>
  <c r="K76" i="9"/>
  <c r="L76" i="9" s="1"/>
  <c r="K75" i="9"/>
  <c r="L75" i="9" s="1"/>
  <c r="K74" i="9"/>
  <c r="L74" i="9" s="1"/>
  <c r="K73" i="9"/>
  <c r="L73" i="9" s="1"/>
  <c r="K72" i="9"/>
  <c r="L72" i="9" s="1"/>
  <c r="K71" i="9"/>
  <c r="L71" i="9" s="1"/>
  <c r="L70" i="9"/>
  <c r="K70" i="9"/>
  <c r="L69" i="9"/>
  <c r="K69" i="9"/>
  <c r="K68" i="9"/>
  <c r="L68" i="9" s="1"/>
  <c r="K67" i="9"/>
  <c r="L67" i="9" s="1"/>
  <c r="K66" i="9"/>
  <c r="L66" i="9" s="1"/>
  <c r="K65" i="9"/>
  <c r="L65" i="9" s="1"/>
  <c r="K64" i="9"/>
  <c r="L64" i="9" s="1"/>
  <c r="K63" i="9"/>
  <c r="L63" i="9" s="1"/>
  <c r="K62" i="9"/>
  <c r="L62" i="9" s="1"/>
  <c r="K61" i="9"/>
  <c r="L61" i="9" s="1"/>
  <c r="K60" i="9"/>
  <c r="L60" i="9" s="1"/>
  <c r="K59" i="9"/>
  <c r="L59" i="9" s="1"/>
  <c r="K58" i="9"/>
  <c r="L58" i="9" s="1"/>
  <c r="K57" i="9"/>
  <c r="L57" i="9" s="1"/>
  <c r="K56" i="9"/>
  <c r="L56" i="9" s="1"/>
  <c r="K55" i="9"/>
  <c r="L55" i="9" s="1"/>
  <c r="K54" i="9"/>
  <c r="L54" i="9" s="1"/>
  <c r="K53" i="9"/>
  <c r="L53" i="9" s="1"/>
  <c r="K52" i="9"/>
  <c r="L52" i="9" s="1"/>
  <c r="K51" i="9"/>
  <c r="L51" i="9" s="1"/>
  <c r="L50" i="9"/>
  <c r="K50" i="9"/>
  <c r="L49" i="9"/>
  <c r="K49" i="9"/>
  <c r="K48" i="9"/>
  <c r="L48" i="9" s="1"/>
  <c r="K47" i="9"/>
  <c r="L47" i="9" s="1"/>
  <c r="K46" i="9"/>
  <c r="L46" i="9" s="1"/>
  <c r="K45" i="9"/>
  <c r="L45" i="9" s="1"/>
  <c r="K44" i="9"/>
  <c r="L44" i="9" s="1"/>
  <c r="K43" i="9"/>
  <c r="L43" i="9" s="1"/>
  <c r="K42" i="9"/>
  <c r="L42" i="9" s="1"/>
  <c r="L41" i="9"/>
  <c r="K41" i="9"/>
  <c r="L40" i="9"/>
  <c r="K40" i="9"/>
  <c r="K39" i="9"/>
  <c r="L39" i="9" s="1"/>
  <c r="K38" i="9"/>
  <c r="L38" i="9" s="1"/>
  <c r="K37" i="9"/>
  <c r="L37" i="9" s="1"/>
  <c r="K36" i="9"/>
  <c r="L36" i="9" s="1"/>
  <c r="K35" i="9"/>
  <c r="L35" i="9" s="1"/>
  <c r="K34" i="9"/>
  <c r="L34" i="9" s="1"/>
  <c r="K33" i="9"/>
  <c r="L33" i="9" s="1"/>
  <c r="L32" i="9"/>
  <c r="K32" i="9"/>
  <c r="L31" i="9"/>
  <c r="K31" i="9"/>
  <c r="K30" i="9"/>
  <c r="L30" i="9" s="1"/>
  <c r="K29" i="9"/>
  <c r="L29" i="9" s="1"/>
  <c r="K28" i="9"/>
  <c r="L28" i="9" s="1"/>
  <c r="K27" i="9"/>
  <c r="L27" i="9" s="1"/>
  <c r="K26" i="9"/>
  <c r="L26" i="9" s="1"/>
  <c r="K25" i="9"/>
  <c r="L25" i="9" s="1"/>
  <c r="K24" i="9"/>
  <c r="L24" i="9" s="1"/>
  <c r="K23" i="9"/>
  <c r="L23" i="9" s="1"/>
  <c r="K22" i="9"/>
  <c r="L22" i="9" s="1"/>
  <c r="K21" i="9"/>
  <c r="L21" i="9" s="1"/>
  <c r="K20" i="9"/>
  <c r="L20" i="9" s="1"/>
  <c r="K19" i="9"/>
  <c r="L19" i="9" s="1"/>
  <c r="K18" i="9"/>
  <c r="L18" i="9" s="1"/>
  <c r="K17" i="9"/>
  <c r="L17" i="9" s="1"/>
  <c r="K16" i="9"/>
  <c r="L16" i="9" s="1"/>
  <c r="L15" i="9"/>
  <c r="K15" i="9"/>
  <c r="L14" i="9"/>
  <c r="K14" i="9"/>
  <c r="L13" i="9"/>
  <c r="K13" i="9"/>
  <c r="L12" i="9"/>
  <c r="K12" i="9"/>
  <c r="L11" i="9"/>
  <c r="K11" i="9"/>
  <c r="L10" i="9"/>
  <c r="K10" i="9"/>
  <c r="L9" i="9"/>
  <c r="K9" i="9"/>
  <c r="L8" i="9"/>
  <c r="K8" i="9"/>
  <c r="L7" i="9"/>
  <c r="K7" i="9"/>
  <c r="H20" i="17" l="1"/>
  <c r="H22" i="17" s="1"/>
  <c r="K20" i="17"/>
  <c r="K22" i="17" s="1"/>
  <c r="J20" i="17"/>
  <c r="J22" i="17" s="1"/>
  <c r="E20" i="17"/>
  <c r="E22" i="17" s="1"/>
  <c r="BW164" i="14"/>
  <c r="BJ164" i="12"/>
  <c r="BW164" i="12"/>
  <c r="BJ164" i="14"/>
  <c r="BK184" i="12"/>
  <c r="BJ172" i="12"/>
  <c r="BX184" i="14"/>
  <c r="BW185" i="14" s="1"/>
  <c r="BW172" i="12"/>
  <c r="BX184" i="12"/>
  <c r="BK184" i="14"/>
  <c r="BJ185" i="14" s="1"/>
  <c r="W185" i="12"/>
  <c r="F29" i="17"/>
  <c r="F31" i="17" s="1"/>
  <c r="G29" i="17"/>
  <c r="G31" i="17" s="1"/>
  <c r="E29" i="17"/>
  <c r="E31" i="17" s="1"/>
  <c r="K29" i="17"/>
  <c r="K31" i="17" s="1"/>
  <c r="I29" i="17"/>
  <c r="I31" i="17" s="1"/>
  <c r="H29" i="17"/>
  <c r="H31" i="17" s="1"/>
  <c r="J29" i="17"/>
  <c r="J31" i="17" s="1"/>
  <c r="L230" i="9"/>
  <c r="L232" i="9"/>
  <c r="L234" i="9"/>
  <c r="L236" i="9"/>
  <c r="L238" i="9"/>
  <c r="L240" i="9"/>
  <c r="L242" i="9"/>
  <c r="L244" i="9"/>
  <c r="L246" i="9"/>
  <c r="L248" i="9"/>
  <c r="L250" i="9"/>
  <c r="L252" i="9"/>
  <c r="L254" i="9"/>
  <c r="L256" i="9"/>
  <c r="L280" i="9"/>
  <c r="L282" i="9"/>
  <c r="L284" i="9"/>
  <c r="L286" i="9"/>
  <c r="L288" i="9"/>
  <c r="L290" i="9"/>
  <c r="L302" i="9"/>
  <c r="L304" i="9"/>
  <c r="L306" i="9"/>
  <c r="L309" i="9"/>
  <c r="L310" i="9"/>
  <c r="L311" i="9"/>
  <c r="L312" i="9"/>
  <c r="L313" i="9"/>
  <c r="L314" i="9"/>
  <c r="L315" i="9"/>
  <c r="L231" i="9"/>
  <c r="L233" i="9"/>
  <c r="L235" i="9"/>
  <c r="L237" i="9"/>
  <c r="L239" i="9"/>
  <c r="L241" i="9"/>
  <c r="L243" i="9"/>
  <c r="L245" i="9"/>
  <c r="L247" i="9"/>
  <c r="L249" i="9"/>
  <c r="L251" i="9"/>
  <c r="L253" i="9"/>
  <c r="L255" i="9"/>
  <c r="L257" i="9"/>
  <c r="L281" i="9"/>
  <c r="L283" i="9"/>
  <c r="L285" i="9"/>
  <c r="L287" i="9"/>
  <c r="L289" i="9"/>
  <c r="L301" i="9"/>
  <c r="L303" i="9"/>
  <c r="L305" i="9"/>
  <c r="L307" i="9"/>
  <c r="L258" i="9"/>
  <c r="L259" i="9"/>
  <c r="L260" i="9"/>
  <c r="L261" i="9"/>
  <c r="L262" i="9"/>
  <c r="L263" i="9"/>
  <c r="L264" i="9"/>
  <c r="L265" i="9"/>
  <c r="L266" i="9"/>
  <c r="L267" i="9"/>
  <c r="L268" i="9"/>
  <c r="L269" i="9"/>
  <c r="L270" i="9"/>
  <c r="L271" i="9"/>
  <c r="L272" i="9"/>
  <c r="L273" i="9"/>
  <c r="L274" i="9"/>
  <c r="L275" i="9"/>
  <c r="L276" i="9"/>
  <c r="L277" i="9"/>
  <c r="L278" i="9"/>
  <c r="L279" i="9"/>
  <c r="L134" i="9"/>
  <c r="L145" i="9"/>
  <c r="L217" i="9"/>
  <c r="L129" i="9"/>
  <c r="L151" i="9"/>
  <c r="L175" i="9"/>
  <c r="L177" i="9"/>
  <c r="L190" i="9"/>
  <c r="L183" i="9"/>
  <c r="L185" i="9"/>
  <c r="L163" i="9"/>
  <c r="L170" i="9"/>
  <c r="L6" i="9"/>
  <c r="K6" i="9"/>
  <c r="BW185" i="12" l="1"/>
  <c r="G20" i="17"/>
  <c r="G22" i="17" s="1"/>
  <c r="BJ185" i="12"/>
  <c r="F20" i="17"/>
  <c r="F22" i="17" s="1"/>
  <c r="L5" i="9"/>
  <c r="K5" i="9"/>
  <c r="I36" i="10" l="1"/>
  <c r="L36" i="10"/>
  <c r="J36" i="10"/>
  <c r="K36" i="10"/>
  <c r="M4" i="9"/>
  <c r="Q319" i="9" l="1"/>
  <c r="Q318" i="9"/>
  <c r="Q317" i="9"/>
  <c r="Q316" i="9"/>
  <c r="Q315" i="9"/>
  <c r="Q314" i="9"/>
  <c r="Q313" i="9"/>
  <c r="Q312" i="9"/>
  <c r="Q311" i="9"/>
  <c r="Q310" i="9"/>
  <c r="Q309" i="9"/>
  <c r="Q308" i="9"/>
  <c r="Q306" i="9"/>
  <c r="Q304" i="9"/>
  <c r="Q302" i="9"/>
  <c r="Q307" i="9"/>
  <c r="Q305" i="9"/>
  <c r="Q303" i="9"/>
  <c r="Q301" i="9"/>
  <c r="Q297" i="9"/>
  <c r="Q295" i="9"/>
  <c r="Q293" i="9"/>
  <c r="Q292" i="9"/>
  <c r="Q291" i="9"/>
  <c r="Q290" i="9"/>
  <c r="Q289" i="9"/>
  <c r="Q288" i="9"/>
  <c r="Q287" i="9"/>
  <c r="Q286" i="9"/>
  <c r="Q285" i="9"/>
  <c r="Q284" i="9"/>
  <c r="Q283" i="9"/>
  <c r="Q282" i="9"/>
  <c r="Q281" i="9"/>
  <c r="O279" i="9"/>
  <c r="O277" i="9"/>
  <c r="O275" i="9"/>
  <c r="Q296" i="9"/>
  <c r="Q280" i="9"/>
  <c r="Q277" i="9"/>
  <c r="Q276" i="9"/>
  <c r="Q259" i="9"/>
  <c r="Q258" i="9"/>
  <c r="Q257" i="9"/>
  <c r="Q256" i="9"/>
  <c r="Q255" i="9"/>
  <c r="Q254" i="9"/>
  <c r="Q253" i="9"/>
  <c r="Q252" i="9"/>
  <c r="Q251" i="9"/>
  <c r="Q250" i="9"/>
  <c r="Q249" i="9"/>
  <c r="Q248" i="9"/>
  <c r="Q247" i="9"/>
  <c r="Q246" i="9"/>
  <c r="Q245" i="9"/>
  <c r="Q244" i="9"/>
  <c r="Q243" i="9"/>
  <c r="Q242" i="9"/>
  <c r="Q241" i="9"/>
  <c r="Q240" i="9"/>
  <c r="Q239" i="9"/>
  <c r="Q238" i="9"/>
  <c r="Q237" i="9"/>
  <c r="Q236" i="9"/>
  <c r="Q235" i="9"/>
  <c r="Q234" i="9"/>
  <c r="Q233" i="9"/>
  <c r="Q232" i="9"/>
  <c r="Q231" i="9"/>
  <c r="Q230" i="9"/>
  <c r="Q229" i="9"/>
  <c r="Q228" i="9"/>
  <c r="Q227" i="9"/>
  <c r="Q226" i="9"/>
  <c r="Q225" i="9"/>
  <c r="Q224" i="9"/>
  <c r="Q223" i="9"/>
  <c r="Q221" i="9"/>
  <c r="Q220" i="9"/>
  <c r="Q219" i="9"/>
  <c r="Q216" i="9"/>
  <c r="Q215" i="9"/>
  <c r="Q212" i="9"/>
  <c r="Q211" i="9"/>
  <c r="Q210" i="9"/>
  <c r="Q209" i="9"/>
  <c r="Q208" i="9"/>
  <c r="Q207" i="9"/>
  <c r="Q206" i="9"/>
  <c r="Q203" i="9"/>
  <c r="Q202" i="9"/>
  <c r="Q201" i="9"/>
  <c r="Q200" i="9"/>
  <c r="Q199" i="9"/>
  <c r="Q198" i="9"/>
  <c r="Q197" i="9"/>
  <c r="Q196" i="9"/>
  <c r="Q194" i="9"/>
  <c r="Q193" i="9"/>
  <c r="Q192" i="9"/>
  <c r="Q191" i="9"/>
  <c r="Q187" i="9"/>
  <c r="Q182" i="9"/>
  <c r="Q179" i="9"/>
  <c r="Q300" i="9"/>
  <c r="Q298" i="9"/>
  <c r="Q275" i="9"/>
  <c r="Q274" i="9"/>
  <c r="Q273" i="9"/>
  <c r="Q272" i="9"/>
  <c r="Q271" i="9"/>
  <c r="Q270" i="9"/>
  <c r="Q269" i="9"/>
  <c r="Q268" i="9"/>
  <c r="Q267" i="9"/>
  <c r="Q266" i="9"/>
  <c r="Q265" i="9"/>
  <c r="Q264" i="9"/>
  <c r="Q263" i="9"/>
  <c r="Q262" i="9"/>
  <c r="Q261" i="9"/>
  <c r="Q260" i="9"/>
  <c r="Q218" i="9"/>
  <c r="Q217" i="9"/>
  <c r="Q214" i="9"/>
  <c r="Q204" i="9"/>
  <c r="Q195" i="9"/>
  <c r="Q190" i="9"/>
  <c r="Q189" i="9"/>
  <c r="Q178" i="9"/>
  <c r="Q177" i="9"/>
  <c r="Q174" i="9"/>
  <c r="Q172" i="9"/>
  <c r="Q171" i="9"/>
  <c r="Q170" i="9"/>
  <c r="Q169" i="9"/>
  <c r="Q168" i="9"/>
  <c r="Q165" i="9"/>
  <c r="Q163" i="9"/>
  <c r="Q162" i="9"/>
  <c r="Q161" i="9"/>
  <c r="Q160" i="9"/>
  <c r="Q159" i="9"/>
  <c r="Q157" i="9"/>
  <c r="Q155" i="9"/>
  <c r="Q150" i="9"/>
  <c r="Q147" i="9"/>
  <c r="Q142" i="9"/>
  <c r="O141" i="9"/>
  <c r="Q140" i="9"/>
  <c r="Q138" i="9"/>
  <c r="Q137" i="9"/>
  <c r="Q136" i="9"/>
  <c r="Q135" i="9"/>
  <c r="Q131" i="9"/>
  <c r="Q126" i="9"/>
  <c r="O125" i="9"/>
  <c r="Q124" i="9"/>
  <c r="Q122" i="9"/>
  <c r="Q121" i="9"/>
  <c r="O120" i="9"/>
  <c r="Q119" i="9"/>
  <c r="Q116" i="9"/>
  <c r="Q114" i="9"/>
  <c r="Q113" i="9"/>
  <c r="Q112" i="9"/>
  <c r="Q111" i="9"/>
  <c r="Q110" i="9"/>
  <c r="Q109" i="9"/>
  <c r="Q108" i="9"/>
  <c r="Q107"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68" i="9"/>
  <c r="Q67" i="9"/>
  <c r="Q66" i="9"/>
  <c r="Q65" i="9"/>
  <c r="Q64" i="9"/>
  <c r="Q63" i="9"/>
  <c r="Q62" i="9"/>
  <c r="Q61" i="9"/>
  <c r="Q60" i="9"/>
  <c r="Q59" i="9"/>
  <c r="Q58" i="9"/>
  <c r="Q57" i="9"/>
  <c r="Q56" i="9"/>
  <c r="Q55" i="9"/>
  <c r="Q54" i="9"/>
  <c r="Q53" i="9"/>
  <c r="Q52" i="9"/>
  <c r="Q51" i="9"/>
  <c r="Q48" i="9"/>
  <c r="Q47" i="9"/>
  <c r="Q46" i="9"/>
  <c r="Q45" i="9"/>
  <c r="Q44" i="9"/>
  <c r="Q43" i="9"/>
  <c r="Q42" i="9"/>
  <c r="Q299" i="9"/>
  <c r="Q294" i="9"/>
  <c r="Q278" i="9"/>
  <c r="Q213" i="9"/>
  <c r="Q205" i="9"/>
  <c r="Q185" i="9"/>
  <c r="Q183" i="9"/>
  <c r="Q181" i="9"/>
  <c r="Q166" i="9"/>
  <c r="Q158" i="9"/>
  <c r="O157" i="9"/>
  <c r="Q156" i="9"/>
  <c r="Q146" i="9"/>
  <c r="Q145" i="9"/>
  <c r="Q144" i="9"/>
  <c r="Q143" i="9"/>
  <c r="Q141" i="9"/>
  <c r="Q139" i="9"/>
  <c r="Q134" i="9"/>
  <c r="Q133" i="9"/>
  <c r="O131" i="9"/>
  <c r="Q279" i="9"/>
  <c r="Q222" i="9"/>
  <c r="Q176" i="9"/>
  <c r="Q167" i="9"/>
  <c r="Q164" i="9"/>
  <c r="Q153" i="9"/>
  <c r="Q151" i="9"/>
  <c r="Q149" i="9"/>
  <c r="O147" i="9"/>
  <c r="M147" i="9" s="1"/>
  <c r="Q129" i="9"/>
  <c r="Q128" i="9"/>
  <c r="Q127" i="9"/>
  <c r="Q125" i="9"/>
  <c r="Q123" i="9"/>
  <c r="Q120" i="9"/>
  <c r="Q118" i="9"/>
  <c r="Q117" i="9"/>
  <c r="O116" i="9"/>
  <c r="Q115" i="9"/>
  <c r="Q106" i="9"/>
  <c r="Q105" i="9"/>
  <c r="Q188" i="9"/>
  <c r="Q186" i="9"/>
  <c r="Q184" i="9"/>
  <c r="Q180" i="9"/>
  <c r="Q175" i="9"/>
  <c r="Q173" i="9"/>
  <c r="O165" i="9"/>
  <c r="M165" i="9" s="1"/>
  <c r="Q154" i="9"/>
  <c r="Q152" i="9"/>
  <c r="Q148" i="9"/>
  <c r="Q132" i="9"/>
  <c r="Q130" i="9"/>
  <c r="Q70" i="9"/>
  <c r="Q69" i="9"/>
  <c r="Q39" i="9"/>
  <c r="Q38" i="9"/>
  <c r="Q37" i="9"/>
  <c r="Q35" i="9"/>
  <c r="Q33" i="9"/>
  <c r="Q29" i="9"/>
  <c r="Q27" i="9"/>
  <c r="Q25" i="9"/>
  <c r="Q23" i="9"/>
  <c r="Q21" i="9"/>
  <c r="Q19" i="9"/>
  <c r="Q17" i="9"/>
  <c r="Q15" i="9"/>
  <c r="Q12" i="9"/>
  <c r="Q8" i="9"/>
  <c r="Q7" i="9"/>
  <c r="Q50" i="9"/>
  <c r="Q49" i="9"/>
  <c r="Q41" i="9"/>
  <c r="Q40" i="9"/>
  <c r="Q36" i="9"/>
  <c r="Q34" i="9"/>
  <c r="Q32" i="9"/>
  <c r="Q31" i="9"/>
  <c r="Q30" i="9"/>
  <c r="Q28" i="9"/>
  <c r="Q26" i="9"/>
  <c r="Q24" i="9"/>
  <c r="Q22" i="9"/>
  <c r="Q20" i="9"/>
  <c r="Q18" i="9"/>
  <c r="Q16" i="9"/>
  <c r="Q13" i="9"/>
  <c r="Q11" i="9"/>
  <c r="Q9" i="9"/>
  <c r="Q14" i="9"/>
  <c r="Q10" i="9"/>
  <c r="O115" i="9"/>
  <c r="O122" i="9"/>
  <c r="O150" i="9"/>
  <c r="O158" i="9"/>
  <c r="O182" i="9"/>
  <c r="O124" i="9"/>
  <c r="O138" i="9"/>
  <c r="O174" i="9"/>
  <c r="O197" i="9"/>
  <c r="M197" i="9" s="1"/>
  <c r="O201" i="9"/>
  <c r="M201" i="9" s="1"/>
  <c r="O217" i="9"/>
  <c r="O226" i="9"/>
  <c r="O234" i="9"/>
  <c r="O242" i="9"/>
  <c r="O250" i="9"/>
  <c r="O129" i="9"/>
  <c r="O133" i="9"/>
  <c r="M133" i="9" s="1"/>
  <c r="O142" i="9"/>
  <c r="O151" i="9"/>
  <c r="M151" i="9" s="1"/>
  <c r="O164" i="9"/>
  <c r="O172" i="9"/>
  <c r="O207" i="9"/>
  <c r="M207" i="9" s="1"/>
  <c r="O211" i="9"/>
  <c r="M211" i="9" s="1"/>
  <c r="O220" i="9"/>
  <c r="M220" i="9" s="1"/>
  <c r="O228" i="9"/>
  <c r="O236" i="9"/>
  <c r="O244" i="9"/>
  <c r="O252" i="9"/>
  <c r="O291" i="9"/>
  <c r="O130" i="9"/>
  <c r="O135" i="9"/>
  <c r="M135" i="9" s="1"/>
  <c r="O146" i="9"/>
  <c r="O152" i="9"/>
  <c r="O161" i="9"/>
  <c r="O171" i="9"/>
  <c r="M171" i="9" s="1"/>
  <c r="O176" i="9"/>
  <c r="O183" i="9"/>
  <c r="M183" i="9" s="1"/>
  <c r="O185" i="9"/>
  <c r="O189" i="9"/>
  <c r="O198" i="9"/>
  <c r="M198" i="9" s="1"/>
  <c r="O202" i="9"/>
  <c r="M202" i="9" s="1"/>
  <c r="O208" i="9"/>
  <c r="M208" i="9" s="1"/>
  <c r="O212" i="9"/>
  <c r="M212" i="9" s="1"/>
  <c r="O223" i="9"/>
  <c r="O227" i="9"/>
  <c r="O231" i="9"/>
  <c r="O235" i="9"/>
  <c r="O239" i="9"/>
  <c r="O243" i="9"/>
  <c r="O247" i="9"/>
  <c r="O251" i="9"/>
  <c r="O281" i="9"/>
  <c r="O289" i="9"/>
  <c r="O186" i="9"/>
  <c r="O191" i="9"/>
  <c r="M191" i="9" s="1"/>
  <c r="O215" i="9"/>
  <c r="O219" i="9"/>
  <c r="O282" i="9"/>
  <c r="O286" i="9"/>
  <c r="O290" i="9"/>
  <c r="O276" i="9"/>
  <c r="O280" i="9"/>
  <c r="O295" i="9"/>
  <c r="O297" i="9"/>
  <c r="O118" i="9"/>
  <c r="O137" i="9"/>
  <c r="O139" i="9"/>
  <c r="M139" i="9" s="1"/>
  <c r="O143" i="9"/>
  <c r="M143" i="9" s="1"/>
  <c r="O153" i="9"/>
  <c r="O155" i="9"/>
  <c r="M155" i="9" s="1"/>
  <c r="O159" i="9"/>
  <c r="M159" i="9" s="1"/>
  <c r="O163" i="9"/>
  <c r="M163" i="9" s="1"/>
  <c r="O169" i="9"/>
  <c r="O179" i="9"/>
  <c r="M179" i="9" s="1"/>
  <c r="O214" i="9"/>
  <c r="O204" i="9"/>
  <c r="M204" i="9" s="1"/>
  <c r="O36" i="9"/>
  <c r="M36" i="9" s="1"/>
  <c r="O40" i="9"/>
  <c r="M40" i="9" s="1"/>
  <c r="O44" i="9"/>
  <c r="M44" i="9" s="1"/>
  <c r="O48" i="9"/>
  <c r="M48" i="9" s="1"/>
  <c r="O52" i="9"/>
  <c r="M52" i="9" s="1"/>
  <c r="O56" i="9"/>
  <c r="M56" i="9" s="1"/>
  <c r="O60" i="9"/>
  <c r="M60" i="9" s="1"/>
  <c r="O8" i="9"/>
  <c r="M8" i="9" s="1"/>
  <c r="O10" i="9"/>
  <c r="O12" i="9"/>
  <c r="M12" i="9" s="1"/>
  <c r="O14" i="9"/>
  <c r="O16" i="9"/>
  <c r="M16" i="9" s="1"/>
  <c r="O18" i="9"/>
  <c r="O20" i="9"/>
  <c r="M20" i="9" s="1"/>
  <c r="O22" i="9"/>
  <c r="O24" i="9"/>
  <c r="M24" i="9" s="1"/>
  <c r="O26" i="9"/>
  <c r="O28" i="9"/>
  <c r="M28" i="9" s="1"/>
  <c r="O30" i="9"/>
  <c r="O32" i="9"/>
  <c r="M32" i="9" s="1"/>
  <c r="O34" i="9"/>
  <c r="O37" i="9"/>
  <c r="O41" i="9"/>
  <c r="O45" i="9"/>
  <c r="O49" i="9"/>
  <c r="O53" i="9"/>
  <c r="O57" i="9"/>
  <c r="O61" i="9"/>
  <c r="O63" i="9"/>
  <c r="O65" i="9"/>
  <c r="M65" i="9" s="1"/>
  <c r="O67" i="9"/>
  <c r="O69" i="9"/>
  <c r="M69" i="9" s="1"/>
  <c r="O71" i="9"/>
  <c r="O73" i="9"/>
  <c r="M73" i="9" s="1"/>
  <c r="O75" i="9"/>
  <c r="O77" i="9"/>
  <c r="M77" i="9" s="1"/>
  <c r="O79" i="9"/>
  <c r="O81" i="9"/>
  <c r="M81" i="9" s="1"/>
  <c r="O83" i="9"/>
  <c r="O85" i="9"/>
  <c r="M85" i="9" s="1"/>
  <c r="O87" i="9"/>
  <c r="M87" i="9" s="1"/>
  <c r="O89" i="9"/>
  <c r="M89" i="9" s="1"/>
  <c r="O91" i="9"/>
  <c r="M91" i="9" s="1"/>
  <c r="O93" i="9"/>
  <c r="M93" i="9" s="1"/>
  <c r="O95" i="9"/>
  <c r="M95" i="9" s="1"/>
  <c r="O97" i="9"/>
  <c r="M97" i="9" s="1"/>
  <c r="O99" i="9"/>
  <c r="M99" i="9" s="1"/>
  <c r="O101" i="9"/>
  <c r="M101" i="9" s="1"/>
  <c r="O103" i="9"/>
  <c r="O105" i="9"/>
  <c r="O107" i="9"/>
  <c r="O109" i="9"/>
  <c r="O111" i="9"/>
  <c r="O254" i="9"/>
  <c r="M254" i="9" s="1"/>
  <c r="O258" i="9"/>
  <c r="M258" i="9" s="1"/>
  <c r="O262" i="9"/>
  <c r="O266" i="9"/>
  <c r="O270" i="9"/>
  <c r="O257" i="9"/>
  <c r="O261" i="9"/>
  <c r="O265" i="9"/>
  <c r="O269" i="9"/>
  <c r="O273" i="9"/>
  <c r="O300" i="9"/>
  <c r="M300" i="9" s="1"/>
  <c r="O301" i="9"/>
  <c r="M301" i="9" s="1"/>
  <c r="O303" i="9"/>
  <c r="M303" i="9" s="1"/>
  <c r="O305" i="9"/>
  <c r="O307" i="9"/>
  <c r="M307" i="9" s="1"/>
  <c r="O310" i="9"/>
  <c r="O311" i="9"/>
  <c r="O313" i="9"/>
  <c r="M313" i="9" s="1"/>
  <c r="O315" i="9"/>
  <c r="O317" i="9"/>
  <c r="M317" i="9" s="1"/>
  <c r="O113" i="9"/>
  <c r="O117" i="9"/>
  <c r="O136" i="9"/>
  <c r="O156" i="9"/>
  <c r="O162" i="9"/>
  <c r="O119" i="9"/>
  <c r="M119" i="9" s="1"/>
  <c r="O126" i="9"/>
  <c r="O145" i="9"/>
  <c r="O160" i="9"/>
  <c r="O192" i="9"/>
  <c r="O199" i="9"/>
  <c r="M199" i="9" s="1"/>
  <c r="O203" i="9"/>
  <c r="M203" i="9" s="1"/>
  <c r="O230" i="9"/>
  <c r="O238" i="9"/>
  <c r="O246" i="9"/>
  <c r="O287" i="9"/>
  <c r="O140" i="9"/>
  <c r="O148" i="9"/>
  <c r="O168" i="9"/>
  <c r="O175" i="9"/>
  <c r="M175" i="9" s="1"/>
  <c r="O177" i="9"/>
  <c r="O194" i="9"/>
  <c r="O209" i="9"/>
  <c r="M209" i="9" s="1"/>
  <c r="O213" i="9"/>
  <c r="O224" i="9"/>
  <c r="O232" i="9"/>
  <c r="O240" i="9"/>
  <c r="O248" i="9"/>
  <c r="O283" i="9"/>
  <c r="O128" i="9"/>
  <c r="O132" i="9"/>
  <c r="O144" i="9"/>
  <c r="O154" i="9"/>
  <c r="O166" i="9"/>
  <c r="O180" i="9"/>
  <c r="O196" i="9"/>
  <c r="O200" i="9"/>
  <c r="M200" i="9" s="1"/>
  <c r="O206" i="9"/>
  <c r="M206" i="9" s="1"/>
  <c r="O210" i="9"/>
  <c r="M210" i="9" s="1"/>
  <c r="O216" i="9"/>
  <c r="M216" i="9" s="1"/>
  <c r="O225" i="9"/>
  <c r="O229" i="9"/>
  <c r="O233" i="9"/>
  <c r="O237" i="9"/>
  <c r="O241" i="9"/>
  <c r="O245" i="9"/>
  <c r="O249" i="9"/>
  <c r="O253" i="9"/>
  <c r="O285" i="9"/>
  <c r="O293" i="9"/>
  <c r="O178" i="9"/>
  <c r="O184" i="9"/>
  <c r="O188" i="9"/>
  <c r="O193" i="9"/>
  <c r="O218" i="9"/>
  <c r="O221" i="9"/>
  <c r="O284" i="9"/>
  <c r="O288" i="9"/>
  <c r="O292" i="9"/>
  <c r="O278" i="9"/>
  <c r="O294" i="9"/>
  <c r="O296" i="9"/>
  <c r="O114" i="9"/>
  <c r="O121" i="9"/>
  <c r="O123" i="9"/>
  <c r="O127" i="9"/>
  <c r="O149" i="9"/>
  <c r="M149" i="9" s="1"/>
  <c r="O173" i="9"/>
  <c r="O167" i="9"/>
  <c r="M167" i="9" s="1"/>
  <c r="O181" i="9"/>
  <c r="M181" i="9" s="1"/>
  <c r="O187" i="9"/>
  <c r="M187" i="9" s="1"/>
  <c r="O195" i="9"/>
  <c r="M195" i="9" s="1"/>
  <c r="O222" i="9"/>
  <c r="M222" i="9" s="1"/>
  <c r="O205" i="9"/>
  <c r="M205" i="9" s="1"/>
  <c r="O38" i="9"/>
  <c r="M38" i="9" s="1"/>
  <c r="O42" i="9"/>
  <c r="M42" i="9" s="1"/>
  <c r="O46" i="9"/>
  <c r="M46" i="9" s="1"/>
  <c r="O50" i="9"/>
  <c r="M50" i="9" s="1"/>
  <c r="O54" i="9"/>
  <c r="M54" i="9" s="1"/>
  <c r="O58" i="9"/>
  <c r="M58" i="9" s="1"/>
  <c r="O7" i="9"/>
  <c r="M7" i="9" s="1"/>
  <c r="O9" i="9"/>
  <c r="O11" i="9"/>
  <c r="O13" i="9"/>
  <c r="O15" i="9"/>
  <c r="O17" i="9"/>
  <c r="O19" i="9"/>
  <c r="O21" i="9"/>
  <c r="O23" i="9"/>
  <c r="O25" i="9"/>
  <c r="O27" i="9"/>
  <c r="O29" i="9"/>
  <c r="O31" i="9"/>
  <c r="O33" i="9"/>
  <c r="O35" i="9"/>
  <c r="M35" i="9" s="1"/>
  <c r="O39" i="9"/>
  <c r="M39" i="9" s="1"/>
  <c r="O43" i="9"/>
  <c r="M43" i="9" s="1"/>
  <c r="O47" i="9"/>
  <c r="M47" i="9" s="1"/>
  <c r="O51" i="9"/>
  <c r="O55" i="9"/>
  <c r="M55" i="9" s="1"/>
  <c r="O59" i="9"/>
  <c r="M59" i="9" s="1"/>
  <c r="O62" i="9"/>
  <c r="O64" i="9"/>
  <c r="O66" i="9"/>
  <c r="O68" i="9"/>
  <c r="O70" i="9"/>
  <c r="O72" i="9"/>
  <c r="O74" i="9"/>
  <c r="O76" i="9"/>
  <c r="O78" i="9"/>
  <c r="O80" i="9"/>
  <c r="O82" i="9"/>
  <c r="O84" i="9"/>
  <c r="O86" i="9"/>
  <c r="O88" i="9"/>
  <c r="O90" i="9"/>
  <c r="O92" i="9"/>
  <c r="O94" i="9"/>
  <c r="O96" i="9"/>
  <c r="O98" i="9"/>
  <c r="O100" i="9"/>
  <c r="O102" i="9"/>
  <c r="O104" i="9"/>
  <c r="O106" i="9"/>
  <c r="O108" i="9"/>
  <c r="O110" i="9"/>
  <c r="O112" i="9"/>
  <c r="O260" i="9"/>
  <c r="M260" i="9" s="1"/>
  <c r="O268" i="9"/>
  <c r="O259" i="9"/>
  <c r="O267" i="9"/>
  <c r="O274" i="9"/>
  <c r="O299" i="9"/>
  <c r="O304" i="9"/>
  <c r="M304" i="9" s="1"/>
  <c r="O308" i="9"/>
  <c r="M308" i="9" s="1"/>
  <c r="O312" i="9"/>
  <c r="M312" i="9" s="1"/>
  <c r="O316" i="9"/>
  <c r="O319" i="9"/>
  <c r="O256" i="9"/>
  <c r="M256" i="9" s="1"/>
  <c r="O264" i="9"/>
  <c r="O255" i="9"/>
  <c r="O263" i="9"/>
  <c r="O271" i="9"/>
  <c r="O272" i="9"/>
  <c r="O298" i="9"/>
  <c r="O302" i="9"/>
  <c r="M302" i="9" s="1"/>
  <c r="O306" i="9"/>
  <c r="M306" i="9" s="1"/>
  <c r="O309" i="9"/>
  <c r="M309" i="9" s="1"/>
  <c r="O314" i="9"/>
  <c r="M314" i="9" s="1"/>
  <c r="O318" i="9"/>
  <c r="Q6" i="9"/>
  <c r="O134" i="9"/>
  <c r="O6" i="9"/>
  <c r="Q5" i="9"/>
  <c r="O170" i="9"/>
  <c r="O190" i="9"/>
  <c r="O5" i="9"/>
  <c r="Z4" i="9"/>
  <c r="AM4" i="9" s="1"/>
  <c r="Q4" i="9"/>
  <c r="O4" i="9"/>
  <c r="AZ4" i="9" l="1"/>
  <c r="AI4" i="9"/>
  <c r="AJ4" i="9" s="1"/>
  <c r="AI319" i="9"/>
  <c r="AI315" i="9"/>
  <c r="AI311" i="9"/>
  <c r="AI316" i="9"/>
  <c r="AI312" i="9"/>
  <c r="AI309" i="9"/>
  <c r="AI297" i="9"/>
  <c r="AI293" i="9"/>
  <c r="AI281" i="9"/>
  <c r="AI277" i="9"/>
  <c r="AI269" i="9"/>
  <c r="AI267" i="9"/>
  <c r="AI265" i="9"/>
  <c r="AI263" i="9"/>
  <c r="AI261" i="9"/>
  <c r="AI259" i="9"/>
  <c r="AI257" i="9"/>
  <c r="AI255" i="9"/>
  <c r="AI253" i="9"/>
  <c r="AI251" i="9"/>
  <c r="AI249" i="9"/>
  <c r="AI247" i="9"/>
  <c r="AI245" i="9"/>
  <c r="AI243" i="9"/>
  <c r="AI241" i="9"/>
  <c r="AI239" i="9"/>
  <c r="AI237" i="9"/>
  <c r="AI235" i="9"/>
  <c r="AI233" i="9"/>
  <c r="AI231" i="9"/>
  <c r="AI229" i="9"/>
  <c r="AI227" i="9"/>
  <c r="AI225" i="9"/>
  <c r="AI223" i="9"/>
  <c r="AI221" i="9"/>
  <c r="AI219" i="9"/>
  <c r="AI217" i="9"/>
  <c r="AI215" i="9"/>
  <c r="AI213" i="9"/>
  <c r="AI211" i="9"/>
  <c r="AI209" i="9"/>
  <c r="AI207" i="9"/>
  <c r="AI205" i="9"/>
  <c r="AI203" i="9"/>
  <c r="AI201" i="9"/>
  <c r="AI199" i="9"/>
  <c r="AI197" i="9"/>
  <c r="AI195" i="9"/>
  <c r="AI193" i="9"/>
  <c r="AI191" i="9"/>
  <c r="AI268" i="9"/>
  <c r="AI264" i="9"/>
  <c r="AI260" i="9"/>
  <c r="AI256" i="9"/>
  <c r="AI252" i="9"/>
  <c r="AI248" i="9"/>
  <c r="AI244" i="9"/>
  <c r="AI236" i="9"/>
  <c r="AI228" i="9"/>
  <c r="AI220" i="9"/>
  <c r="AI212" i="9"/>
  <c r="AI204" i="9"/>
  <c r="AI196" i="9"/>
  <c r="AI314" i="9"/>
  <c r="AI266" i="9"/>
  <c r="AI258" i="9"/>
  <c r="AI250" i="9"/>
  <c r="AI234" i="9"/>
  <c r="AI218" i="9"/>
  <c r="AI202" i="9"/>
  <c r="AI190" i="9"/>
  <c r="AI182" i="9"/>
  <c r="AI174" i="9"/>
  <c r="AI166" i="9"/>
  <c r="AI155" i="9"/>
  <c r="AI153" i="9"/>
  <c r="AI151" i="9"/>
  <c r="AI149" i="9"/>
  <c r="AI147" i="9"/>
  <c r="AI145" i="9"/>
  <c r="AI143" i="9"/>
  <c r="AI141" i="9"/>
  <c r="AI139" i="9"/>
  <c r="AI137" i="9"/>
  <c r="AI135" i="9"/>
  <c r="AI133" i="9"/>
  <c r="AI131" i="9"/>
  <c r="AI129" i="9"/>
  <c r="AI127" i="9"/>
  <c r="AI125" i="9"/>
  <c r="AI123" i="9"/>
  <c r="AI121" i="9"/>
  <c r="AI119" i="9"/>
  <c r="AI117" i="9"/>
  <c r="AI115" i="9"/>
  <c r="AI113" i="9"/>
  <c r="AI111" i="9"/>
  <c r="AI109" i="9"/>
  <c r="AI107" i="9"/>
  <c r="AI105" i="9"/>
  <c r="AI103" i="9"/>
  <c r="AI101" i="9"/>
  <c r="AI99" i="9"/>
  <c r="AI97" i="9"/>
  <c r="AI95" i="9"/>
  <c r="AI93" i="9"/>
  <c r="AI91" i="9"/>
  <c r="AI89" i="9"/>
  <c r="AI87" i="9"/>
  <c r="AI85" i="9"/>
  <c r="AI83" i="9"/>
  <c r="AI81" i="9"/>
  <c r="AI79" i="9"/>
  <c r="AI77" i="9"/>
  <c r="AI75" i="9"/>
  <c r="AI73" i="9"/>
  <c r="AI71" i="9"/>
  <c r="AI69" i="9"/>
  <c r="AI67" i="9"/>
  <c r="AI65" i="9"/>
  <c r="AI63" i="9"/>
  <c r="AI61" i="9"/>
  <c r="AI59" i="9"/>
  <c r="AI57" i="9"/>
  <c r="AI55" i="9"/>
  <c r="AI53" i="9"/>
  <c r="AI51" i="9"/>
  <c r="AI49" i="9"/>
  <c r="AI47" i="9"/>
  <c r="AI45" i="9"/>
  <c r="AI43" i="9"/>
  <c r="AI41" i="9"/>
  <c r="AI39" i="9"/>
  <c r="AI37" i="9"/>
  <c r="AI35" i="9"/>
  <c r="AI33" i="9"/>
  <c r="AI31" i="9"/>
  <c r="AI29" i="9"/>
  <c r="AI27" i="9"/>
  <c r="AI25" i="9"/>
  <c r="AI23" i="9"/>
  <c r="AI21" i="9"/>
  <c r="AI19" i="9"/>
  <c r="AI17" i="9"/>
  <c r="AI15" i="9"/>
  <c r="AI13" i="9"/>
  <c r="AI11" i="9"/>
  <c r="AI9" i="9"/>
  <c r="AI7" i="9"/>
  <c r="AI5" i="9"/>
  <c r="AN4" i="9"/>
  <c r="AI238" i="9"/>
  <c r="AI222" i="9"/>
  <c r="AI206" i="9"/>
  <c r="AQ4" i="9"/>
  <c r="AI8" i="9"/>
  <c r="AI12" i="9"/>
  <c r="AI16" i="9"/>
  <c r="AI20" i="9"/>
  <c r="AI24" i="9"/>
  <c r="AI28" i="9"/>
  <c r="AI32" i="9"/>
  <c r="AI36" i="9"/>
  <c r="AI40" i="9"/>
  <c r="AI44" i="9"/>
  <c r="AI48" i="9"/>
  <c r="AI52" i="9"/>
  <c r="AI56" i="9"/>
  <c r="AI60" i="9"/>
  <c r="AI64" i="9"/>
  <c r="AI68" i="9"/>
  <c r="AI72" i="9"/>
  <c r="AI76" i="9"/>
  <c r="AI80" i="9"/>
  <c r="AI84" i="9"/>
  <c r="AI88" i="9"/>
  <c r="AI92" i="9"/>
  <c r="AI96" i="9"/>
  <c r="AI100" i="9"/>
  <c r="AI104" i="9"/>
  <c r="AI108" i="9"/>
  <c r="AI112" i="9"/>
  <c r="AI116" i="9"/>
  <c r="AI120" i="9"/>
  <c r="AI124" i="9"/>
  <c r="AI128" i="9"/>
  <c r="AI132" i="9"/>
  <c r="AI136" i="9"/>
  <c r="AI140" i="9"/>
  <c r="AI144" i="9"/>
  <c r="AI148" i="9"/>
  <c r="AI152" i="9"/>
  <c r="AI160" i="9"/>
  <c r="AK4" i="9"/>
  <c r="AI6" i="9"/>
  <c r="AI14" i="9"/>
  <c r="AI22" i="9"/>
  <c r="AI30" i="9"/>
  <c r="AI38" i="9"/>
  <c r="AI46" i="9"/>
  <c r="AI54" i="9"/>
  <c r="AI62" i="9"/>
  <c r="AI70" i="9"/>
  <c r="AI78" i="9"/>
  <c r="AI86" i="9"/>
  <c r="AI94" i="9"/>
  <c r="AI102" i="9"/>
  <c r="AI110" i="9"/>
  <c r="AI118" i="9"/>
  <c r="AI126" i="9"/>
  <c r="AI134" i="9"/>
  <c r="AI142" i="9"/>
  <c r="AI150" i="9"/>
  <c r="AO4" i="9"/>
  <c r="AI26" i="9"/>
  <c r="AI42" i="9"/>
  <c r="AI66" i="9"/>
  <c r="AI82" i="9"/>
  <c r="AI98" i="9"/>
  <c r="AI122" i="9"/>
  <c r="AI138" i="9"/>
  <c r="AI154" i="9"/>
  <c r="AI156" i="9"/>
  <c r="AI317" i="9"/>
  <c r="AI313" i="9"/>
  <c r="AI308" i="9"/>
  <c r="AI306" i="9"/>
  <c r="AI304" i="9"/>
  <c r="AI302" i="9"/>
  <c r="AI300" i="9"/>
  <c r="AI298" i="9"/>
  <c r="AI296" i="9"/>
  <c r="AI294" i="9"/>
  <c r="AI292" i="9"/>
  <c r="AI290" i="9"/>
  <c r="AI288" i="9"/>
  <c r="AI286" i="9"/>
  <c r="AI284" i="9"/>
  <c r="AI282" i="9"/>
  <c r="AI280" i="9"/>
  <c r="AI278" i="9"/>
  <c r="AI276" i="9"/>
  <c r="AI274" i="9"/>
  <c r="AI272" i="9"/>
  <c r="AI270" i="9"/>
  <c r="AI318" i="9"/>
  <c r="AI310" i="9"/>
  <c r="AI305" i="9"/>
  <c r="AI301" i="9"/>
  <c r="AI289" i="9"/>
  <c r="AI285" i="9"/>
  <c r="AI273" i="9"/>
  <c r="AI307" i="9"/>
  <c r="AI299" i="9"/>
  <c r="AI291" i="9"/>
  <c r="AI283" i="9"/>
  <c r="AI275" i="9"/>
  <c r="AI240" i="9"/>
  <c r="AI232" i="9"/>
  <c r="AI224" i="9"/>
  <c r="AI216" i="9"/>
  <c r="AI208" i="9"/>
  <c r="AI200" i="9"/>
  <c r="AI192" i="9"/>
  <c r="AI189" i="9"/>
  <c r="AI187" i="9"/>
  <c r="AI185" i="9"/>
  <c r="AI183" i="9"/>
  <c r="AI181" i="9"/>
  <c r="AI179" i="9"/>
  <c r="AI177" i="9"/>
  <c r="AI175" i="9"/>
  <c r="AI173" i="9"/>
  <c r="AI171" i="9"/>
  <c r="AI169" i="9"/>
  <c r="AI167" i="9"/>
  <c r="AI165" i="9"/>
  <c r="AI163" i="9"/>
  <c r="AI161" i="9"/>
  <c r="AI159" i="9"/>
  <c r="AI157" i="9"/>
  <c r="AI303" i="9"/>
  <c r="AI295" i="9"/>
  <c r="AI287" i="9"/>
  <c r="AI279" i="9"/>
  <c r="AI271" i="9"/>
  <c r="AI262" i="9"/>
  <c r="AI254" i="9"/>
  <c r="AI246" i="9"/>
  <c r="AI242" i="9"/>
  <c r="AI226" i="9"/>
  <c r="AI210" i="9"/>
  <c r="AI194" i="9"/>
  <c r="AI186" i="9"/>
  <c r="AI178" i="9"/>
  <c r="AI170" i="9"/>
  <c r="AI162" i="9"/>
  <c r="AI158" i="9"/>
  <c r="AP4" i="9"/>
  <c r="AI230" i="9"/>
  <c r="AI214" i="9"/>
  <c r="AI198" i="9"/>
  <c r="AI188" i="9"/>
  <c r="AI184" i="9"/>
  <c r="AI180" i="9"/>
  <c r="AI176" i="9"/>
  <c r="AI172" i="9"/>
  <c r="AI168" i="9"/>
  <c r="AI164" i="9"/>
  <c r="AI10" i="9"/>
  <c r="AI18" i="9"/>
  <c r="AI34" i="9"/>
  <c r="AI50" i="9"/>
  <c r="AI58" i="9"/>
  <c r="AI74" i="9"/>
  <c r="AI90" i="9"/>
  <c r="AI106" i="9"/>
  <c r="AI114" i="9"/>
  <c r="AI130" i="9"/>
  <c r="AI146" i="9"/>
  <c r="Q320" i="9"/>
  <c r="M170" i="9"/>
  <c r="O320" i="9"/>
  <c r="M6" i="9"/>
  <c r="X6" i="9" s="1"/>
  <c r="X314" i="9"/>
  <c r="X306" i="9"/>
  <c r="M298" i="9"/>
  <c r="X298" i="9" s="1"/>
  <c r="Z298" i="9" s="1"/>
  <c r="AK298" i="9" s="1"/>
  <c r="M271" i="9"/>
  <c r="X271" i="9" s="1"/>
  <c r="M255" i="9"/>
  <c r="X255" i="9" s="1"/>
  <c r="X256" i="9"/>
  <c r="M316" i="9"/>
  <c r="X316" i="9" s="1"/>
  <c r="X308" i="9"/>
  <c r="AD308" i="9" s="1"/>
  <c r="M299" i="9"/>
  <c r="X299" i="9" s="1"/>
  <c r="M267" i="9"/>
  <c r="X267" i="9" s="1"/>
  <c r="Z267" i="9" s="1"/>
  <c r="AK267" i="9" s="1"/>
  <c r="M268" i="9"/>
  <c r="X268" i="9" s="1"/>
  <c r="AD268" i="9" s="1"/>
  <c r="M112" i="9"/>
  <c r="X112" i="9" s="1"/>
  <c r="AB112" i="9" s="1"/>
  <c r="M108" i="9"/>
  <c r="X108" i="9" s="1"/>
  <c r="M104" i="9"/>
  <c r="X104" i="9" s="1"/>
  <c r="AB104" i="9" s="1"/>
  <c r="M100" i="9"/>
  <c r="X100" i="9" s="1"/>
  <c r="M96" i="9"/>
  <c r="X96" i="9" s="1"/>
  <c r="AB96" i="9" s="1"/>
  <c r="M92" i="9"/>
  <c r="X92" i="9" s="1"/>
  <c r="M88" i="9"/>
  <c r="X88" i="9" s="1"/>
  <c r="AB88" i="9" s="1"/>
  <c r="M84" i="9"/>
  <c r="X84" i="9" s="1"/>
  <c r="M80" i="9"/>
  <c r="X80" i="9" s="1"/>
  <c r="AB80" i="9" s="1"/>
  <c r="M76" i="9"/>
  <c r="X76" i="9" s="1"/>
  <c r="M72" i="9"/>
  <c r="X72" i="9" s="1"/>
  <c r="AB72" i="9" s="1"/>
  <c r="M68" i="9"/>
  <c r="X68" i="9" s="1"/>
  <c r="M64" i="9"/>
  <c r="X64" i="9" s="1"/>
  <c r="AB64" i="9" s="1"/>
  <c r="X59" i="9"/>
  <c r="Z59" i="9" s="1"/>
  <c r="AK59" i="9" s="1"/>
  <c r="M51" i="9"/>
  <c r="X51" i="9" s="1"/>
  <c r="AB51" i="9" s="1"/>
  <c r="X43" i="9"/>
  <c r="AD43" i="9" s="1"/>
  <c r="X35" i="9"/>
  <c r="AD35" i="9" s="1"/>
  <c r="M31" i="9"/>
  <c r="X31" i="9" s="1"/>
  <c r="AB31" i="9" s="1"/>
  <c r="M27" i="9"/>
  <c r="X27" i="9" s="1"/>
  <c r="AB27" i="9" s="1"/>
  <c r="M23" i="9"/>
  <c r="X23" i="9" s="1"/>
  <c r="AB23" i="9" s="1"/>
  <c r="M19" i="9"/>
  <c r="X19" i="9" s="1"/>
  <c r="AB19" i="9" s="1"/>
  <c r="M15" i="9"/>
  <c r="X15" i="9" s="1"/>
  <c r="AB15" i="9" s="1"/>
  <c r="M11" i="9"/>
  <c r="X11" i="9" s="1"/>
  <c r="AB11" i="9" s="1"/>
  <c r="X7" i="9"/>
  <c r="AD7" i="9" s="1"/>
  <c r="X54" i="9"/>
  <c r="AD54" i="9" s="1"/>
  <c r="X46" i="9"/>
  <c r="AD46" i="9" s="1"/>
  <c r="X38" i="9"/>
  <c r="AD38" i="9" s="1"/>
  <c r="X222" i="9"/>
  <c r="X187" i="9"/>
  <c r="Z187" i="9" s="1"/>
  <c r="AK187" i="9" s="1"/>
  <c r="X167" i="9"/>
  <c r="Z167" i="9" s="1"/>
  <c r="AK167" i="9" s="1"/>
  <c r="X149" i="9"/>
  <c r="Z149" i="9" s="1"/>
  <c r="AK149" i="9" s="1"/>
  <c r="M123" i="9"/>
  <c r="X123" i="9" s="1"/>
  <c r="M114" i="9"/>
  <c r="X114" i="9" s="1"/>
  <c r="AB114" i="9" s="1"/>
  <c r="M294" i="9"/>
  <c r="X294" i="9" s="1"/>
  <c r="M292" i="9"/>
  <c r="X292" i="9" s="1"/>
  <c r="M284" i="9"/>
  <c r="X284" i="9" s="1"/>
  <c r="M218" i="9"/>
  <c r="X218" i="9" s="1"/>
  <c r="M188" i="9"/>
  <c r="X188" i="9" s="1"/>
  <c r="AD188" i="9" s="1"/>
  <c r="M178" i="9"/>
  <c r="X178" i="9" s="1"/>
  <c r="AD178" i="9" s="1"/>
  <c r="M285" i="9"/>
  <c r="X285" i="9" s="1"/>
  <c r="Z285" i="9" s="1"/>
  <c r="AK285" i="9" s="1"/>
  <c r="M249" i="9"/>
  <c r="X249" i="9" s="1"/>
  <c r="AB249" i="9" s="1"/>
  <c r="M241" i="9"/>
  <c r="X241" i="9" s="1"/>
  <c r="AB241" i="9" s="1"/>
  <c r="M233" i="9"/>
  <c r="X233" i="9" s="1"/>
  <c r="AB233" i="9" s="1"/>
  <c r="M225" i="9"/>
  <c r="X225" i="9" s="1"/>
  <c r="AB225" i="9" s="1"/>
  <c r="X210" i="9"/>
  <c r="X200" i="9"/>
  <c r="M180" i="9"/>
  <c r="X180" i="9" s="1"/>
  <c r="M154" i="9"/>
  <c r="X154" i="9" s="1"/>
  <c r="M132" i="9"/>
  <c r="X132" i="9" s="1"/>
  <c r="Z132" i="9" s="1"/>
  <c r="AK132" i="9" s="1"/>
  <c r="M283" i="9"/>
  <c r="X283" i="9" s="1"/>
  <c r="AD283" i="9" s="1"/>
  <c r="M240" i="9"/>
  <c r="X240" i="9" s="1"/>
  <c r="M224" i="9"/>
  <c r="X224" i="9" s="1"/>
  <c r="X209" i="9"/>
  <c r="Z209" i="9" s="1"/>
  <c r="AK209" i="9" s="1"/>
  <c r="M177" i="9"/>
  <c r="X177" i="9" s="1"/>
  <c r="AB177" i="9" s="1"/>
  <c r="M168" i="9"/>
  <c r="X168" i="9" s="1"/>
  <c r="M140" i="9"/>
  <c r="X140" i="9" s="1"/>
  <c r="AD140" i="9" s="1"/>
  <c r="M246" i="9"/>
  <c r="X246" i="9" s="1"/>
  <c r="AD246" i="9" s="1"/>
  <c r="M230" i="9"/>
  <c r="X230" i="9" s="1"/>
  <c r="AD230" i="9" s="1"/>
  <c r="X199" i="9"/>
  <c r="AD199" i="9" s="1"/>
  <c r="M160" i="9"/>
  <c r="X160" i="9" s="1"/>
  <c r="AD160" i="9" s="1"/>
  <c r="M126" i="9"/>
  <c r="X126" i="9" s="1"/>
  <c r="Z126" i="9" s="1"/>
  <c r="AK126" i="9" s="1"/>
  <c r="M162" i="9"/>
  <c r="X162" i="9" s="1"/>
  <c r="M136" i="9"/>
  <c r="X136" i="9" s="1"/>
  <c r="Z136" i="9" s="1"/>
  <c r="AK136" i="9" s="1"/>
  <c r="M113" i="9"/>
  <c r="X113" i="9" s="1"/>
  <c r="AD113" i="9" s="1"/>
  <c r="M315" i="9"/>
  <c r="X315" i="9" s="1"/>
  <c r="Y315" i="9" s="1"/>
  <c r="M311" i="9"/>
  <c r="X311" i="9" s="1"/>
  <c r="Z311" i="9" s="1"/>
  <c r="AK311" i="9" s="1"/>
  <c r="X307" i="9"/>
  <c r="AD307" i="9" s="1"/>
  <c r="X303" i="9"/>
  <c r="Z303" i="9" s="1"/>
  <c r="AK303" i="9" s="1"/>
  <c r="X300" i="9"/>
  <c r="AD300" i="9" s="1"/>
  <c r="M269" i="9"/>
  <c r="X269" i="9" s="1"/>
  <c r="Z269" i="9" s="1"/>
  <c r="AK269" i="9" s="1"/>
  <c r="M261" i="9"/>
  <c r="X261" i="9" s="1"/>
  <c r="AB261" i="9" s="1"/>
  <c r="M270" i="9"/>
  <c r="X270" i="9" s="1"/>
  <c r="AD270" i="9" s="1"/>
  <c r="M262" i="9"/>
  <c r="X262" i="9" s="1"/>
  <c r="AD262" i="9" s="1"/>
  <c r="X254" i="9"/>
  <c r="AD254" i="9" s="1"/>
  <c r="M109" i="9"/>
  <c r="X109" i="9" s="1"/>
  <c r="AB109" i="9" s="1"/>
  <c r="M105" i="9"/>
  <c r="X105" i="9" s="1"/>
  <c r="AB105" i="9" s="1"/>
  <c r="X101" i="9"/>
  <c r="Z101" i="9" s="1"/>
  <c r="AK101" i="9" s="1"/>
  <c r="X97" i="9"/>
  <c r="AD97" i="9" s="1"/>
  <c r="X93" i="9"/>
  <c r="AD93" i="9" s="1"/>
  <c r="X89" i="9"/>
  <c r="AD89" i="9" s="1"/>
  <c r="X85" i="9"/>
  <c r="Z85" i="9" s="1"/>
  <c r="AK85" i="9" s="1"/>
  <c r="X81" i="9"/>
  <c r="AD81" i="9" s="1"/>
  <c r="X77" i="9"/>
  <c r="AD77" i="9" s="1"/>
  <c r="X73" i="9"/>
  <c r="Z73" i="9" s="1"/>
  <c r="AK73" i="9" s="1"/>
  <c r="X69" i="9"/>
  <c r="Z69" i="9" s="1"/>
  <c r="AK69" i="9" s="1"/>
  <c r="X65" i="9"/>
  <c r="Z65" i="9" s="1"/>
  <c r="AK65" i="9" s="1"/>
  <c r="M61" i="9"/>
  <c r="X61" i="9" s="1"/>
  <c r="AD61" i="9" s="1"/>
  <c r="M53" i="9"/>
  <c r="X53" i="9" s="1"/>
  <c r="AD53" i="9" s="1"/>
  <c r="M45" i="9"/>
  <c r="X45" i="9" s="1"/>
  <c r="Z45" i="9" s="1"/>
  <c r="AK45" i="9" s="1"/>
  <c r="M37" i="9"/>
  <c r="X37" i="9" s="1"/>
  <c r="AD37" i="9" s="1"/>
  <c r="X32" i="9"/>
  <c r="AD32" i="9" s="1"/>
  <c r="X28" i="9"/>
  <c r="AD28" i="9" s="1"/>
  <c r="X24" i="9"/>
  <c r="Z24" i="9" s="1"/>
  <c r="AK24" i="9" s="1"/>
  <c r="X20" i="9"/>
  <c r="X16" i="9"/>
  <c r="AD16" i="9" s="1"/>
  <c r="X12" i="9"/>
  <c r="X8" i="9"/>
  <c r="Z8" i="9" s="1"/>
  <c r="AK8" i="9" s="1"/>
  <c r="X56" i="9"/>
  <c r="AD56" i="9" s="1"/>
  <c r="X48" i="9"/>
  <c r="X40" i="9"/>
  <c r="Z40" i="9" s="1"/>
  <c r="AK40" i="9" s="1"/>
  <c r="X204" i="9"/>
  <c r="AD204" i="9" s="1"/>
  <c r="X179" i="9"/>
  <c r="Z179" i="9" s="1"/>
  <c r="AK179" i="9" s="1"/>
  <c r="X163" i="9"/>
  <c r="Z163" i="9" s="1"/>
  <c r="AK163" i="9" s="1"/>
  <c r="X155" i="9"/>
  <c r="Z155" i="9" s="1"/>
  <c r="AK155" i="9" s="1"/>
  <c r="X143" i="9"/>
  <c r="Z143" i="9" s="1"/>
  <c r="AK143" i="9" s="1"/>
  <c r="M137" i="9"/>
  <c r="X137" i="9" s="1"/>
  <c r="AB137" i="9" s="1"/>
  <c r="M297" i="9"/>
  <c r="M280" i="9"/>
  <c r="X280" i="9" s="1"/>
  <c r="AB280" i="9" s="1"/>
  <c r="M290" i="9"/>
  <c r="X290" i="9" s="1"/>
  <c r="M282" i="9"/>
  <c r="X282" i="9" s="1"/>
  <c r="M215" i="9"/>
  <c r="X215" i="9" s="1"/>
  <c r="AB215" i="9" s="1"/>
  <c r="M186" i="9"/>
  <c r="X186" i="9" s="1"/>
  <c r="Z186" i="9" s="1"/>
  <c r="AK186" i="9" s="1"/>
  <c r="M281" i="9"/>
  <c r="X281" i="9" s="1"/>
  <c r="AB281" i="9" s="1"/>
  <c r="M247" i="9"/>
  <c r="X247" i="9" s="1"/>
  <c r="M239" i="9"/>
  <c r="X239" i="9" s="1"/>
  <c r="AD239" i="9" s="1"/>
  <c r="M231" i="9"/>
  <c r="X231" i="9" s="1"/>
  <c r="M223" i="9"/>
  <c r="X223" i="9" s="1"/>
  <c r="Z223" i="9" s="1"/>
  <c r="AK223" i="9" s="1"/>
  <c r="X208" i="9"/>
  <c r="X198" i="9"/>
  <c r="Z198" i="9" s="1"/>
  <c r="AK198" i="9" s="1"/>
  <c r="M185" i="9"/>
  <c r="X185" i="9" s="1"/>
  <c r="M176" i="9"/>
  <c r="X176" i="9" s="1"/>
  <c r="AB176" i="9" s="1"/>
  <c r="M161" i="9"/>
  <c r="X161" i="9" s="1"/>
  <c r="M146" i="9"/>
  <c r="X146" i="9" s="1"/>
  <c r="M130" i="9"/>
  <c r="X130" i="9" s="1"/>
  <c r="AB130" i="9" s="1"/>
  <c r="M252" i="9"/>
  <c r="X252" i="9" s="1"/>
  <c r="AD252" i="9" s="1"/>
  <c r="M236" i="9"/>
  <c r="X236" i="9" s="1"/>
  <c r="X220" i="9"/>
  <c r="AD220" i="9" s="1"/>
  <c r="X207" i="9"/>
  <c r="AD207" i="9" s="1"/>
  <c r="M164" i="9"/>
  <c r="X164" i="9" s="1"/>
  <c r="AB164" i="9" s="1"/>
  <c r="M142" i="9"/>
  <c r="M129" i="9"/>
  <c r="X129" i="9" s="1"/>
  <c r="AB129" i="9" s="1"/>
  <c r="M242" i="9"/>
  <c r="X242" i="9" s="1"/>
  <c r="Z242" i="9" s="1"/>
  <c r="AK242" i="9" s="1"/>
  <c r="M226" i="9"/>
  <c r="X226" i="9" s="1"/>
  <c r="X201" i="9"/>
  <c r="Z201" i="9" s="1"/>
  <c r="AK201" i="9" s="1"/>
  <c r="M174" i="9"/>
  <c r="X174" i="9" s="1"/>
  <c r="AD174" i="9" s="1"/>
  <c r="M124" i="9"/>
  <c r="X124" i="9" s="1"/>
  <c r="AD124" i="9" s="1"/>
  <c r="M158" i="9"/>
  <c r="M122" i="9"/>
  <c r="X122" i="9" s="1"/>
  <c r="X165" i="9"/>
  <c r="M116" i="9"/>
  <c r="X116" i="9" s="1"/>
  <c r="AB116" i="9" s="1"/>
  <c r="M131" i="9"/>
  <c r="X131" i="9" s="1"/>
  <c r="AB131" i="9" s="1"/>
  <c r="M157" i="9"/>
  <c r="X157" i="9" s="1"/>
  <c r="AB157" i="9" s="1"/>
  <c r="M120" i="9"/>
  <c r="X120" i="9" s="1"/>
  <c r="AB120" i="9" s="1"/>
  <c r="M125" i="9"/>
  <c r="X125" i="9" s="1"/>
  <c r="AB125" i="9" s="1"/>
  <c r="M141" i="9"/>
  <c r="X141" i="9" s="1"/>
  <c r="AB141" i="9" s="1"/>
  <c r="M277" i="9"/>
  <c r="X277" i="9" s="1"/>
  <c r="AB277" i="9" s="1"/>
  <c r="M5" i="9"/>
  <c r="X5" i="9" s="1"/>
  <c r="X4" i="9"/>
  <c r="V308" i="9"/>
  <c r="V306" i="9"/>
  <c r="V304" i="9"/>
  <c r="V302" i="9"/>
  <c r="V300" i="9"/>
  <c r="V299" i="9"/>
  <c r="V298" i="9"/>
  <c r="V315" i="9"/>
  <c r="V314" i="9"/>
  <c r="V313" i="9"/>
  <c r="V312" i="9"/>
  <c r="V311" i="9"/>
  <c r="V310" i="9"/>
  <c r="V309" i="9"/>
  <c r="V296" i="9"/>
  <c r="V294" i="9"/>
  <c r="V292" i="9"/>
  <c r="V291" i="9"/>
  <c r="V290" i="9"/>
  <c r="V289" i="9"/>
  <c r="V288" i="9"/>
  <c r="V287" i="9"/>
  <c r="V286" i="9"/>
  <c r="V285" i="9"/>
  <c r="V284" i="9"/>
  <c r="V283" i="9"/>
  <c r="V282" i="9"/>
  <c r="V281" i="9"/>
  <c r="V280" i="9"/>
  <c r="V278" i="9"/>
  <c r="V276" i="9"/>
  <c r="V274" i="9"/>
  <c r="V273" i="9"/>
  <c r="V272" i="9"/>
  <c r="V271" i="9"/>
  <c r="V270" i="9"/>
  <c r="V269" i="9"/>
  <c r="V268" i="9"/>
  <c r="V267" i="9"/>
  <c r="V266" i="9"/>
  <c r="V265" i="9"/>
  <c r="V264" i="9"/>
  <c r="V263" i="9"/>
  <c r="V262" i="9"/>
  <c r="V261" i="9"/>
  <c r="V260" i="9"/>
  <c r="V259" i="9"/>
  <c r="V319" i="9"/>
  <c r="V318" i="9"/>
  <c r="V317" i="9"/>
  <c r="V316" i="9"/>
  <c r="V305" i="9"/>
  <c r="V301" i="9"/>
  <c r="V297" i="9"/>
  <c r="V293" i="9"/>
  <c r="V279" i="9"/>
  <c r="V275" i="9"/>
  <c r="V253" i="9"/>
  <c r="V252" i="9"/>
  <c r="V251" i="9"/>
  <c r="V250" i="9"/>
  <c r="V249" i="9"/>
  <c r="V248" i="9"/>
  <c r="V247" i="9"/>
  <c r="V246" i="9"/>
  <c r="V245" i="9"/>
  <c r="V244" i="9"/>
  <c r="V243" i="9"/>
  <c r="V242" i="9"/>
  <c r="V241" i="9"/>
  <c r="V240" i="9"/>
  <c r="V239" i="9"/>
  <c r="V238" i="9"/>
  <c r="V237" i="9"/>
  <c r="V236" i="9"/>
  <c r="V235" i="9"/>
  <c r="V234" i="9"/>
  <c r="V233" i="9"/>
  <c r="V232" i="9"/>
  <c r="V231" i="9"/>
  <c r="V230" i="9"/>
  <c r="V229" i="9"/>
  <c r="V228" i="9"/>
  <c r="V227" i="9"/>
  <c r="V226" i="9"/>
  <c r="V225" i="9"/>
  <c r="V224" i="9"/>
  <c r="V223" i="9"/>
  <c r="V222" i="9"/>
  <c r="V221" i="9"/>
  <c r="V219" i="9"/>
  <c r="V216" i="9"/>
  <c r="V215" i="9"/>
  <c r="V214" i="9"/>
  <c r="V212" i="9"/>
  <c r="V211" i="9"/>
  <c r="V210" i="9"/>
  <c r="V209" i="9"/>
  <c r="V208" i="9"/>
  <c r="V207" i="9"/>
  <c r="V206" i="9"/>
  <c r="V203" i="9"/>
  <c r="V202" i="9"/>
  <c r="V201" i="9"/>
  <c r="V200" i="9"/>
  <c r="V199" i="9"/>
  <c r="V198" i="9"/>
  <c r="V197" i="9"/>
  <c r="V196" i="9"/>
  <c r="V193" i="9"/>
  <c r="V191" i="9"/>
  <c r="V187" i="9"/>
  <c r="V186" i="9"/>
  <c r="V184" i="9"/>
  <c r="V182" i="9"/>
  <c r="V179" i="9"/>
  <c r="V178" i="9"/>
  <c r="V307" i="9"/>
  <c r="V303" i="9"/>
  <c r="V295" i="9"/>
  <c r="V277" i="9"/>
  <c r="V213" i="9"/>
  <c r="V205" i="9"/>
  <c r="V188" i="9"/>
  <c r="V185" i="9"/>
  <c r="V183" i="9"/>
  <c r="V181" i="9"/>
  <c r="V180" i="9"/>
  <c r="V176" i="9"/>
  <c r="V174" i="9"/>
  <c r="V172" i="9"/>
  <c r="V171" i="9"/>
  <c r="V169" i="9"/>
  <c r="V165" i="9"/>
  <c r="V163" i="9"/>
  <c r="V161" i="9"/>
  <c r="V159" i="9"/>
  <c r="V157" i="9"/>
  <c r="V155" i="9"/>
  <c r="V154" i="9"/>
  <c r="V152" i="9"/>
  <c r="V150" i="9"/>
  <c r="V147" i="9"/>
  <c r="V146" i="9"/>
  <c r="V144" i="9"/>
  <c r="V142" i="9"/>
  <c r="V140" i="9"/>
  <c r="V137" i="9"/>
  <c r="V135" i="9"/>
  <c r="V131" i="9"/>
  <c r="V130" i="9"/>
  <c r="V128" i="9"/>
  <c r="V126" i="9"/>
  <c r="V124" i="9"/>
  <c r="V121" i="9"/>
  <c r="V119" i="9"/>
  <c r="V116" i="9"/>
  <c r="V114" i="9"/>
  <c r="V113" i="9"/>
  <c r="V106" i="9"/>
  <c r="V105" i="9"/>
  <c r="V70" i="9"/>
  <c r="V69" i="9"/>
  <c r="V50" i="9"/>
  <c r="V49" i="9"/>
  <c r="V41" i="9"/>
  <c r="V40" i="9"/>
  <c r="V258" i="9"/>
  <c r="V257" i="9"/>
  <c r="V256" i="9"/>
  <c r="V255" i="9"/>
  <c r="V254" i="9"/>
  <c r="V218" i="9"/>
  <c r="V217" i="9"/>
  <c r="V192" i="9"/>
  <c r="V175" i="9"/>
  <c r="V173" i="9"/>
  <c r="V170" i="9"/>
  <c r="V168" i="9"/>
  <c r="V167" i="9"/>
  <c r="V164" i="9"/>
  <c r="V153" i="9"/>
  <c r="V151" i="9"/>
  <c r="V149" i="9"/>
  <c r="V148" i="9"/>
  <c r="V132" i="9"/>
  <c r="V129" i="9"/>
  <c r="V220" i="9"/>
  <c r="V204" i="9"/>
  <c r="V195" i="9"/>
  <c r="V194" i="9"/>
  <c r="V190" i="9"/>
  <c r="V189" i="9"/>
  <c r="V162" i="9"/>
  <c r="V158" i="9"/>
  <c r="V156" i="9"/>
  <c r="V141" i="9"/>
  <c r="V136" i="9"/>
  <c r="V112" i="9"/>
  <c r="V111" i="9"/>
  <c r="V110" i="9"/>
  <c r="V109" i="9"/>
  <c r="V108" i="9"/>
  <c r="V107" i="9"/>
  <c r="V104" i="9"/>
  <c r="V103" i="9"/>
  <c r="V102" i="9"/>
  <c r="V101" i="9"/>
  <c r="V100" i="9"/>
  <c r="V99" i="9"/>
  <c r="V177" i="9"/>
  <c r="V166" i="9"/>
  <c r="V160" i="9"/>
  <c r="V145" i="9"/>
  <c r="V143" i="9"/>
  <c r="V139" i="9"/>
  <c r="V138" i="9"/>
  <c r="V134" i="9"/>
  <c r="V133" i="9"/>
  <c r="V127" i="9"/>
  <c r="V125" i="9"/>
  <c r="V123" i="9"/>
  <c r="V122" i="9"/>
  <c r="V120" i="9"/>
  <c r="V118" i="9"/>
  <c r="V117" i="9"/>
  <c r="V115" i="9"/>
  <c r="V36" i="9"/>
  <c r="V34" i="9"/>
  <c r="V32" i="9"/>
  <c r="V31" i="9"/>
  <c r="V30" i="9"/>
  <c r="V28" i="9"/>
  <c r="V26" i="9"/>
  <c r="V24" i="9"/>
  <c r="V22" i="9"/>
  <c r="V20" i="9"/>
  <c r="V18" i="9"/>
  <c r="V16" i="9"/>
  <c r="V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68" i="9"/>
  <c r="V67" i="9"/>
  <c r="V66" i="9"/>
  <c r="V65" i="9"/>
  <c r="V64" i="9"/>
  <c r="V63" i="9"/>
  <c r="V62" i="9"/>
  <c r="V61" i="9"/>
  <c r="V60" i="9"/>
  <c r="V59" i="9"/>
  <c r="V58" i="9"/>
  <c r="V57" i="9"/>
  <c r="V56" i="9"/>
  <c r="V55" i="9"/>
  <c r="V54" i="9"/>
  <c r="V53" i="9"/>
  <c r="V52" i="9"/>
  <c r="V51" i="9"/>
  <c r="V48" i="9"/>
  <c r="V47" i="9"/>
  <c r="V46" i="9"/>
  <c r="V45" i="9"/>
  <c r="V44" i="9"/>
  <c r="V43" i="9"/>
  <c r="V42" i="9"/>
  <c r="V39" i="9"/>
  <c r="V38" i="9"/>
  <c r="V37" i="9"/>
  <c r="V35" i="9"/>
  <c r="V33" i="9"/>
  <c r="V29" i="9"/>
  <c r="V27" i="9"/>
  <c r="V25" i="9"/>
  <c r="V23" i="9"/>
  <c r="V21" i="9"/>
  <c r="V19" i="9"/>
  <c r="V17" i="9"/>
  <c r="V15" i="9"/>
  <c r="V14" i="9"/>
  <c r="V12" i="9"/>
  <c r="V10" i="9"/>
  <c r="V8" i="9"/>
  <c r="V7" i="9"/>
  <c r="V13" i="9"/>
  <c r="V11" i="9"/>
  <c r="X170" i="9"/>
  <c r="AD120" i="9"/>
  <c r="Z180" i="9"/>
  <c r="AK180" i="9" s="1"/>
  <c r="Z168" i="9"/>
  <c r="AK168" i="9" s="1"/>
  <c r="AD277" i="9"/>
  <c r="X297" i="9"/>
  <c r="X142" i="9"/>
  <c r="Z142" i="9" s="1"/>
  <c r="AK142" i="9" s="1"/>
  <c r="X158" i="9"/>
  <c r="Z158" i="9" s="1"/>
  <c r="AK158" i="9" s="1"/>
  <c r="AD114" i="9"/>
  <c r="Z124" i="9"/>
  <c r="AK124" i="9" s="1"/>
  <c r="AD132" i="9"/>
  <c r="AD180" i="9"/>
  <c r="Z215" i="9"/>
  <c r="AK215" i="9" s="1"/>
  <c r="V6" i="9"/>
  <c r="AD292" i="9"/>
  <c r="Z283" i="9"/>
  <c r="AK283" i="9" s="1"/>
  <c r="Z249" i="9"/>
  <c r="AK249" i="9" s="1"/>
  <c r="AD242" i="9"/>
  <c r="Z218" i="9"/>
  <c r="AK218" i="9" s="1"/>
  <c r="AD210" i="9"/>
  <c r="Z199" i="9"/>
  <c r="AK199" i="9" s="1"/>
  <c r="AD143" i="9"/>
  <c r="Z292" i="9"/>
  <c r="AK292" i="9" s="1"/>
  <c r="AD249" i="9"/>
  <c r="AD218" i="9"/>
  <c r="Z210" i="9"/>
  <c r="AK210" i="9" s="1"/>
  <c r="Z204" i="9"/>
  <c r="AK204" i="9" s="1"/>
  <c r="Z220" i="9"/>
  <c r="AK220" i="9" s="1"/>
  <c r="AD187" i="9"/>
  <c r="AD163" i="9"/>
  <c r="AD149" i="9"/>
  <c r="V5" i="9"/>
  <c r="Z61" i="9"/>
  <c r="AK61" i="9" s="1"/>
  <c r="AD267" i="9"/>
  <c r="AD271" i="9"/>
  <c r="AD64" i="9"/>
  <c r="AD104" i="9"/>
  <c r="AD8" i="9"/>
  <c r="AD24" i="9"/>
  <c r="AD306" i="9"/>
  <c r="Z268" i="9"/>
  <c r="AK268" i="9" s="1"/>
  <c r="AD45" i="9"/>
  <c r="AD261" i="9"/>
  <c r="Z271" i="9"/>
  <c r="AK271" i="9" s="1"/>
  <c r="Z72" i="9"/>
  <c r="AK72" i="9" s="1"/>
  <c r="Z88" i="9"/>
  <c r="AK88" i="9" s="1"/>
  <c r="Z112" i="9"/>
  <c r="AK112" i="9" s="1"/>
  <c r="Z315" i="9"/>
  <c r="AK315" i="9" s="1"/>
  <c r="Z16" i="9"/>
  <c r="AK16" i="9" s="1"/>
  <c r="Z32" i="9"/>
  <c r="AK32" i="9" s="1"/>
  <c r="AD69" i="9"/>
  <c r="AD85" i="9"/>
  <c r="AD101" i="9"/>
  <c r="Z306" i="9"/>
  <c r="AK306" i="9" s="1"/>
  <c r="Z308" i="9"/>
  <c r="AK308" i="9" s="1"/>
  <c r="Z48" i="9"/>
  <c r="AK48" i="9" s="1"/>
  <c r="AD11" i="9"/>
  <c r="AD27" i="9"/>
  <c r="AD256" i="9"/>
  <c r="Z262" i="9"/>
  <c r="AK262" i="9" s="1"/>
  <c r="AD80" i="9"/>
  <c r="AD108" i="9"/>
  <c r="Z35" i="9"/>
  <c r="AK35" i="9" s="1"/>
  <c r="Z77" i="9"/>
  <c r="AK77" i="9" s="1"/>
  <c r="Z93" i="9"/>
  <c r="AK93" i="9" s="1"/>
  <c r="Z300" i="9"/>
  <c r="AK300" i="9" s="1"/>
  <c r="Z38" i="9"/>
  <c r="AK38" i="9" s="1"/>
  <c r="AD40" i="9"/>
  <c r="AD48" i="9"/>
  <c r="Z11" i="9"/>
  <c r="AK11" i="9" s="1"/>
  <c r="Z27" i="9"/>
  <c r="AK27" i="9" s="1"/>
  <c r="Z31" i="9"/>
  <c r="AK31" i="9" s="1"/>
  <c r="Z256" i="9"/>
  <c r="AK256" i="9" s="1"/>
  <c r="Z307" i="9"/>
  <c r="AK307" i="9" s="1"/>
  <c r="Z6" i="9"/>
  <c r="AK6" i="9" s="1"/>
  <c r="M190" i="9"/>
  <c r="X190" i="9" s="1"/>
  <c r="M134" i="9"/>
  <c r="X134" i="9" s="1"/>
  <c r="M318" i="9"/>
  <c r="X318" i="9" s="1"/>
  <c r="AB318" i="9" s="1"/>
  <c r="X309" i="9"/>
  <c r="X302" i="9"/>
  <c r="M272" i="9"/>
  <c r="X272" i="9" s="1"/>
  <c r="M263" i="9"/>
  <c r="X263" i="9" s="1"/>
  <c r="AD263" i="9" s="1"/>
  <c r="M264" i="9"/>
  <c r="X264" i="9" s="1"/>
  <c r="M319" i="9"/>
  <c r="X319" i="9" s="1"/>
  <c r="AB319" i="9" s="1"/>
  <c r="X312" i="9"/>
  <c r="X304" i="9"/>
  <c r="M274" i="9"/>
  <c r="X274" i="9" s="1"/>
  <c r="M259" i="9"/>
  <c r="X259" i="9" s="1"/>
  <c r="AD259" i="9" s="1"/>
  <c r="X260" i="9"/>
  <c r="Z260" i="9" s="1"/>
  <c r="AK260" i="9" s="1"/>
  <c r="M110" i="9"/>
  <c r="X110" i="9" s="1"/>
  <c r="M106" i="9"/>
  <c r="X106" i="9" s="1"/>
  <c r="M102" i="9"/>
  <c r="X102" i="9" s="1"/>
  <c r="AD102" i="9" s="1"/>
  <c r="M98" i="9"/>
  <c r="X98" i="9" s="1"/>
  <c r="M94" i="9"/>
  <c r="X94" i="9" s="1"/>
  <c r="AD94" i="9" s="1"/>
  <c r="M90" i="9"/>
  <c r="X90" i="9" s="1"/>
  <c r="M86" i="9"/>
  <c r="X86" i="9" s="1"/>
  <c r="AD86" i="9" s="1"/>
  <c r="M82" i="9"/>
  <c r="X82" i="9" s="1"/>
  <c r="M78" i="9"/>
  <c r="X78" i="9" s="1"/>
  <c r="AD78" i="9" s="1"/>
  <c r="M74" i="9"/>
  <c r="X74" i="9" s="1"/>
  <c r="M70" i="9"/>
  <c r="X70" i="9" s="1"/>
  <c r="Z70" i="9" s="1"/>
  <c r="AK70" i="9" s="1"/>
  <c r="M66" i="9"/>
  <c r="X66" i="9" s="1"/>
  <c r="M62" i="9"/>
  <c r="X62" i="9" s="1"/>
  <c r="Z62" i="9" s="1"/>
  <c r="AK62" i="9" s="1"/>
  <c r="X55" i="9"/>
  <c r="X47" i="9"/>
  <c r="AD47" i="9" s="1"/>
  <c r="X39" i="9"/>
  <c r="Z39" i="9" s="1"/>
  <c r="AK39" i="9" s="1"/>
  <c r="M33" i="9"/>
  <c r="X33" i="9" s="1"/>
  <c r="AB33" i="9" s="1"/>
  <c r="M29" i="9"/>
  <c r="X29" i="9" s="1"/>
  <c r="AD29" i="9" s="1"/>
  <c r="M25" i="9"/>
  <c r="X25" i="9" s="1"/>
  <c r="AD25" i="9" s="1"/>
  <c r="M21" i="9"/>
  <c r="X21" i="9" s="1"/>
  <c r="AD21" i="9" s="1"/>
  <c r="M17" i="9"/>
  <c r="X17" i="9" s="1"/>
  <c r="AB17" i="9" s="1"/>
  <c r="M13" i="9"/>
  <c r="X13" i="9" s="1"/>
  <c r="AB13" i="9" s="1"/>
  <c r="M9" i="9"/>
  <c r="X9" i="9" s="1"/>
  <c r="AB9" i="9" s="1"/>
  <c r="X58" i="9"/>
  <c r="Z58" i="9" s="1"/>
  <c r="AK58" i="9" s="1"/>
  <c r="X50" i="9"/>
  <c r="X42" i="9"/>
  <c r="AD42" i="9" s="1"/>
  <c r="X205" i="9"/>
  <c r="Z205" i="9" s="1"/>
  <c r="AK205" i="9" s="1"/>
  <c r="X195" i="9"/>
  <c r="AD195" i="9" s="1"/>
  <c r="X181" i="9"/>
  <c r="M173" i="9"/>
  <c r="X173" i="9" s="1"/>
  <c r="M127" i="9"/>
  <c r="X127" i="9" s="1"/>
  <c r="AD127" i="9" s="1"/>
  <c r="M121" i="9"/>
  <c r="X121" i="9" s="1"/>
  <c r="AB121" i="9" s="1"/>
  <c r="M296" i="9"/>
  <c r="X296" i="9" s="1"/>
  <c r="AB296" i="9" s="1"/>
  <c r="M278" i="9"/>
  <c r="X278" i="9" s="1"/>
  <c r="AB278" i="9" s="1"/>
  <c r="M288" i="9"/>
  <c r="X288" i="9" s="1"/>
  <c r="AB288" i="9" s="1"/>
  <c r="M221" i="9"/>
  <c r="X221" i="9" s="1"/>
  <c r="AD221" i="9" s="1"/>
  <c r="M193" i="9"/>
  <c r="X193" i="9" s="1"/>
  <c r="AD193" i="9" s="1"/>
  <c r="M184" i="9"/>
  <c r="X184" i="9" s="1"/>
  <c r="AD184" i="9" s="1"/>
  <c r="M293" i="9"/>
  <c r="X293" i="9" s="1"/>
  <c r="Z293" i="9" s="1"/>
  <c r="AK293" i="9" s="1"/>
  <c r="M253" i="9"/>
  <c r="X253" i="9" s="1"/>
  <c r="Z253" i="9" s="1"/>
  <c r="AK253" i="9" s="1"/>
  <c r="M245" i="9"/>
  <c r="X245" i="9" s="1"/>
  <c r="M237" i="9"/>
  <c r="X237" i="9" s="1"/>
  <c r="Z237" i="9" s="1"/>
  <c r="AK237" i="9" s="1"/>
  <c r="M229" i="9"/>
  <c r="X229" i="9" s="1"/>
  <c r="X216" i="9"/>
  <c r="Z216" i="9" s="1"/>
  <c r="AK216" i="9" s="1"/>
  <c r="X206" i="9"/>
  <c r="M196" i="9"/>
  <c r="X196" i="9" s="1"/>
  <c r="AD196" i="9" s="1"/>
  <c r="M166" i="9"/>
  <c r="X166" i="9" s="1"/>
  <c r="M144" i="9"/>
  <c r="X144" i="9" s="1"/>
  <c r="AD144" i="9" s="1"/>
  <c r="M128" i="9"/>
  <c r="X128" i="9" s="1"/>
  <c r="AD128" i="9" s="1"/>
  <c r="M248" i="9"/>
  <c r="X248" i="9" s="1"/>
  <c r="M232" i="9"/>
  <c r="X232" i="9" s="1"/>
  <c r="M213" i="9"/>
  <c r="X213" i="9" s="1"/>
  <c r="AB213" i="9" s="1"/>
  <c r="M194" i="9"/>
  <c r="X194" i="9" s="1"/>
  <c r="X175" i="9"/>
  <c r="AD175" i="9" s="1"/>
  <c r="M148" i="9"/>
  <c r="X148" i="9" s="1"/>
  <c r="M287" i="9"/>
  <c r="X287" i="9" s="1"/>
  <c r="Z287" i="9" s="1"/>
  <c r="AK287" i="9" s="1"/>
  <c r="M238" i="9"/>
  <c r="X238" i="9" s="1"/>
  <c r="AB238" i="9" s="1"/>
  <c r="X203" i="9"/>
  <c r="M192" i="9"/>
  <c r="X192" i="9" s="1"/>
  <c r="AD192" i="9" s="1"/>
  <c r="M145" i="9"/>
  <c r="X145" i="9" s="1"/>
  <c r="AD145" i="9" s="1"/>
  <c r="X119" i="9"/>
  <c r="Z119" i="9" s="1"/>
  <c r="AK119" i="9" s="1"/>
  <c r="M156" i="9"/>
  <c r="X156" i="9" s="1"/>
  <c r="AD156" i="9" s="1"/>
  <c r="M117" i="9"/>
  <c r="X117" i="9" s="1"/>
  <c r="X317" i="9"/>
  <c r="AD317" i="9" s="1"/>
  <c r="X313" i="9"/>
  <c r="Y313" i="9" s="1"/>
  <c r="M310" i="9"/>
  <c r="X310" i="9" s="1"/>
  <c r="Y310" i="9" s="1"/>
  <c r="M305" i="9"/>
  <c r="X305" i="9" s="1"/>
  <c r="X301" i="9"/>
  <c r="M273" i="9"/>
  <c r="X273" i="9" s="1"/>
  <c r="Z273" i="9" s="1"/>
  <c r="AK273" i="9" s="1"/>
  <c r="M265" i="9"/>
  <c r="X265" i="9" s="1"/>
  <c r="M257" i="9"/>
  <c r="X257" i="9" s="1"/>
  <c r="AD257" i="9" s="1"/>
  <c r="M266" i="9"/>
  <c r="X266" i="9" s="1"/>
  <c r="Z266" i="9" s="1"/>
  <c r="AK266" i="9" s="1"/>
  <c r="X258" i="9"/>
  <c r="Z258" i="9" s="1"/>
  <c r="AK258" i="9" s="1"/>
  <c r="M111" i="9"/>
  <c r="X111" i="9" s="1"/>
  <c r="AD111" i="9" s="1"/>
  <c r="M107" i="9"/>
  <c r="X107" i="9" s="1"/>
  <c r="Z107" i="9" s="1"/>
  <c r="AK107" i="9" s="1"/>
  <c r="M103" i="9"/>
  <c r="X103" i="9" s="1"/>
  <c r="Z103" i="9" s="1"/>
  <c r="AK103" i="9" s="1"/>
  <c r="X99" i="9"/>
  <c r="X95" i="9"/>
  <c r="Z95" i="9" s="1"/>
  <c r="AK95" i="9" s="1"/>
  <c r="X91" i="9"/>
  <c r="Z91" i="9" s="1"/>
  <c r="AK91" i="9" s="1"/>
  <c r="X87" i="9"/>
  <c r="Z87" i="9" s="1"/>
  <c r="AK87" i="9" s="1"/>
  <c r="M83" i="9"/>
  <c r="X83" i="9" s="1"/>
  <c r="AD83" i="9" s="1"/>
  <c r="M79" i="9"/>
  <c r="X79" i="9" s="1"/>
  <c r="M75" i="9"/>
  <c r="X75" i="9" s="1"/>
  <c r="AD75" i="9" s="1"/>
  <c r="M71" i="9"/>
  <c r="X71" i="9" s="1"/>
  <c r="M67" i="9"/>
  <c r="X67" i="9" s="1"/>
  <c r="AD67" i="9" s="1"/>
  <c r="M63" i="9"/>
  <c r="X63" i="9" s="1"/>
  <c r="M57" i="9"/>
  <c r="X57" i="9" s="1"/>
  <c r="AD57" i="9" s="1"/>
  <c r="M49" i="9"/>
  <c r="X49" i="9" s="1"/>
  <c r="M41" i="9"/>
  <c r="X41" i="9" s="1"/>
  <c r="AD41" i="9" s="1"/>
  <c r="M34" i="9"/>
  <c r="X34" i="9" s="1"/>
  <c r="M30" i="9"/>
  <c r="X30" i="9" s="1"/>
  <c r="AD30" i="9" s="1"/>
  <c r="M26" i="9"/>
  <c r="X26" i="9" s="1"/>
  <c r="M22" i="9"/>
  <c r="X22" i="9" s="1"/>
  <c r="AD22" i="9" s="1"/>
  <c r="M18" i="9"/>
  <c r="X18" i="9" s="1"/>
  <c r="M14" i="9"/>
  <c r="X14" i="9" s="1"/>
  <c r="AD14" i="9" s="1"/>
  <c r="M10" i="9"/>
  <c r="X10" i="9" s="1"/>
  <c r="X60" i="9"/>
  <c r="X52" i="9"/>
  <c r="X44" i="9"/>
  <c r="X36" i="9"/>
  <c r="AD36" i="9" s="1"/>
  <c r="M214" i="9"/>
  <c r="X214" i="9" s="1"/>
  <c r="M169" i="9"/>
  <c r="X169" i="9" s="1"/>
  <c r="X159" i="9"/>
  <c r="M153" i="9"/>
  <c r="X153" i="9" s="1"/>
  <c r="AB153" i="9" s="1"/>
  <c r="X139" i="9"/>
  <c r="AD139" i="9" s="1"/>
  <c r="M118" i="9"/>
  <c r="X118" i="9" s="1"/>
  <c r="AD118" i="9" s="1"/>
  <c r="M295" i="9"/>
  <c r="X295" i="9" s="1"/>
  <c r="Z295" i="9" s="1"/>
  <c r="AK295" i="9" s="1"/>
  <c r="M276" i="9"/>
  <c r="X276" i="9" s="1"/>
  <c r="AD276" i="9" s="1"/>
  <c r="M286" i="9"/>
  <c r="X286" i="9" s="1"/>
  <c r="M219" i="9"/>
  <c r="X219" i="9" s="1"/>
  <c r="Z219" i="9" s="1"/>
  <c r="AK219" i="9" s="1"/>
  <c r="X191" i="9"/>
  <c r="M289" i="9"/>
  <c r="X289" i="9" s="1"/>
  <c r="Z289" i="9" s="1"/>
  <c r="AK289" i="9" s="1"/>
  <c r="M251" i="9"/>
  <c r="X251" i="9" s="1"/>
  <c r="M243" i="9"/>
  <c r="X243" i="9" s="1"/>
  <c r="Z243" i="9" s="1"/>
  <c r="AK243" i="9" s="1"/>
  <c r="M235" i="9"/>
  <c r="X235" i="9" s="1"/>
  <c r="Z235" i="9" s="1"/>
  <c r="AK235" i="9" s="1"/>
  <c r="M227" i="9"/>
  <c r="X227" i="9" s="1"/>
  <c r="X212" i="9"/>
  <c r="X202" i="9"/>
  <c r="M189" i="9"/>
  <c r="X189" i="9" s="1"/>
  <c r="X183" i="9"/>
  <c r="AD183" i="9" s="1"/>
  <c r="X171" i="9"/>
  <c r="AD171" i="9" s="1"/>
  <c r="M152" i="9"/>
  <c r="X152" i="9" s="1"/>
  <c r="AD152" i="9" s="1"/>
  <c r="X135" i="9"/>
  <c r="AD135" i="9" s="1"/>
  <c r="M291" i="9"/>
  <c r="X291" i="9" s="1"/>
  <c r="M244" i="9"/>
  <c r="X244" i="9" s="1"/>
  <c r="AB244" i="9" s="1"/>
  <c r="M228" i="9"/>
  <c r="X228" i="9" s="1"/>
  <c r="AB228" i="9" s="1"/>
  <c r="X211" i="9"/>
  <c r="Z211" i="9" s="1"/>
  <c r="AK211" i="9" s="1"/>
  <c r="M172" i="9"/>
  <c r="X172" i="9" s="1"/>
  <c r="AD172" i="9" s="1"/>
  <c r="X151" i="9"/>
  <c r="AD151" i="9" s="1"/>
  <c r="X133" i="9"/>
  <c r="Z133" i="9" s="1"/>
  <c r="AK133" i="9" s="1"/>
  <c r="M250" i="9"/>
  <c r="X250" i="9" s="1"/>
  <c r="M234" i="9"/>
  <c r="X234" i="9" s="1"/>
  <c r="M217" i="9"/>
  <c r="X217" i="9" s="1"/>
  <c r="AB217" i="9" s="1"/>
  <c r="X197" i="9"/>
  <c r="Z197" i="9" s="1"/>
  <c r="AK197" i="9" s="1"/>
  <c r="M138" i="9"/>
  <c r="X138" i="9" s="1"/>
  <c r="M182" i="9"/>
  <c r="X182" i="9" s="1"/>
  <c r="M150" i="9"/>
  <c r="X150" i="9" s="1"/>
  <c r="M115" i="9"/>
  <c r="X115" i="9" s="1"/>
  <c r="AB115" i="9" s="1"/>
  <c r="X147" i="9"/>
  <c r="AD147" i="9" s="1"/>
  <c r="M275" i="9"/>
  <c r="X275" i="9" s="1"/>
  <c r="Z275" i="9" s="1"/>
  <c r="AK275" i="9" s="1"/>
  <c r="M279" i="9"/>
  <c r="X279" i="9" s="1"/>
  <c r="AD279" i="9" s="1"/>
  <c r="AB6" i="9"/>
  <c r="Y6" i="9"/>
  <c r="AD6" i="9"/>
  <c r="V4" i="9"/>
  <c r="W4" i="9" s="1"/>
  <c r="S4" i="9"/>
  <c r="AA4" i="9"/>
  <c r="AC4" i="9"/>
  <c r="AB4" i="9"/>
  <c r="AD4" i="9"/>
  <c r="AJ197" i="9" l="1"/>
  <c r="AL197" i="9"/>
  <c r="AQ197" i="9"/>
  <c r="AM197" i="9"/>
  <c r="AN197" i="9" s="1"/>
  <c r="AJ243" i="9"/>
  <c r="AL243" i="9"/>
  <c r="AQ243" i="9"/>
  <c r="AM243" i="9"/>
  <c r="AN243" i="9" s="1"/>
  <c r="AL211" i="9"/>
  <c r="AJ211" i="9"/>
  <c r="AQ211" i="9"/>
  <c r="AM211" i="9"/>
  <c r="AN211" i="9" s="1"/>
  <c r="AJ235" i="9"/>
  <c r="AL235" i="9"/>
  <c r="AQ235" i="9"/>
  <c r="AM235" i="9"/>
  <c r="AN235" i="9" s="1"/>
  <c r="AL295" i="9"/>
  <c r="AJ295" i="9"/>
  <c r="AQ295" i="9"/>
  <c r="AM295" i="9"/>
  <c r="AN295" i="9" s="1"/>
  <c r="AL91" i="9"/>
  <c r="AJ91" i="9"/>
  <c r="AQ91" i="9"/>
  <c r="AM91" i="9"/>
  <c r="AN91" i="9" s="1"/>
  <c r="AJ107" i="9"/>
  <c r="AL107" i="9"/>
  <c r="AM107" i="9"/>
  <c r="AN107" i="9" s="1"/>
  <c r="AQ107" i="9"/>
  <c r="AL258" i="9"/>
  <c r="AJ258" i="9"/>
  <c r="AM258" i="9"/>
  <c r="AN258" i="9" s="1"/>
  <c r="AQ258" i="9"/>
  <c r="AL273" i="9"/>
  <c r="AJ273" i="9"/>
  <c r="AQ273" i="9"/>
  <c r="AM273" i="9"/>
  <c r="AN273" i="9" s="1"/>
  <c r="AQ119" i="9"/>
  <c r="AL119" i="9"/>
  <c r="AJ119" i="9"/>
  <c r="AM119" i="9"/>
  <c r="AN119" i="9" s="1"/>
  <c r="AQ293" i="9"/>
  <c r="AL293" i="9"/>
  <c r="AJ293" i="9"/>
  <c r="AM293" i="9"/>
  <c r="AN293" i="9" s="1"/>
  <c r="AJ205" i="9"/>
  <c r="AL205" i="9"/>
  <c r="AQ205" i="9"/>
  <c r="AM205" i="9"/>
  <c r="AN205" i="9" s="1"/>
  <c r="AL62" i="9"/>
  <c r="AJ62" i="9"/>
  <c r="AQ62" i="9"/>
  <c r="AM62" i="9"/>
  <c r="AN62" i="9" s="1"/>
  <c r="AL70" i="9"/>
  <c r="AJ70" i="9"/>
  <c r="AM70" i="9"/>
  <c r="AN70" i="9" s="1"/>
  <c r="AQ70" i="9"/>
  <c r="AL307" i="9"/>
  <c r="AJ307" i="9"/>
  <c r="AQ307" i="9"/>
  <c r="AM307" i="9"/>
  <c r="AN307" i="9" s="1"/>
  <c r="AL31" i="9"/>
  <c r="AJ31" i="9"/>
  <c r="AQ31" i="9"/>
  <c r="AM31" i="9"/>
  <c r="AN31" i="9" s="1"/>
  <c r="AJ11" i="9"/>
  <c r="AL11" i="9"/>
  <c r="AQ11" i="9"/>
  <c r="AM11" i="9"/>
  <c r="AN11" i="9" s="1"/>
  <c r="AL300" i="9"/>
  <c r="AJ300" i="9"/>
  <c r="AQ300" i="9"/>
  <c r="AM300" i="9"/>
  <c r="AN300" i="9" s="1"/>
  <c r="AJ77" i="9"/>
  <c r="AL77" i="9"/>
  <c r="AQ77" i="9"/>
  <c r="AM77" i="9"/>
  <c r="AN77" i="9" s="1"/>
  <c r="AJ262" i="9"/>
  <c r="AL262" i="9"/>
  <c r="AQ262" i="9"/>
  <c r="AM262" i="9"/>
  <c r="AN262" i="9" s="1"/>
  <c r="AM48" i="9"/>
  <c r="AN48" i="9" s="1"/>
  <c r="AL48" i="9"/>
  <c r="AJ48" i="9"/>
  <c r="AQ48" i="9"/>
  <c r="AJ306" i="9"/>
  <c r="AL306" i="9"/>
  <c r="AQ306" i="9"/>
  <c r="AM306" i="9"/>
  <c r="AN306" i="9" s="1"/>
  <c r="AL32" i="9"/>
  <c r="AJ32" i="9"/>
  <c r="AM32" i="9"/>
  <c r="AN32" i="9" s="1"/>
  <c r="AQ32" i="9"/>
  <c r="AJ315" i="9"/>
  <c r="AL315" i="9"/>
  <c r="AM315" i="9"/>
  <c r="AN315" i="9" s="1"/>
  <c r="AQ315" i="9"/>
  <c r="AL88" i="9"/>
  <c r="AJ88" i="9"/>
  <c r="AM88" i="9"/>
  <c r="AN88" i="9" s="1"/>
  <c r="AQ88" i="9"/>
  <c r="AL271" i="9"/>
  <c r="AJ271" i="9"/>
  <c r="AQ271" i="9"/>
  <c r="AM271" i="9"/>
  <c r="AN271" i="9" s="1"/>
  <c r="AJ220" i="9"/>
  <c r="AL220" i="9"/>
  <c r="AM220" i="9"/>
  <c r="AN220" i="9" s="1"/>
  <c r="AQ220" i="9"/>
  <c r="AL210" i="9"/>
  <c r="AJ210" i="9"/>
  <c r="AM210" i="9"/>
  <c r="AN210" i="9" s="1"/>
  <c r="AQ210" i="9"/>
  <c r="AL283" i="9"/>
  <c r="AJ283" i="9"/>
  <c r="AQ283" i="9"/>
  <c r="AM283" i="9"/>
  <c r="AN283" i="9" s="1"/>
  <c r="AM124" i="9"/>
  <c r="AN124" i="9" s="1"/>
  <c r="AJ124" i="9"/>
  <c r="AL124" i="9"/>
  <c r="AQ124" i="9"/>
  <c r="AL158" i="9"/>
  <c r="AJ158" i="9"/>
  <c r="AQ158" i="9"/>
  <c r="AM158" i="9"/>
  <c r="AN158" i="9" s="1"/>
  <c r="AJ168" i="9"/>
  <c r="AL168" i="9"/>
  <c r="AQ168" i="9"/>
  <c r="AM168" i="9"/>
  <c r="AN168" i="9" s="1"/>
  <c r="AJ198" i="9"/>
  <c r="AL198" i="9"/>
  <c r="AM198" i="9"/>
  <c r="AN198" i="9" s="1"/>
  <c r="AQ198" i="9"/>
  <c r="AJ223" i="9"/>
  <c r="AL223" i="9"/>
  <c r="AM223" i="9"/>
  <c r="AN223" i="9" s="1"/>
  <c r="AQ223" i="9"/>
  <c r="AL143" i="9"/>
  <c r="AJ143" i="9"/>
  <c r="AQ143" i="9"/>
  <c r="AM143" i="9"/>
  <c r="AN143" i="9" s="1"/>
  <c r="AJ163" i="9"/>
  <c r="AL163" i="9"/>
  <c r="AQ163" i="9"/>
  <c r="AM163" i="9"/>
  <c r="AN163" i="9" s="1"/>
  <c r="AJ8" i="9"/>
  <c r="AL8" i="9"/>
  <c r="AQ8" i="9"/>
  <c r="AM8" i="9"/>
  <c r="AN8" i="9" s="1"/>
  <c r="AL24" i="9"/>
  <c r="AJ24" i="9"/>
  <c r="AQ24" i="9"/>
  <c r="AM24" i="9"/>
  <c r="AN24" i="9" s="1"/>
  <c r="AL45" i="9"/>
  <c r="AJ45" i="9"/>
  <c r="AM45" i="9"/>
  <c r="AN45" i="9" s="1"/>
  <c r="AQ45" i="9"/>
  <c r="AJ69" i="9"/>
  <c r="AL69" i="9"/>
  <c r="AQ69" i="9"/>
  <c r="AM69" i="9"/>
  <c r="AN69" i="9" s="1"/>
  <c r="AJ85" i="9"/>
  <c r="AL85" i="9"/>
  <c r="AQ85" i="9"/>
  <c r="AM85" i="9"/>
  <c r="AN85" i="9" s="1"/>
  <c r="AJ101" i="9"/>
  <c r="AL101" i="9"/>
  <c r="AQ101" i="9"/>
  <c r="AM101" i="9"/>
  <c r="AN101" i="9" s="1"/>
  <c r="AJ136" i="9"/>
  <c r="AL136" i="9"/>
  <c r="AQ136" i="9"/>
  <c r="AM136" i="9"/>
  <c r="AN136" i="9" s="1"/>
  <c r="AJ126" i="9"/>
  <c r="AL126" i="9"/>
  <c r="AM126" i="9"/>
  <c r="AN126" i="9" s="1"/>
  <c r="AQ126" i="9"/>
  <c r="AJ209" i="9"/>
  <c r="AL209" i="9"/>
  <c r="AQ209" i="9"/>
  <c r="AM209" i="9"/>
  <c r="AN209" i="9" s="1"/>
  <c r="AL132" i="9"/>
  <c r="AJ132" i="9"/>
  <c r="AM132" i="9"/>
  <c r="AN132" i="9" s="1"/>
  <c r="AQ132" i="9"/>
  <c r="AJ149" i="9"/>
  <c r="AL149" i="9"/>
  <c r="AQ149" i="9"/>
  <c r="AM149" i="9"/>
  <c r="AN149" i="9" s="1"/>
  <c r="AJ187" i="9"/>
  <c r="AL187" i="9"/>
  <c r="AM187" i="9"/>
  <c r="AN187" i="9" s="1"/>
  <c r="AQ187" i="9"/>
  <c r="AJ267" i="9"/>
  <c r="AL267" i="9"/>
  <c r="AQ267" i="9"/>
  <c r="AM267" i="9"/>
  <c r="AN267" i="9" s="1"/>
  <c r="AL275" i="9"/>
  <c r="AJ275" i="9"/>
  <c r="AQ275" i="9"/>
  <c r="AM275" i="9"/>
  <c r="AN275" i="9" s="1"/>
  <c r="AJ133" i="9"/>
  <c r="AL133" i="9"/>
  <c r="AQ133" i="9"/>
  <c r="AM133" i="9"/>
  <c r="AN133" i="9" s="1"/>
  <c r="AL289" i="9"/>
  <c r="AJ289" i="9"/>
  <c r="AM289" i="9"/>
  <c r="AN289" i="9" s="1"/>
  <c r="AQ289" i="9"/>
  <c r="AJ219" i="9"/>
  <c r="AL219" i="9"/>
  <c r="AQ219" i="9"/>
  <c r="AM219" i="9"/>
  <c r="AN219" i="9" s="1"/>
  <c r="AL87" i="9"/>
  <c r="AJ87" i="9"/>
  <c r="AQ87" i="9"/>
  <c r="AM87" i="9"/>
  <c r="AN87" i="9" s="1"/>
  <c r="AL95" i="9"/>
  <c r="AJ95" i="9"/>
  <c r="AQ95" i="9"/>
  <c r="AM95" i="9"/>
  <c r="AN95" i="9" s="1"/>
  <c r="AL103" i="9"/>
  <c r="AJ103" i="9"/>
  <c r="AQ103" i="9"/>
  <c r="AM103" i="9"/>
  <c r="AN103" i="9" s="1"/>
  <c r="AJ266" i="9"/>
  <c r="AL266" i="9"/>
  <c r="AQ266" i="9"/>
  <c r="AM266" i="9"/>
  <c r="AN266" i="9" s="1"/>
  <c r="AL287" i="9"/>
  <c r="AJ287" i="9"/>
  <c r="AQ287" i="9"/>
  <c r="AM287" i="9"/>
  <c r="AN287" i="9" s="1"/>
  <c r="AJ216" i="9"/>
  <c r="AL216" i="9"/>
  <c r="AQ216" i="9"/>
  <c r="AM216" i="9"/>
  <c r="AN216" i="9" s="1"/>
  <c r="AL237" i="9"/>
  <c r="AJ237" i="9"/>
  <c r="AQ237" i="9"/>
  <c r="AM237" i="9"/>
  <c r="AN237" i="9" s="1"/>
  <c r="AL253" i="9"/>
  <c r="AJ253" i="9"/>
  <c r="AQ253" i="9"/>
  <c r="AM253" i="9"/>
  <c r="AN253" i="9" s="1"/>
  <c r="AJ58" i="9"/>
  <c r="AL58" i="9"/>
  <c r="AQ58" i="9"/>
  <c r="AM58" i="9"/>
  <c r="AN58" i="9" s="1"/>
  <c r="AJ39" i="9"/>
  <c r="AL39" i="9"/>
  <c r="AQ39" i="9"/>
  <c r="AM39" i="9"/>
  <c r="AN39" i="9" s="1"/>
  <c r="AM260" i="9"/>
  <c r="AN260" i="9" s="1"/>
  <c r="AL260" i="9"/>
  <c r="AJ260" i="9"/>
  <c r="AQ260" i="9"/>
  <c r="AL6" i="9"/>
  <c r="AJ6" i="9"/>
  <c r="AM6" i="9"/>
  <c r="AN6" i="9" s="1"/>
  <c r="AQ6" i="9"/>
  <c r="AL256" i="9"/>
  <c r="AJ256" i="9"/>
  <c r="AM256" i="9"/>
  <c r="AN256" i="9" s="1"/>
  <c r="AQ256" i="9"/>
  <c r="AJ27" i="9"/>
  <c r="AL27" i="9"/>
  <c r="AQ27" i="9"/>
  <c r="AM27" i="9"/>
  <c r="AN27" i="9" s="1"/>
  <c r="AL38" i="9"/>
  <c r="AJ38" i="9"/>
  <c r="AM38" i="9"/>
  <c r="AN38" i="9" s="1"/>
  <c r="AQ38" i="9"/>
  <c r="AJ93" i="9"/>
  <c r="AL93" i="9"/>
  <c r="AQ93" i="9"/>
  <c r="AM93" i="9"/>
  <c r="AN93" i="9" s="1"/>
  <c r="AL35" i="9"/>
  <c r="AJ35" i="9"/>
  <c r="AQ35" i="9"/>
  <c r="AM35" i="9"/>
  <c r="AN35" i="9" s="1"/>
  <c r="AL308" i="9"/>
  <c r="AJ308" i="9"/>
  <c r="AQ308" i="9"/>
  <c r="AM308" i="9"/>
  <c r="AN308" i="9" s="1"/>
  <c r="AL16" i="9"/>
  <c r="AJ16" i="9"/>
  <c r="AM16" i="9"/>
  <c r="AN16" i="9" s="1"/>
  <c r="AQ16" i="9"/>
  <c r="AL112" i="9"/>
  <c r="AJ112" i="9"/>
  <c r="AM112" i="9"/>
  <c r="AN112" i="9" s="1"/>
  <c r="AQ112" i="9"/>
  <c r="AM72" i="9"/>
  <c r="AN72" i="9" s="1"/>
  <c r="AJ72" i="9"/>
  <c r="AL72" i="9"/>
  <c r="AQ72" i="9"/>
  <c r="AL268" i="9"/>
  <c r="AJ268" i="9"/>
  <c r="AM268" i="9"/>
  <c r="AN268" i="9" s="1"/>
  <c r="AQ268" i="9"/>
  <c r="AJ61" i="9"/>
  <c r="AL61" i="9"/>
  <c r="AQ61" i="9"/>
  <c r="AM61" i="9"/>
  <c r="AN61" i="9" s="1"/>
  <c r="AJ204" i="9"/>
  <c r="AL204" i="9"/>
  <c r="AM204" i="9"/>
  <c r="AN204" i="9" s="1"/>
  <c r="AQ204" i="9"/>
  <c r="AL292" i="9"/>
  <c r="AJ292" i="9"/>
  <c r="AQ292" i="9"/>
  <c r="AM292" i="9"/>
  <c r="AN292" i="9" s="1"/>
  <c r="AL199" i="9"/>
  <c r="AJ199" i="9"/>
  <c r="AM199" i="9"/>
  <c r="AN199" i="9" s="1"/>
  <c r="AQ199" i="9"/>
  <c r="AL218" i="9"/>
  <c r="AJ218" i="9"/>
  <c r="AQ218" i="9"/>
  <c r="AM218" i="9"/>
  <c r="AN218" i="9" s="1"/>
  <c r="AL249" i="9"/>
  <c r="AJ249" i="9"/>
  <c r="AQ249" i="9"/>
  <c r="AM249" i="9"/>
  <c r="AN249" i="9" s="1"/>
  <c r="AJ215" i="9"/>
  <c r="AL215" i="9"/>
  <c r="AM215" i="9"/>
  <c r="AN215" i="9" s="1"/>
  <c r="AQ215" i="9"/>
  <c r="AJ142" i="9"/>
  <c r="AL142" i="9"/>
  <c r="AQ142" i="9"/>
  <c r="AM142" i="9"/>
  <c r="AN142" i="9" s="1"/>
  <c r="AJ180" i="9"/>
  <c r="AL180" i="9"/>
  <c r="AQ180" i="9"/>
  <c r="AM180" i="9"/>
  <c r="AN180" i="9" s="1"/>
  <c r="AJ201" i="9"/>
  <c r="AL201" i="9"/>
  <c r="AQ201" i="9"/>
  <c r="AM201" i="9"/>
  <c r="AN201" i="9" s="1"/>
  <c r="AL242" i="9"/>
  <c r="AJ242" i="9"/>
  <c r="AM242" i="9"/>
  <c r="AN242" i="9" s="1"/>
  <c r="AQ242" i="9"/>
  <c r="AJ186" i="9"/>
  <c r="AL186" i="9"/>
  <c r="AQ186" i="9"/>
  <c r="AM186" i="9"/>
  <c r="AN186" i="9" s="1"/>
  <c r="AL155" i="9"/>
  <c r="AJ155" i="9"/>
  <c r="AQ155" i="9"/>
  <c r="AM155" i="9"/>
  <c r="AN155" i="9" s="1"/>
  <c r="AL179" i="9"/>
  <c r="AJ179" i="9"/>
  <c r="AQ179" i="9"/>
  <c r="AM179" i="9"/>
  <c r="AN179" i="9" s="1"/>
  <c r="AJ40" i="9"/>
  <c r="AL40" i="9"/>
  <c r="AQ40" i="9"/>
  <c r="AM40" i="9"/>
  <c r="AN40" i="9" s="1"/>
  <c r="AJ65" i="9"/>
  <c r="AL65" i="9"/>
  <c r="AQ65" i="9"/>
  <c r="AM65" i="9"/>
  <c r="AN65" i="9" s="1"/>
  <c r="AJ73" i="9"/>
  <c r="AL73" i="9"/>
  <c r="AM73" i="9"/>
  <c r="AN73" i="9" s="1"/>
  <c r="AQ73" i="9"/>
  <c r="AL269" i="9"/>
  <c r="AJ269" i="9"/>
  <c r="AQ269" i="9"/>
  <c r="AM269" i="9"/>
  <c r="AN269" i="9" s="1"/>
  <c r="AL303" i="9"/>
  <c r="AJ303" i="9"/>
  <c r="AQ303" i="9"/>
  <c r="AM303" i="9"/>
  <c r="AN303" i="9" s="1"/>
  <c r="AJ311" i="9"/>
  <c r="AL311" i="9"/>
  <c r="AM311" i="9"/>
  <c r="AN311" i="9" s="1"/>
  <c r="AQ311" i="9"/>
  <c r="AJ285" i="9"/>
  <c r="AL285" i="9"/>
  <c r="AQ285" i="9"/>
  <c r="AM285" i="9"/>
  <c r="AN285" i="9" s="1"/>
  <c r="AL167" i="9"/>
  <c r="AJ167" i="9"/>
  <c r="AQ167" i="9"/>
  <c r="AM167" i="9"/>
  <c r="AN167" i="9" s="1"/>
  <c r="AL59" i="9"/>
  <c r="AJ59" i="9"/>
  <c r="AQ59" i="9"/>
  <c r="AM59" i="9"/>
  <c r="AN59" i="9" s="1"/>
  <c r="AJ298" i="9"/>
  <c r="AL298" i="9"/>
  <c r="AQ298" i="9"/>
  <c r="AM298" i="9"/>
  <c r="AN298" i="9" s="1"/>
  <c r="AO6" i="9"/>
  <c r="AO31" i="9"/>
  <c r="AI332" i="9"/>
  <c r="AI428" i="9"/>
  <c r="AI320" i="9"/>
  <c r="AK410" i="9" s="1"/>
  <c r="AI336" i="9"/>
  <c r="AI433" i="9"/>
  <c r="AO215" i="9"/>
  <c r="AO249" i="9"/>
  <c r="AO11" i="9"/>
  <c r="AO27" i="9"/>
  <c r="AO72" i="9"/>
  <c r="AO88" i="9"/>
  <c r="AO112" i="9"/>
  <c r="AM408" i="9"/>
  <c r="AM406" i="9"/>
  <c r="AM404" i="9"/>
  <c r="AL4" i="9"/>
  <c r="AF4" i="9"/>
  <c r="AG4" i="9"/>
  <c r="AM410" i="9"/>
  <c r="AM405" i="9"/>
  <c r="AH4" i="9"/>
  <c r="AE4" i="9"/>
  <c r="AM407" i="9"/>
  <c r="AK322" i="9"/>
  <c r="AE1" i="9"/>
  <c r="AI324" i="9"/>
  <c r="AI418" i="9"/>
  <c r="AI328" i="9"/>
  <c r="AI423" i="9"/>
  <c r="AX4" i="9"/>
  <c r="AV4" i="9"/>
  <c r="AW4" i="9" s="1"/>
  <c r="AX315" i="9"/>
  <c r="BD315" i="9" s="1"/>
  <c r="AV312" i="9"/>
  <c r="AV310" i="9"/>
  <c r="AX307" i="9"/>
  <c r="AZ307" i="9" s="1"/>
  <c r="BA307" i="9" s="1"/>
  <c r="AV304" i="9"/>
  <c r="AV302" i="9"/>
  <c r="AV296" i="9"/>
  <c r="AX293" i="9"/>
  <c r="AV292" i="9"/>
  <c r="AX289" i="9"/>
  <c r="AV288" i="9"/>
  <c r="AV316" i="9"/>
  <c r="AV306" i="9"/>
  <c r="AX303" i="9"/>
  <c r="AV300" i="9"/>
  <c r="AV294" i="9"/>
  <c r="AX285" i="9"/>
  <c r="AZ285" i="9" s="1"/>
  <c r="BA285" i="9" s="1"/>
  <c r="AV284" i="9"/>
  <c r="AV313" i="9"/>
  <c r="AX308" i="9"/>
  <c r="AV305" i="9"/>
  <c r="AZ303" i="9"/>
  <c r="BA303" i="9" s="1"/>
  <c r="AX300" i="9"/>
  <c r="AZ300" i="9" s="1"/>
  <c r="BA300" i="9" s="1"/>
  <c r="AV297" i="9"/>
  <c r="AV299" i="9"/>
  <c r="AV293" i="9"/>
  <c r="AV285" i="9"/>
  <c r="AV280" i="9"/>
  <c r="AV278" i="9"/>
  <c r="AV276" i="9"/>
  <c r="AV274" i="9"/>
  <c r="AV272" i="9"/>
  <c r="AV270" i="9"/>
  <c r="AV268" i="9"/>
  <c r="AV262" i="9"/>
  <c r="AV260" i="9"/>
  <c r="AV254" i="9"/>
  <c r="AV252" i="9"/>
  <c r="AX249" i="9"/>
  <c r="AZ249" i="9" s="1"/>
  <c r="BA249" i="9" s="1"/>
  <c r="AV246" i="9"/>
  <c r="AV244" i="9"/>
  <c r="AV238" i="9"/>
  <c r="AV319" i="9"/>
  <c r="AV311" i="9"/>
  <c r="AV303" i="9"/>
  <c r="AV295" i="9"/>
  <c r="AZ293" i="9"/>
  <c r="BA293" i="9" s="1"/>
  <c r="AV287" i="9"/>
  <c r="AV281" i="9"/>
  <c r="AV277" i="9"/>
  <c r="AV273" i="9"/>
  <c r="AV267" i="9"/>
  <c r="AX262" i="9"/>
  <c r="AZ262" i="9" s="1"/>
  <c r="BA262" i="9" s="1"/>
  <c r="AV259" i="9"/>
  <c r="AV251" i="9"/>
  <c r="AV243" i="9"/>
  <c r="AV235" i="9"/>
  <c r="AV231" i="9"/>
  <c r="AV227" i="9"/>
  <c r="AV223" i="9"/>
  <c r="AX220" i="9"/>
  <c r="AV219" i="9"/>
  <c r="AX216" i="9"/>
  <c r="AV215" i="9"/>
  <c r="AV211" i="9"/>
  <c r="AV207" i="9"/>
  <c r="AX204" i="9"/>
  <c r="AV203" i="9"/>
  <c r="AV269" i="9"/>
  <c r="AV261" i="9"/>
  <c r="AX256" i="9"/>
  <c r="AV253" i="9"/>
  <c r="AV245" i="9"/>
  <c r="AV237" i="9"/>
  <c r="AX235" i="9"/>
  <c r="AX223" i="9"/>
  <c r="AZ220" i="9"/>
  <c r="BA220" i="9" s="1"/>
  <c r="AX219" i="9"/>
  <c r="AX215" i="9"/>
  <c r="AX211" i="9"/>
  <c r="AX209" i="9"/>
  <c r="AX205" i="9"/>
  <c r="AZ204" i="9"/>
  <c r="BA204" i="9" s="1"/>
  <c r="AX201" i="9"/>
  <c r="AV199" i="9"/>
  <c r="AX198" i="9"/>
  <c r="AV197" i="9"/>
  <c r="AV195" i="9"/>
  <c r="AV193" i="9"/>
  <c r="AV191" i="9"/>
  <c r="AV189" i="9"/>
  <c r="AV187" i="9"/>
  <c r="AX186" i="9"/>
  <c r="AV185" i="9"/>
  <c r="AV183" i="9"/>
  <c r="AV181" i="9"/>
  <c r="AX180" i="9"/>
  <c r="AV179" i="9"/>
  <c r="AV177" i="9"/>
  <c r="AV175" i="9"/>
  <c r="AV173" i="9"/>
  <c r="AV171" i="9"/>
  <c r="AV169" i="9"/>
  <c r="AX168" i="9"/>
  <c r="AV167" i="9"/>
  <c r="AV165" i="9"/>
  <c r="AV163" i="9"/>
  <c r="AV161" i="9"/>
  <c r="AV159" i="9"/>
  <c r="AX158" i="9"/>
  <c r="AV157" i="9"/>
  <c r="AV155" i="9"/>
  <c r="AV153" i="9"/>
  <c r="AV151" i="9"/>
  <c r="AV149" i="9"/>
  <c r="AV200" i="9"/>
  <c r="AX143" i="9"/>
  <c r="AX142" i="9"/>
  <c r="AX136" i="9"/>
  <c r="AX133" i="9"/>
  <c r="AX132" i="9"/>
  <c r="AX126" i="9"/>
  <c r="AX124" i="9"/>
  <c r="AX119" i="9"/>
  <c r="AX112" i="9"/>
  <c r="AX107" i="9"/>
  <c r="AX103" i="9"/>
  <c r="AX101" i="9"/>
  <c r="AX95" i="9"/>
  <c r="AX93" i="9"/>
  <c r="AX91" i="9"/>
  <c r="AX88" i="9"/>
  <c r="AX87" i="9"/>
  <c r="AX85" i="9"/>
  <c r="AX77" i="9"/>
  <c r="AX73" i="9"/>
  <c r="AX72" i="9"/>
  <c r="AX70" i="9"/>
  <c r="AX69" i="9"/>
  <c r="AX65" i="9"/>
  <c r="AX62" i="9"/>
  <c r="AX61" i="9"/>
  <c r="AX59" i="9"/>
  <c r="AX58" i="9"/>
  <c r="AV318" i="9"/>
  <c r="AV314" i="9"/>
  <c r="AX311" i="9"/>
  <c r="AV308" i="9"/>
  <c r="AV298" i="9"/>
  <c r="AX295" i="9"/>
  <c r="AV290" i="9"/>
  <c r="AX287" i="9"/>
  <c r="AZ287" i="9" s="1"/>
  <c r="BA287" i="9" s="1"/>
  <c r="AV286" i="9"/>
  <c r="AX283" i="9"/>
  <c r="AV282" i="9"/>
  <c r="AV317" i="9"/>
  <c r="AZ315" i="9"/>
  <c r="BA315" i="9" s="1"/>
  <c r="AV309" i="9"/>
  <c r="AV301" i="9"/>
  <c r="AV315" i="9"/>
  <c r="BD311" i="9"/>
  <c r="AV307" i="9"/>
  <c r="AZ295" i="9"/>
  <c r="BA295" i="9" s="1"/>
  <c r="AX292" i="9"/>
  <c r="AV289" i="9"/>
  <c r="AX275" i="9"/>
  <c r="AX273" i="9"/>
  <c r="AX271" i="9"/>
  <c r="AX269" i="9"/>
  <c r="AX267" i="9"/>
  <c r="AV266" i="9"/>
  <c r="AV264" i="9"/>
  <c r="AV258" i="9"/>
  <c r="AV256" i="9"/>
  <c r="AX253" i="9"/>
  <c r="AZ253" i="9" s="1"/>
  <c r="BA253" i="9" s="1"/>
  <c r="AV250" i="9"/>
  <c r="AV248" i="9"/>
  <c r="AX243" i="9"/>
  <c r="AV242" i="9"/>
  <c r="AV240" i="9"/>
  <c r="AX237" i="9"/>
  <c r="AZ237" i="9" s="1"/>
  <c r="BA237" i="9" s="1"/>
  <c r="AX306" i="9"/>
  <c r="AX298" i="9"/>
  <c r="AV291" i="9"/>
  <c r="AZ289" i="9"/>
  <c r="BA289" i="9" s="1"/>
  <c r="AV283" i="9"/>
  <c r="AV279" i="9"/>
  <c r="AV275" i="9"/>
  <c r="AZ273" i="9"/>
  <c r="BA273" i="9" s="1"/>
  <c r="AV271" i="9"/>
  <c r="AZ269" i="9"/>
  <c r="BA269" i="9" s="1"/>
  <c r="AX266" i="9"/>
  <c r="AV263" i="9"/>
  <c r="AX258" i="9"/>
  <c r="AV255" i="9"/>
  <c r="AV247" i="9"/>
  <c r="AX242" i="9"/>
  <c r="AV239" i="9"/>
  <c r="BD235" i="9"/>
  <c r="AV233" i="9"/>
  <c r="AV229" i="9"/>
  <c r="AV225" i="9"/>
  <c r="BD223" i="9"/>
  <c r="AV221" i="9"/>
  <c r="BD219" i="9"/>
  <c r="AX218" i="9"/>
  <c r="AV217" i="9"/>
  <c r="BD215" i="9"/>
  <c r="AV213" i="9"/>
  <c r="BD211" i="9"/>
  <c r="AX210" i="9"/>
  <c r="BD210" i="9" s="1"/>
  <c r="AV209" i="9"/>
  <c r="AV205" i="9"/>
  <c r="AV201" i="9"/>
  <c r="AX268" i="9"/>
  <c r="AZ268" i="9" s="1"/>
  <c r="BA268" i="9" s="1"/>
  <c r="AV265" i="9"/>
  <c r="AX260" i="9"/>
  <c r="AV257" i="9"/>
  <c r="BD253" i="9"/>
  <c r="AV249" i="9"/>
  <c r="AV241" i="9"/>
  <c r="AV236" i="9"/>
  <c r="AV234" i="9"/>
  <c r="AV232" i="9"/>
  <c r="AV230" i="9"/>
  <c r="AV228" i="9"/>
  <c r="AV226" i="9"/>
  <c r="AV224" i="9"/>
  <c r="AV222" i="9"/>
  <c r="BD220" i="9"/>
  <c r="AV220" i="9"/>
  <c r="BD218" i="9"/>
  <c r="AV218" i="9"/>
  <c r="BD216" i="9"/>
  <c r="AV216" i="9"/>
  <c r="AV214" i="9"/>
  <c r="AV212" i="9"/>
  <c r="AV210" i="9"/>
  <c r="AV208" i="9"/>
  <c r="AV206" i="9"/>
  <c r="BD204" i="9"/>
  <c r="AV204" i="9"/>
  <c r="AV202" i="9"/>
  <c r="AX199" i="9"/>
  <c r="AZ198" i="9"/>
  <c r="BA198" i="9" s="1"/>
  <c r="AV198" i="9"/>
  <c r="AX197" i="9"/>
  <c r="AV196" i="9"/>
  <c r="AV194" i="9"/>
  <c r="AV192" i="9"/>
  <c r="AV190" i="9"/>
  <c r="AV188" i="9"/>
  <c r="AX187" i="9"/>
  <c r="BD187" i="9" s="1"/>
  <c r="AZ186" i="9"/>
  <c r="BA186" i="9" s="1"/>
  <c r="AV186" i="9"/>
  <c r="AV184" i="9"/>
  <c r="AV182" i="9"/>
  <c r="AZ180" i="9"/>
  <c r="BA180" i="9" s="1"/>
  <c r="AV180" i="9"/>
  <c r="AX179" i="9"/>
  <c r="AV178" i="9"/>
  <c r="AV176" i="9"/>
  <c r="AV174" i="9"/>
  <c r="AV172" i="9"/>
  <c r="AV170" i="9"/>
  <c r="AZ168" i="9"/>
  <c r="BA168" i="9" s="1"/>
  <c r="AV168" i="9"/>
  <c r="AX167" i="9"/>
  <c r="AV166" i="9"/>
  <c r="AV164" i="9"/>
  <c r="AX163" i="9"/>
  <c r="BD163" i="9" s="1"/>
  <c r="AV162" i="9"/>
  <c r="AV160" i="9"/>
  <c r="AZ158" i="9"/>
  <c r="BA158" i="9" s="1"/>
  <c r="AV158" i="9"/>
  <c r="AV156" i="9"/>
  <c r="AX155" i="9"/>
  <c r="BD155" i="9" s="1"/>
  <c r="AV154" i="9"/>
  <c r="AV152" i="9"/>
  <c r="AV150" i="9"/>
  <c r="AX149" i="9"/>
  <c r="AV148" i="9"/>
  <c r="AV147" i="9"/>
  <c r="AV146" i="9"/>
  <c r="AV145" i="9"/>
  <c r="AV144" i="9"/>
  <c r="AV143" i="9"/>
  <c r="AV142" i="9"/>
  <c r="AV141" i="9"/>
  <c r="AV140" i="9"/>
  <c r="AV139" i="9"/>
  <c r="AV138" i="9"/>
  <c r="AV137" i="9"/>
  <c r="AV136" i="9"/>
  <c r="AV135" i="9"/>
  <c r="AV134" i="9"/>
  <c r="AV133" i="9"/>
  <c r="AV132" i="9"/>
  <c r="AV131" i="9"/>
  <c r="AV130" i="9"/>
  <c r="AV129" i="9"/>
  <c r="AV128" i="9"/>
  <c r="AV127" i="9"/>
  <c r="AV126" i="9"/>
  <c r="AV125" i="9"/>
  <c r="AV124" i="9"/>
  <c r="AV123" i="9"/>
  <c r="AV122" i="9"/>
  <c r="AV121" i="9"/>
  <c r="AV120" i="9"/>
  <c r="AV119" i="9"/>
  <c r="AV118" i="9"/>
  <c r="AV117" i="9"/>
  <c r="AV116" i="9"/>
  <c r="AV115" i="9"/>
  <c r="AV114" i="9"/>
  <c r="AV113" i="9"/>
  <c r="AV112" i="9"/>
  <c r="AV111" i="9"/>
  <c r="AV110" i="9"/>
  <c r="AV109" i="9"/>
  <c r="AV108" i="9"/>
  <c r="AV107" i="9"/>
  <c r="AV106" i="9"/>
  <c r="AV105" i="9"/>
  <c r="AV104" i="9"/>
  <c r="AV103" i="9"/>
  <c r="AV102" i="9"/>
  <c r="AV101" i="9"/>
  <c r="AV100" i="9"/>
  <c r="AV99" i="9"/>
  <c r="AV98" i="9"/>
  <c r="AV97" i="9"/>
  <c r="AV96" i="9"/>
  <c r="AV95" i="9"/>
  <c r="AV94" i="9"/>
  <c r="AV93" i="9"/>
  <c r="AV92" i="9"/>
  <c r="AV91" i="9"/>
  <c r="AV90" i="9"/>
  <c r="AV89" i="9"/>
  <c r="AV88" i="9"/>
  <c r="AV87" i="9"/>
  <c r="AV86" i="9"/>
  <c r="AV85" i="9"/>
  <c r="AV84" i="9"/>
  <c r="AV83" i="9"/>
  <c r="AV82" i="9"/>
  <c r="AV81" i="9"/>
  <c r="AV80" i="9"/>
  <c r="AV79" i="9"/>
  <c r="AV78" i="9"/>
  <c r="AV77" i="9"/>
  <c r="AV76" i="9"/>
  <c r="AV75" i="9"/>
  <c r="AV74" i="9"/>
  <c r="AV73" i="9"/>
  <c r="AV72" i="9"/>
  <c r="AV71" i="9"/>
  <c r="AV70" i="9"/>
  <c r="AV69" i="9"/>
  <c r="AV68" i="9"/>
  <c r="AV67" i="9"/>
  <c r="AV66" i="9"/>
  <c r="AV65" i="9"/>
  <c r="AV64" i="9"/>
  <c r="AV63" i="9"/>
  <c r="AV62" i="9"/>
  <c r="AV61" i="9"/>
  <c r="AV60" i="9"/>
  <c r="AV59" i="9"/>
  <c r="AV58" i="9"/>
  <c r="AV57" i="9"/>
  <c r="AV56" i="9"/>
  <c r="AV55" i="9"/>
  <c r="AV54" i="9"/>
  <c r="AV53" i="9"/>
  <c r="AV52" i="9"/>
  <c r="AV51" i="9"/>
  <c r="AV50" i="9"/>
  <c r="AV49" i="9"/>
  <c r="AV48" i="9"/>
  <c r="AV47" i="9"/>
  <c r="AV46" i="9"/>
  <c r="BB4" i="9"/>
  <c r="AV6" i="9"/>
  <c r="AV8" i="9"/>
  <c r="AV10" i="9"/>
  <c r="AX11" i="9"/>
  <c r="AV12" i="9"/>
  <c r="AV14" i="9"/>
  <c r="AV16" i="9"/>
  <c r="AV18" i="9"/>
  <c r="AV20" i="9"/>
  <c r="AV22" i="9"/>
  <c r="AV24" i="9"/>
  <c r="AV26" i="9"/>
  <c r="AX27" i="9"/>
  <c r="AV28" i="9"/>
  <c r="AV30" i="9"/>
  <c r="AX31" i="9"/>
  <c r="AV32" i="9"/>
  <c r="AV34" i="9"/>
  <c r="AX35" i="9"/>
  <c r="AV36" i="9"/>
  <c r="AV38" i="9"/>
  <c r="AX45" i="9"/>
  <c r="AZ45" i="9" s="1"/>
  <c r="BA45" i="9" s="1"/>
  <c r="AV5" i="9"/>
  <c r="AV7" i="9"/>
  <c r="AV9" i="9"/>
  <c r="AV11" i="9"/>
  <c r="AV13" i="9"/>
  <c r="AV15" i="9"/>
  <c r="AV17" i="9"/>
  <c r="AV19" i="9"/>
  <c r="AV21" i="9"/>
  <c r="AV23" i="9"/>
  <c r="AV25" i="9"/>
  <c r="AV27" i="9"/>
  <c r="AV29" i="9"/>
  <c r="AV31" i="9"/>
  <c r="AV33" i="9"/>
  <c r="AV35" i="9"/>
  <c r="AV37" i="9"/>
  <c r="AX39" i="9"/>
  <c r="AZ39" i="9" s="1"/>
  <c r="BA39" i="9" s="1"/>
  <c r="AV40" i="9"/>
  <c r="AV42" i="9"/>
  <c r="BA4" i="9"/>
  <c r="BM4" i="9"/>
  <c r="AV43" i="9"/>
  <c r="AX48" i="9"/>
  <c r="BD4" i="9"/>
  <c r="AX6" i="9"/>
  <c r="AX8" i="9"/>
  <c r="AX16" i="9"/>
  <c r="AX24" i="9"/>
  <c r="AX32" i="9"/>
  <c r="AX38" i="9"/>
  <c r="AV39" i="9"/>
  <c r="AX40" i="9"/>
  <c r="AV41" i="9"/>
  <c r="AV44" i="9"/>
  <c r="BC4" i="9"/>
  <c r="AV45" i="9"/>
  <c r="BD58" i="9"/>
  <c r="BD62" i="9"/>
  <c r="BD70" i="9"/>
  <c r="BD72" i="9"/>
  <c r="BD88" i="9"/>
  <c r="BD38" i="9"/>
  <c r="BD8" i="9"/>
  <c r="BD119" i="9"/>
  <c r="BD126" i="9"/>
  <c r="BD132" i="9"/>
  <c r="BD136" i="9"/>
  <c r="AZ40" i="9"/>
  <c r="BA40" i="9" s="1"/>
  <c r="AZ24" i="9"/>
  <c r="BA24" i="9" s="1"/>
  <c r="AZ58" i="9"/>
  <c r="BA58" i="9" s="1"/>
  <c r="AZ62" i="9"/>
  <c r="BA62" i="9" s="1"/>
  <c r="AZ70" i="9"/>
  <c r="BA70" i="9" s="1"/>
  <c r="BD158" i="9"/>
  <c r="BD167" i="9"/>
  <c r="AZ243" i="9"/>
  <c r="BA243" i="9" s="1"/>
  <c r="AZ267" i="9"/>
  <c r="BA267" i="9" s="1"/>
  <c r="BD242" i="9"/>
  <c r="BD258" i="9"/>
  <c r="BD266" i="9"/>
  <c r="BD300" i="9"/>
  <c r="BD308" i="9"/>
  <c r="BD40" i="9"/>
  <c r="BD59" i="9"/>
  <c r="BD61" i="9"/>
  <c r="BD65" i="9"/>
  <c r="BD69" i="9"/>
  <c r="BD73" i="9"/>
  <c r="BD77" i="9"/>
  <c r="BD85" i="9"/>
  <c r="BD87" i="9"/>
  <c r="BD91" i="9"/>
  <c r="BD93" i="9"/>
  <c r="BD95" i="9"/>
  <c r="BD101" i="9"/>
  <c r="BD103" i="9"/>
  <c r="BD107" i="9"/>
  <c r="BD112" i="9"/>
  <c r="BD142" i="9"/>
  <c r="BD143" i="9"/>
  <c r="AZ260" i="9"/>
  <c r="BA260" i="9" s="1"/>
  <c r="AZ6" i="9"/>
  <c r="BA6" i="9" s="1"/>
  <c r="AZ48" i="9"/>
  <c r="BA48" i="9" s="1"/>
  <c r="AZ72" i="9"/>
  <c r="BA72" i="9" s="1"/>
  <c r="AZ88" i="9"/>
  <c r="BA88" i="9" s="1"/>
  <c r="AZ119" i="9"/>
  <c r="BA119" i="9" s="1"/>
  <c r="AZ126" i="9"/>
  <c r="BA126" i="9" s="1"/>
  <c r="AZ132" i="9"/>
  <c r="BA132" i="9" s="1"/>
  <c r="AZ136" i="9"/>
  <c r="BA136" i="9" s="1"/>
  <c r="BD168" i="9"/>
  <c r="BD179" i="9"/>
  <c r="BD180" i="9"/>
  <c r="BD186" i="9"/>
  <c r="BD197" i="9"/>
  <c r="BD198" i="9"/>
  <c r="BD199" i="9"/>
  <c r="AZ201" i="9"/>
  <c r="BA201" i="9" s="1"/>
  <c r="AZ205" i="9"/>
  <c r="BA205" i="9" s="1"/>
  <c r="AZ209" i="9"/>
  <c r="BA209" i="9" s="1"/>
  <c r="AZ211" i="9"/>
  <c r="BA211" i="9" s="1"/>
  <c r="AZ215" i="9"/>
  <c r="BA215" i="9" s="1"/>
  <c r="AZ219" i="9"/>
  <c r="BA219" i="9" s="1"/>
  <c r="AZ223" i="9"/>
  <c r="BA223" i="9" s="1"/>
  <c r="AZ235" i="9"/>
  <c r="BA235" i="9" s="1"/>
  <c r="BD262" i="9"/>
  <c r="BD292" i="9"/>
  <c r="BD24" i="9"/>
  <c r="BD6" i="9"/>
  <c r="BD124" i="9"/>
  <c r="BD133" i="9"/>
  <c r="AZ256" i="9"/>
  <c r="BA256" i="9" s="1"/>
  <c r="AZ298" i="9"/>
  <c r="BA298" i="9" s="1"/>
  <c r="AZ306" i="9"/>
  <c r="BA306" i="9" s="1"/>
  <c r="T4" i="9"/>
  <c r="Z407" i="9"/>
  <c r="Z19" i="9"/>
  <c r="AK19" i="9" s="1"/>
  <c r="AO19" i="9" s="1"/>
  <c r="Z54" i="9"/>
  <c r="AK54" i="9" s="1"/>
  <c r="Z109" i="9"/>
  <c r="AK109" i="9" s="1"/>
  <c r="AO109" i="9" s="1"/>
  <c r="Z51" i="9"/>
  <c r="AK51" i="9" s="1"/>
  <c r="AD96" i="9"/>
  <c r="AD19" i="9"/>
  <c r="AD109" i="9"/>
  <c r="AD51" i="9"/>
  <c r="AD112" i="9"/>
  <c r="Z104" i="9"/>
  <c r="AK104" i="9" s="1"/>
  <c r="Z80" i="9"/>
  <c r="AK80" i="9" s="1"/>
  <c r="Z64" i="9"/>
  <c r="AK64" i="9" s="1"/>
  <c r="AD315" i="9"/>
  <c r="AD72" i="9"/>
  <c r="Z261" i="9"/>
  <c r="AK261" i="9" s="1"/>
  <c r="AD141" i="9"/>
  <c r="Z131" i="9"/>
  <c r="AK131" i="9" s="1"/>
  <c r="AO131" i="9" s="1"/>
  <c r="AD209" i="9"/>
  <c r="Z129" i="9"/>
  <c r="AK129" i="9" s="1"/>
  <c r="AD233" i="9"/>
  <c r="AD281" i="9"/>
  <c r="AD198" i="9"/>
  <c r="AD129" i="9"/>
  <c r="AD136" i="9"/>
  <c r="AD164" i="9"/>
  <c r="Z114" i="9"/>
  <c r="AK114" i="9" s="1"/>
  <c r="Z270" i="9"/>
  <c r="AK270" i="9" s="1"/>
  <c r="AD125" i="9"/>
  <c r="AD201" i="9"/>
  <c r="Z280" i="9"/>
  <c r="AK280" i="9" s="1"/>
  <c r="Z177" i="9"/>
  <c r="AK177" i="9" s="1"/>
  <c r="AO177" i="9" s="1"/>
  <c r="Z230" i="9"/>
  <c r="AK230" i="9" s="1"/>
  <c r="Y4" i="9"/>
  <c r="AD303" i="9"/>
  <c r="Z97" i="9"/>
  <c r="AK97" i="9" s="1"/>
  <c r="Z89" i="9"/>
  <c r="AK89" i="9" s="1"/>
  <c r="Z43" i="9"/>
  <c r="AK43" i="9" s="1"/>
  <c r="AD31" i="9"/>
  <c r="Z56" i="9"/>
  <c r="AK56" i="9" s="1"/>
  <c r="Z113" i="9"/>
  <c r="AK113" i="9" s="1"/>
  <c r="Z137" i="9"/>
  <c r="AK137" i="9" s="1"/>
  <c r="AO137" i="9" s="1"/>
  <c r="Z225" i="9"/>
  <c r="AK225" i="9" s="1"/>
  <c r="Z125" i="9"/>
  <c r="AK125" i="9" s="1"/>
  <c r="Z162" i="9"/>
  <c r="AK162" i="9" s="1"/>
  <c r="AD162" i="9"/>
  <c r="Z154" i="9"/>
  <c r="AK154" i="9" s="1"/>
  <c r="AD154" i="9"/>
  <c r="Z105" i="9"/>
  <c r="AK105" i="9" s="1"/>
  <c r="Z28" i="9"/>
  <c r="AK28" i="9" s="1"/>
  <c r="Z254" i="9"/>
  <c r="AK254" i="9" s="1"/>
  <c r="AD105" i="9"/>
  <c r="Z81" i="9"/>
  <c r="AK81" i="9" s="1"/>
  <c r="AD157" i="9"/>
  <c r="AD155" i="9"/>
  <c r="AD285" i="9"/>
  <c r="AD167" i="9"/>
  <c r="Z207" i="9"/>
  <c r="AK207" i="9" s="1"/>
  <c r="Z241" i="9"/>
  <c r="AK241" i="9" s="1"/>
  <c r="Z277" i="9"/>
  <c r="AK277" i="9" s="1"/>
  <c r="AO277" i="9" s="1"/>
  <c r="Z116" i="9"/>
  <c r="AK116" i="9" s="1"/>
  <c r="AD131" i="9"/>
  <c r="AD223" i="9"/>
  <c r="Z239" i="9"/>
  <c r="AK239" i="9" s="1"/>
  <c r="Z281" i="9"/>
  <c r="AK281" i="9" s="1"/>
  <c r="AD176" i="9"/>
  <c r="Z164" i="9"/>
  <c r="AK164" i="9" s="1"/>
  <c r="AD88" i="9"/>
  <c r="Z96" i="9"/>
  <c r="AK96" i="9" s="1"/>
  <c r="AD312" i="9"/>
  <c r="Y312" i="9"/>
  <c r="Z309" i="9"/>
  <c r="AK309" i="9" s="1"/>
  <c r="Y309" i="9"/>
  <c r="AD311" i="9"/>
  <c r="Y311" i="9"/>
  <c r="AD314" i="9"/>
  <c r="Y314" i="9"/>
  <c r="AA197" i="9"/>
  <c r="AA133" i="9"/>
  <c r="AA87" i="9"/>
  <c r="AA95" i="9"/>
  <c r="AA103" i="9"/>
  <c r="AA216" i="9"/>
  <c r="AA58" i="9"/>
  <c r="AA39" i="9"/>
  <c r="AA309" i="9"/>
  <c r="AA6" i="9"/>
  <c r="AA27" i="9"/>
  <c r="AA11" i="9"/>
  <c r="AA54" i="9"/>
  <c r="AA89" i="9"/>
  <c r="AA77" i="9"/>
  <c r="AA40" i="9"/>
  <c r="AA308" i="9"/>
  <c r="AA306" i="9"/>
  <c r="AA81" i="9"/>
  <c r="AA24" i="9"/>
  <c r="AA8" i="9"/>
  <c r="AA298" i="9"/>
  <c r="AA112" i="9"/>
  <c r="AA64" i="9"/>
  <c r="AA101" i="9"/>
  <c r="AA311" i="9"/>
  <c r="AA45" i="9"/>
  <c r="AA163" i="9"/>
  <c r="AA187" i="9"/>
  <c r="AA198" i="9"/>
  <c r="AA149" i="9"/>
  <c r="AA143" i="9"/>
  <c r="AA199" i="9"/>
  <c r="AA209" i="9"/>
  <c r="AA113" i="9"/>
  <c r="AA223" i="9"/>
  <c r="AA136" i="9"/>
  <c r="AA132" i="9"/>
  <c r="AA114" i="9"/>
  <c r="X322" i="9"/>
  <c r="Z410" i="9"/>
  <c r="AA155" i="9"/>
  <c r="AA179" i="9"/>
  <c r="AA65" i="9"/>
  <c r="AA73" i="9"/>
  <c r="AA303" i="9"/>
  <c r="AA167" i="9"/>
  <c r="AA59" i="9"/>
  <c r="AA219" i="9"/>
  <c r="AA211" i="9"/>
  <c r="AA295" i="9"/>
  <c r="AA91" i="9"/>
  <c r="AA107" i="9"/>
  <c r="AA119" i="9"/>
  <c r="AA293" i="9"/>
  <c r="AA205" i="9"/>
  <c r="AA62" i="9"/>
  <c r="AA70" i="9"/>
  <c r="AA307" i="9"/>
  <c r="AA31" i="9"/>
  <c r="AA38" i="9"/>
  <c r="AA300" i="9"/>
  <c r="AA93" i="9"/>
  <c r="AA85" i="9"/>
  <c r="AA51" i="9"/>
  <c r="AA35" i="9"/>
  <c r="AA48" i="9"/>
  <c r="AA32" i="9"/>
  <c r="AA16" i="9"/>
  <c r="AA315" i="9"/>
  <c r="AA104" i="9"/>
  <c r="AA88" i="9"/>
  <c r="AA72" i="9"/>
  <c r="AA69" i="9"/>
  <c r="AA61" i="9"/>
  <c r="AA220" i="9"/>
  <c r="AA204" i="9"/>
  <c r="AA210" i="9"/>
  <c r="AA292" i="9"/>
  <c r="AA201" i="9"/>
  <c r="AA218" i="9"/>
  <c r="AA225" i="9"/>
  <c r="AA215" i="9"/>
  <c r="AA124" i="9"/>
  <c r="AA158" i="9"/>
  <c r="AA142" i="9"/>
  <c r="AA168" i="9"/>
  <c r="AA180" i="9"/>
  <c r="AA186" i="9"/>
  <c r="AA126" i="9"/>
  <c r="AA271" i="9"/>
  <c r="AA258" i="9"/>
  <c r="AA273" i="9"/>
  <c r="AA275" i="9"/>
  <c r="AA266" i="9"/>
  <c r="AA260" i="9"/>
  <c r="AA262" i="9"/>
  <c r="AA267" i="9"/>
  <c r="AA268" i="9"/>
  <c r="AA269" i="9"/>
  <c r="AA256" i="9"/>
  <c r="AA243" i="9"/>
  <c r="AA237" i="9"/>
  <c r="AA253" i="9"/>
  <c r="AA254" i="9"/>
  <c r="AA242" i="9"/>
  <c r="AA249" i="9"/>
  <c r="AA235" i="9"/>
  <c r="X340" i="9"/>
  <c r="Z246" i="9"/>
  <c r="AK246" i="9" s="1"/>
  <c r="Z252" i="9"/>
  <c r="AK252" i="9" s="1"/>
  <c r="Z233" i="9"/>
  <c r="AK233" i="9" s="1"/>
  <c r="AO233" i="9" s="1"/>
  <c r="AA241" i="9"/>
  <c r="V438" i="9"/>
  <c r="V340" i="9"/>
  <c r="AA230" i="9"/>
  <c r="AA289" i="9"/>
  <c r="AA287" i="9"/>
  <c r="AA283" i="9"/>
  <c r="AA285" i="9"/>
  <c r="AA280" i="9"/>
  <c r="AA162" i="9"/>
  <c r="Z146" i="9"/>
  <c r="AK146" i="9" s="1"/>
  <c r="AD146" i="9"/>
  <c r="Z141" i="9"/>
  <c r="AK141" i="9" s="1"/>
  <c r="Z157" i="9"/>
  <c r="AK157" i="9" s="1"/>
  <c r="AO157" i="9" s="1"/>
  <c r="Z176" i="9"/>
  <c r="AK176" i="9" s="1"/>
  <c r="Z120" i="9"/>
  <c r="AK120" i="9" s="1"/>
  <c r="AD215" i="9"/>
  <c r="AD116" i="9"/>
  <c r="AB263" i="9"/>
  <c r="AD126" i="9"/>
  <c r="AB289" i="9"/>
  <c r="AO289" i="9" s="1"/>
  <c r="BB289" i="9" s="1"/>
  <c r="AB276" i="9"/>
  <c r="AB103" i="9"/>
  <c r="AO103" i="9" s="1"/>
  <c r="BB103" i="9" s="1"/>
  <c r="AB107" i="9"/>
  <c r="AO107" i="9" s="1"/>
  <c r="BB107" i="9" s="1"/>
  <c r="AB111" i="9"/>
  <c r="AB196" i="9"/>
  <c r="AB293" i="9"/>
  <c r="AO293" i="9" s="1"/>
  <c r="BB293" i="9" s="1"/>
  <c r="AB184" i="9"/>
  <c r="AB193" i="9"/>
  <c r="AB221" i="9"/>
  <c r="AB127" i="9"/>
  <c r="Z405" i="9"/>
  <c r="Z408" i="9"/>
  <c r="Z406" i="9"/>
  <c r="Z404" i="9"/>
  <c r="Z165" i="9"/>
  <c r="AK165" i="9" s="1"/>
  <c r="AD165" i="9"/>
  <c r="AD226" i="9"/>
  <c r="Z226" i="9"/>
  <c r="AK226" i="9" s="1"/>
  <c r="AD236" i="9"/>
  <c r="Z236" i="9"/>
  <c r="AK236" i="9" s="1"/>
  <c r="AB161" i="9"/>
  <c r="AD161" i="9"/>
  <c r="Z161" i="9"/>
  <c r="AK161" i="9" s="1"/>
  <c r="AB185" i="9"/>
  <c r="Z185" i="9"/>
  <c r="AK185" i="9" s="1"/>
  <c r="AD185" i="9"/>
  <c r="AD208" i="9"/>
  <c r="Z208" i="9"/>
  <c r="AK208" i="9" s="1"/>
  <c r="Z231" i="9"/>
  <c r="AK231" i="9" s="1"/>
  <c r="AD231" i="9"/>
  <c r="Z247" i="9"/>
  <c r="AK247" i="9" s="1"/>
  <c r="AD247" i="9"/>
  <c r="AB282" i="9"/>
  <c r="AD282" i="9"/>
  <c r="Z282" i="9"/>
  <c r="AK282" i="9" s="1"/>
  <c r="Z12" i="9"/>
  <c r="AK12" i="9" s="1"/>
  <c r="AD12" i="9"/>
  <c r="Z20" i="9"/>
  <c r="AK20" i="9" s="1"/>
  <c r="AD20" i="9"/>
  <c r="AB140" i="9"/>
  <c r="Z140" i="9"/>
  <c r="AK140" i="9" s="1"/>
  <c r="AB224" i="9"/>
  <c r="AD224" i="9"/>
  <c r="Z224" i="9"/>
  <c r="AK224" i="9" s="1"/>
  <c r="AD200" i="9"/>
  <c r="Z200" i="9"/>
  <c r="AK200" i="9" s="1"/>
  <c r="AD284" i="9"/>
  <c r="Z284" i="9"/>
  <c r="AK284" i="9" s="1"/>
  <c r="AB294" i="9"/>
  <c r="AD294" i="9"/>
  <c r="Z294" i="9"/>
  <c r="AK294" i="9" s="1"/>
  <c r="AB123" i="9"/>
  <c r="Z123" i="9"/>
  <c r="AK123" i="9" s="1"/>
  <c r="AD222" i="9"/>
  <c r="Z222" i="9"/>
  <c r="AK222" i="9" s="1"/>
  <c r="AB68" i="9"/>
  <c r="Z68" i="9"/>
  <c r="AK68" i="9" s="1"/>
  <c r="AB76" i="9"/>
  <c r="Z76" i="9"/>
  <c r="AK76" i="9" s="1"/>
  <c r="AB84" i="9"/>
  <c r="Z84" i="9"/>
  <c r="AK84" i="9" s="1"/>
  <c r="AB92" i="9"/>
  <c r="Z92" i="9"/>
  <c r="AK92" i="9" s="1"/>
  <c r="AB100" i="9"/>
  <c r="Z100" i="9"/>
  <c r="AK100" i="9" s="1"/>
  <c r="AB108" i="9"/>
  <c r="Z108" i="9"/>
  <c r="AK108" i="9" s="1"/>
  <c r="AB299" i="9"/>
  <c r="AD299" i="9"/>
  <c r="AB316" i="9"/>
  <c r="AD316" i="9"/>
  <c r="AB255" i="9"/>
  <c r="Z255" i="9"/>
  <c r="AK255" i="9" s="1"/>
  <c r="AB298" i="9"/>
  <c r="AO298" i="9" s="1"/>
  <c r="BB298" i="9" s="1"/>
  <c r="AD298" i="9"/>
  <c r="U4" i="9"/>
  <c r="R1" i="9"/>
  <c r="R4" i="9"/>
  <c r="R300" i="9" s="1"/>
  <c r="AB172" i="9"/>
  <c r="AB273" i="9"/>
  <c r="AO273" i="9" s="1"/>
  <c r="BB273" i="9" s="1"/>
  <c r="AB145" i="9"/>
  <c r="AB192" i="9"/>
  <c r="AB259" i="9"/>
  <c r="Z23" i="9"/>
  <c r="AK23" i="9" s="1"/>
  <c r="Z15" i="9"/>
  <c r="AK15" i="9" s="1"/>
  <c r="Z7" i="9"/>
  <c r="AK7" i="9" s="1"/>
  <c r="Z46" i="9"/>
  <c r="AK46" i="9" s="1"/>
  <c r="AD107" i="9"/>
  <c r="AD103" i="9"/>
  <c r="AD73" i="9"/>
  <c r="Z299" i="9"/>
  <c r="AK299" i="9" s="1"/>
  <c r="AD100" i="9"/>
  <c r="AD92" i="9"/>
  <c r="AD84" i="9"/>
  <c r="AD76" i="9"/>
  <c r="AD23" i="9"/>
  <c r="AD15" i="9"/>
  <c r="AD59" i="9"/>
  <c r="Z314" i="9"/>
  <c r="AK314" i="9" s="1"/>
  <c r="AD269" i="9"/>
  <c r="AD65" i="9"/>
  <c r="AD68" i="9"/>
  <c r="Z316" i="9"/>
  <c r="AK316" i="9" s="1"/>
  <c r="AD255" i="9"/>
  <c r="Z53" i="9"/>
  <c r="AK53" i="9" s="1"/>
  <c r="Z37" i="9"/>
  <c r="AK37" i="9" s="1"/>
  <c r="AB5" i="9"/>
  <c r="X404" i="9"/>
  <c r="Z5" i="9"/>
  <c r="AK5" i="9" s="1"/>
  <c r="AD123" i="9"/>
  <c r="AD179" i="9"/>
  <c r="AD137" i="9"/>
  <c r="AD225" i="9"/>
  <c r="AD241" i="9"/>
  <c r="AD280" i="9"/>
  <c r="AD177" i="9"/>
  <c r="Z160" i="9"/>
  <c r="AK160" i="9" s="1"/>
  <c r="Z188" i="9"/>
  <c r="AK188" i="9" s="1"/>
  <c r="AB290" i="9"/>
  <c r="AD290" i="9"/>
  <c r="Z290" i="9"/>
  <c r="AK290" i="9" s="1"/>
  <c r="AB168" i="9"/>
  <c r="AO168" i="9" s="1"/>
  <c r="BB168" i="9" s="1"/>
  <c r="AD168" i="9"/>
  <c r="AB240" i="9"/>
  <c r="AD240" i="9"/>
  <c r="Z240" i="9"/>
  <c r="AK240" i="9" s="1"/>
  <c r="AB297" i="9"/>
  <c r="Z297" i="9"/>
  <c r="AK297" i="9" s="1"/>
  <c r="AD297" i="9"/>
  <c r="AD58" i="9"/>
  <c r="Z47" i="9"/>
  <c r="AK47" i="9" s="1"/>
  <c r="AD17" i="9"/>
  <c r="AD309" i="9"/>
  <c r="Z319" i="9"/>
  <c r="AK319" i="9" s="1"/>
  <c r="AD318" i="9"/>
  <c r="V324" i="9"/>
  <c r="V418" i="9"/>
  <c r="V428" i="9"/>
  <c r="AB279" i="9"/>
  <c r="AB275" i="9"/>
  <c r="AO275" i="9" s="1"/>
  <c r="BB275" i="9" s="1"/>
  <c r="AB152" i="9"/>
  <c r="AB257" i="9"/>
  <c r="AB128" i="9"/>
  <c r="AB144" i="9"/>
  <c r="AB21" i="9"/>
  <c r="AB25" i="9"/>
  <c r="AB29" i="9"/>
  <c r="Z130" i="9"/>
  <c r="AK130" i="9" s="1"/>
  <c r="AD130" i="9"/>
  <c r="V423" i="9"/>
  <c r="V443" i="9" s="1"/>
  <c r="V433" i="9"/>
  <c r="W150" i="9"/>
  <c r="Y150" i="9"/>
  <c r="AD150" i="9"/>
  <c r="AB150" i="9"/>
  <c r="Z150" i="9"/>
  <c r="AK150" i="9" s="1"/>
  <c r="Y138" i="9"/>
  <c r="W138" i="9"/>
  <c r="AD138" i="9"/>
  <c r="AB138" i="9"/>
  <c r="Z138" i="9"/>
  <c r="AK138" i="9" s="1"/>
  <c r="W194" i="9"/>
  <c r="Y194" i="9"/>
  <c r="Z194" i="9"/>
  <c r="AK194" i="9" s="1"/>
  <c r="AD194" i="9"/>
  <c r="AB194" i="9"/>
  <c r="AO194" i="9" s="1"/>
  <c r="Y190" i="9"/>
  <c r="W190" i="9"/>
  <c r="Z190" i="9"/>
  <c r="AK190" i="9" s="1"/>
  <c r="AD190" i="9"/>
  <c r="AB190" i="9"/>
  <c r="AO190" i="9" s="1"/>
  <c r="Y182" i="9"/>
  <c r="W182" i="9"/>
  <c r="AB182" i="9"/>
  <c r="Z182" i="9"/>
  <c r="AK182" i="9" s="1"/>
  <c r="AD182" i="9"/>
  <c r="W166" i="9"/>
  <c r="Y166" i="9"/>
  <c r="AD166" i="9"/>
  <c r="Z166" i="9"/>
  <c r="AK166" i="9" s="1"/>
  <c r="AB166" i="9"/>
  <c r="W134" i="9"/>
  <c r="Y134" i="9"/>
  <c r="AD134" i="9"/>
  <c r="Z134" i="9"/>
  <c r="AK134" i="9" s="1"/>
  <c r="AB134" i="9"/>
  <c r="R185" i="9"/>
  <c r="R132" i="9"/>
  <c r="R161" i="9"/>
  <c r="R92" i="9"/>
  <c r="R58" i="9"/>
  <c r="R33" i="9"/>
  <c r="Y250" i="9"/>
  <c r="W250" i="9"/>
  <c r="W291" i="9"/>
  <c r="Y291" i="9"/>
  <c r="Y189" i="9"/>
  <c r="W189" i="9"/>
  <c r="W227" i="9"/>
  <c r="Y227" i="9"/>
  <c r="W251" i="9"/>
  <c r="Y251" i="9"/>
  <c r="AB191" i="9"/>
  <c r="Y191" i="9"/>
  <c r="W191" i="9"/>
  <c r="Y286" i="9"/>
  <c r="W286" i="9"/>
  <c r="AB159" i="9"/>
  <c r="Y159" i="9"/>
  <c r="W159" i="9"/>
  <c r="Y169" i="9"/>
  <c r="W169" i="9"/>
  <c r="AB44" i="9"/>
  <c r="W44" i="9"/>
  <c r="Y44" i="9"/>
  <c r="Y10" i="9"/>
  <c r="W10" i="9"/>
  <c r="Y18" i="9"/>
  <c r="W18" i="9"/>
  <c r="Y26" i="9"/>
  <c r="W26" i="9"/>
  <c r="Y34" i="9"/>
  <c r="W34" i="9"/>
  <c r="W49" i="9"/>
  <c r="Y49" i="9"/>
  <c r="Y63" i="9"/>
  <c r="W63" i="9"/>
  <c r="Y71" i="9"/>
  <c r="W71" i="9"/>
  <c r="Y79" i="9"/>
  <c r="W79" i="9"/>
  <c r="AB99" i="9"/>
  <c r="W99" i="9"/>
  <c r="Y99" i="9"/>
  <c r="Y265" i="9"/>
  <c r="W265" i="9"/>
  <c r="AB301" i="9"/>
  <c r="Y301" i="9"/>
  <c r="W301" i="9"/>
  <c r="W310" i="9"/>
  <c r="W117" i="9"/>
  <c r="Y117" i="9"/>
  <c r="AB203" i="9"/>
  <c r="W203" i="9"/>
  <c r="Y203" i="9"/>
  <c r="Y148" i="9"/>
  <c r="W148" i="9"/>
  <c r="Y248" i="9"/>
  <c r="W248" i="9"/>
  <c r="W229" i="9"/>
  <c r="Y229" i="9"/>
  <c r="W245" i="9"/>
  <c r="Y245" i="9"/>
  <c r="AB181" i="9"/>
  <c r="Y181" i="9"/>
  <c r="W181" i="9"/>
  <c r="AB50" i="9"/>
  <c r="Y50" i="9"/>
  <c r="W50" i="9"/>
  <c r="AB55" i="9"/>
  <c r="Y55" i="9"/>
  <c r="W55" i="9"/>
  <c r="W66" i="9"/>
  <c r="Y66" i="9"/>
  <c r="Y74" i="9"/>
  <c r="W74" i="9"/>
  <c r="Y82" i="9"/>
  <c r="W82" i="9"/>
  <c r="Y90" i="9"/>
  <c r="W90" i="9"/>
  <c r="Y98" i="9"/>
  <c r="W98" i="9"/>
  <c r="W106" i="9"/>
  <c r="Y106" i="9"/>
  <c r="Y110" i="9"/>
  <c r="W110" i="9"/>
  <c r="Y274" i="9"/>
  <c r="W274" i="9"/>
  <c r="AB304" i="9"/>
  <c r="W304" i="9"/>
  <c r="Y304" i="9"/>
  <c r="Y264" i="9"/>
  <c r="W264" i="9"/>
  <c r="W272" i="9"/>
  <c r="Y272" i="9"/>
  <c r="AB302" i="9"/>
  <c r="Y302" i="9"/>
  <c r="W302" i="9"/>
  <c r="Z264" i="9"/>
  <c r="AK264" i="9" s="1"/>
  <c r="Z317" i="9"/>
  <c r="AK317" i="9" s="1"/>
  <c r="AD39" i="9"/>
  <c r="AD310" i="9"/>
  <c r="Z102" i="9"/>
  <c r="AK102" i="9" s="1"/>
  <c r="Z98" i="9"/>
  <c r="AK98" i="9" s="1"/>
  <c r="Z94" i="9"/>
  <c r="AK94" i="9" s="1"/>
  <c r="Z90" i="9"/>
  <c r="AK90" i="9" s="1"/>
  <c r="Z86" i="9"/>
  <c r="AK86" i="9" s="1"/>
  <c r="Z82" i="9"/>
  <c r="AK82" i="9" s="1"/>
  <c r="AD50" i="9"/>
  <c r="AD304" i="9"/>
  <c r="Z111" i="9"/>
  <c r="AK111" i="9" s="1"/>
  <c r="Z99" i="9"/>
  <c r="AK99" i="9" s="1"/>
  <c r="Z55" i="9"/>
  <c r="AK55" i="9" s="1"/>
  <c r="Z310" i="9"/>
  <c r="AK310" i="9" s="1"/>
  <c r="AD110" i="9"/>
  <c r="AD106" i="9"/>
  <c r="AD98" i="9"/>
  <c r="AD90" i="9"/>
  <c r="AD82" i="9"/>
  <c r="AD74" i="9"/>
  <c r="AD70" i="9"/>
  <c r="AD66" i="9"/>
  <c r="AD62" i="9"/>
  <c r="AD301" i="9"/>
  <c r="AD272" i="9"/>
  <c r="AD265" i="9"/>
  <c r="Z50" i="9"/>
  <c r="AK50" i="9" s="1"/>
  <c r="Z304" i="9"/>
  <c r="AK304" i="9" s="1"/>
  <c r="Z74" i="9"/>
  <c r="AK74" i="9" s="1"/>
  <c r="Z66" i="9"/>
  <c r="AK66" i="9" s="1"/>
  <c r="AD274" i="9"/>
  <c r="AD79" i="9"/>
  <c r="AD71" i="9"/>
  <c r="AD63" i="9"/>
  <c r="AD49" i="9"/>
  <c r="AD34" i="9"/>
  <c r="AD26" i="9"/>
  <c r="AD18" i="9"/>
  <c r="AD10" i="9"/>
  <c r="AD119" i="9"/>
  <c r="AD133" i="9"/>
  <c r="AD181" i="9"/>
  <c r="AD216" i="9"/>
  <c r="AD197" i="9"/>
  <c r="AD203" i="9"/>
  <c r="AD205" i="9"/>
  <c r="AD211" i="9"/>
  <c r="Z276" i="9"/>
  <c r="AK276" i="9" s="1"/>
  <c r="Z117" i="9"/>
  <c r="AK117" i="9" s="1"/>
  <c r="Z145" i="9"/>
  <c r="AK145" i="9" s="1"/>
  <c r="Z193" i="9"/>
  <c r="AK193" i="9" s="1"/>
  <c r="AD227" i="9"/>
  <c r="AD229" i="9"/>
  <c r="AD235" i="9"/>
  <c r="AD237" i="9"/>
  <c r="AD243" i="9"/>
  <c r="AD245" i="9"/>
  <c r="AD251" i="9"/>
  <c r="AD253" i="9"/>
  <c r="AD287" i="9"/>
  <c r="AD289" i="9"/>
  <c r="AD291" i="9"/>
  <c r="AD293" i="9"/>
  <c r="AD295" i="9"/>
  <c r="Z181" i="9"/>
  <c r="AK181" i="9" s="1"/>
  <c r="AD159" i="9"/>
  <c r="AD191" i="9"/>
  <c r="Z203" i="9"/>
  <c r="AK203" i="9" s="1"/>
  <c r="AD117" i="9"/>
  <c r="Z227" i="9"/>
  <c r="AK227" i="9" s="1"/>
  <c r="Z229" i="9"/>
  <c r="AK229" i="9" s="1"/>
  <c r="Z245" i="9"/>
  <c r="AK245" i="9" s="1"/>
  <c r="Z251" i="9"/>
  <c r="AK251" i="9" s="1"/>
  <c r="Z291" i="9"/>
  <c r="AK291" i="9" s="1"/>
  <c r="Z118" i="9"/>
  <c r="AK118" i="9" s="1"/>
  <c r="V320" i="9"/>
  <c r="X410" i="9" s="1"/>
  <c r="Z279" i="9"/>
  <c r="AK279" i="9" s="1"/>
  <c r="AD148" i="9"/>
  <c r="W158" i="9"/>
  <c r="Y158" i="9"/>
  <c r="W142" i="9"/>
  <c r="Y142" i="9"/>
  <c r="Y174" i="9"/>
  <c r="W174" i="9"/>
  <c r="Z174" i="9"/>
  <c r="AK174" i="9" s="1"/>
  <c r="Y186" i="9"/>
  <c r="W186" i="9"/>
  <c r="Y170" i="9"/>
  <c r="W170" i="9"/>
  <c r="Y122" i="9"/>
  <c r="W122" i="9"/>
  <c r="W146" i="9"/>
  <c r="Y146" i="9"/>
  <c r="V332" i="9"/>
  <c r="W162" i="9"/>
  <c r="Y162" i="9"/>
  <c r="V336" i="9"/>
  <c r="AB165" i="9"/>
  <c r="AO165" i="9" s="1"/>
  <c r="Y165" i="9"/>
  <c r="W165" i="9"/>
  <c r="W124" i="9"/>
  <c r="Y124" i="9"/>
  <c r="Y226" i="9"/>
  <c r="W226" i="9"/>
  <c r="Y242" i="9"/>
  <c r="W242" i="9"/>
  <c r="AB142" i="9"/>
  <c r="AO142" i="9" s="1"/>
  <c r="BB142" i="9" s="1"/>
  <c r="AB207" i="9"/>
  <c r="AO207" i="9" s="1"/>
  <c r="W207" i="9"/>
  <c r="Y207" i="9"/>
  <c r="Y236" i="9"/>
  <c r="W236" i="9"/>
  <c r="Y252" i="9"/>
  <c r="W252" i="9"/>
  <c r="AB146" i="9"/>
  <c r="AO146" i="9" s="1"/>
  <c r="AB198" i="9"/>
  <c r="AO198" i="9" s="1"/>
  <c r="BB198" i="9" s="1"/>
  <c r="Y198" i="9"/>
  <c r="W198" i="9"/>
  <c r="W223" i="9"/>
  <c r="Y223" i="9"/>
  <c r="W231" i="9"/>
  <c r="Y231" i="9"/>
  <c r="W239" i="9"/>
  <c r="Y239" i="9"/>
  <c r="W247" i="9"/>
  <c r="Y247" i="9"/>
  <c r="AB186" i="9"/>
  <c r="AO186" i="9" s="1"/>
  <c r="BB186" i="9" s="1"/>
  <c r="AB143" i="9"/>
  <c r="AO143" i="9" s="1"/>
  <c r="BB143" i="9" s="1"/>
  <c r="Y143" i="9"/>
  <c r="W143" i="9"/>
  <c r="AB163" i="9"/>
  <c r="AO163" i="9" s="1"/>
  <c r="BB163" i="9" s="1"/>
  <c r="W163" i="9"/>
  <c r="Y163" i="9"/>
  <c r="AB204" i="9"/>
  <c r="AO204" i="9" s="1"/>
  <c r="BB204" i="9" s="1"/>
  <c r="Y204" i="9"/>
  <c r="W204" i="9"/>
  <c r="AB48" i="9"/>
  <c r="AO48" i="9" s="1"/>
  <c r="BB48" i="9" s="1"/>
  <c r="Y48" i="9"/>
  <c r="W48" i="9"/>
  <c r="AB8" i="9"/>
  <c r="AO8" i="9" s="1"/>
  <c r="BB8" i="9" s="1"/>
  <c r="W8" i="9"/>
  <c r="Y8" i="9"/>
  <c r="AB16" i="9"/>
  <c r="AO16" i="9" s="1"/>
  <c r="BB16" i="9" s="1"/>
  <c r="W16" i="9"/>
  <c r="Y16" i="9"/>
  <c r="AB24" i="9"/>
  <c r="AO24" i="9" s="1"/>
  <c r="BB24" i="9" s="1"/>
  <c r="W24" i="9"/>
  <c r="Y24" i="9"/>
  <c r="AB32" i="9"/>
  <c r="AO32" i="9" s="1"/>
  <c r="BB32" i="9" s="1"/>
  <c r="W32" i="9"/>
  <c r="Y32" i="9"/>
  <c r="Y37" i="9"/>
  <c r="W37" i="9"/>
  <c r="Y45" i="9"/>
  <c r="W45" i="9"/>
  <c r="Y53" i="9"/>
  <c r="W53" i="9"/>
  <c r="W61" i="9"/>
  <c r="Y61" i="9"/>
  <c r="AB69" i="9"/>
  <c r="AO69" i="9" s="1"/>
  <c r="BB69" i="9" s="1"/>
  <c r="Y69" i="9"/>
  <c r="W69" i="9"/>
  <c r="AB77" i="9"/>
  <c r="AO77" i="9" s="1"/>
  <c r="BB77" i="9" s="1"/>
  <c r="Y77" i="9"/>
  <c r="W77" i="9"/>
  <c r="AB85" i="9"/>
  <c r="AO85" i="9" s="1"/>
  <c r="BB85" i="9" s="1"/>
  <c r="W85" i="9"/>
  <c r="Y85" i="9"/>
  <c r="AB93" i="9"/>
  <c r="AO93" i="9" s="1"/>
  <c r="BB93" i="9" s="1"/>
  <c r="Y93" i="9"/>
  <c r="W93" i="9"/>
  <c r="AB101" i="9"/>
  <c r="AO101" i="9" s="1"/>
  <c r="BB101" i="9" s="1"/>
  <c r="Y101" i="9"/>
  <c r="W101" i="9"/>
  <c r="Y262" i="9"/>
  <c r="W262" i="9"/>
  <c r="Y270" i="9"/>
  <c r="W270" i="9"/>
  <c r="Y269" i="9"/>
  <c r="W269" i="9"/>
  <c r="AB300" i="9"/>
  <c r="AO300" i="9" s="1"/>
  <c r="BB300" i="9" s="1"/>
  <c r="W300" i="9"/>
  <c r="Y300" i="9"/>
  <c r="AB307" i="9"/>
  <c r="AO307" i="9" s="1"/>
  <c r="BB307" i="9" s="1"/>
  <c r="W307" i="9"/>
  <c r="Y307" i="9"/>
  <c r="W311" i="9"/>
  <c r="W315" i="9"/>
  <c r="Y113" i="9"/>
  <c r="W113" i="9"/>
  <c r="Y136" i="9"/>
  <c r="W136" i="9"/>
  <c r="W160" i="9"/>
  <c r="Y160" i="9"/>
  <c r="Y230" i="9"/>
  <c r="W230" i="9"/>
  <c r="Y246" i="9"/>
  <c r="W246" i="9"/>
  <c r="AB209" i="9"/>
  <c r="AO209" i="9" s="1"/>
  <c r="BB209" i="9" s="1"/>
  <c r="W209" i="9"/>
  <c r="Y209" i="9"/>
  <c r="W283" i="9"/>
  <c r="Y283" i="9"/>
  <c r="Y132" i="9"/>
  <c r="W132" i="9"/>
  <c r="Y180" i="9"/>
  <c r="W180" i="9"/>
  <c r="AB210" i="9"/>
  <c r="AO210" i="9" s="1"/>
  <c r="BB210" i="9" s="1"/>
  <c r="Y210" i="9"/>
  <c r="W210" i="9"/>
  <c r="W285" i="9"/>
  <c r="Y285" i="9"/>
  <c r="W188" i="9"/>
  <c r="Y188" i="9"/>
  <c r="Y218" i="9"/>
  <c r="W218" i="9"/>
  <c r="Y284" i="9"/>
  <c r="W284" i="9"/>
  <c r="Y292" i="9"/>
  <c r="W292" i="9"/>
  <c r="Y294" i="9"/>
  <c r="W294" i="9"/>
  <c r="Y114" i="9"/>
  <c r="W114" i="9"/>
  <c r="W123" i="9"/>
  <c r="Y123" i="9"/>
  <c r="AB167" i="9"/>
  <c r="AO167" i="9" s="1"/>
  <c r="BB167" i="9" s="1"/>
  <c r="Y167" i="9"/>
  <c r="W167" i="9"/>
  <c r="AB222" i="9"/>
  <c r="AO222" i="9" s="1"/>
  <c r="Y222" i="9"/>
  <c r="W222" i="9"/>
  <c r="AB46" i="9"/>
  <c r="AO46" i="9" s="1"/>
  <c r="W46" i="9"/>
  <c r="Y46" i="9"/>
  <c r="AB7" i="9"/>
  <c r="AO7" i="9" s="1"/>
  <c r="W7" i="9"/>
  <c r="Y7" i="9"/>
  <c r="X324" i="9"/>
  <c r="Y11" i="9"/>
  <c r="W11" i="9"/>
  <c r="Y15" i="9"/>
  <c r="W15" i="9"/>
  <c r="W19" i="9"/>
  <c r="Y19" i="9"/>
  <c r="Y23" i="9"/>
  <c r="W23" i="9"/>
  <c r="Y27" i="9"/>
  <c r="W27" i="9"/>
  <c r="Y31" i="9"/>
  <c r="W31" i="9"/>
  <c r="AB43" i="9"/>
  <c r="AO43" i="9" s="1"/>
  <c r="W43" i="9"/>
  <c r="Y43" i="9"/>
  <c r="X328" i="9"/>
  <c r="Y51" i="9"/>
  <c r="W51" i="9"/>
  <c r="Y268" i="9"/>
  <c r="W268" i="9"/>
  <c r="W267" i="9"/>
  <c r="Y267" i="9"/>
  <c r="AB308" i="9"/>
  <c r="AO308" i="9" s="1"/>
  <c r="BB308" i="9" s="1"/>
  <c r="W308" i="9"/>
  <c r="Y308" i="9"/>
  <c r="W316" i="9"/>
  <c r="Y316" i="9"/>
  <c r="W271" i="9"/>
  <c r="Y271" i="9"/>
  <c r="AB306" i="9"/>
  <c r="AO306" i="9" s="1"/>
  <c r="BB306" i="9" s="1"/>
  <c r="Y306" i="9"/>
  <c r="W306" i="9"/>
  <c r="X320" i="9"/>
  <c r="X412" i="9" s="1"/>
  <c r="W6" i="9"/>
  <c r="AB170" i="9"/>
  <c r="AB147" i="9"/>
  <c r="W147" i="9"/>
  <c r="Y147" i="9"/>
  <c r="Y234" i="9"/>
  <c r="W234" i="9"/>
  <c r="AB133" i="9"/>
  <c r="AO133" i="9" s="1"/>
  <c r="BB133" i="9" s="1"/>
  <c r="Y133" i="9"/>
  <c r="W133" i="9"/>
  <c r="AB211" i="9"/>
  <c r="AO211" i="9" s="1"/>
  <c r="BB211" i="9" s="1"/>
  <c r="W211" i="9"/>
  <c r="Y211" i="9"/>
  <c r="AB171" i="9"/>
  <c r="W171" i="9"/>
  <c r="Y171" i="9"/>
  <c r="AB202" i="9"/>
  <c r="Y202" i="9"/>
  <c r="W202" i="9"/>
  <c r="W235" i="9"/>
  <c r="Y235" i="9"/>
  <c r="W243" i="9"/>
  <c r="Y243" i="9"/>
  <c r="Y219" i="9"/>
  <c r="W219" i="9"/>
  <c r="W295" i="9"/>
  <c r="Y295" i="9"/>
  <c r="Y118" i="9"/>
  <c r="W118" i="9"/>
  <c r="Y214" i="9"/>
  <c r="W214" i="9"/>
  <c r="AB60" i="9"/>
  <c r="W60" i="9"/>
  <c r="Y60" i="9"/>
  <c r="W14" i="9"/>
  <c r="Y14" i="9"/>
  <c r="W22" i="9"/>
  <c r="Y22" i="9"/>
  <c r="W30" i="9"/>
  <c r="Y30" i="9"/>
  <c r="W41" i="9"/>
  <c r="Y41" i="9"/>
  <c r="W57" i="9"/>
  <c r="Y57" i="9"/>
  <c r="W67" i="9"/>
  <c r="Y67" i="9"/>
  <c r="W75" i="9"/>
  <c r="Y75" i="9"/>
  <c r="W83" i="9"/>
  <c r="Y83" i="9"/>
  <c r="AB91" i="9"/>
  <c r="AO91" i="9" s="1"/>
  <c r="BB91" i="9" s="1"/>
  <c r="Y91" i="9"/>
  <c r="W91" i="9"/>
  <c r="W266" i="9"/>
  <c r="Y266" i="9"/>
  <c r="W305" i="9"/>
  <c r="Y305" i="9"/>
  <c r="AB317" i="9"/>
  <c r="AO317" i="9" s="1"/>
  <c r="Y317" i="9"/>
  <c r="W317" i="9"/>
  <c r="W156" i="9"/>
  <c r="Y156" i="9"/>
  <c r="W287" i="9"/>
  <c r="Y287" i="9"/>
  <c r="Y232" i="9"/>
  <c r="W232" i="9"/>
  <c r="AB206" i="9"/>
  <c r="Y206" i="9"/>
  <c r="W206" i="9"/>
  <c r="W237" i="9"/>
  <c r="Y237" i="9"/>
  <c r="W253" i="9"/>
  <c r="Y253" i="9"/>
  <c r="Y173" i="9"/>
  <c r="W173" i="9"/>
  <c r="AB205" i="9"/>
  <c r="AO205" i="9" s="1"/>
  <c r="BB205" i="9" s="1"/>
  <c r="W205" i="9"/>
  <c r="Y205" i="9"/>
  <c r="AB39" i="9"/>
  <c r="AO39" i="9" s="1"/>
  <c r="BB39" i="9" s="1"/>
  <c r="Y39" i="9"/>
  <c r="W39" i="9"/>
  <c r="W62" i="9"/>
  <c r="Y62" i="9"/>
  <c r="W70" i="9"/>
  <c r="Y70" i="9"/>
  <c r="Y78" i="9"/>
  <c r="W78" i="9"/>
  <c r="Y86" i="9"/>
  <c r="W86" i="9"/>
  <c r="Y94" i="9"/>
  <c r="W94" i="9"/>
  <c r="Y102" i="9"/>
  <c r="W102" i="9"/>
  <c r="W279" i="9"/>
  <c r="Y279" i="9"/>
  <c r="Y275" i="9"/>
  <c r="W275" i="9"/>
  <c r="Y115" i="9"/>
  <c r="W115" i="9"/>
  <c r="AB197" i="9"/>
  <c r="AO197" i="9" s="1"/>
  <c r="BB197" i="9" s="1"/>
  <c r="W197" i="9"/>
  <c r="Y197" i="9"/>
  <c r="W217" i="9"/>
  <c r="Y217" i="9"/>
  <c r="AB234" i="9"/>
  <c r="AB250" i="9"/>
  <c r="AB151" i="9"/>
  <c r="Y151" i="9"/>
  <c r="W151" i="9"/>
  <c r="W172" i="9"/>
  <c r="Y172" i="9"/>
  <c r="Y228" i="9"/>
  <c r="W228" i="9"/>
  <c r="Y244" i="9"/>
  <c r="W244" i="9"/>
  <c r="AB291" i="9"/>
  <c r="AO291" i="9" s="1"/>
  <c r="AB135" i="9"/>
  <c r="Y135" i="9"/>
  <c r="W135" i="9"/>
  <c r="Y152" i="9"/>
  <c r="W152" i="9"/>
  <c r="AB183" i="9"/>
  <c r="Y183" i="9"/>
  <c r="W183" i="9"/>
  <c r="AB189" i="9"/>
  <c r="AB212" i="9"/>
  <c r="Y212" i="9"/>
  <c r="W212" i="9"/>
  <c r="AB227" i="9"/>
  <c r="AO227" i="9" s="1"/>
  <c r="AB235" i="9"/>
  <c r="AO235" i="9" s="1"/>
  <c r="BB235" i="9" s="1"/>
  <c r="AB243" i="9"/>
  <c r="AO243" i="9" s="1"/>
  <c r="BB243" i="9" s="1"/>
  <c r="AB251" i="9"/>
  <c r="AO251" i="9" s="1"/>
  <c r="W289" i="9"/>
  <c r="Y289" i="9"/>
  <c r="AB219" i="9"/>
  <c r="AO219" i="9" s="1"/>
  <c r="BB219" i="9" s="1"/>
  <c r="AB286" i="9"/>
  <c r="W276" i="9"/>
  <c r="Y276" i="9"/>
  <c r="AB295" i="9"/>
  <c r="AO295" i="9" s="1"/>
  <c r="BB295" i="9" s="1"/>
  <c r="AB118" i="9"/>
  <c r="AO118" i="9" s="1"/>
  <c r="AB139" i="9"/>
  <c r="W139" i="9"/>
  <c r="Y139" i="9"/>
  <c r="Y153" i="9"/>
  <c r="W153" i="9"/>
  <c r="AB169" i="9"/>
  <c r="AB214" i="9"/>
  <c r="AB36" i="9"/>
  <c r="W36" i="9"/>
  <c r="Y36" i="9"/>
  <c r="AB52" i="9"/>
  <c r="W52" i="9"/>
  <c r="Y52" i="9"/>
  <c r="AB10" i="9"/>
  <c r="AB14" i="9"/>
  <c r="AB18" i="9"/>
  <c r="AB22" i="9"/>
  <c r="AB26" i="9"/>
  <c r="AB30" i="9"/>
  <c r="AB34" i="9"/>
  <c r="AB41" i="9"/>
  <c r="AB49" i="9"/>
  <c r="AB57" i="9"/>
  <c r="AB63" i="9"/>
  <c r="AB67" i="9"/>
  <c r="AB71" i="9"/>
  <c r="AB75" i="9"/>
  <c r="AB79" i="9"/>
  <c r="AB83" i="9"/>
  <c r="AB87" i="9"/>
  <c r="AO87" i="9" s="1"/>
  <c r="BB87" i="9" s="1"/>
  <c r="Y87" i="9"/>
  <c r="W87" i="9"/>
  <c r="AB95" i="9"/>
  <c r="AO95" i="9" s="1"/>
  <c r="BB95" i="9" s="1"/>
  <c r="Y95" i="9"/>
  <c r="W95" i="9"/>
  <c r="Y103" i="9"/>
  <c r="W103" i="9"/>
  <c r="Y107" i="9"/>
  <c r="W107" i="9"/>
  <c r="W111" i="9"/>
  <c r="Y111" i="9"/>
  <c r="AB258" i="9"/>
  <c r="AO258" i="9" s="1"/>
  <c r="BB258" i="9" s="1"/>
  <c r="Y258" i="9"/>
  <c r="W258" i="9"/>
  <c r="AB266" i="9"/>
  <c r="AO266" i="9" s="1"/>
  <c r="BB266" i="9" s="1"/>
  <c r="Y257" i="9"/>
  <c r="W257" i="9"/>
  <c r="AB265" i="9"/>
  <c r="Y273" i="9"/>
  <c r="W273" i="9"/>
  <c r="AB305" i="9"/>
  <c r="AB310" i="9"/>
  <c r="AO310" i="9" s="1"/>
  <c r="AB313" i="9"/>
  <c r="W313" i="9"/>
  <c r="AB117" i="9"/>
  <c r="AO117" i="9" s="1"/>
  <c r="AB156" i="9"/>
  <c r="AB119" i="9"/>
  <c r="AO119" i="9" s="1"/>
  <c r="BB119" i="9" s="1"/>
  <c r="Y119" i="9"/>
  <c r="W119" i="9"/>
  <c r="W145" i="9"/>
  <c r="Y145" i="9"/>
  <c r="W192" i="9"/>
  <c r="Y192" i="9"/>
  <c r="Y238" i="9"/>
  <c r="W238" i="9"/>
  <c r="AB287" i="9"/>
  <c r="AO287" i="9" s="1"/>
  <c r="BB287" i="9" s="1"/>
  <c r="AB148" i="9"/>
  <c r="AB175" i="9"/>
  <c r="Y175" i="9"/>
  <c r="W175" i="9"/>
  <c r="Y213" i="9"/>
  <c r="W213" i="9"/>
  <c r="AB232" i="9"/>
  <c r="AB248" i="9"/>
  <c r="W128" i="9"/>
  <c r="Y128" i="9"/>
  <c r="W144" i="9"/>
  <c r="Y144" i="9"/>
  <c r="Y196" i="9"/>
  <c r="W196" i="9"/>
  <c r="AB216" i="9"/>
  <c r="AO216" i="9" s="1"/>
  <c r="BB216" i="9" s="1"/>
  <c r="Y216" i="9"/>
  <c r="W216" i="9"/>
  <c r="AB229" i="9"/>
  <c r="AO229" i="9" s="1"/>
  <c r="AB237" i="9"/>
  <c r="AO237" i="9" s="1"/>
  <c r="BB237" i="9" s="1"/>
  <c r="AB245" i="9"/>
  <c r="AO245" i="9" s="1"/>
  <c r="AB253" i="9"/>
  <c r="AO253" i="9" s="1"/>
  <c r="BB253" i="9" s="1"/>
  <c r="W293" i="9"/>
  <c r="Y293" i="9"/>
  <c r="Y184" i="9"/>
  <c r="W184" i="9"/>
  <c r="W193" i="9"/>
  <c r="Y193" i="9"/>
  <c r="Y221" i="9"/>
  <c r="W221" i="9"/>
  <c r="Y288" i="9"/>
  <c r="W288" i="9"/>
  <c r="W278" i="9"/>
  <c r="Y278" i="9"/>
  <c r="Y296" i="9"/>
  <c r="W296" i="9"/>
  <c r="Y121" i="9"/>
  <c r="W121" i="9"/>
  <c r="Y127" i="9"/>
  <c r="W127" i="9"/>
  <c r="AB173" i="9"/>
  <c r="AB195" i="9"/>
  <c r="W195" i="9"/>
  <c r="Y195" i="9"/>
  <c r="AB42" i="9"/>
  <c r="Y42" i="9"/>
  <c r="W42" i="9"/>
  <c r="AB58" i="9"/>
  <c r="AO58" i="9" s="1"/>
  <c r="BB58" i="9" s="1"/>
  <c r="W58" i="9"/>
  <c r="Y58" i="9"/>
  <c r="X332" i="9"/>
  <c r="Y9" i="9"/>
  <c r="W9" i="9"/>
  <c r="Y13" i="9"/>
  <c r="W13" i="9"/>
  <c r="W17" i="9"/>
  <c r="Y17" i="9"/>
  <c r="Y21" i="9"/>
  <c r="W21" i="9"/>
  <c r="Y25" i="9"/>
  <c r="W25" i="9"/>
  <c r="Y29" i="9"/>
  <c r="W29" i="9"/>
  <c r="W33" i="9"/>
  <c r="Y33" i="9"/>
  <c r="AB47" i="9"/>
  <c r="AO47" i="9" s="1"/>
  <c r="W47" i="9"/>
  <c r="Y47" i="9"/>
  <c r="AB62" i="9"/>
  <c r="AO62" i="9" s="1"/>
  <c r="BB62" i="9" s="1"/>
  <c r="AB66" i="9"/>
  <c r="AO66" i="9" s="1"/>
  <c r="AB70" i="9"/>
  <c r="AO70" i="9" s="1"/>
  <c r="BB70" i="9" s="1"/>
  <c r="AB74" i="9"/>
  <c r="AO74" i="9" s="1"/>
  <c r="AB78" i="9"/>
  <c r="AB82" i="9"/>
  <c r="AO82" i="9" s="1"/>
  <c r="AB86" i="9"/>
  <c r="AO86" i="9" s="1"/>
  <c r="AB90" i="9"/>
  <c r="AO90" i="9" s="1"/>
  <c r="AB94" i="9"/>
  <c r="AO94" i="9" s="1"/>
  <c r="AB98" i="9"/>
  <c r="AO98" i="9" s="1"/>
  <c r="AB102" i="9"/>
  <c r="AO102" i="9" s="1"/>
  <c r="AB106" i="9"/>
  <c r="AB110" i="9"/>
  <c r="AB260" i="9"/>
  <c r="AO260" i="9" s="1"/>
  <c r="BB260" i="9" s="1"/>
  <c r="W260" i="9"/>
  <c r="Y260" i="9"/>
  <c r="W259" i="9"/>
  <c r="Y259" i="9"/>
  <c r="AB274" i="9"/>
  <c r="AB312" i="9"/>
  <c r="W312" i="9"/>
  <c r="W319" i="9"/>
  <c r="Y319" i="9"/>
  <c r="AB264" i="9"/>
  <c r="AO264" i="9" s="1"/>
  <c r="W263" i="9"/>
  <c r="Y263" i="9"/>
  <c r="AB272" i="9"/>
  <c r="AB309" i="9"/>
  <c r="AO309" i="9" s="1"/>
  <c r="W309" i="9"/>
  <c r="Y318" i="9"/>
  <c r="W318" i="9"/>
  <c r="AD258" i="9"/>
  <c r="AD13" i="9"/>
  <c r="AD9" i="9"/>
  <c r="AD60" i="9"/>
  <c r="Z42" i="9"/>
  <c r="AK42" i="9" s="1"/>
  <c r="AD99" i="9"/>
  <c r="AD95" i="9"/>
  <c r="AD91" i="9"/>
  <c r="AD87" i="9"/>
  <c r="AD55" i="9"/>
  <c r="Z110" i="9"/>
  <c r="AK110" i="9" s="1"/>
  <c r="Z106" i="9"/>
  <c r="AK106" i="9" s="1"/>
  <c r="Z301" i="9"/>
  <c r="AK301" i="9" s="1"/>
  <c r="AD264" i="9"/>
  <c r="AD260" i="9"/>
  <c r="Z33" i="9"/>
  <c r="AK33" i="9" s="1"/>
  <c r="Z29" i="9"/>
  <c r="AK29" i="9" s="1"/>
  <c r="Z25" i="9"/>
  <c r="AK25" i="9" s="1"/>
  <c r="Z21" i="9"/>
  <c r="AK21" i="9" s="1"/>
  <c r="Z17" i="9"/>
  <c r="AK17" i="9" s="1"/>
  <c r="Z13" i="9"/>
  <c r="AK13" i="9" s="1"/>
  <c r="Z9" i="9"/>
  <c r="AK9" i="9" s="1"/>
  <c r="Z60" i="9"/>
  <c r="AK60" i="9" s="1"/>
  <c r="Z52" i="9"/>
  <c r="AK52" i="9" s="1"/>
  <c r="Z44" i="9"/>
  <c r="AK44" i="9" s="1"/>
  <c r="Z36" i="9"/>
  <c r="AK36" i="9" s="1"/>
  <c r="Z313" i="9"/>
  <c r="AK313" i="9" s="1"/>
  <c r="Z302" i="9"/>
  <c r="AK302" i="9" s="1"/>
  <c r="AD319" i="9"/>
  <c r="AD273" i="9"/>
  <c r="Z305" i="9"/>
  <c r="AK305" i="9" s="1"/>
  <c r="Z318" i="9"/>
  <c r="AK318" i="9" s="1"/>
  <c r="Z274" i="9"/>
  <c r="AK274" i="9" s="1"/>
  <c r="Z263" i="9"/>
  <c r="AK263" i="9" s="1"/>
  <c r="Z259" i="9"/>
  <c r="AK259" i="9" s="1"/>
  <c r="Z79" i="9"/>
  <c r="AK79" i="9" s="1"/>
  <c r="Z71" i="9"/>
  <c r="AK71" i="9" s="1"/>
  <c r="Z63" i="9"/>
  <c r="AK63" i="9" s="1"/>
  <c r="Z57" i="9"/>
  <c r="AK57" i="9" s="1"/>
  <c r="Z49" i="9"/>
  <c r="AK49" i="9" s="1"/>
  <c r="Z41" i="9"/>
  <c r="AK41" i="9" s="1"/>
  <c r="Z34" i="9"/>
  <c r="AK34" i="9" s="1"/>
  <c r="Z26" i="9"/>
  <c r="AK26" i="9" s="1"/>
  <c r="Z18" i="9"/>
  <c r="AK18" i="9" s="1"/>
  <c r="Z10" i="9"/>
  <c r="AK10" i="9" s="1"/>
  <c r="AD266" i="9"/>
  <c r="AD33" i="9"/>
  <c r="AD52" i="9"/>
  <c r="AD44" i="9"/>
  <c r="AD313" i="9"/>
  <c r="AD302" i="9"/>
  <c r="Z78" i="9"/>
  <c r="AK78" i="9" s="1"/>
  <c r="AD305" i="9"/>
  <c r="Z312" i="9"/>
  <c r="AK312" i="9" s="1"/>
  <c r="Z272" i="9"/>
  <c r="AK272" i="9" s="1"/>
  <c r="Z265" i="9"/>
  <c r="AK265" i="9" s="1"/>
  <c r="Z257" i="9"/>
  <c r="AK257" i="9" s="1"/>
  <c r="Z83" i="9"/>
  <c r="AK83" i="9" s="1"/>
  <c r="Z75" i="9"/>
  <c r="AK75" i="9" s="1"/>
  <c r="Z67" i="9"/>
  <c r="AK67" i="9" s="1"/>
  <c r="Z30" i="9"/>
  <c r="AK30" i="9" s="1"/>
  <c r="Z22" i="9"/>
  <c r="AK22" i="9" s="1"/>
  <c r="Z14" i="9"/>
  <c r="AK14" i="9" s="1"/>
  <c r="Z115" i="9"/>
  <c r="AK115" i="9" s="1"/>
  <c r="Y5" i="9"/>
  <c r="W5" i="9"/>
  <c r="AD5" i="9"/>
  <c r="AD115" i="9"/>
  <c r="AD173" i="9"/>
  <c r="AD189" i="9"/>
  <c r="Z139" i="9"/>
  <c r="AK139" i="9" s="1"/>
  <c r="Z147" i="9"/>
  <c r="AK147" i="9" s="1"/>
  <c r="Z171" i="9"/>
  <c r="AK171" i="9" s="1"/>
  <c r="Z195" i="9"/>
  <c r="AK195" i="9" s="1"/>
  <c r="Z202" i="9"/>
  <c r="AK202" i="9" s="1"/>
  <c r="Z206" i="9"/>
  <c r="AK206" i="9" s="1"/>
  <c r="AD212" i="9"/>
  <c r="AD121" i="9"/>
  <c r="AD153" i="9"/>
  <c r="AD169" i="9"/>
  <c r="AD214" i="9"/>
  <c r="Z228" i="9"/>
  <c r="AK228" i="9" s="1"/>
  <c r="Z232" i="9"/>
  <c r="AK232" i="9" s="1"/>
  <c r="Z234" i="9"/>
  <c r="AK234" i="9" s="1"/>
  <c r="Z238" i="9"/>
  <c r="AK238" i="9" s="1"/>
  <c r="AO238" i="9" s="1"/>
  <c r="Z244" i="9"/>
  <c r="AK244" i="9" s="1"/>
  <c r="Z248" i="9"/>
  <c r="AK248" i="9" s="1"/>
  <c r="Z250" i="9"/>
  <c r="AK250" i="9" s="1"/>
  <c r="Z278" i="9"/>
  <c r="AK278" i="9" s="1"/>
  <c r="Z286" i="9"/>
  <c r="AK286" i="9" s="1"/>
  <c r="Z288" i="9"/>
  <c r="AK288" i="9" s="1"/>
  <c r="Z296" i="9"/>
  <c r="AK296" i="9" s="1"/>
  <c r="Z170" i="9"/>
  <c r="AK170" i="9" s="1"/>
  <c r="Z173" i="9"/>
  <c r="AK173" i="9" s="1"/>
  <c r="Z189" i="9"/>
  <c r="AK189" i="9" s="1"/>
  <c r="Z127" i="9"/>
  <c r="AK127" i="9" s="1"/>
  <c r="Z135" i="9"/>
  <c r="AK135" i="9" s="1"/>
  <c r="Z151" i="9"/>
  <c r="AK151" i="9" s="1"/>
  <c r="Z159" i="9"/>
  <c r="AK159" i="9" s="1"/>
  <c r="Z175" i="9"/>
  <c r="AK175" i="9" s="1"/>
  <c r="Z183" i="9"/>
  <c r="AK183" i="9" s="1"/>
  <c r="Z191" i="9"/>
  <c r="AK191" i="9" s="1"/>
  <c r="AD202" i="9"/>
  <c r="AD206" i="9"/>
  <c r="Z212" i="9"/>
  <c r="AK212" i="9" s="1"/>
  <c r="Z121" i="9"/>
  <c r="AK121" i="9" s="1"/>
  <c r="Z153" i="9"/>
  <c r="AK153" i="9" s="1"/>
  <c r="Z169" i="9"/>
  <c r="AK169" i="9" s="1"/>
  <c r="Z214" i="9"/>
  <c r="AK214" i="9" s="1"/>
  <c r="AD228" i="9"/>
  <c r="AD232" i="9"/>
  <c r="AD234" i="9"/>
  <c r="AD238" i="9"/>
  <c r="AD244" i="9"/>
  <c r="AD248" i="9"/>
  <c r="AD250" i="9"/>
  <c r="AD278" i="9"/>
  <c r="AD286" i="9"/>
  <c r="AD288" i="9"/>
  <c r="AD296" i="9"/>
  <c r="Z122" i="9"/>
  <c r="AK122" i="9" s="1"/>
  <c r="AD275" i="9"/>
  <c r="Z217" i="9"/>
  <c r="AK217" i="9" s="1"/>
  <c r="AO217" i="9" s="1"/>
  <c r="AD219" i="9"/>
  <c r="AD213" i="9"/>
  <c r="AD186" i="9"/>
  <c r="AD170" i="9"/>
  <c r="Z192" i="9"/>
  <c r="AK192" i="9" s="1"/>
  <c r="Z144" i="9"/>
  <c r="AK144" i="9" s="1"/>
  <c r="Z128" i="9"/>
  <c r="AK128" i="9" s="1"/>
  <c r="Z172" i="9"/>
  <c r="AK172" i="9" s="1"/>
  <c r="Z156" i="9"/>
  <c r="AK156" i="9" s="1"/>
  <c r="Y178" i="9"/>
  <c r="W178" i="9"/>
  <c r="Y154" i="9"/>
  <c r="W154" i="9"/>
  <c r="Y297" i="9"/>
  <c r="W297" i="9"/>
  <c r="Z221" i="9"/>
  <c r="AK221" i="9" s="1"/>
  <c r="AD217" i="9"/>
  <c r="Z213" i="9"/>
  <c r="AK213" i="9" s="1"/>
  <c r="AO213" i="9" s="1"/>
  <c r="Z178" i="9"/>
  <c r="AK178" i="9" s="1"/>
  <c r="AD158" i="9"/>
  <c r="AD142" i="9"/>
  <c r="AD122" i="9"/>
  <c r="Z184" i="9"/>
  <c r="AK184" i="9" s="1"/>
  <c r="Z152" i="9"/>
  <c r="AK152" i="9" s="1"/>
  <c r="Z196" i="9"/>
  <c r="AK196" i="9" s="1"/>
  <c r="Z148" i="9"/>
  <c r="AK148" i="9" s="1"/>
  <c r="W126" i="9"/>
  <c r="Y126" i="9"/>
  <c r="V328" i="9"/>
  <c r="W130" i="9"/>
  <c r="Y130" i="9"/>
  <c r="M320" i="9"/>
  <c r="W277" i="9"/>
  <c r="Y277" i="9"/>
  <c r="Y141" i="9"/>
  <c r="W141" i="9"/>
  <c r="Y125" i="9"/>
  <c r="W125" i="9"/>
  <c r="Y120" i="9"/>
  <c r="W120" i="9"/>
  <c r="Y157" i="9"/>
  <c r="W157" i="9"/>
  <c r="W131" i="9"/>
  <c r="Y131" i="9"/>
  <c r="W116" i="9"/>
  <c r="Y116" i="9"/>
  <c r="AB122" i="9"/>
  <c r="AB158" i="9"/>
  <c r="AO158" i="9" s="1"/>
  <c r="BB158" i="9" s="1"/>
  <c r="AB124" i="9"/>
  <c r="AO124" i="9" s="1"/>
  <c r="BB124" i="9" s="1"/>
  <c r="AB174" i="9"/>
  <c r="AO174" i="9" s="1"/>
  <c r="AB201" i="9"/>
  <c r="AO201" i="9" s="1"/>
  <c r="BB201" i="9" s="1"/>
  <c r="W201" i="9"/>
  <c r="Y201" i="9"/>
  <c r="AB226" i="9"/>
  <c r="AO226" i="9" s="1"/>
  <c r="AB242" i="9"/>
  <c r="AO242" i="9" s="1"/>
  <c r="BB242" i="9" s="1"/>
  <c r="W129" i="9"/>
  <c r="Y129" i="9"/>
  <c r="Y164" i="9"/>
  <c r="W164" i="9"/>
  <c r="AB220" i="9"/>
  <c r="AO220" i="9" s="1"/>
  <c r="BB220" i="9" s="1"/>
  <c r="W220" i="9"/>
  <c r="Y220" i="9"/>
  <c r="AB236" i="9"/>
  <c r="AO236" i="9" s="1"/>
  <c r="AB252" i="9"/>
  <c r="AO252" i="9" s="1"/>
  <c r="W161" i="9"/>
  <c r="Y161" i="9"/>
  <c r="W176" i="9"/>
  <c r="Y176" i="9"/>
  <c r="Y185" i="9"/>
  <c r="W185" i="9"/>
  <c r="AB208" i="9"/>
  <c r="AO208" i="9" s="1"/>
  <c r="Y208" i="9"/>
  <c r="W208" i="9"/>
  <c r="AB223" i="9"/>
  <c r="AO223" i="9" s="1"/>
  <c r="BB223" i="9" s="1"/>
  <c r="AB231" i="9"/>
  <c r="AO231" i="9" s="1"/>
  <c r="AB239" i="9"/>
  <c r="AO239" i="9" s="1"/>
  <c r="AB247" i="9"/>
  <c r="AO247" i="9" s="1"/>
  <c r="W281" i="9"/>
  <c r="Y281" i="9"/>
  <c r="W215" i="9"/>
  <c r="Y215" i="9"/>
  <c r="X336" i="9"/>
  <c r="Y282" i="9"/>
  <c r="W282" i="9"/>
  <c r="Y290" i="9"/>
  <c r="W290" i="9"/>
  <c r="Y280" i="9"/>
  <c r="W280" i="9"/>
  <c r="Y137" i="9"/>
  <c r="W137" i="9"/>
  <c r="AB155" i="9"/>
  <c r="AO155" i="9" s="1"/>
  <c r="BB155" i="9" s="1"/>
  <c r="W155" i="9"/>
  <c r="Y155" i="9"/>
  <c r="AB179" i="9"/>
  <c r="AO179" i="9" s="1"/>
  <c r="BB179" i="9" s="1"/>
  <c r="W179" i="9"/>
  <c r="Y179" i="9"/>
  <c r="AB40" i="9"/>
  <c r="AO40" i="9" s="1"/>
  <c r="BB40" i="9" s="1"/>
  <c r="Y40" i="9"/>
  <c r="W40" i="9"/>
  <c r="AB56" i="9"/>
  <c r="AO56" i="9" s="1"/>
  <c r="Y56" i="9"/>
  <c r="W56" i="9"/>
  <c r="AB12" i="9"/>
  <c r="AO12" i="9" s="1"/>
  <c r="Y12" i="9"/>
  <c r="W12" i="9"/>
  <c r="AB20" i="9"/>
  <c r="AO20" i="9" s="1"/>
  <c r="Y20" i="9"/>
  <c r="W20" i="9"/>
  <c r="AB28" i="9"/>
  <c r="AO28" i="9" s="1"/>
  <c r="W28" i="9"/>
  <c r="Y28" i="9"/>
  <c r="AB37" i="9"/>
  <c r="AO37" i="9" s="1"/>
  <c r="AB45" i="9"/>
  <c r="AO45" i="9" s="1"/>
  <c r="BB45" i="9" s="1"/>
  <c r="AB53" i="9"/>
  <c r="AO53" i="9" s="1"/>
  <c r="AB61" i="9"/>
  <c r="AO61" i="9" s="1"/>
  <c r="BB61" i="9" s="1"/>
  <c r="AB65" i="9"/>
  <c r="AO65" i="9" s="1"/>
  <c r="BB65" i="9" s="1"/>
  <c r="W65" i="9"/>
  <c r="Y65" i="9"/>
  <c r="AB73" i="9"/>
  <c r="AO73" i="9" s="1"/>
  <c r="BB73" i="9" s="1"/>
  <c r="Y73" i="9"/>
  <c r="W73" i="9"/>
  <c r="AB81" i="9"/>
  <c r="AO81" i="9" s="1"/>
  <c r="W81" i="9"/>
  <c r="Y81" i="9"/>
  <c r="AB89" i="9"/>
  <c r="AO89" i="9" s="1"/>
  <c r="W89" i="9"/>
  <c r="Y89" i="9"/>
  <c r="AB97" i="9"/>
  <c r="AO97" i="9" s="1"/>
  <c r="W97" i="9"/>
  <c r="Y97" i="9"/>
  <c r="W105" i="9"/>
  <c r="Y105" i="9"/>
  <c r="Y109" i="9"/>
  <c r="W109" i="9"/>
  <c r="AB254" i="9"/>
  <c r="AO254" i="9" s="1"/>
  <c r="W254" i="9"/>
  <c r="Y254" i="9"/>
  <c r="AB262" i="9"/>
  <c r="AO262" i="9" s="1"/>
  <c r="BB262" i="9" s="1"/>
  <c r="AB270" i="9"/>
  <c r="AO270" i="9" s="1"/>
  <c r="Y261" i="9"/>
  <c r="W261" i="9"/>
  <c r="AB269" i="9"/>
  <c r="AO269" i="9" s="1"/>
  <c r="BB269" i="9" s="1"/>
  <c r="AB303" i="9"/>
  <c r="AO303" i="9" s="1"/>
  <c r="BB303" i="9" s="1"/>
  <c r="W303" i="9"/>
  <c r="Y303" i="9"/>
  <c r="AB311" i="9"/>
  <c r="AO311" i="9" s="1"/>
  <c r="BB311" i="9" s="1"/>
  <c r="AB315" i="9"/>
  <c r="AO315" i="9" s="1"/>
  <c r="BB315" i="9" s="1"/>
  <c r="AB113" i="9"/>
  <c r="AO113" i="9" s="1"/>
  <c r="AB136" i="9"/>
  <c r="AO136" i="9" s="1"/>
  <c r="BB136" i="9" s="1"/>
  <c r="AB162" i="9"/>
  <c r="AO162" i="9" s="1"/>
  <c r="AB126" i="9"/>
  <c r="AO126" i="9" s="1"/>
  <c r="BB126" i="9" s="1"/>
  <c r="AB160" i="9"/>
  <c r="AO160" i="9" s="1"/>
  <c r="AB199" i="9"/>
  <c r="AO199" i="9" s="1"/>
  <c r="BB199" i="9" s="1"/>
  <c r="W199" i="9"/>
  <c r="Y199" i="9"/>
  <c r="AB230" i="9"/>
  <c r="AO230" i="9" s="1"/>
  <c r="AB246" i="9"/>
  <c r="AO246" i="9" s="1"/>
  <c r="W140" i="9"/>
  <c r="Y140" i="9"/>
  <c r="Y168" i="9"/>
  <c r="W168" i="9"/>
  <c r="W177" i="9"/>
  <c r="Y177" i="9"/>
  <c r="Y224" i="9"/>
  <c r="W224" i="9"/>
  <c r="Y240" i="9"/>
  <c r="W240" i="9"/>
  <c r="AB283" i="9"/>
  <c r="AO283" i="9" s="1"/>
  <c r="BB283" i="9" s="1"/>
  <c r="AB132" i="9"/>
  <c r="AO132" i="9" s="1"/>
  <c r="BB132" i="9" s="1"/>
  <c r="AB154" i="9"/>
  <c r="AO154" i="9" s="1"/>
  <c r="AB180" i="9"/>
  <c r="AO180" i="9" s="1"/>
  <c r="BB180" i="9" s="1"/>
  <c r="AB200" i="9"/>
  <c r="AO200" i="9" s="1"/>
  <c r="Y200" i="9"/>
  <c r="W200" i="9"/>
  <c r="W225" i="9"/>
  <c r="Y225" i="9"/>
  <c r="W233" i="9"/>
  <c r="Y233" i="9"/>
  <c r="W241" i="9"/>
  <c r="Y241" i="9"/>
  <c r="W249" i="9"/>
  <c r="Y249" i="9"/>
  <c r="AB285" i="9"/>
  <c r="AO285" i="9" s="1"/>
  <c r="BB285" i="9" s="1"/>
  <c r="AB178" i="9"/>
  <c r="AO178" i="9" s="1"/>
  <c r="AB188" i="9"/>
  <c r="AO188" i="9" s="1"/>
  <c r="AB218" i="9"/>
  <c r="AO218" i="9" s="1"/>
  <c r="BB218" i="9" s="1"/>
  <c r="AB284" i="9"/>
  <c r="AO284" i="9" s="1"/>
  <c r="AB292" i="9"/>
  <c r="AO292" i="9" s="1"/>
  <c r="BB292" i="9" s="1"/>
  <c r="AB149" i="9"/>
  <c r="AO149" i="9" s="1"/>
  <c r="BB149" i="9" s="1"/>
  <c r="Y149" i="9"/>
  <c r="W149" i="9"/>
  <c r="AB187" i="9"/>
  <c r="AO187" i="9" s="1"/>
  <c r="BB187" i="9" s="1"/>
  <c r="W187" i="9"/>
  <c r="Y187" i="9"/>
  <c r="AB38" i="9"/>
  <c r="AO38" i="9" s="1"/>
  <c r="BB38" i="9" s="1"/>
  <c r="W38" i="9"/>
  <c r="Y38" i="9"/>
  <c r="AB54" i="9"/>
  <c r="AO54" i="9" s="1"/>
  <c r="W54" i="9"/>
  <c r="Y54" i="9"/>
  <c r="AB35" i="9"/>
  <c r="AO35" i="9" s="1"/>
  <c r="BB35" i="9" s="1"/>
  <c r="Y35" i="9"/>
  <c r="W35" i="9"/>
  <c r="AB59" i="9"/>
  <c r="AO59" i="9" s="1"/>
  <c r="BB59" i="9" s="1"/>
  <c r="W59" i="9"/>
  <c r="Y59" i="9"/>
  <c r="Y64" i="9"/>
  <c r="W64" i="9"/>
  <c r="Y68" i="9"/>
  <c r="W68" i="9"/>
  <c r="Y72" i="9"/>
  <c r="W72" i="9"/>
  <c r="W76" i="9"/>
  <c r="Y76" i="9"/>
  <c r="Y80" i="9"/>
  <c r="W80" i="9"/>
  <c r="Y84" i="9"/>
  <c r="W84" i="9"/>
  <c r="Y88" i="9"/>
  <c r="W88" i="9"/>
  <c r="Y92" i="9"/>
  <c r="W92" i="9"/>
  <c r="Y96" i="9"/>
  <c r="W96" i="9"/>
  <c r="Y100" i="9"/>
  <c r="W100" i="9"/>
  <c r="W104" i="9"/>
  <c r="Y104" i="9"/>
  <c r="Y108" i="9"/>
  <c r="W108" i="9"/>
  <c r="Y112" i="9"/>
  <c r="W112" i="9"/>
  <c r="AB268" i="9"/>
  <c r="AO268" i="9" s="1"/>
  <c r="BB268" i="9" s="1"/>
  <c r="AB267" i="9"/>
  <c r="AO267" i="9" s="1"/>
  <c r="BB267" i="9" s="1"/>
  <c r="Y299" i="9"/>
  <c r="W299" i="9"/>
  <c r="AB256" i="9"/>
  <c r="AO256" i="9" s="1"/>
  <c r="BB256" i="9" s="1"/>
  <c r="W256" i="9"/>
  <c r="Y256" i="9"/>
  <c r="W255" i="9"/>
  <c r="Y255" i="9"/>
  <c r="AB271" i="9"/>
  <c r="AO271" i="9" s="1"/>
  <c r="BB271" i="9" s="1"/>
  <c r="W298" i="9"/>
  <c r="Y298" i="9"/>
  <c r="AB314" i="9"/>
  <c r="AO314" i="9" s="1"/>
  <c r="W314" i="9"/>
  <c r="AO106" i="9" l="1"/>
  <c r="AO52" i="9"/>
  <c r="AO297" i="9"/>
  <c r="AK324" i="9"/>
  <c r="AO312" i="9"/>
  <c r="AO195" i="9"/>
  <c r="AO83" i="9"/>
  <c r="AO67" i="9"/>
  <c r="AO22" i="9"/>
  <c r="AO234" i="9"/>
  <c r="AO206" i="9"/>
  <c r="AO147" i="9"/>
  <c r="AO304" i="9"/>
  <c r="AO166" i="9"/>
  <c r="AO150" i="9"/>
  <c r="AA270" i="9"/>
  <c r="AA129" i="9"/>
  <c r="AA131" i="9"/>
  <c r="AA19" i="9"/>
  <c r="AA97" i="9"/>
  <c r="BD237" i="9"/>
  <c r="AM152" i="9"/>
  <c r="AL152" i="9"/>
  <c r="AJ152" i="9"/>
  <c r="AQ152" i="9"/>
  <c r="AL221" i="9"/>
  <c r="AJ221" i="9"/>
  <c r="AQ221" i="9"/>
  <c r="AM221" i="9"/>
  <c r="AM144" i="9"/>
  <c r="AJ144" i="9"/>
  <c r="AL144" i="9"/>
  <c r="AQ144" i="9"/>
  <c r="AL122" i="9"/>
  <c r="AJ122" i="9"/>
  <c r="AQ122" i="9"/>
  <c r="AM122" i="9"/>
  <c r="AJ214" i="9"/>
  <c r="AL214" i="9"/>
  <c r="AM214" i="9"/>
  <c r="AQ214" i="9"/>
  <c r="AJ212" i="9"/>
  <c r="AL212" i="9"/>
  <c r="AM212" i="9"/>
  <c r="AQ212" i="9"/>
  <c r="AJ159" i="9"/>
  <c r="AL159" i="9"/>
  <c r="AQ159" i="9"/>
  <c r="AM159" i="9"/>
  <c r="AO122" i="9"/>
  <c r="AJ196" i="9"/>
  <c r="AL196" i="9"/>
  <c r="AM196" i="9"/>
  <c r="AQ196" i="9"/>
  <c r="AJ184" i="9"/>
  <c r="AL184" i="9"/>
  <c r="AQ184" i="9"/>
  <c r="AM184" i="9"/>
  <c r="AJ178" i="9"/>
  <c r="AL178" i="9"/>
  <c r="AQ178" i="9"/>
  <c r="AM178" i="9"/>
  <c r="AL156" i="9"/>
  <c r="AJ156" i="9"/>
  <c r="AM156" i="9"/>
  <c r="AQ156" i="9"/>
  <c r="AL128" i="9"/>
  <c r="AJ128" i="9"/>
  <c r="AM128" i="9"/>
  <c r="AQ128" i="9"/>
  <c r="AJ192" i="9"/>
  <c r="AL192" i="9"/>
  <c r="AM192" i="9"/>
  <c r="AQ192" i="9"/>
  <c r="AL169" i="9"/>
  <c r="AJ169" i="9"/>
  <c r="AQ169" i="9"/>
  <c r="AM169" i="9"/>
  <c r="AL121" i="9"/>
  <c r="AJ121" i="9"/>
  <c r="AQ121" i="9"/>
  <c r="AM121" i="9"/>
  <c r="AL191" i="9"/>
  <c r="AJ191" i="9"/>
  <c r="AM191" i="9"/>
  <c r="AQ191" i="9"/>
  <c r="AL175" i="9"/>
  <c r="AJ175" i="9"/>
  <c r="AQ175" i="9"/>
  <c r="AM175" i="9"/>
  <c r="AL151" i="9"/>
  <c r="AJ151" i="9"/>
  <c r="AQ151" i="9"/>
  <c r="AM151" i="9"/>
  <c r="AJ127" i="9"/>
  <c r="AL127" i="9"/>
  <c r="AQ127" i="9"/>
  <c r="AM127" i="9"/>
  <c r="AL173" i="9"/>
  <c r="AJ173" i="9"/>
  <c r="AQ173" i="9"/>
  <c r="AM173" i="9"/>
  <c r="AL296" i="9"/>
  <c r="AJ296" i="9"/>
  <c r="AM296" i="9"/>
  <c r="AQ296" i="9"/>
  <c r="AJ286" i="9"/>
  <c r="AL286" i="9"/>
  <c r="AQ286" i="9"/>
  <c r="AM286" i="9"/>
  <c r="AL250" i="9"/>
  <c r="AJ250" i="9"/>
  <c r="AQ250" i="9"/>
  <c r="AM250" i="9"/>
  <c r="AL244" i="9"/>
  <c r="AJ244" i="9"/>
  <c r="AM244" i="9"/>
  <c r="AQ244" i="9"/>
  <c r="AL234" i="9"/>
  <c r="AJ234" i="9"/>
  <c r="AM234" i="9"/>
  <c r="AQ234" i="9"/>
  <c r="AJ228" i="9"/>
  <c r="AL228" i="9"/>
  <c r="AM228" i="9"/>
  <c r="AQ228" i="9"/>
  <c r="AJ206" i="9"/>
  <c r="AL206" i="9"/>
  <c r="AQ206" i="9"/>
  <c r="AM206" i="9"/>
  <c r="AL195" i="9"/>
  <c r="AJ195" i="9"/>
  <c r="AQ195" i="9"/>
  <c r="AM195" i="9"/>
  <c r="AL147" i="9"/>
  <c r="AJ147" i="9"/>
  <c r="AQ147" i="9"/>
  <c r="AM147" i="9"/>
  <c r="AL115" i="9"/>
  <c r="AJ115" i="9"/>
  <c r="AM115" i="9"/>
  <c r="AQ115" i="9"/>
  <c r="AJ22" i="9"/>
  <c r="AL22" i="9"/>
  <c r="AM22" i="9"/>
  <c r="AQ22" i="9"/>
  <c r="AL67" i="9"/>
  <c r="AJ67" i="9"/>
  <c r="AM67" i="9"/>
  <c r="AQ67" i="9"/>
  <c r="AL83" i="9"/>
  <c r="AJ83" i="9"/>
  <c r="AQ83" i="9"/>
  <c r="AM83" i="9"/>
  <c r="AL265" i="9"/>
  <c r="AJ265" i="9"/>
  <c r="AQ265" i="9"/>
  <c r="AM265" i="9"/>
  <c r="AJ312" i="9"/>
  <c r="AL312" i="9"/>
  <c r="AQ312" i="9"/>
  <c r="AM312" i="9"/>
  <c r="AJ78" i="9"/>
  <c r="AL78" i="9"/>
  <c r="AM78" i="9"/>
  <c r="AQ78" i="9"/>
  <c r="AJ18" i="9"/>
  <c r="AL18" i="9"/>
  <c r="AM18" i="9"/>
  <c r="AQ18" i="9"/>
  <c r="AJ34" i="9"/>
  <c r="AL34" i="9"/>
  <c r="AM34" i="9"/>
  <c r="AQ34" i="9"/>
  <c r="AJ49" i="9"/>
  <c r="AL49" i="9"/>
  <c r="AM49" i="9"/>
  <c r="AQ49" i="9"/>
  <c r="AL63" i="9"/>
  <c r="AJ63" i="9"/>
  <c r="AQ63" i="9"/>
  <c r="AM63" i="9"/>
  <c r="AL79" i="9"/>
  <c r="AJ79" i="9"/>
  <c r="AQ79" i="9"/>
  <c r="AM79" i="9"/>
  <c r="AJ263" i="9"/>
  <c r="AL263" i="9"/>
  <c r="AM263" i="9"/>
  <c r="AQ263" i="9"/>
  <c r="AJ318" i="9"/>
  <c r="AL318" i="9"/>
  <c r="AQ318" i="9"/>
  <c r="AM318" i="9"/>
  <c r="AJ302" i="9"/>
  <c r="AL302" i="9"/>
  <c r="AQ302" i="9"/>
  <c r="AM302" i="9"/>
  <c r="AL36" i="9"/>
  <c r="AJ36" i="9"/>
  <c r="AM36" i="9"/>
  <c r="AQ36" i="9"/>
  <c r="AJ52" i="9"/>
  <c r="AL52" i="9"/>
  <c r="AM52" i="9"/>
  <c r="AQ52" i="9"/>
  <c r="AJ9" i="9"/>
  <c r="AL9" i="9"/>
  <c r="AQ9" i="9"/>
  <c r="AM9" i="9"/>
  <c r="AJ17" i="9"/>
  <c r="AL17" i="9"/>
  <c r="AQ17" i="9"/>
  <c r="AM17" i="9"/>
  <c r="AJ25" i="9"/>
  <c r="AL25" i="9"/>
  <c r="AQ25" i="9"/>
  <c r="AM25" i="9"/>
  <c r="AL33" i="9"/>
  <c r="AJ33" i="9"/>
  <c r="AQ33" i="9"/>
  <c r="AM33" i="9"/>
  <c r="AJ106" i="9"/>
  <c r="AL106" i="9"/>
  <c r="AM106" i="9"/>
  <c r="AQ106" i="9"/>
  <c r="AO272" i="9"/>
  <c r="AO274" i="9"/>
  <c r="AO110" i="9"/>
  <c r="AO78" i="9"/>
  <c r="AO42" i="9"/>
  <c r="AO173" i="9"/>
  <c r="AO248" i="9"/>
  <c r="AO175" i="9"/>
  <c r="AO156" i="9"/>
  <c r="AO265" i="9"/>
  <c r="AO79" i="9"/>
  <c r="AO71" i="9"/>
  <c r="AO63" i="9"/>
  <c r="AO49" i="9"/>
  <c r="AO34" i="9"/>
  <c r="AO26" i="9"/>
  <c r="AO18" i="9"/>
  <c r="AO10" i="9"/>
  <c r="AO36" i="9"/>
  <c r="AO169" i="9"/>
  <c r="AO286" i="9"/>
  <c r="AO212" i="9"/>
  <c r="AO183" i="9"/>
  <c r="AO250" i="9"/>
  <c r="AO60" i="9"/>
  <c r="AO171" i="9"/>
  <c r="AO170" i="9"/>
  <c r="AL291" i="9"/>
  <c r="AJ291" i="9"/>
  <c r="AQ291" i="9"/>
  <c r="AM291" i="9"/>
  <c r="AL245" i="9"/>
  <c r="AJ245" i="9"/>
  <c r="AQ245" i="9"/>
  <c r="AM245" i="9"/>
  <c r="AJ227" i="9"/>
  <c r="AL227" i="9"/>
  <c r="AQ227" i="9"/>
  <c r="AM227" i="9"/>
  <c r="AL203" i="9"/>
  <c r="AJ203" i="9"/>
  <c r="AQ203" i="9"/>
  <c r="AM203" i="9"/>
  <c r="AJ145" i="9"/>
  <c r="AL145" i="9"/>
  <c r="AQ145" i="9"/>
  <c r="AM145" i="9"/>
  <c r="AL276" i="9"/>
  <c r="AJ276" i="9"/>
  <c r="AQ276" i="9"/>
  <c r="AM276" i="9"/>
  <c r="AJ66" i="9"/>
  <c r="AL66" i="9"/>
  <c r="AM66" i="9"/>
  <c r="AQ66" i="9"/>
  <c r="AL304" i="9"/>
  <c r="AJ304" i="9"/>
  <c r="AM304" i="9"/>
  <c r="AQ304" i="9"/>
  <c r="AJ310" i="9"/>
  <c r="AL310" i="9"/>
  <c r="AQ310" i="9"/>
  <c r="AM310" i="9"/>
  <c r="AL99" i="9"/>
  <c r="AJ99" i="9"/>
  <c r="AQ99" i="9"/>
  <c r="AM99" i="9"/>
  <c r="AJ82" i="9"/>
  <c r="AL82" i="9"/>
  <c r="AM82" i="9"/>
  <c r="AQ82" i="9"/>
  <c r="AJ90" i="9"/>
  <c r="AL90" i="9"/>
  <c r="AQ90" i="9"/>
  <c r="AM90" i="9"/>
  <c r="AJ98" i="9"/>
  <c r="AL98" i="9"/>
  <c r="AM98" i="9"/>
  <c r="AQ98" i="9"/>
  <c r="AL317" i="9"/>
  <c r="AJ317" i="9"/>
  <c r="AQ317" i="9"/>
  <c r="AM317" i="9"/>
  <c r="AO302" i="9"/>
  <c r="AO55" i="9"/>
  <c r="AO181" i="9"/>
  <c r="AO99" i="9"/>
  <c r="AO159" i="9"/>
  <c r="AO134" i="9"/>
  <c r="AL166" i="9"/>
  <c r="AJ166" i="9"/>
  <c r="AQ166" i="9"/>
  <c r="AM166" i="9"/>
  <c r="AO182" i="9"/>
  <c r="AL194" i="9"/>
  <c r="AJ194" i="9"/>
  <c r="AM194" i="9"/>
  <c r="AQ194" i="9"/>
  <c r="AO138" i="9"/>
  <c r="AJ150" i="9"/>
  <c r="AL150" i="9"/>
  <c r="AM150" i="9"/>
  <c r="AQ150" i="9"/>
  <c r="AL130" i="9"/>
  <c r="AJ130" i="9"/>
  <c r="AM130" i="9"/>
  <c r="AQ130" i="9"/>
  <c r="AO25" i="9"/>
  <c r="AO144" i="9"/>
  <c r="AO257" i="9"/>
  <c r="AJ319" i="9"/>
  <c r="AL319" i="9"/>
  <c r="AM319" i="9"/>
  <c r="AQ319" i="9"/>
  <c r="AJ297" i="9"/>
  <c r="AL297" i="9"/>
  <c r="AQ297" i="9"/>
  <c r="AM297" i="9"/>
  <c r="AJ240" i="9"/>
  <c r="AL240" i="9"/>
  <c r="AM240" i="9"/>
  <c r="AQ240" i="9"/>
  <c r="AO240" i="9"/>
  <c r="AJ188" i="9"/>
  <c r="AL188" i="9"/>
  <c r="AQ188" i="9"/>
  <c r="AM188" i="9"/>
  <c r="AL37" i="9"/>
  <c r="AJ37" i="9"/>
  <c r="AQ37" i="9"/>
  <c r="AM37" i="9"/>
  <c r="AL7" i="9"/>
  <c r="AJ7" i="9"/>
  <c r="AQ7" i="9"/>
  <c r="AM7" i="9"/>
  <c r="AJ23" i="9"/>
  <c r="AL23" i="9"/>
  <c r="AQ23" i="9"/>
  <c r="AM23" i="9"/>
  <c r="AO192" i="9"/>
  <c r="AO255" i="9"/>
  <c r="AO316" i="9"/>
  <c r="AO299" i="9"/>
  <c r="AO108" i="9"/>
  <c r="AO100" i="9"/>
  <c r="AO92" i="9"/>
  <c r="AO84" i="9"/>
  <c r="AO76" i="9"/>
  <c r="AO68" i="9"/>
  <c r="AO123" i="9"/>
  <c r="AL284" i="9"/>
  <c r="AJ284" i="9"/>
  <c r="AQ284" i="9"/>
  <c r="AM284" i="9"/>
  <c r="AJ200" i="9"/>
  <c r="AL200" i="9"/>
  <c r="AQ200" i="9"/>
  <c r="AM200" i="9"/>
  <c r="AJ224" i="9"/>
  <c r="AL224" i="9"/>
  <c r="AM224" i="9"/>
  <c r="AQ224" i="9"/>
  <c r="AO224" i="9"/>
  <c r="AO140" i="9"/>
  <c r="AJ20" i="9"/>
  <c r="AL20" i="9"/>
  <c r="AM20" i="9"/>
  <c r="AQ20" i="9"/>
  <c r="AM12" i="9"/>
  <c r="AJ12" i="9"/>
  <c r="AL12" i="9"/>
  <c r="AQ12" i="9"/>
  <c r="AJ208" i="9"/>
  <c r="AL208" i="9"/>
  <c r="AM208" i="9"/>
  <c r="AQ208" i="9"/>
  <c r="AO185" i="9"/>
  <c r="AJ236" i="9"/>
  <c r="AL236" i="9"/>
  <c r="AM236" i="9"/>
  <c r="AQ236" i="9"/>
  <c r="AJ226" i="9"/>
  <c r="AL226" i="9"/>
  <c r="AM226" i="9"/>
  <c r="AQ226" i="9"/>
  <c r="AO127" i="9"/>
  <c r="AO193" i="9"/>
  <c r="AO111" i="9"/>
  <c r="AO263" i="9"/>
  <c r="AJ176" i="9"/>
  <c r="AL176" i="9"/>
  <c r="AQ176" i="9"/>
  <c r="AM176" i="9"/>
  <c r="AJ141" i="9"/>
  <c r="AL141" i="9"/>
  <c r="AQ141" i="9"/>
  <c r="AM141" i="9"/>
  <c r="AJ146" i="9"/>
  <c r="AL146" i="9"/>
  <c r="AM146" i="9"/>
  <c r="AQ146" i="9"/>
  <c r="AJ252" i="9"/>
  <c r="AL252" i="9"/>
  <c r="AM252" i="9"/>
  <c r="AQ252" i="9"/>
  <c r="AA261" i="9"/>
  <c r="AA177" i="9"/>
  <c r="AA80" i="9"/>
  <c r="AA109" i="9"/>
  <c r="AJ96" i="9"/>
  <c r="AL96" i="9"/>
  <c r="AM96" i="9"/>
  <c r="AQ96" i="9"/>
  <c r="AL164" i="9"/>
  <c r="AJ164" i="9"/>
  <c r="AQ164" i="9"/>
  <c r="AM164" i="9"/>
  <c r="AJ281" i="9"/>
  <c r="AL281" i="9"/>
  <c r="AM281" i="9"/>
  <c r="AQ281" i="9"/>
  <c r="AM116" i="9"/>
  <c r="AL116" i="9"/>
  <c r="AJ116" i="9"/>
  <c r="AQ116" i="9"/>
  <c r="AL241" i="9"/>
  <c r="AJ241" i="9"/>
  <c r="AQ241" i="9"/>
  <c r="AM241" i="9"/>
  <c r="AJ81" i="9"/>
  <c r="AL81" i="9"/>
  <c r="AM81" i="9"/>
  <c r="AQ81" i="9"/>
  <c r="AJ254" i="9"/>
  <c r="AL254" i="9"/>
  <c r="AM254" i="9"/>
  <c r="AQ254" i="9"/>
  <c r="AQ105" i="9"/>
  <c r="AJ105" i="9"/>
  <c r="AL105" i="9"/>
  <c r="AM105" i="9"/>
  <c r="AL154" i="9"/>
  <c r="AJ154" i="9"/>
  <c r="AQ154" i="9"/>
  <c r="AM154" i="9"/>
  <c r="AL162" i="9"/>
  <c r="AJ162" i="9"/>
  <c r="AM162" i="9"/>
  <c r="AQ162" i="9"/>
  <c r="AL225" i="9"/>
  <c r="AJ225" i="9"/>
  <c r="AQ225" i="9"/>
  <c r="AM225" i="9"/>
  <c r="AL113" i="9"/>
  <c r="AJ113" i="9"/>
  <c r="AQ113" i="9"/>
  <c r="AM113" i="9"/>
  <c r="AJ89" i="9"/>
  <c r="AL89" i="9"/>
  <c r="AM89" i="9"/>
  <c r="AQ89" i="9"/>
  <c r="AL230" i="9"/>
  <c r="AJ230" i="9"/>
  <c r="AM230" i="9"/>
  <c r="AQ230" i="9"/>
  <c r="AL280" i="9"/>
  <c r="AJ280" i="9"/>
  <c r="AM280" i="9"/>
  <c r="AQ280" i="9"/>
  <c r="AL114" i="9"/>
  <c r="AJ114" i="9"/>
  <c r="AM114" i="9"/>
  <c r="AQ114" i="9"/>
  <c r="AL64" i="9"/>
  <c r="AJ64" i="9"/>
  <c r="AM64" i="9"/>
  <c r="AQ64" i="9"/>
  <c r="AL104" i="9"/>
  <c r="AJ104" i="9"/>
  <c r="AM104" i="9"/>
  <c r="AQ104" i="9"/>
  <c r="AK328" i="9"/>
  <c r="AL51" i="9"/>
  <c r="AJ51" i="9"/>
  <c r="AQ51" i="9"/>
  <c r="AM51" i="9"/>
  <c r="AL54" i="9"/>
  <c r="AJ54" i="9"/>
  <c r="AM54" i="9"/>
  <c r="AQ54" i="9"/>
  <c r="AZ38" i="9"/>
  <c r="BA38" i="9" s="1"/>
  <c r="AY38" i="9"/>
  <c r="AW38" i="9"/>
  <c r="AZ32" i="9"/>
  <c r="BA32" i="9" s="1"/>
  <c r="AW32" i="9"/>
  <c r="AY32" i="9"/>
  <c r="AW24" i="9"/>
  <c r="AY24" i="9"/>
  <c r="AZ16" i="9"/>
  <c r="BA16" i="9" s="1"/>
  <c r="AW16" i="9"/>
  <c r="AY16" i="9"/>
  <c r="AZ8" i="9"/>
  <c r="BA8" i="9" s="1"/>
  <c r="AY8" i="9"/>
  <c r="AW8" i="9"/>
  <c r="AW6" i="9"/>
  <c r="AY6" i="9"/>
  <c r="AY48" i="9"/>
  <c r="AW48" i="9"/>
  <c r="BZ4" i="9"/>
  <c r="BI318" i="9"/>
  <c r="BI317" i="9"/>
  <c r="BK315" i="9"/>
  <c r="BI314" i="9"/>
  <c r="BI313" i="9"/>
  <c r="BI312" i="9"/>
  <c r="BI311" i="9"/>
  <c r="BK307" i="9"/>
  <c r="BO307" i="9" s="1"/>
  <c r="BI306" i="9"/>
  <c r="BI305" i="9"/>
  <c r="BI304" i="9"/>
  <c r="BI303" i="9"/>
  <c r="BK300" i="9"/>
  <c r="BI298" i="9"/>
  <c r="BI297" i="9"/>
  <c r="BI296" i="9"/>
  <c r="BI295" i="9"/>
  <c r="BI294" i="9"/>
  <c r="BI293" i="9"/>
  <c r="BI292" i="9"/>
  <c r="BI291" i="9"/>
  <c r="BI290" i="9"/>
  <c r="BI289" i="9"/>
  <c r="BI288" i="9"/>
  <c r="BI287" i="9"/>
  <c r="BI286" i="9"/>
  <c r="BI285" i="9"/>
  <c r="BI284" i="9"/>
  <c r="BI283" i="9"/>
  <c r="BI282" i="9"/>
  <c r="BI281" i="9"/>
  <c r="BI278" i="9"/>
  <c r="BI277" i="9"/>
  <c r="BI274" i="9"/>
  <c r="BI273" i="9"/>
  <c r="BI270" i="9"/>
  <c r="BI269" i="9"/>
  <c r="BI267" i="9"/>
  <c r="BI266" i="9"/>
  <c r="BI265" i="9"/>
  <c r="BI263" i="9"/>
  <c r="BI262" i="9"/>
  <c r="BI261" i="9"/>
  <c r="BI259" i="9"/>
  <c r="BI258" i="9"/>
  <c r="BI257" i="9"/>
  <c r="BI255" i="9"/>
  <c r="BI254" i="9"/>
  <c r="BI253" i="9"/>
  <c r="BI251" i="9"/>
  <c r="BI250" i="9"/>
  <c r="BI249" i="9"/>
  <c r="BI247" i="9"/>
  <c r="BI246" i="9"/>
  <c r="BI245" i="9"/>
  <c r="BK243" i="9"/>
  <c r="BI240" i="9"/>
  <c r="BK237" i="9"/>
  <c r="BI235" i="9"/>
  <c r="BI234" i="9"/>
  <c r="BI231" i="9"/>
  <c r="BI230" i="9"/>
  <c r="BI227" i="9"/>
  <c r="BI226" i="9"/>
  <c r="BI223" i="9"/>
  <c r="BI222" i="9"/>
  <c r="BK220" i="9"/>
  <c r="BI219" i="9"/>
  <c r="BI218" i="9"/>
  <c r="BI215" i="9"/>
  <c r="BI214" i="9"/>
  <c r="BI211" i="9"/>
  <c r="BI210" i="9"/>
  <c r="BI207" i="9"/>
  <c r="BI206" i="9"/>
  <c r="BK204" i="9"/>
  <c r="BI203" i="9"/>
  <c r="BI202" i="9"/>
  <c r="BK198" i="9"/>
  <c r="BO198" i="9" s="1"/>
  <c r="BK186" i="9"/>
  <c r="BK180" i="9"/>
  <c r="BK168" i="9"/>
  <c r="BK158" i="9"/>
  <c r="BQ158" i="9" s="1"/>
  <c r="BI136" i="9"/>
  <c r="BI135" i="9"/>
  <c r="BI134" i="9"/>
  <c r="BI133" i="9"/>
  <c r="BI126" i="9"/>
  <c r="BI125" i="9"/>
  <c r="BI124" i="9"/>
  <c r="BI119" i="9"/>
  <c r="BI118" i="9"/>
  <c r="BI117" i="9"/>
  <c r="BI113" i="9"/>
  <c r="BI112" i="9"/>
  <c r="BI111" i="9"/>
  <c r="BI110" i="9"/>
  <c r="BI109" i="9"/>
  <c r="BI104" i="9"/>
  <c r="BI103" i="9"/>
  <c r="BI102" i="9"/>
  <c r="BI101" i="9"/>
  <c r="BI96" i="9"/>
  <c r="BI95" i="9"/>
  <c r="BI94" i="9"/>
  <c r="BI93" i="9"/>
  <c r="BI88" i="9"/>
  <c r="BI87" i="9"/>
  <c r="BI86" i="9"/>
  <c r="BI85" i="9"/>
  <c r="BI80" i="9"/>
  <c r="BI79" i="9"/>
  <c r="BI78" i="9"/>
  <c r="BI77" i="9"/>
  <c r="BI72" i="9"/>
  <c r="BI71" i="9"/>
  <c r="BI70" i="9"/>
  <c r="BI69" i="9"/>
  <c r="BI64" i="9"/>
  <c r="BI63" i="9"/>
  <c r="BI62" i="9"/>
  <c r="BI61" i="9"/>
  <c r="BK58" i="9"/>
  <c r="BI56" i="9"/>
  <c r="BI55" i="9"/>
  <c r="BI54" i="9"/>
  <c r="BI53" i="9"/>
  <c r="BI48" i="9"/>
  <c r="BI47" i="9"/>
  <c r="BI46" i="9"/>
  <c r="BK40" i="9"/>
  <c r="BK39" i="9"/>
  <c r="BK38" i="9"/>
  <c r="BO38" i="9" s="1"/>
  <c r="BI36" i="9"/>
  <c r="BI35" i="9"/>
  <c r="BI34" i="9"/>
  <c r="BI33" i="9"/>
  <c r="BI32" i="9"/>
  <c r="BI31" i="9"/>
  <c r="BI30" i="9"/>
  <c r="BI29" i="9"/>
  <c r="BK24" i="9"/>
  <c r="BI22" i="9"/>
  <c r="BI21" i="9"/>
  <c r="BI20" i="9"/>
  <c r="BI19" i="9"/>
  <c r="BI18" i="9"/>
  <c r="BI17" i="9"/>
  <c r="BI16" i="9"/>
  <c r="BI15" i="9"/>
  <c r="BI10" i="9"/>
  <c r="BI9" i="9"/>
  <c r="BI8" i="9"/>
  <c r="BI7" i="9"/>
  <c r="BI6" i="9"/>
  <c r="BI5" i="9"/>
  <c r="BO4" i="9"/>
  <c r="BI4" i="9"/>
  <c r="BJ4" i="9" s="1"/>
  <c r="BN4" i="9"/>
  <c r="BI319" i="9"/>
  <c r="BI316" i="9"/>
  <c r="BI315" i="9"/>
  <c r="BI310" i="9"/>
  <c r="BI309" i="9"/>
  <c r="BI308" i="9"/>
  <c r="BI307" i="9"/>
  <c r="BK303" i="9"/>
  <c r="BO303" i="9" s="1"/>
  <c r="BI302" i="9"/>
  <c r="BI301" i="9"/>
  <c r="BI300" i="9"/>
  <c r="BI299" i="9"/>
  <c r="BK295" i="9"/>
  <c r="BK293" i="9"/>
  <c r="BK289" i="9"/>
  <c r="BK287" i="9"/>
  <c r="BK285" i="9"/>
  <c r="BI280" i="9"/>
  <c r="BI279" i="9"/>
  <c r="BI276" i="9"/>
  <c r="BI275" i="9"/>
  <c r="BK273" i="9"/>
  <c r="BI272" i="9"/>
  <c r="BI271" i="9"/>
  <c r="BK269" i="9"/>
  <c r="BO269" i="9" s="1"/>
  <c r="BI268" i="9"/>
  <c r="BI264" i="9"/>
  <c r="BK262" i="9"/>
  <c r="BQ262" i="9" s="1"/>
  <c r="BI260" i="9"/>
  <c r="BI256" i="9"/>
  <c r="BK253" i="9"/>
  <c r="BI252" i="9"/>
  <c r="BK249" i="9"/>
  <c r="BI248" i="9"/>
  <c r="BI244" i="9"/>
  <c r="BI243" i="9"/>
  <c r="BI242" i="9"/>
  <c r="BI241" i="9"/>
  <c r="BI239" i="9"/>
  <c r="BI238" i="9"/>
  <c r="BI237" i="9"/>
  <c r="BI236" i="9"/>
  <c r="BI233" i="9"/>
  <c r="BI232" i="9"/>
  <c r="BI229" i="9"/>
  <c r="BI228" i="9"/>
  <c r="BI225" i="9"/>
  <c r="BI224" i="9"/>
  <c r="BI221" i="9"/>
  <c r="BI220" i="9"/>
  <c r="BI217" i="9"/>
  <c r="BI216" i="9"/>
  <c r="BI213" i="9"/>
  <c r="BI212" i="9"/>
  <c r="BI209" i="9"/>
  <c r="BI208" i="9"/>
  <c r="BI205" i="9"/>
  <c r="BI204" i="9"/>
  <c r="BI201" i="9"/>
  <c r="BI200" i="9"/>
  <c r="BI199" i="9"/>
  <c r="BI198" i="9"/>
  <c r="BI197" i="9"/>
  <c r="BI196" i="9"/>
  <c r="BI195" i="9"/>
  <c r="BI194" i="9"/>
  <c r="BI193" i="9"/>
  <c r="BI192" i="9"/>
  <c r="BI191" i="9"/>
  <c r="BI190" i="9"/>
  <c r="BI189" i="9"/>
  <c r="BI188" i="9"/>
  <c r="BI187" i="9"/>
  <c r="BI186" i="9"/>
  <c r="BI185" i="9"/>
  <c r="BI184" i="9"/>
  <c r="BI183" i="9"/>
  <c r="BI182" i="9"/>
  <c r="BI181" i="9"/>
  <c r="BI180" i="9"/>
  <c r="BI179" i="9"/>
  <c r="BI178" i="9"/>
  <c r="BI177" i="9"/>
  <c r="BI176" i="9"/>
  <c r="BI175" i="9"/>
  <c r="BI174" i="9"/>
  <c r="BI173" i="9"/>
  <c r="BI172" i="9"/>
  <c r="BI171" i="9"/>
  <c r="BI170" i="9"/>
  <c r="BI169" i="9"/>
  <c r="BI168" i="9"/>
  <c r="BI167" i="9"/>
  <c r="BI166" i="9"/>
  <c r="BI165" i="9"/>
  <c r="BI164" i="9"/>
  <c r="BI163" i="9"/>
  <c r="BI162" i="9"/>
  <c r="BI161" i="9"/>
  <c r="BI160" i="9"/>
  <c r="BI159" i="9"/>
  <c r="BI158" i="9"/>
  <c r="BI157" i="9"/>
  <c r="BI156" i="9"/>
  <c r="BI155" i="9"/>
  <c r="BI154" i="9"/>
  <c r="BI153" i="9"/>
  <c r="BI152" i="9"/>
  <c r="BI151" i="9"/>
  <c r="BI150" i="9"/>
  <c r="BI149" i="9"/>
  <c r="BI148" i="9"/>
  <c r="BI147" i="9"/>
  <c r="BI146" i="9"/>
  <c r="BI145" i="9"/>
  <c r="BI144" i="9"/>
  <c r="BI143" i="9"/>
  <c r="BI142" i="9"/>
  <c r="BI141" i="9"/>
  <c r="BI140" i="9"/>
  <c r="BI139" i="9"/>
  <c r="BI138" i="9"/>
  <c r="BI137" i="9"/>
  <c r="BI132" i="9"/>
  <c r="BI131" i="9"/>
  <c r="BI130" i="9"/>
  <c r="BI129" i="9"/>
  <c r="BI128" i="9"/>
  <c r="BI127" i="9"/>
  <c r="BI123" i="9"/>
  <c r="BI122" i="9"/>
  <c r="BI121" i="9"/>
  <c r="BI120" i="9"/>
  <c r="BI116" i="9"/>
  <c r="BI115" i="9"/>
  <c r="BI114" i="9"/>
  <c r="BI108" i="9"/>
  <c r="BI107" i="9"/>
  <c r="BI106" i="9"/>
  <c r="BI105" i="9"/>
  <c r="BI100" i="9"/>
  <c r="BI99" i="9"/>
  <c r="BI98" i="9"/>
  <c r="BI97" i="9"/>
  <c r="BI92" i="9"/>
  <c r="BI91" i="9"/>
  <c r="BI90" i="9"/>
  <c r="BI89" i="9"/>
  <c r="BI84" i="9"/>
  <c r="BI83" i="9"/>
  <c r="BI82" i="9"/>
  <c r="BI81" i="9"/>
  <c r="BI76" i="9"/>
  <c r="BI75" i="9"/>
  <c r="BI74" i="9"/>
  <c r="BI73" i="9"/>
  <c r="BK70" i="9"/>
  <c r="BQ70" i="9" s="1"/>
  <c r="BI68" i="9"/>
  <c r="BI67" i="9"/>
  <c r="BI66" i="9"/>
  <c r="BI65" i="9"/>
  <c r="BK62" i="9"/>
  <c r="BQ62" i="9" s="1"/>
  <c r="BI60" i="9"/>
  <c r="BI59" i="9"/>
  <c r="BI58" i="9"/>
  <c r="BI57" i="9"/>
  <c r="BI52" i="9"/>
  <c r="BI51" i="9"/>
  <c r="BI50" i="9"/>
  <c r="BI49" i="9"/>
  <c r="BI45" i="9"/>
  <c r="BI44" i="9"/>
  <c r="BI43" i="9"/>
  <c r="BI42" i="9"/>
  <c r="BI41" i="9"/>
  <c r="BI40" i="9"/>
  <c r="BI39" i="9"/>
  <c r="BI38" i="9"/>
  <c r="BI37" i="9"/>
  <c r="BK32" i="9"/>
  <c r="BQ32" i="9" s="1"/>
  <c r="BI28" i="9"/>
  <c r="BI27" i="9"/>
  <c r="BI26" i="9"/>
  <c r="BI25" i="9"/>
  <c r="BI24" i="9"/>
  <c r="BI23" i="9"/>
  <c r="BK16" i="9"/>
  <c r="BI14" i="9"/>
  <c r="BI13" i="9"/>
  <c r="BI12" i="9"/>
  <c r="BI11" i="9"/>
  <c r="BK8" i="9"/>
  <c r="BQ8" i="9" s="1"/>
  <c r="BK6" i="9"/>
  <c r="BQ6" i="9" s="1"/>
  <c r="BQ4" i="9"/>
  <c r="BK4" i="9"/>
  <c r="BP4" i="9"/>
  <c r="BQ16" i="9"/>
  <c r="BQ24" i="9"/>
  <c r="BQ40" i="9"/>
  <c r="BK48" i="9"/>
  <c r="BQ58" i="9"/>
  <c r="BK72" i="9"/>
  <c r="BM72" i="9" s="1"/>
  <c r="BN72" i="9" s="1"/>
  <c r="BK88" i="9"/>
  <c r="BM88" i="9" s="1"/>
  <c r="BN88" i="9" s="1"/>
  <c r="BK126" i="9"/>
  <c r="BM126" i="9" s="1"/>
  <c r="BN126" i="9" s="1"/>
  <c r="BK132" i="9"/>
  <c r="BO132" i="9" s="1"/>
  <c r="BK136" i="9"/>
  <c r="BO136" i="9" s="1"/>
  <c r="BK201" i="9"/>
  <c r="BQ201" i="9" s="1"/>
  <c r="BK205" i="9"/>
  <c r="BK209" i="9"/>
  <c r="BQ209" i="9" s="1"/>
  <c r="BK211" i="9"/>
  <c r="BK215" i="9"/>
  <c r="BQ215" i="9" s="1"/>
  <c r="BK219" i="9"/>
  <c r="BK223" i="9"/>
  <c r="BM223" i="9" s="1"/>
  <c r="BN223" i="9" s="1"/>
  <c r="BK235" i="9"/>
  <c r="BQ237" i="9"/>
  <c r="BQ243" i="9"/>
  <c r="BQ249" i="9"/>
  <c r="BQ253" i="9"/>
  <c r="BK267" i="9"/>
  <c r="BM267" i="9" s="1"/>
  <c r="BN267" i="9" s="1"/>
  <c r="BQ269" i="9"/>
  <c r="BQ273" i="9"/>
  <c r="BQ285" i="9"/>
  <c r="BQ287" i="9"/>
  <c r="BQ289" i="9"/>
  <c r="BQ293" i="9"/>
  <c r="BQ295" i="9"/>
  <c r="BQ303" i="9"/>
  <c r="BQ307" i="9"/>
  <c r="BQ315" i="9"/>
  <c r="BQ186" i="9"/>
  <c r="BQ198" i="9"/>
  <c r="BK256" i="9"/>
  <c r="BM256" i="9" s="1"/>
  <c r="BN256" i="9" s="1"/>
  <c r="BK260" i="9"/>
  <c r="BM260" i="9" s="1"/>
  <c r="BN260" i="9" s="1"/>
  <c r="BK268" i="9"/>
  <c r="BK298" i="9"/>
  <c r="BM298" i="9" s="1"/>
  <c r="BN298" i="9" s="1"/>
  <c r="BK306" i="9"/>
  <c r="BQ39" i="9"/>
  <c r="BK45" i="9"/>
  <c r="BO45" i="9" s="1"/>
  <c r="BK119" i="9"/>
  <c r="BM119" i="9" s="1"/>
  <c r="BN119" i="9" s="1"/>
  <c r="BQ168" i="9"/>
  <c r="BQ180" i="9"/>
  <c r="BQ204" i="9"/>
  <c r="BQ220" i="9"/>
  <c r="BQ300" i="9"/>
  <c r="BM48" i="9"/>
  <c r="BN48" i="9" s="1"/>
  <c r="BM306" i="9"/>
  <c r="BN306" i="9" s="1"/>
  <c r="BM268" i="9"/>
  <c r="BN268" i="9" s="1"/>
  <c r="BQ235" i="9"/>
  <c r="BQ219" i="9"/>
  <c r="BM211" i="9"/>
  <c r="BN211" i="9" s="1"/>
  <c r="BM205" i="9"/>
  <c r="BN205" i="9" s="1"/>
  <c r="BM132" i="9"/>
  <c r="BN132" i="9" s="1"/>
  <c r="BQ256" i="9"/>
  <c r="BQ48" i="9"/>
  <c r="BQ306" i="9"/>
  <c r="BQ268" i="9"/>
  <c r="BM235" i="9"/>
  <c r="BN235" i="9" s="1"/>
  <c r="BM219" i="9"/>
  <c r="BN219" i="9" s="1"/>
  <c r="BQ211" i="9"/>
  <c r="BQ205" i="9"/>
  <c r="BQ136" i="9"/>
  <c r="BQ126" i="9"/>
  <c r="BQ72" i="9"/>
  <c r="BM45" i="9"/>
  <c r="BN45" i="9" s="1"/>
  <c r="AW39" i="9"/>
  <c r="AY39" i="9"/>
  <c r="AV324" i="9"/>
  <c r="AV418" i="9"/>
  <c r="AY45" i="9"/>
  <c r="AW45" i="9"/>
  <c r="AY35" i="9"/>
  <c r="AW35" i="9"/>
  <c r="AW31" i="9"/>
  <c r="AY31" i="9"/>
  <c r="AY27" i="9"/>
  <c r="AW27" i="9"/>
  <c r="AY11" i="9"/>
  <c r="AW11" i="9"/>
  <c r="AV328" i="9"/>
  <c r="AV423" i="9"/>
  <c r="AY149" i="9"/>
  <c r="AW149" i="9"/>
  <c r="AV332" i="9"/>
  <c r="AV428" i="9"/>
  <c r="AW197" i="9"/>
  <c r="AY197" i="9"/>
  <c r="BD268" i="9"/>
  <c r="AY268" i="9"/>
  <c r="AW268" i="9"/>
  <c r="AY210" i="9"/>
  <c r="AW210" i="9"/>
  <c r="AY218" i="9"/>
  <c r="AW218" i="9"/>
  <c r="AY242" i="9"/>
  <c r="AW242" i="9"/>
  <c r="AY258" i="9"/>
  <c r="AW258" i="9"/>
  <c r="BD267" i="9"/>
  <c r="AW267" i="9"/>
  <c r="AY267" i="9"/>
  <c r="BD271" i="9"/>
  <c r="AW271" i="9"/>
  <c r="AY271" i="9"/>
  <c r="BD275" i="9"/>
  <c r="AW275" i="9"/>
  <c r="AY275" i="9"/>
  <c r="BD283" i="9"/>
  <c r="AW283" i="9"/>
  <c r="AY283" i="9"/>
  <c r="BD295" i="9"/>
  <c r="AW295" i="9"/>
  <c r="AY295" i="9"/>
  <c r="AZ59" i="9"/>
  <c r="BA59" i="9" s="1"/>
  <c r="AY59" i="9"/>
  <c r="AW59" i="9"/>
  <c r="AZ61" i="9"/>
  <c r="BA61" i="9" s="1"/>
  <c r="AY61" i="9"/>
  <c r="AW61" i="9"/>
  <c r="AZ65" i="9"/>
  <c r="BA65" i="9" s="1"/>
  <c r="AY65" i="9"/>
  <c r="AW65" i="9"/>
  <c r="AZ69" i="9"/>
  <c r="BA69" i="9" s="1"/>
  <c r="AY69" i="9"/>
  <c r="AW69" i="9"/>
  <c r="AZ73" i="9"/>
  <c r="BA73" i="9" s="1"/>
  <c r="AY73" i="9"/>
  <c r="AW73" i="9"/>
  <c r="AZ77" i="9"/>
  <c r="BA77" i="9" s="1"/>
  <c r="AY77" i="9"/>
  <c r="AW77" i="9"/>
  <c r="AZ85" i="9"/>
  <c r="BA85" i="9" s="1"/>
  <c r="AY85" i="9"/>
  <c r="AW85" i="9"/>
  <c r="AZ87" i="9"/>
  <c r="BA87" i="9" s="1"/>
  <c r="AY87" i="9"/>
  <c r="AW87" i="9"/>
  <c r="AZ91" i="9"/>
  <c r="BA91" i="9" s="1"/>
  <c r="AY91" i="9"/>
  <c r="AW91" i="9"/>
  <c r="AZ93" i="9"/>
  <c r="BA93" i="9" s="1"/>
  <c r="AY93" i="9"/>
  <c r="AW93" i="9"/>
  <c r="AZ95" i="9"/>
  <c r="BA95" i="9" s="1"/>
  <c r="AY95" i="9"/>
  <c r="AW95" i="9"/>
  <c r="AZ101" i="9"/>
  <c r="BA101" i="9" s="1"/>
  <c r="AY101" i="9"/>
  <c r="AW101" i="9"/>
  <c r="AZ103" i="9"/>
  <c r="BA103" i="9" s="1"/>
  <c r="AY103" i="9"/>
  <c r="AW103" i="9"/>
  <c r="AZ107" i="9"/>
  <c r="BA107" i="9" s="1"/>
  <c r="AY107" i="9"/>
  <c r="AW107" i="9"/>
  <c r="AW119" i="9"/>
  <c r="AY119" i="9"/>
  <c r="AZ133" i="9"/>
  <c r="BA133" i="9" s="1"/>
  <c r="AW133" i="9"/>
  <c r="AY133" i="9"/>
  <c r="AZ143" i="9"/>
  <c r="BA143" i="9" s="1"/>
  <c r="AY143" i="9"/>
  <c r="AW143" i="9"/>
  <c r="AZ149" i="9"/>
  <c r="BA149" i="9" s="1"/>
  <c r="AW168" i="9"/>
  <c r="AY168" i="9"/>
  <c r="AW180" i="9"/>
  <c r="AY180" i="9"/>
  <c r="AZ197" i="9"/>
  <c r="BA197" i="9" s="1"/>
  <c r="AY201" i="9"/>
  <c r="AW201" i="9"/>
  <c r="AY205" i="9"/>
  <c r="AW205" i="9"/>
  <c r="AY209" i="9"/>
  <c r="AW209" i="9"/>
  <c r="AW211" i="9"/>
  <c r="AY211" i="9"/>
  <c r="AY215" i="9"/>
  <c r="AW215" i="9"/>
  <c r="AY219" i="9"/>
  <c r="AW219" i="9"/>
  <c r="AY223" i="9"/>
  <c r="AW223" i="9"/>
  <c r="AY235" i="9"/>
  <c r="AW235" i="9"/>
  <c r="BD205" i="9"/>
  <c r="AY216" i="9"/>
  <c r="AW216" i="9"/>
  <c r="AZ275" i="9"/>
  <c r="BA275" i="9" s="1"/>
  <c r="AZ242" i="9"/>
  <c r="BA242" i="9" s="1"/>
  <c r="AY249" i="9"/>
  <c r="AW249" i="9"/>
  <c r="AZ258" i="9"/>
  <c r="BA258" i="9" s="1"/>
  <c r="AW308" i="9"/>
  <c r="AY308" i="9"/>
  <c r="BD303" i="9"/>
  <c r="AW303" i="9"/>
  <c r="AY303" i="9"/>
  <c r="BD289" i="9"/>
  <c r="AY289" i="9"/>
  <c r="AW289" i="9"/>
  <c r="AY307" i="9"/>
  <c r="AW307" i="9"/>
  <c r="AO104" i="9"/>
  <c r="BB88" i="9"/>
  <c r="BO88" i="9" s="1"/>
  <c r="BB72" i="9"/>
  <c r="BO72" i="9" s="1"/>
  <c r="AO51" i="9"/>
  <c r="AO114" i="9"/>
  <c r="AO281" i="9"/>
  <c r="AO164" i="9"/>
  <c r="AO141" i="9"/>
  <c r="AO319" i="9"/>
  <c r="AO17" i="9"/>
  <c r="AO296" i="9"/>
  <c r="AO23" i="9"/>
  <c r="AO241" i="9"/>
  <c r="AO130" i="9"/>
  <c r="AO121" i="9"/>
  <c r="AO228" i="9"/>
  <c r="BB6" i="9"/>
  <c r="BO6" i="9" s="1"/>
  <c r="AK332" i="9"/>
  <c r="BO223" i="9"/>
  <c r="BO158" i="9"/>
  <c r="AJ148" i="9"/>
  <c r="AL148" i="9"/>
  <c r="AQ148" i="9"/>
  <c r="AM148" i="9"/>
  <c r="AJ213" i="9"/>
  <c r="AL213" i="9"/>
  <c r="AQ213" i="9"/>
  <c r="AM213" i="9"/>
  <c r="AJ172" i="9"/>
  <c r="AL172" i="9"/>
  <c r="AQ172" i="9"/>
  <c r="AM172" i="9"/>
  <c r="AL217" i="9"/>
  <c r="AJ217" i="9"/>
  <c r="AQ217" i="9"/>
  <c r="AM217" i="9"/>
  <c r="AJ153" i="9"/>
  <c r="AL153" i="9"/>
  <c r="AQ153" i="9"/>
  <c r="AM153" i="9"/>
  <c r="AL183" i="9"/>
  <c r="AJ183" i="9"/>
  <c r="AQ183" i="9"/>
  <c r="AM183" i="9"/>
  <c r="AJ135" i="9"/>
  <c r="AL135" i="9"/>
  <c r="AQ135" i="9"/>
  <c r="AM135" i="9"/>
  <c r="AJ189" i="9"/>
  <c r="AL189" i="9"/>
  <c r="AQ189" i="9"/>
  <c r="AM189" i="9"/>
  <c r="AJ170" i="9"/>
  <c r="AL170" i="9"/>
  <c r="AQ170" i="9"/>
  <c r="AM170" i="9"/>
  <c r="AL288" i="9"/>
  <c r="AJ288" i="9"/>
  <c r="AM288" i="9"/>
  <c r="AQ288" i="9"/>
  <c r="AJ278" i="9"/>
  <c r="AL278" i="9"/>
  <c r="AQ278" i="9"/>
  <c r="AM278" i="9"/>
  <c r="AJ248" i="9"/>
  <c r="AL248" i="9"/>
  <c r="AM248" i="9"/>
  <c r="AQ248" i="9"/>
  <c r="AJ238" i="9"/>
  <c r="AL238" i="9"/>
  <c r="AQ238" i="9"/>
  <c r="AM238" i="9"/>
  <c r="AJ232" i="9"/>
  <c r="AL232" i="9"/>
  <c r="AQ232" i="9"/>
  <c r="AM232" i="9"/>
  <c r="AL202" i="9"/>
  <c r="AJ202" i="9"/>
  <c r="AM202" i="9"/>
  <c r="AQ202" i="9"/>
  <c r="AL171" i="9"/>
  <c r="AJ171" i="9"/>
  <c r="AQ171" i="9"/>
  <c r="AM171" i="9"/>
  <c r="AQ139" i="9"/>
  <c r="AJ139" i="9"/>
  <c r="AL139" i="9"/>
  <c r="AM139" i="9"/>
  <c r="AJ14" i="9"/>
  <c r="AL14" i="9"/>
  <c r="AM14" i="9"/>
  <c r="AQ14" i="9"/>
  <c r="AL30" i="9"/>
  <c r="AJ30" i="9"/>
  <c r="AQ30" i="9"/>
  <c r="AM30" i="9"/>
  <c r="AL75" i="9"/>
  <c r="AJ75" i="9"/>
  <c r="AQ75" i="9"/>
  <c r="AM75" i="9"/>
  <c r="AL257" i="9"/>
  <c r="AJ257" i="9"/>
  <c r="AQ257" i="9"/>
  <c r="AM257" i="9"/>
  <c r="AL272" i="9"/>
  <c r="AJ272" i="9"/>
  <c r="AM272" i="9"/>
  <c r="AQ272" i="9"/>
  <c r="AL10" i="9"/>
  <c r="AJ10" i="9"/>
  <c r="AM10" i="9"/>
  <c r="AQ10" i="9"/>
  <c r="AJ26" i="9"/>
  <c r="AL26" i="9"/>
  <c r="AQ26" i="9"/>
  <c r="AM26" i="9"/>
  <c r="AJ41" i="9"/>
  <c r="AL41" i="9"/>
  <c r="AQ41" i="9"/>
  <c r="AM41" i="9"/>
  <c r="AJ57" i="9"/>
  <c r="AL57" i="9"/>
  <c r="AM57" i="9"/>
  <c r="AQ57" i="9"/>
  <c r="AL71" i="9"/>
  <c r="AJ71" i="9"/>
  <c r="AQ71" i="9"/>
  <c r="AM71" i="9"/>
  <c r="AJ259" i="9"/>
  <c r="AL259" i="9"/>
  <c r="AQ259" i="9"/>
  <c r="AM259" i="9"/>
  <c r="AJ274" i="9"/>
  <c r="AL274" i="9"/>
  <c r="AQ274" i="9"/>
  <c r="AM274" i="9"/>
  <c r="AL305" i="9"/>
  <c r="AJ305" i="9"/>
  <c r="AQ305" i="9"/>
  <c r="AM305" i="9"/>
  <c r="AL313" i="9"/>
  <c r="AJ313" i="9"/>
  <c r="AM313" i="9"/>
  <c r="AQ313" i="9"/>
  <c r="AJ44" i="9"/>
  <c r="AL44" i="9"/>
  <c r="AQ44" i="9"/>
  <c r="AM44" i="9"/>
  <c r="AJ60" i="9"/>
  <c r="AL60" i="9"/>
  <c r="AQ60" i="9"/>
  <c r="AM60" i="9"/>
  <c r="AJ13" i="9"/>
  <c r="AL13" i="9"/>
  <c r="AQ13" i="9"/>
  <c r="AM13" i="9"/>
  <c r="AJ21" i="9"/>
  <c r="AL21" i="9"/>
  <c r="AQ21" i="9"/>
  <c r="AM21" i="9"/>
  <c r="AL29" i="9"/>
  <c r="AJ29" i="9"/>
  <c r="AQ29" i="9"/>
  <c r="AM29" i="9"/>
  <c r="AL301" i="9"/>
  <c r="AJ301" i="9"/>
  <c r="AQ301" i="9"/>
  <c r="AM301" i="9"/>
  <c r="AL110" i="9"/>
  <c r="AJ110" i="9"/>
  <c r="AQ110" i="9"/>
  <c r="AM110" i="9"/>
  <c r="AJ42" i="9"/>
  <c r="AL42" i="9"/>
  <c r="AM42" i="9"/>
  <c r="AQ42" i="9"/>
  <c r="BO58" i="9"/>
  <c r="BO253" i="9"/>
  <c r="BO237" i="9"/>
  <c r="AO232" i="9"/>
  <c r="AO148" i="9"/>
  <c r="BO119" i="9"/>
  <c r="AO313" i="9"/>
  <c r="AO305" i="9"/>
  <c r="AO75" i="9"/>
  <c r="AO57" i="9"/>
  <c r="AO41" i="9"/>
  <c r="AO30" i="9"/>
  <c r="AO14" i="9"/>
  <c r="AO214" i="9"/>
  <c r="AO139" i="9"/>
  <c r="BO295" i="9"/>
  <c r="BO243" i="9"/>
  <c r="AO189" i="9"/>
  <c r="AO135" i="9"/>
  <c r="AO151" i="9"/>
  <c r="BO39" i="9"/>
  <c r="AO202" i="9"/>
  <c r="BO211" i="9"/>
  <c r="BO300" i="9"/>
  <c r="BO32" i="9"/>
  <c r="BO16" i="9"/>
  <c r="BO48" i="9"/>
  <c r="BO186" i="9"/>
  <c r="AL174" i="9"/>
  <c r="AJ174" i="9"/>
  <c r="AQ174" i="9"/>
  <c r="AM174" i="9"/>
  <c r="AL279" i="9"/>
  <c r="AJ279" i="9"/>
  <c r="AQ279" i="9"/>
  <c r="AM279" i="9"/>
  <c r="AL118" i="9"/>
  <c r="AJ118" i="9"/>
  <c r="AM118" i="9"/>
  <c r="AQ118" i="9"/>
  <c r="AJ251" i="9"/>
  <c r="AL251" i="9"/>
  <c r="AQ251" i="9"/>
  <c r="AM251" i="9"/>
  <c r="AL229" i="9"/>
  <c r="AJ229" i="9"/>
  <c r="AQ229" i="9"/>
  <c r="AM229" i="9"/>
  <c r="AL181" i="9"/>
  <c r="AJ181" i="9"/>
  <c r="AQ181" i="9"/>
  <c r="AM181" i="9"/>
  <c r="AJ193" i="9"/>
  <c r="AL193" i="9"/>
  <c r="AQ193" i="9"/>
  <c r="AM193" i="9"/>
  <c r="AL117" i="9"/>
  <c r="AJ117" i="9"/>
  <c r="AQ117" i="9"/>
  <c r="AM117" i="9"/>
  <c r="AJ74" i="9"/>
  <c r="AL74" i="9"/>
  <c r="AM74" i="9"/>
  <c r="AQ74" i="9"/>
  <c r="AL50" i="9"/>
  <c r="AJ50" i="9"/>
  <c r="AM50" i="9"/>
  <c r="AQ50" i="9"/>
  <c r="AL55" i="9"/>
  <c r="AJ55" i="9"/>
  <c r="AQ55" i="9"/>
  <c r="AM55" i="9"/>
  <c r="AL111" i="9"/>
  <c r="AJ111" i="9"/>
  <c r="AQ111" i="9"/>
  <c r="AM111" i="9"/>
  <c r="AL86" i="9"/>
  <c r="AJ86" i="9"/>
  <c r="AM86" i="9"/>
  <c r="AQ86" i="9"/>
  <c r="AJ94" i="9"/>
  <c r="AL94" i="9"/>
  <c r="AQ94" i="9"/>
  <c r="AM94" i="9"/>
  <c r="AL102" i="9"/>
  <c r="AJ102" i="9"/>
  <c r="AM102" i="9"/>
  <c r="AQ102" i="9"/>
  <c r="AJ264" i="9"/>
  <c r="AL264" i="9"/>
  <c r="AQ264" i="9"/>
  <c r="AM264" i="9"/>
  <c r="AO50" i="9"/>
  <c r="AO203" i="9"/>
  <c r="AO301" i="9"/>
  <c r="AO44" i="9"/>
  <c r="AO191" i="9"/>
  <c r="AJ134" i="9"/>
  <c r="AL134" i="9"/>
  <c r="AM134" i="9"/>
  <c r="AQ134" i="9"/>
  <c r="AL182" i="9"/>
  <c r="AJ182" i="9"/>
  <c r="AM182" i="9"/>
  <c r="AQ182" i="9"/>
  <c r="AL190" i="9"/>
  <c r="AJ190" i="9"/>
  <c r="AQ190" i="9"/>
  <c r="AM190" i="9"/>
  <c r="AL138" i="9"/>
  <c r="AJ138" i="9"/>
  <c r="AM138" i="9"/>
  <c r="AQ138" i="9"/>
  <c r="AO29" i="9"/>
  <c r="AO21" i="9"/>
  <c r="AO128" i="9"/>
  <c r="AO152" i="9"/>
  <c r="AO279" i="9"/>
  <c r="AJ47" i="9"/>
  <c r="AL47" i="9"/>
  <c r="AQ47" i="9"/>
  <c r="AM47" i="9"/>
  <c r="AJ290" i="9"/>
  <c r="AL290" i="9"/>
  <c r="AQ290" i="9"/>
  <c r="AM290" i="9"/>
  <c r="AO290" i="9"/>
  <c r="AL160" i="9"/>
  <c r="AJ160" i="9"/>
  <c r="AM160" i="9"/>
  <c r="AQ160" i="9"/>
  <c r="AK320" i="9"/>
  <c r="AJ5" i="9"/>
  <c r="AK404" i="9"/>
  <c r="AL5" i="9"/>
  <c r="AQ5" i="9"/>
  <c r="AM5" i="9"/>
  <c r="AO5" i="9"/>
  <c r="AJ53" i="9"/>
  <c r="AL53" i="9"/>
  <c r="AQ53" i="9"/>
  <c r="AM53" i="9"/>
  <c r="AJ316" i="9"/>
  <c r="AL316" i="9"/>
  <c r="AQ316" i="9"/>
  <c r="AM316" i="9"/>
  <c r="AJ314" i="9"/>
  <c r="AL314" i="9"/>
  <c r="AQ314" i="9"/>
  <c r="AM314" i="9"/>
  <c r="AL299" i="9"/>
  <c r="AJ299" i="9"/>
  <c r="AQ299" i="9"/>
  <c r="AM299" i="9"/>
  <c r="AL46" i="9"/>
  <c r="AJ46" i="9"/>
  <c r="AM46" i="9"/>
  <c r="AQ46" i="9"/>
  <c r="AJ15" i="9"/>
  <c r="AL15" i="9"/>
  <c r="AQ15" i="9"/>
  <c r="AM15" i="9"/>
  <c r="AO259" i="9"/>
  <c r="AO145" i="9"/>
  <c r="AO172" i="9"/>
  <c r="AJ255" i="9"/>
  <c r="AL255" i="9"/>
  <c r="AM255" i="9"/>
  <c r="AQ255" i="9"/>
  <c r="AJ108" i="9"/>
  <c r="AL108" i="9"/>
  <c r="AQ108" i="9"/>
  <c r="AM108" i="9"/>
  <c r="AM100" i="9"/>
  <c r="AJ100" i="9"/>
  <c r="AL100" i="9"/>
  <c r="AQ100" i="9"/>
  <c r="AM92" i="9"/>
  <c r="AL92" i="9"/>
  <c r="AJ92" i="9"/>
  <c r="AQ92" i="9"/>
  <c r="AM84" i="9"/>
  <c r="AJ84" i="9"/>
  <c r="AL84" i="9"/>
  <c r="AQ84" i="9"/>
  <c r="AJ76" i="9"/>
  <c r="AL76" i="9"/>
  <c r="AQ76" i="9"/>
  <c r="AM76" i="9"/>
  <c r="AL68" i="9"/>
  <c r="AJ68" i="9"/>
  <c r="AM68" i="9"/>
  <c r="AQ68" i="9"/>
  <c r="AJ222" i="9"/>
  <c r="AL222" i="9"/>
  <c r="AM222" i="9"/>
  <c r="AQ222" i="9"/>
  <c r="AJ123" i="9"/>
  <c r="AL123" i="9"/>
  <c r="AQ123" i="9"/>
  <c r="AM123" i="9"/>
  <c r="AJ294" i="9"/>
  <c r="AL294" i="9"/>
  <c r="AQ294" i="9"/>
  <c r="AM294" i="9"/>
  <c r="AO294" i="9"/>
  <c r="AL140" i="9"/>
  <c r="AJ140" i="9"/>
  <c r="AM140" i="9"/>
  <c r="AQ140" i="9"/>
  <c r="AJ282" i="9"/>
  <c r="AL282" i="9"/>
  <c r="AQ282" i="9"/>
  <c r="AM282" i="9"/>
  <c r="AO282" i="9"/>
  <c r="AJ247" i="9"/>
  <c r="AL247" i="9"/>
  <c r="AM247" i="9"/>
  <c r="AQ247" i="9"/>
  <c r="AJ231" i="9"/>
  <c r="AL231" i="9"/>
  <c r="AM231" i="9"/>
  <c r="AQ231" i="9"/>
  <c r="AL185" i="9"/>
  <c r="AJ185" i="9"/>
  <c r="AQ185" i="9"/>
  <c r="AM185" i="9"/>
  <c r="AJ161" i="9"/>
  <c r="AL161" i="9"/>
  <c r="AQ161" i="9"/>
  <c r="AM161" i="9"/>
  <c r="AO161" i="9"/>
  <c r="AL165" i="9"/>
  <c r="AJ165" i="9"/>
  <c r="AQ165" i="9"/>
  <c r="AM165" i="9"/>
  <c r="AO221" i="9"/>
  <c r="AO184" i="9"/>
  <c r="AO196" i="9"/>
  <c r="AO276" i="9"/>
  <c r="AJ120" i="9"/>
  <c r="AL120" i="9"/>
  <c r="AQ120" i="9"/>
  <c r="AM120" i="9"/>
  <c r="AJ157" i="9"/>
  <c r="AL157" i="9"/>
  <c r="AQ157" i="9"/>
  <c r="AM157" i="9"/>
  <c r="AL233" i="9"/>
  <c r="AJ233" i="9"/>
  <c r="AQ233" i="9"/>
  <c r="AM233" i="9"/>
  <c r="AJ246" i="9"/>
  <c r="AL246" i="9"/>
  <c r="AQ246" i="9"/>
  <c r="AM246" i="9"/>
  <c r="AM309" i="9"/>
  <c r="AL309" i="9"/>
  <c r="AJ309" i="9"/>
  <c r="AQ309" i="9"/>
  <c r="AJ239" i="9"/>
  <c r="AL239" i="9"/>
  <c r="AM239" i="9"/>
  <c r="AQ239" i="9"/>
  <c r="AQ277" i="9"/>
  <c r="AJ277" i="9"/>
  <c r="AL277" i="9"/>
  <c r="AM277" i="9"/>
  <c r="AL207" i="9"/>
  <c r="AJ207" i="9"/>
  <c r="AM207" i="9"/>
  <c r="AQ207" i="9"/>
  <c r="AM28" i="9"/>
  <c r="AJ28" i="9"/>
  <c r="AL28" i="9"/>
  <c r="AQ28" i="9"/>
  <c r="AL125" i="9"/>
  <c r="AJ125" i="9"/>
  <c r="AQ125" i="9"/>
  <c r="AM125" i="9"/>
  <c r="AJ137" i="9"/>
  <c r="AL137" i="9"/>
  <c r="AQ137" i="9"/>
  <c r="AM137" i="9"/>
  <c r="AM56" i="9"/>
  <c r="AL56" i="9"/>
  <c r="AJ56" i="9"/>
  <c r="AQ56" i="9"/>
  <c r="AL43" i="9"/>
  <c r="AJ43" i="9"/>
  <c r="AM43" i="9"/>
  <c r="AQ43" i="9"/>
  <c r="AJ97" i="9"/>
  <c r="AL97" i="9"/>
  <c r="AM97" i="9"/>
  <c r="AQ97" i="9"/>
  <c r="AL177" i="9"/>
  <c r="AJ177" i="9"/>
  <c r="AQ177" i="9"/>
  <c r="AM177" i="9"/>
  <c r="AJ270" i="9"/>
  <c r="AL270" i="9"/>
  <c r="AQ270" i="9"/>
  <c r="AM270" i="9"/>
  <c r="AL129" i="9"/>
  <c r="AJ129" i="9"/>
  <c r="AQ129" i="9"/>
  <c r="AM129" i="9"/>
  <c r="AQ131" i="9"/>
  <c r="AJ131" i="9"/>
  <c r="AL131" i="9"/>
  <c r="AM131" i="9"/>
  <c r="AL261" i="9"/>
  <c r="AJ261" i="9"/>
  <c r="AQ261" i="9"/>
  <c r="AM261" i="9"/>
  <c r="AL80" i="9"/>
  <c r="AJ80" i="9"/>
  <c r="AM80" i="9"/>
  <c r="AQ80" i="9"/>
  <c r="AJ109" i="9"/>
  <c r="AL109" i="9"/>
  <c r="AQ109" i="9"/>
  <c r="AM109" i="9"/>
  <c r="AJ19" i="9"/>
  <c r="AL19" i="9"/>
  <c r="AQ19" i="9"/>
  <c r="AM19" i="9"/>
  <c r="BD149" i="9"/>
  <c r="BD16" i="9"/>
  <c r="BD32" i="9"/>
  <c r="BD48" i="9"/>
  <c r="BD45" i="9"/>
  <c r="AY40" i="9"/>
  <c r="AW40" i="9"/>
  <c r="AZ35" i="9"/>
  <c r="BA35" i="9" s="1"/>
  <c r="AZ31" i="9"/>
  <c r="BA31" i="9" s="1"/>
  <c r="AZ27" i="9"/>
  <c r="BA27" i="9" s="1"/>
  <c r="AZ11" i="9"/>
  <c r="BA11" i="9" s="1"/>
  <c r="BD39" i="9"/>
  <c r="AV320" i="9"/>
  <c r="AX410" i="9" s="1"/>
  <c r="BD35" i="9"/>
  <c r="BD31" i="9"/>
  <c r="BD27" i="9"/>
  <c r="BD11" i="9"/>
  <c r="AY155" i="9"/>
  <c r="AW155" i="9"/>
  <c r="AY163" i="9"/>
  <c r="AW163" i="9"/>
  <c r="AY167" i="9"/>
  <c r="AW167" i="9"/>
  <c r="AW179" i="9"/>
  <c r="AY179" i="9"/>
  <c r="AW187" i="9"/>
  <c r="AY187" i="9"/>
  <c r="AW199" i="9"/>
  <c r="AY199" i="9"/>
  <c r="BD260" i="9"/>
  <c r="AY260" i="9"/>
  <c r="AW260" i="9"/>
  <c r="AY266" i="9"/>
  <c r="AW266" i="9"/>
  <c r="BD298" i="9"/>
  <c r="AY298" i="9"/>
  <c r="AW298" i="9"/>
  <c r="BD306" i="9"/>
  <c r="AW306" i="9"/>
  <c r="AY306" i="9"/>
  <c r="AW237" i="9"/>
  <c r="AY237" i="9"/>
  <c r="BD243" i="9"/>
  <c r="AW243" i="9"/>
  <c r="AY243" i="9"/>
  <c r="AW253" i="9"/>
  <c r="AY253" i="9"/>
  <c r="BD269" i="9"/>
  <c r="AW269" i="9"/>
  <c r="AY269" i="9"/>
  <c r="BD273" i="9"/>
  <c r="AW273" i="9"/>
  <c r="AY273" i="9"/>
  <c r="AW292" i="9"/>
  <c r="AY292" i="9"/>
  <c r="BD287" i="9"/>
  <c r="AW287" i="9"/>
  <c r="AY287" i="9"/>
  <c r="AZ292" i="9"/>
  <c r="BA292" i="9" s="1"/>
  <c r="AW311" i="9"/>
  <c r="AY311" i="9"/>
  <c r="AY58" i="9"/>
  <c r="AW58" i="9"/>
  <c r="AY62" i="9"/>
  <c r="AW62" i="9"/>
  <c r="AY70" i="9"/>
  <c r="AW70" i="9"/>
  <c r="AY72" i="9"/>
  <c r="AW72" i="9"/>
  <c r="AY88" i="9"/>
  <c r="AW88" i="9"/>
  <c r="AZ112" i="9"/>
  <c r="BA112" i="9" s="1"/>
  <c r="AY112" i="9"/>
  <c r="AW112" i="9"/>
  <c r="AZ124" i="9"/>
  <c r="BA124" i="9" s="1"/>
  <c r="AW124" i="9"/>
  <c r="AY124" i="9"/>
  <c r="AW126" i="9"/>
  <c r="AY126" i="9"/>
  <c r="AW132" i="9"/>
  <c r="AY132" i="9"/>
  <c r="AW136" i="9"/>
  <c r="AY136" i="9"/>
  <c r="AZ142" i="9"/>
  <c r="BA142" i="9" s="1"/>
  <c r="AY142" i="9"/>
  <c r="AW142" i="9"/>
  <c r="AZ155" i="9"/>
  <c r="BA155" i="9" s="1"/>
  <c r="AY158" i="9"/>
  <c r="AW158" i="9"/>
  <c r="AZ163" i="9"/>
  <c r="BA163" i="9" s="1"/>
  <c r="AZ167" i="9"/>
  <c r="BA167" i="9" s="1"/>
  <c r="AZ179" i="9"/>
  <c r="BA179" i="9" s="1"/>
  <c r="AW186" i="9"/>
  <c r="AY186" i="9"/>
  <c r="AZ187" i="9"/>
  <c r="BA187" i="9" s="1"/>
  <c r="AW198" i="9"/>
  <c r="AY198" i="9"/>
  <c r="AZ199" i="9"/>
  <c r="BA199" i="9" s="1"/>
  <c r="AZ210" i="9"/>
  <c r="BA210" i="9" s="1"/>
  <c r="AZ216" i="9"/>
  <c r="BA216" i="9" s="1"/>
  <c r="AZ218" i="9"/>
  <c r="BA218" i="9" s="1"/>
  <c r="BD249" i="9"/>
  <c r="BD256" i="9"/>
  <c r="AW256" i="9"/>
  <c r="AY256" i="9"/>
  <c r="BD201" i="9"/>
  <c r="AY204" i="9"/>
  <c r="AW204" i="9"/>
  <c r="BD209" i="9"/>
  <c r="AV336" i="9"/>
  <c r="AV433" i="9"/>
  <c r="AY220" i="9"/>
  <c r="AW220" i="9"/>
  <c r="AW262" i="9"/>
  <c r="AY262" i="9"/>
  <c r="AZ271" i="9"/>
  <c r="BA271" i="9" s="1"/>
  <c r="BD307" i="9"/>
  <c r="AZ266" i="9"/>
  <c r="BA266" i="9" s="1"/>
  <c r="AZ283" i="9"/>
  <c r="BA283" i="9" s="1"/>
  <c r="AW300" i="9"/>
  <c r="AY300" i="9"/>
  <c r="AZ311" i="9"/>
  <c r="BA311" i="9" s="1"/>
  <c r="BD285" i="9"/>
  <c r="AY285" i="9"/>
  <c r="AW285" i="9"/>
  <c r="BD293" i="9"/>
  <c r="AY293" i="9"/>
  <c r="AW293" i="9"/>
  <c r="AZ308" i="9"/>
  <c r="BA308" i="9" s="1"/>
  <c r="AY315" i="9"/>
  <c r="AW315" i="9"/>
  <c r="AR4" i="9"/>
  <c r="AR1" i="9"/>
  <c r="AZ410" i="9"/>
  <c r="AZ407" i="9"/>
  <c r="AZ405" i="9"/>
  <c r="AX322" i="9"/>
  <c r="AZ408" i="9"/>
  <c r="AZ406" i="9"/>
  <c r="AZ404" i="9"/>
  <c r="AT4" i="9"/>
  <c r="AU4" i="9"/>
  <c r="AS4" i="9"/>
  <c r="AY4" i="9"/>
  <c r="AI443" i="9"/>
  <c r="AI344" i="9"/>
  <c r="AK411" i="9" s="1"/>
  <c r="AJ411" i="9" s="1"/>
  <c r="AK365" i="9"/>
  <c r="AK390" i="9"/>
  <c r="AE319" i="9"/>
  <c r="AE315" i="9"/>
  <c r="AE311" i="9"/>
  <c r="AE312" i="9"/>
  <c r="AE306" i="9"/>
  <c r="AE302" i="9"/>
  <c r="AE298" i="9"/>
  <c r="AE294" i="9"/>
  <c r="AE290" i="9"/>
  <c r="AE286" i="9"/>
  <c r="AE282" i="9"/>
  <c r="AE278" i="9"/>
  <c r="AE274" i="9"/>
  <c r="AE270" i="9"/>
  <c r="AE309" i="9"/>
  <c r="AE301" i="9"/>
  <c r="AE293" i="9"/>
  <c r="AE285" i="9"/>
  <c r="AE277" i="9"/>
  <c r="AE269" i="9"/>
  <c r="AE265" i="9"/>
  <c r="AE261" i="9"/>
  <c r="AE257" i="9"/>
  <c r="AE253" i="9"/>
  <c r="AE249" i="9"/>
  <c r="AE245" i="9"/>
  <c r="AE241" i="9"/>
  <c r="AE237" i="9"/>
  <c r="AE233" i="9"/>
  <c r="AE229" i="9"/>
  <c r="AE225" i="9"/>
  <c r="AE221" i="9"/>
  <c r="AE217" i="9"/>
  <c r="AE213" i="9"/>
  <c r="AE209" i="9"/>
  <c r="AE205" i="9"/>
  <c r="AE201" i="9"/>
  <c r="AE197" i="9"/>
  <c r="AE193" i="9"/>
  <c r="AE303" i="9"/>
  <c r="AE287" i="9"/>
  <c r="AE271" i="9"/>
  <c r="AE264" i="9"/>
  <c r="AE256" i="9"/>
  <c r="AE248" i="9"/>
  <c r="AE240" i="9"/>
  <c r="AE232" i="9"/>
  <c r="AE224" i="9"/>
  <c r="AE216" i="9"/>
  <c r="AE208" i="9"/>
  <c r="AE200" i="9"/>
  <c r="AE192" i="9"/>
  <c r="AE189" i="9"/>
  <c r="AE185" i="9"/>
  <c r="AE181" i="9"/>
  <c r="AE177" i="9"/>
  <c r="AE173" i="9"/>
  <c r="AE169" i="9"/>
  <c r="AE165" i="9"/>
  <c r="AE161" i="9"/>
  <c r="AE157" i="9"/>
  <c r="AE307" i="9"/>
  <c r="AE291" i="9"/>
  <c r="AE275" i="9"/>
  <c r="AE262" i="9"/>
  <c r="AE254" i="9"/>
  <c r="AE246" i="9"/>
  <c r="AE230" i="9"/>
  <c r="AE214" i="9"/>
  <c r="AE198" i="9"/>
  <c r="AE186" i="9"/>
  <c r="AE178" i="9"/>
  <c r="AE170" i="9"/>
  <c r="AE162" i="9"/>
  <c r="AE155" i="9"/>
  <c r="AE151" i="9"/>
  <c r="AE147" i="9"/>
  <c r="AE143" i="9"/>
  <c r="AE139" i="9"/>
  <c r="AE135" i="9"/>
  <c r="AE131" i="9"/>
  <c r="AE127" i="9"/>
  <c r="AE123" i="9"/>
  <c r="AE119" i="9"/>
  <c r="AE115" i="9"/>
  <c r="AE111" i="9"/>
  <c r="AE107" i="9"/>
  <c r="AE103" i="9"/>
  <c r="AE99" i="9"/>
  <c r="AE95" i="9"/>
  <c r="AE91" i="9"/>
  <c r="AE87" i="9"/>
  <c r="AE83" i="9"/>
  <c r="AE79" i="9"/>
  <c r="AE75" i="9"/>
  <c r="AE71" i="9"/>
  <c r="AE67" i="9"/>
  <c r="AE63" i="9"/>
  <c r="AE59" i="9"/>
  <c r="AE55" i="9"/>
  <c r="AE51" i="9"/>
  <c r="AE47" i="9"/>
  <c r="AE43" i="9"/>
  <c r="AE39" i="9"/>
  <c r="AE35" i="9"/>
  <c r="AE31" i="9"/>
  <c r="AE27" i="9"/>
  <c r="AE23" i="9"/>
  <c r="AE19" i="9"/>
  <c r="AE15" i="9"/>
  <c r="AE11" i="9"/>
  <c r="AE7" i="9"/>
  <c r="AE242" i="9"/>
  <c r="AE226" i="9"/>
  <c r="AE210" i="9"/>
  <c r="AE194" i="9"/>
  <c r="AE184" i="9"/>
  <c r="AE176" i="9"/>
  <c r="AE168" i="9"/>
  <c r="AE160" i="9"/>
  <c r="AE150" i="9"/>
  <c r="AE142" i="9"/>
  <c r="AE134" i="9"/>
  <c r="AE126" i="9"/>
  <c r="AE118" i="9"/>
  <c r="AE110" i="9"/>
  <c r="AE102" i="9"/>
  <c r="AE94" i="9"/>
  <c r="AE86" i="9"/>
  <c r="AE78" i="9"/>
  <c r="AE70" i="9"/>
  <c r="AE62" i="9"/>
  <c r="AE54" i="9"/>
  <c r="AE317" i="9"/>
  <c r="AE316" i="9"/>
  <c r="AE304" i="9"/>
  <c r="AE296" i="9"/>
  <c r="AE288" i="9"/>
  <c r="AE280" i="9"/>
  <c r="AE272" i="9"/>
  <c r="AE305" i="9"/>
  <c r="AE289" i="9"/>
  <c r="AE273" i="9"/>
  <c r="AE263" i="9"/>
  <c r="AE255" i="9"/>
  <c r="AE247" i="9"/>
  <c r="AE239" i="9"/>
  <c r="AE231" i="9"/>
  <c r="AE223" i="9"/>
  <c r="AE215" i="9"/>
  <c r="AE207" i="9"/>
  <c r="AE199" i="9"/>
  <c r="AE310" i="9"/>
  <c r="AE279" i="9"/>
  <c r="AE260" i="9"/>
  <c r="AE244" i="9"/>
  <c r="AE228" i="9"/>
  <c r="AE212" i="9"/>
  <c r="AE196" i="9"/>
  <c r="AE187" i="9"/>
  <c r="AE179" i="9"/>
  <c r="AE171" i="9"/>
  <c r="AE163" i="9"/>
  <c r="AE318" i="9"/>
  <c r="AE283" i="9"/>
  <c r="AE258" i="9"/>
  <c r="AE238" i="9"/>
  <c r="AE206" i="9"/>
  <c r="AE182" i="9"/>
  <c r="AE166" i="9"/>
  <c r="AE153" i="9"/>
  <c r="AE145" i="9"/>
  <c r="AE137" i="9"/>
  <c r="AE129" i="9"/>
  <c r="AE121" i="9"/>
  <c r="AE113" i="9"/>
  <c r="AE105" i="9"/>
  <c r="AE97" i="9"/>
  <c r="AE89" i="9"/>
  <c r="AE81" i="9"/>
  <c r="AE73" i="9"/>
  <c r="AE65" i="9"/>
  <c r="AE57" i="9"/>
  <c r="AE49" i="9"/>
  <c r="AE41" i="9"/>
  <c r="AE33" i="9"/>
  <c r="AE25" i="9"/>
  <c r="AE17" i="9"/>
  <c r="AE9" i="9"/>
  <c r="AE234" i="9"/>
  <c r="AE202" i="9"/>
  <c r="AE180" i="9"/>
  <c r="AE164" i="9"/>
  <c r="AE146" i="9"/>
  <c r="AE130" i="9"/>
  <c r="AE114" i="9"/>
  <c r="AE98" i="9"/>
  <c r="AE82" i="9"/>
  <c r="AE66" i="9"/>
  <c r="AE50" i="9"/>
  <c r="AE42" i="9"/>
  <c r="AE34" i="9"/>
  <c r="AE26" i="9"/>
  <c r="AE18" i="9"/>
  <c r="AE10" i="9"/>
  <c r="AE156" i="9"/>
  <c r="AE148" i="9"/>
  <c r="AE140" i="9"/>
  <c r="AE132" i="9"/>
  <c r="AE124" i="9"/>
  <c r="AE116" i="9"/>
  <c r="AE108" i="9"/>
  <c r="AE100" i="9"/>
  <c r="AE92" i="9"/>
  <c r="AE84" i="9"/>
  <c r="AE76" i="9"/>
  <c r="AE68" i="9"/>
  <c r="AE60" i="9"/>
  <c r="AE52" i="9"/>
  <c r="AE44" i="9"/>
  <c r="AE36" i="9"/>
  <c r="AE28" i="9"/>
  <c r="AE20" i="9"/>
  <c r="AE12" i="9"/>
  <c r="AE313" i="9"/>
  <c r="AE308" i="9"/>
  <c r="AE300" i="9"/>
  <c r="AE292" i="9"/>
  <c r="AE284" i="9"/>
  <c r="AE276" i="9"/>
  <c r="AE314" i="9"/>
  <c r="AE297" i="9"/>
  <c r="AE281" i="9"/>
  <c r="AE267" i="9"/>
  <c r="AE259" i="9"/>
  <c r="AE251" i="9"/>
  <c r="AE243" i="9"/>
  <c r="AE235" i="9"/>
  <c r="AE227" i="9"/>
  <c r="AE219" i="9"/>
  <c r="AE211" i="9"/>
  <c r="AE203" i="9"/>
  <c r="AE195" i="9"/>
  <c r="AE295" i="9"/>
  <c r="AE268" i="9"/>
  <c r="AE252" i="9"/>
  <c r="AE236" i="9"/>
  <c r="AE220" i="9"/>
  <c r="AE204" i="9"/>
  <c r="AE191" i="9"/>
  <c r="AE183" i="9"/>
  <c r="AE175" i="9"/>
  <c r="AE167" i="9"/>
  <c r="AE159" i="9"/>
  <c r="AE299" i="9"/>
  <c r="AE266" i="9"/>
  <c r="AE250" i="9"/>
  <c r="AE222" i="9"/>
  <c r="AE190" i="9"/>
  <c r="AE174" i="9"/>
  <c r="AE158" i="9"/>
  <c r="AE149" i="9"/>
  <c r="AE141" i="9"/>
  <c r="AE133" i="9"/>
  <c r="AE125" i="9"/>
  <c r="AE117" i="9"/>
  <c r="AE109" i="9"/>
  <c r="AE101" i="9"/>
  <c r="AE93" i="9"/>
  <c r="AE85" i="9"/>
  <c r="AE77" i="9"/>
  <c r="AE69" i="9"/>
  <c r="AE61" i="9"/>
  <c r="AE53" i="9"/>
  <c r="AE45" i="9"/>
  <c r="AE37" i="9"/>
  <c r="AE29" i="9"/>
  <c r="AE21" i="9"/>
  <c r="AE13" i="9"/>
  <c r="AE5" i="9"/>
  <c r="AE218" i="9"/>
  <c r="AE188" i="9"/>
  <c r="AE172" i="9"/>
  <c r="AE154" i="9"/>
  <c r="AE138" i="9"/>
  <c r="AE122" i="9"/>
  <c r="AE106" i="9"/>
  <c r="AE90" i="9"/>
  <c r="AE74" i="9"/>
  <c r="AE58" i="9"/>
  <c r="AE46" i="9"/>
  <c r="AE38" i="9"/>
  <c r="AE30" i="9"/>
  <c r="AE22" i="9"/>
  <c r="AE14" i="9"/>
  <c r="AE6" i="9"/>
  <c r="AE152" i="9"/>
  <c r="AE144" i="9"/>
  <c r="AE136" i="9"/>
  <c r="AE128" i="9"/>
  <c r="AE120" i="9"/>
  <c r="AE112" i="9"/>
  <c r="AE104" i="9"/>
  <c r="AE96" i="9"/>
  <c r="AE88" i="9"/>
  <c r="AE80" i="9"/>
  <c r="AE72" i="9"/>
  <c r="AE64" i="9"/>
  <c r="AE56" i="9"/>
  <c r="AE48" i="9"/>
  <c r="AE40" i="9"/>
  <c r="AE32" i="9"/>
  <c r="AE24" i="9"/>
  <c r="AE16" i="9"/>
  <c r="AE8" i="9"/>
  <c r="BB112" i="9"/>
  <c r="AO96" i="9"/>
  <c r="AO80" i="9"/>
  <c r="AO64" i="9"/>
  <c r="BB27" i="9"/>
  <c r="BB11" i="9"/>
  <c r="BB249" i="9"/>
  <c r="BO249" i="9" s="1"/>
  <c r="AO261" i="9"/>
  <c r="BB215" i="9"/>
  <c r="BO215" i="9" s="1"/>
  <c r="AO176" i="9"/>
  <c r="AO129" i="9"/>
  <c r="AO120" i="9"/>
  <c r="AO318" i="9"/>
  <c r="AO33" i="9"/>
  <c r="AO9" i="9"/>
  <c r="AO288" i="9"/>
  <c r="AO244" i="9"/>
  <c r="BB31" i="9"/>
  <c r="AO15" i="9"/>
  <c r="AO225" i="9"/>
  <c r="AO105" i="9"/>
  <c r="AO280" i="9"/>
  <c r="AO116" i="9"/>
  <c r="AO125" i="9"/>
  <c r="AO13" i="9"/>
  <c r="AO278" i="9"/>
  <c r="AO153" i="9"/>
  <c r="AO115" i="9"/>
  <c r="AQ386" i="9"/>
  <c r="AL361" i="9"/>
  <c r="AK336" i="9"/>
  <c r="AL349" i="9"/>
  <c r="X344" i="9"/>
  <c r="AA137" i="9"/>
  <c r="V344" i="9"/>
  <c r="R6" i="9"/>
  <c r="R34" i="9"/>
  <c r="R76" i="9"/>
  <c r="R110" i="9"/>
  <c r="R198" i="9"/>
  <c r="R209" i="9"/>
  <c r="R307" i="9"/>
  <c r="AA239" i="9"/>
  <c r="AA277" i="9"/>
  <c r="AA125" i="9"/>
  <c r="AA56" i="9"/>
  <c r="AA43" i="9"/>
  <c r="AA105" i="9"/>
  <c r="AA154" i="9"/>
  <c r="R15" i="9"/>
  <c r="R20" i="9"/>
  <c r="S20" i="9" s="1"/>
  <c r="R48" i="9"/>
  <c r="AC48" i="9" s="1"/>
  <c r="R66" i="9"/>
  <c r="R84" i="9"/>
  <c r="R100" i="9"/>
  <c r="AC100" i="9" s="1"/>
  <c r="R126" i="9"/>
  <c r="R284" i="9"/>
  <c r="R49" i="9"/>
  <c r="R158" i="9"/>
  <c r="R248" i="9"/>
  <c r="R271" i="9"/>
  <c r="AA28" i="9"/>
  <c r="AA116" i="9"/>
  <c r="AA207" i="9"/>
  <c r="R8" i="9"/>
  <c r="AC8" i="9" s="1"/>
  <c r="R23" i="9"/>
  <c r="R39" i="9"/>
  <c r="AC39" i="9" s="1"/>
  <c r="R28" i="9"/>
  <c r="R44" i="9"/>
  <c r="AC44" i="9" s="1"/>
  <c r="R54" i="9"/>
  <c r="R62" i="9"/>
  <c r="R72" i="9"/>
  <c r="R80" i="9"/>
  <c r="R88" i="9"/>
  <c r="R96" i="9"/>
  <c r="R104" i="9"/>
  <c r="R116" i="9"/>
  <c r="R170" i="9"/>
  <c r="R223" i="9"/>
  <c r="R163" i="9"/>
  <c r="R237" i="9"/>
  <c r="R118" i="9"/>
  <c r="R146" i="9"/>
  <c r="R182" i="9"/>
  <c r="R232" i="9"/>
  <c r="R259" i="9"/>
  <c r="R287" i="9"/>
  <c r="R315" i="9"/>
  <c r="S315" i="9" s="1"/>
  <c r="R13" i="9"/>
  <c r="R12" i="9"/>
  <c r="AC12" i="9" s="1"/>
  <c r="R19" i="9"/>
  <c r="R27" i="9"/>
  <c r="S27" i="9" s="1"/>
  <c r="R37" i="9"/>
  <c r="R16" i="9"/>
  <c r="S16" i="9" s="1"/>
  <c r="R24" i="9"/>
  <c r="R31" i="9"/>
  <c r="AC31" i="9" s="1"/>
  <c r="R42" i="9"/>
  <c r="R46" i="9"/>
  <c r="AC46" i="9" s="1"/>
  <c r="R52" i="9"/>
  <c r="AC52" i="9" s="1"/>
  <c r="R56" i="9"/>
  <c r="AC56" i="9" s="1"/>
  <c r="R60" i="9"/>
  <c r="AC60" i="9" s="1"/>
  <c r="R64" i="9"/>
  <c r="AC64" i="9" s="1"/>
  <c r="R68" i="9"/>
  <c r="AC68" i="9" s="1"/>
  <c r="R74" i="9"/>
  <c r="AC74" i="9" s="1"/>
  <c r="R78" i="9"/>
  <c r="AC78" i="9" s="1"/>
  <c r="R82" i="9"/>
  <c r="AC82" i="9" s="1"/>
  <c r="R86" i="9"/>
  <c r="AC86" i="9" s="1"/>
  <c r="R90" i="9"/>
  <c r="AC90" i="9" s="1"/>
  <c r="R94" i="9"/>
  <c r="AC94" i="9" s="1"/>
  <c r="R98" i="9"/>
  <c r="AC98" i="9" s="1"/>
  <c r="R102" i="9"/>
  <c r="R108" i="9"/>
  <c r="AC108" i="9" s="1"/>
  <c r="R112" i="9"/>
  <c r="AC112" i="9" s="1"/>
  <c r="R121" i="9"/>
  <c r="T121" i="9" s="1"/>
  <c r="U121" i="9" s="1"/>
  <c r="R142" i="9"/>
  <c r="R135" i="9"/>
  <c r="R208" i="9"/>
  <c r="R239" i="9"/>
  <c r="R147" i="9"/>
  <c r="R174" i="9"/>
  <c r="R221" i="9"/>
  <c r="R253" i="9"/>
  <c r="R105" i="9"/>
  <c r="R127" i="9"/>
  <c r="R141" i="9"/>
  <c r="R152" i="9"/>
  <c r="R173" i="9"/>
  <c r="R199" i="9"/>
  <c r="R224" i="9"/>
  <c r="R240" i="9"/>
  <c r="R255" i="9"/>
  <c r="R302" i="9"/>
  <c r="R213" i="9"/>
  <c r="R263" i="9"/>
  <c r="R279" i="9"/>
  <c r="R296" i="9"/>
  <c r="R5" i="9"/>
  <c r="R11" i="9"/>
  <c r="R7" i="9"/>
  <c r="R10" i="9"/>
  <c r="R14" i="9"/>
  <c r="R17" i="9"/>
  <c r="R21" i="9"/>
  <c r="R25" i="9"/>
  <c r="R29" i="9"/>
  <c r="R35" i="9"/>
  <c r="R38" i="9"/>
  <c r="R9" i="9"/>
  <c r="R18" i="9"/>
  <c r="R22" i="9"/>
  <c r="R26" i="9"/>
  <c r="R30" i="9"/>
  <c r="R32" i="9"/>
  <c r="R36" i="9"/>
  <c r="R43" i="9"/>
  <c r="R45" i="9"/>
  <c r="R47" i="9"/>
  <c r="R51" i="9"/>
  <c r="R53" i="9"/>
  <c r="R55" i="9"/>
  <c r="R57" i="9"/>
  <c r="R59" i="9"/>
  <c r="R61" i="9"/>
  <c r="R63" i="9"/>
  <c r="R65" i="9"/>
  <c r="R67" i="9"/>
  <c r="R71" i="9"/>
  <c r="R73" i="9"/>
  <c r="R75" i="9"/>
  <c r="R77" i="9"/>
  <c r="R79" i="9"/>
  <c r="R81" i="9"/>
  <c r="R83" i="9"/>
  <c r="R85" i="9"/>
  <c r="R87" i="9"/>
  <c r="R89" i="9"/>
  <c r="R91" i="9"/>
  <c r="R93" i="9"/>
  <c r="R95" i="9"/>
  <c r="R97" i="9"/>
  <c r="R99" i="9"/>
  <c r="R101" i="9"/>
  <c r="R103" i="9"/>
  <c r="R107" i="9"/>
  <c r="R109" i="9"/>
  <c r="R111" i="9"/>
  <c r="R114" i="9"/>
  <c r="R119" i="9"/>
  <c r="R124" i="9"/>
  <c r="R137" i="9"/>
  <c r="R159" i="9"/>
  <c r="R122" i="9"/>
  <c r="R155" i="9"/>
  <c r="R193" i="9"/>
  <c r="R212" i="9"/>
  <c r="R231" i="9"/>
  <c r="R247" i="9"/>
  <c r="R136" i="9"/>
  <c r="R160" i="9"/>
  <c r="R169" i="9"/>
  <c r="R191" i="9"/>
  <c r="R202" i="9"/>
  <c r="R229" i="9"/>
  <c r="R245" i="9"/>
  <c r="R40" i="9"/>
  <c r="R69" i="9"/>
  <c r="R115" i="9"/>
  <c r="R123" i="9"/>
  <c r="R129" i="9"/>
  <c r="R134" i="9"/>
  <c r="R144" i="9"/>
  <c r="R149" i="9"/>
  <c r="R154" i="9"/>
  <c r="R166" i="9"/>
  <c r="R176" i="9"/>
  <c r="R194" i="9"/>
  <c r="R203" i="9"/>
  <c r="R215" i="9"/>
  <c r="R228" i="9"/>
  <c r="R236" i="9"/>
  <c r="R244" i="9"/>
  <c r="R252" i="9"/>
  <c r="R257" i="9"/>
  <c r="R286" i="9"/>
  <c r="R180" i="9"/>
  <c r="R190" i="9"/>
  <c r="R222" i="9"/>
  <c r="R308" i="9"/>
  <c r="R267" i="9"/>
  <c r="R275" i="9"/>
  <c r="R311" i="9"/>
  <c r="S311" i="9" s="1"/>
  <c r="R319" i="9"/>
  <c r="R305" i="9"/>
  <c r="S305" i="9" s="1"/>
  <c r="R301" i="9"/>
  <c r="R299" i="9"/>
  <c r="S299" i="9" s="1"/>
  <c r="R297" i="9"/>
  <c r="R295" i="9"/>
  <c r="S295" i="9" s="1"/>
  <c r="R293" i="9"/>
  <c r="R318" i="9"/>
  <c r="AC318" i="9" s="1"/>
  <c r="R316" i="9"/>
  <c r="R314" i="9"/>
  <c r="S314" i="9" s="1"/>
  <c r="R312" i="9"/>
  <c r="S312" i="9" s="1"/>
  <c r="R310" i="9"/>
  <c r="S310" i="9" s="1"/>
  <c r="R280" i="9"/>
  <c r="R278" i="9"/>
  <c r="T278" i="9" s="1"/>
  <c r="U278" i="9" s="1"/>
  <c r="R276" i="9"/>
  <c r="R274" i="9"/>
  <c r="S274" i="9" s="1"/>
  <c r="R272" i="9"/>
  <c r="R270" i="9"/>
  <c r="T270" i="9" s="1"/>
  <c r="U270" i="9" s="1"/>
  <c r="R268" i="9"/>
  <c r="R266" i="9"/>
  <c r="T266" i="9" s="1"/>
  <c r="U266" i="9" s="1"/>
  <c r="R264" i="9"/>
  <c r="R262" i="9"/>
  <c r="T262" i="9" s="1"/>
  <c r="U262" i="9" s="1"/>
  <c r="R260" i="9"/>
  <c r="R304" i="9"/>
  <c r="T304" i="9" s="1"/>
  <c r="U304" i="9" s="1"/>
  <c r="R289" i="9"/>
  <c r="R285" i="9"/>
  <c r="T285" i="9" s="1"/>
  <c r="U285" i="9" s="1"/>
  <c r="R281" i="9"/>
  <c r="R218" i="9"/>
  <c r="T218" i="9" s="1"/>
  <c r="U218" i="9" s="1"/>
  <c r="R214" i="9"/>
  <c r="R205" i="9"/>
  <c r="T205" i="9" s="1"/>
  <c r="U205" i="9" s="1"/>
  <c r="R195" i="9"/>
  <c r="R189" i="9"/>
  <c r="S189" i="9" s="1"/>
  <c r="R186" i="9"/>
  <c r="AC186" i="9" s="1"/>
  <c r="R184" i="9"/>
  <c r="AC184" i="9" s="1"/>
  <c r="R181" i="9"/>
  <c r="AC181" i="9" s="1"/>
  <c r="R178" i="9"/>
  <c r="T178" i="9" s="1"/>
  <c r="U178" i="9" s="1"/>
  <c r="R306" i="9"/>
  <c r="S306" i="9" s="1"/>
  <c r="R303" i="9"/>
  <c r="R298" i="9"/>
  <c r="R294" i="9"/>
  <c r="R317" i="9"/>
  <c r="R313" i="9"/>
  <c r="S313" i="9" s="1"/>
  <c r="R309" i="9"/>
  <c r="S309" i="9" s="1"/>
  <c r="R277" i="9"/>
  <c r="R273" i="9"/>
  <c r="R269" i="9"/>
  <c r="R265" i="9"/>
  <c r="R261" i="9"/>
  <c r="R291" i="9"/>
  <c r="R283" i="9"/>
  <c r="R217" i="9"/>
  <c r="R204" i="9"/>
  <c r="R188" i="9"/>
  <c r="R183" i="9"/>
  <c r="R177" i="9"/>
  <c r="R290" i="9"/>
  <c r="S290" i="9" s="1"/>
  <c r="R282" i="9"/>
  <c r="S282" i="9" s="1"/>
  <c r="R258" i="9"/>
  <c r="T258" i="9" s="1"/>
  <c r="U258" i="9" s="1"/>
  <c r="R256" i="9"/>
  <c r="AC256" i="9" s="1"/>
  <c r="R254" i="9"/>
  <c r="AC254" i="9" s="1"/>
  <c r="R250" i="9"/>
  <c r="S250" i="9" s="1"/>
  <c r="R246" i="9"/>
  <c r="T246" i="9" s="1"/>
  <c r="U246" i="9" s="1"/>
  <c r="R242" i="9"/>
  <c r="S242" i="9" s="1"/>
  <c r="R238" i="9"/>
  <c r="R234" i="9"/>
  <c r="S234" i="9" s="1"/>
  <c r="R230" i="9"/>
  <c r="S230" i="9" s="1"/>
  <c r="R226" i="9"/>
  <c r="S226" i="9" s="1"/>
  <c r="R220" i="9"/>
  <c r="R211" i="9"/>
  <c r="AC211" i="9" s="1"/>
  <c r="R207" i="9"/>
  <c r="AC207" i="9" s="1"/>
  <c r="R201" i="9"/>
  <c r="AC201" i="9" s="1"/>
  <c r="R197" i="9"/>
  <c r="R192" i="9"/>
  <c r="AC192" i="9" s="1"/>
  <c r="R179" i="9"/>
  <c r="T179" i="9" s="1"/>
  <c r="U179" i="9" s="1"/>
  <c r="R175" i="9"/>
  <c r="T175" i="9" s="1"/>
  <c r="U175" i="9" s="1"/>
  <c r="R167" i="9"/>
  <c r="R164" i="9"/>
  <c r="AC164" i="9" s="1"/>
  <c r="R156" i="9"/>
  <c r="AC156" i="9" s="1"/>
  <c r="R153" i="9"/>
  <c r="AC153" i="9" s="1"/>
  <c r="R151" i="9"/>
  <c r="R148" i="9"/>
  <c r="AC148" i="9" s="1"/>
  <c r="R145" i="9"/>
  <c r="T145" i="9" s="1"/>
  <c r="U145" i="9" s="1"/>
  <c r="R143" i="9"/>
  <c r="T143" i="9" s="1"/>
  <c r="U143" i="9" s="1"/>
  <c r="R139" i="9"/>
  <c r="R133" i="9"/>
  <c r="T133" i="9" s="1"/>
  <c r="U133" i="9" s="1"/>
  <c r="R130" i="9"/>
  <c r="AC130" i="9" s="1"/>
  <c r="R128" i="9"/>
  <c r="AC128" i="9" s="1"/>
  <c r="R125" i="9"/>
  <c r="R120" i="9"/>
  <c r="T120" i="9" s="1"/>
  <c r="U120" i="9" s="1"/>
  <c r="R117" i="9"/>
  <c r="AC117" i="9" s="1"/>
  <c r="R106" i="9"/>
  <c r="AC106" i="9" s="1"/>
  <c r="R70" i="9"/>
  <c r="R50" i="9"/>
  <c r="S50" i="9" s="1"/>
  <c r="R41" i="9"/>
  <c r="S41" i="9" s="1"/>
  <c r="R288" i="9"/>
  <c r="S288" i="9" s="1"/>
  <c r="R249" i="9"/>
  <c r="R241" i="9"/>
  <c r="S241" i="9" s="1"/>
  <c r="R233" i="9"/>
  <c r="S233" i="9" s="1"/>
  <c r="R225" i="9"/>
  <c r="S225" i="9" s="1"/>
  <c r="R216" i="9"/>
  <c r="R200" i="9"/>
  <c r="AC200" i="9" s="1"/>
  <c r="R196" i="9"/>
  <c r="AC196" i="9" s="1"/>
  <c r="R187" i="9"/>
  <c r="AC187" i="9" s="1"/>
  <c r="R171" i="9"/>
  <c r="R165" i="9"/>
  <c r="T165" i="9" s="1"/>
  <c r="U165" i="9" s="1"/>
  <c r="R162" i="9"/>
  <c r="AC162" i="9" s="1"/>
  <c r="R150" i="9"/>
  <c r="AC150" i="9" s="1"/>
  <c r="R138" i="9"/>
  <c r="R292" i="9"/>
  <c r="S292" i="9" s="1"/>
  <c r="R251" i="9"/>
  <c r="S251" i="9" s="1"/>
  <c r="R243" i="9"/>
  <c r="S243" i="9" s="1"/>
  <c r="R235" i="9"/>
  <c r="R227" i="9"/>
  <c r="S227" i="9" s="1"/>
  <c r="R219" i="9"/>
  <c r="AC219" i="9" s="1"/>
  <c r="R210" i="9"/>
  <c r="AC210" i="9" s="1"/>
  <c r="R206" i="9"/>
  <c r="R172" i="9"/>
  <c r="AC172" i="9" s="1"/>
  <c r="R157" i="9"/>
  <c r="T157" i="9" s="1"/>
  <c r="U157" i="9" s="1"/>
  <c r="R140" i="9"/>
  <c r="AC140" i="9" s="1"/>
  <c r="R131" i="9"/>
  <c r="R113" i="9"/>
  <c r="AC113" i="9" s="1"/>
  <c r="R168" i="9"/>
  <c r="AC168" i="9" s="1"/>
  <c r="AA281" i="9"/>
  <c r="AA164" i="9"/>
  <c r="E5" i="17"/>
  <c r="AA96" i="9"/>
  <c r="AA233" i="9"/>
  <c r="AA246" i="9"/>
  <c r="AD390" i="9"/>
  <c r="Y365" i="9"/>
  <c r="AA252" i="9"/>
  <c r="AD374" i="9"/>
  <c r="AA196" i="9"/>
  <c r="AA184" i="9"/>
  <c r="AA178" i="9"/>
  <c r="AA172" i="9"/>
  <c r="AA144" i="9"/>
  <c r="AA217" i="9"/>
  <c r="AA122" i="9"/>
  <c r="AA214" i="9"/>
  <c r="AA153" i="9"/>
  <c r="AA212" i="9"/>
  <c r="AA183" i="9"/>
  <c r="AA159" i="9"/>
  <c r="AA135" i="9"/>
  <c r="AA189" i="9"/>
  <c r="AA170" i="9"/>
  <c r="AA288" i="9"/>
  <c r="AA278" i="9"/>
  <c r="AA248" i="9"/>
  <c r="AA238" i="9"/>
  <c r="AA232" i="9"/>
  <c r="AA202" i="9"/>
  <c r="AA171" i="9"/>
  <c r="AA139" i="9"/>
  <c r="AA115" i="9"/>
  <c r="AA22" i="9"/>
  <c r="AA67" i="9"/>
  <c r="AA83" i="9"/>
  <c r="AA265" i="9"/>
  <c r="AA312" i="9"/>
  <c r="AA78" i="9"/>
  <c r="AA18" i="9"/>
  <c r="AA34" i="9"/>
  <c r="AA49" i="9"/>
  <c r="AA63" i="9"/>
  <c r="AA79" i="9"/>
  <c r="AA263" i="9"/>
  <c r="AA318" i="9"/>
  <c r="AA302" i="9"/>
  <c r="AA36" i="9"/>
  <c r="AA52" i="9"/>
  <c r="AA17" i="9"/>
  <c r="AA25" i="9"/>
  <c r="AA33" i="9"/>
  <c r="AA106" i="9"/>
  <c r="AA279" i="9"/>
  <c r="AA118" i="9"/>
  <c r="AA251" i="9"/>
  <c r="AA365" i="9" s="1"/>
  <c r="AA229" i="9"/>
  <c r="AA181" i="9"/>
  <c r="AA193" i="9"/>
  <c r="AA117" i="9"/>
  <c r="AA74" i="9"/>
  <c r="AA50" i="9"/>
  <c r="AA55" i="9"/>
  <c r="AA111" i="9"/>
  <c r="AA86" i="9"/>
  <c r="AA94" i="9"/>
  <c r="AA102" i="9"/>
  <c r="AA264" i="9"/>
  <c r="AA134" i="9"/>
  <c r="AA166" i="9"/>
  <c r="AA182" i="9"/>
  <c r="AA190" i="9"/>
  <c r="AA194" i="9"/>
  <c r="AA130" i="9"/>
  <c r="AA319" i="9"/>
  <c r="AA297" i="9"/>
  <c r="AA240" i="9"/>
  <c r="AA188" i="9"/>
  <c r="AA37" i="9"/>
  <c r="AA7" i="9"/>
  <c r="AA23" i="9"/>
  <c r="AA284" i="9"/>
  <c r="AA200" i="9"/>
  <c r="AA224" i="9"/>
  <c r="AA20" i="9"/>
  <c r="AA12" i="9"/>
  <c r="AA208" i="9"/>
  <c r="AA236" i="9"/>
  <c r="AA226" i="9"/>
  <c r="AA176" i="9"/>
  <c r="AA141" i="9"/>
  <c r="AA148" i="9"/>
  <c r="AA152" i="9"/>
  <c r="AA213" i="9"/>
  <c r="AA221" i="9"/>
  <c r="AA156" i="9"/>
  <c r="AA128" i="9"/>
  <c r="AA192" i="9"/>
  <c r="AA169" i="9"/>
  <c r="AA121" i="9"/>
  <c r="AA191" i="9"/>
  <c r="AA175" i="9"/>
  <c r="AA151" i="9"/>
  <c r="AA127" i="9"/>
  <c r="AA173" i="9"/>
  <c r="AA296" i="9"/>
  <c r="AA286" i="9"/>
  <c r="AA250" i="9"/>
  <c r="AA244" i="9"/>
  <c r="AA234" i="9"/>
  <c r="AA228" i="9"/>
  <c r="AA206" i="9"/>
  <c r="AA195" i="9"/>
  <c r="AA147" i="9"/>
  <c r="AA14" i="9"/>
  <c r="AA30" i="9"/>
  <c r="AA75" i="9"/>
  <c r="AA257" i="9"/>
  <c r="AA272" i="9"/>
  <c r="AA10" i="9"/>
  <c r="AA26" i="9"/>
  <c r="AA41" i="9"/>
  <c r="AA57" i="9"/>
  <c r="AA71" i="9"/>
  <c r="AA259" i="9"/>
  <c r="AA274" i="9"/>
  <c r="AA305" i="9"/>
  <c r="AA313" i="9"/>
  <c r="AA44" i="9"/>
  <c r="AA60" i="9"/>
  <c r="AA13" i="9"/>
  <c r="AA21" i="9"/>
  <c r="AA29" i="9"/>
  <c r="AA301" i="9"/>
  <c r="AA110" i="9"/>
  <c r="AA42" i="9"/>
  <c r="AA174" i="9"/>
  <c r="AA291" i="9"/>
  <c r="AA245" i="9"/>
  <c r="AA227" i="9"/>
  <c r="AA203" i="9"/>
  <c r="AA145" i="9"/>
  <c r="AA276" i="9"/>
  <c r="AA66" i="9"/>
  <c r="AA304" i="9"/>
  <c r="AA310" i="9"/>
  <c r="AA99" i="9"/>
  <c r="AA82" i="9"/>
  <c r="AA90" i="9"/>
  <c r="AA98" i="9"/>
  <c r="AA317" i="9"/>
  <c r="AA138" i="9"/>
  <c r="AA150" i="9"/>
  <c r="AA47" i="9"/>
  <c r="AA290" i="9"/>
  <c r="AA160" i="9"/>
  <c r="AA5" i="9"/>
  <c r="AA53" i="9"/>
  <c r="AA316" i="9"/>
  <c r="AA314" i="9"/>
  <c r="AA299" i="9"/>
  <c r="AA46" i="9"/>
  <c r="AA15" i="9"/>
  <c r="AA255" i="9"/>
  <c r="AA108" i="9"/>
  <c r="AA100" i="9"/>
  <c r="AA92" i="9"/>
  <c r="AA84" i="9"/>
  <c r="AA76" i="9"/>
  <c r="AA68" i="9"/>
  <c r="AA222" i="9"/>
  <c r="AA123" i="9"/>
  <c r="AA294" i="9"/>
  <c r="AA140" i="9"/>
  <c r="AA282" i="9"/>
  <c r="AA247" i="9"/>
  <c r="AA231" i="9"/>
  <c r="AA185" i="9"/>
  <c r="AA161" i="9"/>
  <c r="AA165" i="9"/>
  <c r="AA120" i="9"/>
  <c r="AA157" i="9"/>
  <c r="AA146" i="9"/>
  <c r="X407" i="9"/>
  <c r="Y320" i="9"/>
  <c r="Y357" i="9"/>
  <c r="AD386" i="9"/>
  <c r="AD320" i="9"/>
  <c r="AD378" i="9"/>
  <c r="AB320" i="9"/>
  <c r="W320" i="9"/>
  <c r="X406" i="9" s="1"/>
  <c r="Y349" i="9"/>
  <c r="X411" i="9"/>
  <c r="AD382" i="9"/>
  <c r="S6" i="9"/>
  <c r="AC6" i="9"/>
  <c r="T6" i="9"/>
  <c r="U6" i="9" s="1"/>
  <c r="T8" i="9"/>
  <c r="U8" i="9" s="1"/>
  <c r="T12" i="9"/>
  <c r="U12" i="9" s="1"/>
  <c r="T15" i="9"/>
  <c r="U15" i="9" s="1"/>
  <c r="AC15" i="9"/>
  <c r="S15" i="9"/>
  <c r="S19" i="9"/>
  <c r="S23" i="9"/>
  <c r="AC27" i="9"/>
  <c r="T33" i="9"/>
  <c r="U33" i="9" s="1"/>
  <c r="S33" i="9"/>
  <c r="AC33" i="9"/>
  <c r="AC37" i="9"/>
  <c r="S39" i="9"/>
  <c r="T16" i="9"/>
  <c r="U16" i="9" s="1"/>
  <c r="T20" i="9"/>
  <c r="U20" i="9" s="1"/>
  <c r="S24" i="9"/>
  <c r="S28" i="9"/>
  <c r="S31" i="9"/>
  <c r="T34" i="9"/>
  <c r="U34" i="9" s="1"/>
  <c r="S34" i="9"/>
  <c r="AC34" i="9"/>
  <c r="AC42" i="9"/>
  <c r="S44" i="9"/>
  <c r="T46" i="9"/>
  <c r="U46" i="9" s="1"/>
  <c r="T48" i="9"/>
  <c r="U48" i="9" s="1"/>
  <c r="S48" i="9"/>
  <c r="T52" i="9"/>
  <c r="U52" i="9" s="1"/>
  <c r="AC54" i="9"/>
  <c r="S56" i="9"/>
  <c r="T58" i="9"/>
  <c r="U58" i="9" s="1"/>
  <c r="AC58" i="9"/>
  <c r="S58" i="9"/>
  <c r="S60" i="9"/>
  <c r="T64" i="9"/>
  <c r="U64" i="9" s="1"/>
  <c r="T68" i="9"/>
  <c r="U68" i="9" s="1"/>
  <c r="AC72" i="9"/>
  <c r="S74" i="9"/>
  <c r="T76" i="9"/>
  <c r="U76" i="9" s="1"/>
  <c r="AC76" i="9"/>
  <c r="S76" i="9"/>
  <c r="S78" i="9"/>
  <c r="T82" i="9"/>
  <c r="U82" i="9" s="1"/>
  <c r="T84" i="9"/>
  <c r="U84" i="9" s="1"/>
  <c r="AC84" i="9"/>
  <c r="S84" i="9"/>
  <c r="T86" i="9"/>
  <c r="U86" i="9" s="1"/>
  <c r="AC88" i="9"/>
  <c r="S90" i="9"/>
  <c r="T92" i="9"/>
  <c r="U92" i="9" s="1"/>
  <c r="AC92" i="9"/>
  <c r="S92" i="9"/>
  <c r="S94" i="9"/>
  <c r="T98" i="9"/>
  <c r="U98" i="9" s="1"/>
  <c r="S98" i="9"/>
  <c r="T100" i="9"/>
  <c r="U100" i="9" s="1"/>
  <c r="AC102" i="9"/>
  <c r="T104" i="9"/>
  <c r="U104" i="9" s="1"/>
  <c r="AC104" i="9"/>
  <c r="S104" i="9"/>
  <c r="T108" i="9"/>
  <c r="U108" i="9" s="1"/>
  <c r="S108" i="9"/>
  <c r="T110" i="9"/>
  <c r="U110" i="9" s="1"/>
  <c r="AC110" i="9"/>
  <c r="S110" i="9"/>
  <c r="T112" i="9"/>
  <c r="U112" i="9" s="1"/>
  <c r="AC121" i="9"/>
  <c r="S121" i="9"/>
  <c r="T126" i="9"/>
  <c r="U126" i="9" s="1"/>
  <c r="AC126" i="9"/>
  <c r="S126" i="9"/>
  <c r="T168" i="9"/>
  <c r="U168" i="9" s="1"/>
  <c r="T113" i="9"/>
  <c r="U113" i="9" s="1"/>
  <c r="S113" i="9"/>
  <c r="T131" i="9"/>
  <c r="U131" i="9" s="1"/>
  <c r="T140" i="9"/>
  <c r="U140" i="9" s="1"/>
  <c r="S140" i="9"/>
  <c r="S157" i="9"/>
  <c r="T172" i="9"/>
  <c r="U172" i="9" s="1"/>
  <c r="S172" i="9"/>
  <c r="T210" i="9"/>
  <c r="U210" i="9" s="1"/>
  <c r="S210" i="9"/>
  <c r="T219" i="9"/>
  <c r="U219" i="9" s="1"/>
  <c r="T227" i="9"/>
  <c r="U227" i="9" s="1"/>
  <c r="AC227" i="9"/>
  <c r="S235" i="9"/>
  <c r="T243" i="9"/>
  <c r="U243" i="9" s="1"/>
  <c r="AC243" i="9"/>
  <c r="AC251" i="9"/>
  <c r="T292" i="9"/>
  <c r="U292" i="9" s="1"/>
  <c r="AC292" i="9"/>
  <c r="T150" i="9"/>
  <c r="U150" i="9" s="1"/>
  <c r="S150" i="9"/>
  <c r="T162" i="9"/>
  <c r="U162" i="9" s="1"/>
  <c r="AC165" i="9"/>
  <c r="S165" i="9"/>
  <c r="T171" i="9"/>
  <c r="U171" i="9" s="1"/>
  <c r="S187" i="9"/>
  <c r="T187" i="9"/>
  <c r="U187" i="9" s="1"/>
  <c r="S196" i="9"/>
  <c r="T200" i="9"/>
  <c r="U200" i="9" s="1"/>
  <c r="S200" i="9"/>
  <c r="T225" i="9"/>
  <c r="U225" i="9" s="1"/>
  <c r="AC225" i="9"/>
  <c r="T233" i="9"/>
  <c r="U233" i="9" s="1"/>
  <c r="T241" i="9"/>
  <c r="U241" i="9" s="1"/>
  <c r="AC241" i="9"/>
  <c r="S249" i="9"/>
  <c r="T288" i="9"/>
  <c r="U288" i="9" s="1"/>
  <c r="AC288" i="9"/>
  <c r="AC41" i="9"/>
  <c r="T50" i="9"/>
  <c r="U50" i="9" s="1"/>
  <c r="AC50" i="9"/>
  <c r="T106" i="9"/>
  <c r="U106" i="9" s="1"/>
  <c r="S106" i="9"/>
  <c r="T117" i="9"/>
  <c r="U117" i="9" s="1"/>
  <c r="AC120" i="9"/>
  <c r="S120" i="9"/>
  <c r="T125" i="9"/>
  <c r="U125" i="9" s="1"/>
  <c r="T128" i="9"/>
  <c r="U128" i="9" s="1"/>
  <c r="S128" i="9"/>
  <c r="S130" i="9"/>
  <c r="AC133" i="9"/>
  <c r="S133" i="9"/>
  <c r="AC143" i="9"/>
  <c r="S143" i="9"/>
  <c r="AC145" i="9"/>
  <c r="T148" i="9"/>
  <c r="U148" i="9" s="1"/>
  <c r="S148" i="9"/>
  <c r="T151" i="9"/>
  <c r="U151" i="9" s="1"/>
  <c r="S153" i="9"/>
  <c r="T153" i="9"/>
  <c r="U153" i="9" s="1"/>
  <c r="S156" i="9"/>
  <c r="T164" i="9"/>
  <c r="U164" i="9" s="1"/>
  <c r="S164" i="9"/>
  <c r="S175" i="9"/>
  <c r="AC175" i="9"/>
  <c r="AC179" i="9"/>
  <c r="T192" i="9"/>
  <c r="U192" i="9" s="1"/>
  <c r="S192" i="9"/>
  <c r="AC197" i="9"/>
  <c r="T201" i="9"/>
  <c r="U201" i="9" s="1"/>
  <c r="S201" i="9"/>
  <c r="S207" i="9"/>
  <c r="T211" i="9"/>
  <c r="U211" i="9" s="1"/>
  <c r="S211" i="9"/>
  <c r="T226" i="9"/>
  <c r="U226" i="9" s="1"/>
  <c r="AC226" i="9"/>
  <c r="T230" i="9"/>
  <c r="U230" i="9" s="1"/>
  <c r="T234" i="9"/>
  <c r="U234" i="9" s="1"/>
  <c r="AC234" i="9"/>
  <c r="S238" i="9"/>
  <c r="T242" i="9"/>
  <c r="U242" i="9" s="1"/>
  <c r="AC242" i="9"/>
  <c r="S246" i="9"/>
  <c r="T250" i="9"/>
  <c r="U250" i="9" s="1"/>
  <c r="AC250" i="9"/>
  <c r="T254" i="9"/>
  <c r="U254" i="9" s="1"/>
  <c r="S254" i="9"/>
  <c r="T256" i="9"/>
  <c r="U256" i="9" s="1"/>
  <c r="S256" i="9"/>
  <c r="AC258" i="9"/>
  <c r="T282" i="9"/>
  <c r="U282" i="9" s="1"/>
  <c r="AC282" i="9"/>
  <c r="T290" i="9"/>
  <c r="U290" i="9" s="1"/>
  <c r="AC290" i="9"/>
  <c r="T306" i="9"/>
  <c r="U306" i="9" s="1"/>
  <c r="AC306" i="9"/>
  <c r="AC178" i="9"/>
  <c r="S181" i="9"/>
  <c r="T181" i="9"/>
  <c r="U181" i="9" s="1"/>
  <c r="T184" i="9"/>
  <c r="U184" i="9" s="1"/>
  <c r="S184" i="9"/>
  <c r="T186" i="9"/>
  <c r="U186" i="9" s="1"/>
  <c r="S186" i="9"/>
  <c r="AC189" i="9"/>
  <c r="AC195" i="9"/>
  <c r="T195" i="9"/>
  <c r="U195" i="9" s="1"/>
  <c r="S195" i="9"/>
  <c r="AC205" i="9"/>
  <c r="T214" i="9"/>
  <c r="U214" i="9" s="1"/>
  <c r="AC214" i="9"/>
  <c r="S214" i="9"/>
  <c r="AC218" i="9"/>
  <c r="T281" i="9"/>
  <c r="U281" i="9" s="1"/>
  <c r="S281" i="9"/>
  <c r="AC281" i="9"/>
  <c r="S285" i="9"/>
  <c r="T289" i="9"/>
  <c r="U289" i="9" s="1"/>
  <c r="S289" i="9"/>
  <c r="AC289" i="9"/>
  <c r="S304" i="9"/>
  <c r="T260" i="9"/>
  <c r="U260" i="9" s="1"/>
  <c r="S260" i="9"/>
  <c r="AC260" i="9"/>
  <c r="S262" i="9"/>
  <c r="T264" i="9"/>
  <c r="U264" i="9" s="1"/>
  <c r="S264" i="9"/>
  <c r="AC264" i="9"/>
  <c r="S266" i="9"/>
  <c r="T268" i="9"/>
  <c r="U268" i="9" s="1"/>
  <c r="S268" i="9"/>
  <c r="AC268" i="9"/>
  <c r="S270" i="9"/>
  <c r="T272" i="9"/>
  <c r="U272" i="9" s="1"/>
  <c r="S272" i="9"/>
  <c r="AC272" i="9"/>
  <c r="AC274" i="9"/>
  <c r="T276" i="9"/>
  <c r="U276" i="9" s="1"/>
  <c r="AC276" i="9"/>
  <c r="S276" i="9"/>
  <c r="AC278" i="9"/>
  <c r="T280" i="9"/>
  <c r="U280" i="9" s="1"/>
  <c r="AC280" i="9"/>
  <c r="S280" i="9"/>
  <c r="AC310" i="9"/>
  <c r="T312" i="9"/>
  <c r="U312" i="9" s="1"/>
  <c r="AC312" i="9"/>
  <c r="AC314" i="9"/>
  <c r="T316" i="9"/>
  <c r="U316" i="9" s="1"/>
  <c r="AC316" i="9"/>
  <c r="S316" i="9"/>
  <c r="T318" i="9"/>
  <c r="U318" i="9" s="1"/>
  <c r="S318" i="9"/>
  <c r="T293" i="9"/>
  <c r="U293" i="9" s="1"/>
  <c r="S293" i="9"/>
  <c r="AC293" i="9"/>
  <c r="T295" i="9"/>
  <c r="U295" i="9" s="1"/>
  <c r="AC295" i="9"/>
  <c r="T297" i="9"/>
  <c r="U297" i="9" s="1"/>
  <c r="AC297" i="9"/>
  <c r="S297" i="9"/>
  <c r="T299" i="9"/>
  <c r="U299" i="9" s="1"/>
  <c r="AC299" i="9"/>
  <c r="T301" i="9"/>
  <c r="U301" i="9" s="1"/>
  <c r="S301" i="9"/>
  <c r="AC301" i="9"/>
  <c r="T305" i="9"/>
  <c r="U305" i="9" s="1"/>
  <c r="AC305" i="9"/>
  <c r="Y361" i="9"/>
  <c r="AA9" i="9"/>
  <c r="Z320" i="9"/>
  <c r="Y353" i="9"/>
  <c r="X413" i="9"/>
  <c r="R320" i="9"/>
  <c r="T5" i="9"/>
  <c r="AC5" i="9"/>
  <c r="S5" i="9"/>
  <c r="T11" i="9"/>
  <c r="U11" i="9" s="1"/>
  <c r="AC11" i="9"/>
  <c r="S11" i="9"/>
  <c r="T7" i="9"/>
  <c r="U7" i="9" s="1"/>
  <c r="AC7" i="9"/>
  <c r="S7" i="9"/>
  <c r="T10" i="9"/>
  <c r="U10" i="9" s="1"/>
  <c r="S10" i="9"/>
  <c r="AC10" i="9"/>
  <c r="T14" i="9"/>
  <c r="U14" i="9" s="1"/>
  <c r="S14" i="9"/>
  <c r="AC14" i="9"/>
  <c r="T17" i="9"/>
  <c r="U17" i="9" s="1"/>
  <c r="S17" i="9"/>
  <c r="AC17" i="9"/>
  <c r="T21" i="9"/>
  <c r="U21" i="9" s="1"/>
  <c r="S21" i="9"/>
  <c r="AC21" i="9"/>
  <c r="T25" i="9"/>
  <c r="U25" i="9" s="1"/>
  <c r="S25" i="9"/>
  <c r="AC25" i="9"/>
  <c r="T29" i="9"/>
  <c r="U29" i="9" s="1"/>
  <c r="S29" i="9"/>
  <c r="AC29" i="9"/>
  <c r="T35" i="9"/>
  <c r="U35" i="9" s="1"/>
  <c r="S35" i="9"/>
  <c r="AC35" i="9"/>
  <c r="T38" i="9"/>
  <c r="U38" i="9" s="1"/>
  <c r="AC38" i="9"/>
  <c r="S38" i="9"/>
  <c r="T9" i="9"/>
  <c r="U9" i="9" s="1"/>
  <c r="AC9" i="9"/>
  <c r="S9" i="9"/>
  <c r="T18" i="9"/>
  <c r="U18" i="9" s="1"/>
  <c r="S18" i="9"/>
  <c r="AC18" i="9"/>
  <c r="T22" i="9"/>
  <c r="U22" i="9" s="1"/>
  <c r="S22" i="9"/>
  <c r="AC22" i="9"/>
  <c r="T26" i="9"/>
  <c r="U26" i="9" s="1"/>
  <c r="S26" i="9"/>
  <c r="AC26" i="9"/>
  <c r="T30" i="9"/>
  <c r="U30" i="9" s="1"/>
  <c r="S30" i="9"/>
  <c r="AC30" i="9"/>
  <c r="T32" i="9"/>
  <c r="U32" i="9" s="1"/>
  <c r="AC32" i="9"/>
  <c r="S32" i="9"/>
  <c r="T36" i="9"/>
  <c r="U36" i="9" s="1"/>
  <c r="S36" i="9"/>
  <c r="AC36" i="9"/>
  <c r="T43" i="9"/>
  <c r="U43" i="9" s="1"/>
  <c r="AC43" i="9"/>
  <c r="S43" i="9"/>
  <c r="T45" i="9"/>
  <c r="U45" i="9" s="1"/>
  <c r="AC45" i="9"/>
  <c r="S45" i="9"/>
  <c r="T47" i="9"/>
  <c r="U47" i="9" s="1"/>
  <c r="AC47" i="9"/>
  <c r="S47" i="9"/>
  <c r="T51" i="9"/>
  <c r="U51" i="9" s="1"/>
  <c r="AC51" i="9"/>
  <c r="S51" i="9"/>
  <c r="T53" i="9"/>
  <c r="U53" i="9" s="1"/>
  <c r="AC53" i="9"/>
  <c r="S53" i="9"/>
  <c r="T55" i="9"/>
  <c r="U55" i="9" s="1"/>
  <c r="AC55" i="9"/>
  <c r="S55" i="9"/>
  <c r="T57" i="9"/>
  <c r="U57" i="9" s="1"/>
  <c r="AC57" i="9"/>
  <c r="S57" i="9"/>
  <c r="T59" i="9"/>
  <c r="U59" i="9" s="1"/>
  <c r="AC59" i="9"/>
  <c r="S59" i="9"/>
  <c r="T61" i="9"/>
  <c r="U61" i="9" s="1"/>
  <c r="AC61" i="9"/>
  <c r="S61" i="9"/>
  <c r="T63" i="9"/>
  <c r="U63" i="9" s="1"/>
  <c r="AC63" i="9"/>
  <c r="S63" i="9"/>
  <c r="T65" i="9"/>
  <c r="U65" i="9" s="1"/>
  <c r="AC65" i="9"/>
  <c r="S65" i="9"/>
  <c r="T67" i="9"/>
  <c r="U67" i="9" s="1"/>
  <c r="AC67" i="9"/>
  <c r="S67" i="9"/>
  <c r="T71" i="9"/>
  <c r="U71" i="9" s="1"/>
  <c r="AC71" i="9"/>
  <c r="S71" i="9"/>
  <c r="T73" i="9"/>
  <c r="U73" i="9" s="1"/>
  <c r="AC73" i="9"/>
  <c r="S73" i="9"/>
  <c r="T75" i="9"/>
  <c r="U75" i="9" s="1"/>
  <c r="AC75" i="9"/>
  <c r="S75" i="9"/>
  <c r="T77" i="9"/>
  <c r="U77" i="9" s="1"/>
  <c r="AC77" i="9"/>
  <c r="S77" i="9"/>
  <c r="T79" i="9"/>
  <c r="U79" i="9" s="1"/>
  <c r="AC79" i="9"/>
  <c r="S79" i="9"/>
  <c r="T81" i="9"/>
  <c r="U81" i="9" s="1"/>
  <c r="AC81" i="9"/>
  <c r="S81" i="9"/>
  <c r="T83" i="9"/>
  <c r="U83" i="9" s="1"/>
  <c r="AC83" i="9"/>
  <c r="S83" i="9"/>
  <c r="T85" i="9"/>
  <c r="U85" i="9" s="1"/>
  <c r="AC85" i="9"/>
  <c r="S85" i="9"/>
  <c r="T87" i="9"/>
  <c r="U87" i="9" s="1"/>
  <c r="AC87" i="9"/>
  <c r="S87" i="9"/>
  <c r="T89" i="9"/>
  <c r="U89" i="9" s="1"/>
  <c r="AC89" i="9"/>
  <c r="S89" i="9"/>
  <c r="T91" i="9"/>
  <c r="U91" i="9" s="1"/>
  <c r="AC91" i="9"/>
  <c r="S91" i="9"/>
  <c r="T93" i="9"/>
  <c r="U93" i="9" s="1"/>
  <c r="AC93" i="9"/>
  <c r="S93" i="9"/>
  <c r="T95" i="9"/>
  <c r="U95" i="9" s="1"/>
  <c r="AC95" i="9"/>
  <c r="S95" i="9"/>
  <c r="T97" i="9"/>
  <c r="U97" i="9" s="1"/>
  <c r="AC97" i="9"/>
  <c r="S97" i="9"/>
  <c r="T99" i="9"/>
  <c r="U99" i="9" s="1"/>
  <c r="AC99" i="9"/>
  <c r="S99" i="9"/>
  <c r="T101" i="9"/>
  <c r="U101" i="9" s="1"/>
  <c r="AC101" i="9"/>
  <c r="S101" i="9"/>
  <c r="T103" i="9"/>
  <c r="U103" i="9" s="1"/>
  <c r="AC103" i="9"/>
  <c r="S103" i="9"/>
  <c r="T107" i="9"/>
  <c r="U107" i="9" s="1"/>
  <c r="AC107" i="9"/>
  <c r="S107" i="9"/>
  <c r="T109" i="9"/>
  <c r="U109" i="9" s="1"/>
  <c r="AC109" i="9"/>
  <c r="S109" i="9"/>
  <c r="T111" i="9"/>
  <c r="U111" i="9" s="1"/>
  <c r="AC111" i="9"/>
  <c r="S111" i="9"/>
  <c r="AC114" i="9"/>
  <c r="T114" i="9"/>
  <c r="U114" i="9" s="1"/>
  <c r="S114" i="9"/>
  <c r="T119" i="9"/>
  <c r="U119" i="9" s="1"/>
  <c r="AC119" i="9"/>
  <c r="S119" i="9"/>
  <c r="T124" i="9"/>
  <c r="U124" i="9" s="1"/>
  <c r="AC124" i="9"/>
  <c r="S124" i="9"/>
  <c r="S137" i="9"/>
  <c r="AC137" i="9"/>
  <c r="T137" i="9"/>
  <c r="U137" i="9" s="1"/>
  <c r="S159" i="9"/>
  <c r="AC159" i="9"/>
  <c r="T159" i="9"/>
  <c r="U159" i="9" s="1"/>
  <c r="T170" i="9"/>
  <c r="U170" i="9" s="1"/>
  <c r="AC170" i="9"/>
  <c r="S170" i="9"/>
  <c r="T122" i="9"/>
  <c r="U122" i="9" s="1"/>
  <c r="AC122" i="9"/>
  <c r="S122" i="9"/>
  <c r="S135" i="9"/>
  <c r="AC135" i="9"/>
  <c r="T135" i="9"/>
  <c r="U135" i="9" s="1"/>
  <c r="S155" i="9"/>
  <c r="AC155" i="9"/>
  <c r="T155" i="9"/>
  <c r="U155" i="9" s="1"/>
  <c r="AC161" i="9"/>
  <c r="T161" i="9"/>
  <c r="U161" i="9" s="1"/>
  <c r="S161" i="9"/>
  <c r="S193" i="9"/>
  <c r="AC193" i="9"/>
  <c r="T193" i="9"/>
  <c r="U193" i="9" s="1"/>
  <c r="T208" i="9"/>
  <c r="U208" i="9" s="1"/>
  <c r="AC208" i="9"/>
  <c r="S208" i="9"/>
  <c r="S212" i="9"/>
  <c r="AC212" i="9"/>
  <c r="T212" i="9"/>
  <c r="U212" i="9" s="1"/>
  <c r="T223" i="9"/>
  <c r="U223" i="9" s="1"/>
  <c r="S223" i="9"/>
  <c r="AC223" i="9"/>
  <c r="T231" i="9"/>
  <c r="U231" i="9" s="1"/>
  <c r="S231" i="9"/>
  <c r="AC231" i="9"/>
  <c r="T239" i="9"/>
  <c r="U239" i="9" s="1"/>
  <c r="S239" i="9"/>
  <c r="AC239" i="9"/>
  <c r="T247" i="9"/>
  <c r="U247" i="9" s="1"/>
  <c r="S247" i="9"/>
  <c r="AC247" i="9"/>
  <c r="T284" i="9"/>
  <c r="U284" i="9" s="1"/>
  <c r="S284" i="9"/>
  <c r="AC284" i="9"/>
  <c r="T136" i="9"/>
  <c r="U136" i="9" s="1"/>
  <c r="AC136" i="9"/>
  <c r="S136" i="9"/>
  <c r="S147" i="9"/>
  <c r="AC147" i="9"/>
  <c r="T147" i="9"/>
  <c r="U147" i="9" s="1"/>
  <c r="T160" i="9"/>
  <c r="U160" i="9" s="1"/>
  <c r="AC160" i="9"/>
  <c r="S160" i="9"/>
  <c r="AC163" i="9"/>
  <c r="T163" i="9"/>
  <c r="U163" i="9" s="1"/>
  <c r="S163" i="9"/>
  <c r="S169" i="9"/>
  <c r="AC169" i="9"/>
  <c r="T169" i="9"/>
  <c r="U169" i="9" s="1"/>
  <c r="T174" i="9"/>
  <c r="U174" i="9" s="1"/>
  <c r="AC174" i="9"/>
  <c r="S174" i="9"/>
  <c r="AC191" i="9"/>
  <c r="T191" i="9"/>
  <c r="U191" i="9" s="1"/>
  <c r="S191" i="9"/>
  <c r="T198" i="9"/>
  <c r="U198" i="9" s="1"/>
  <c r="AC198" i="9"/>
  <c r="S198" i="9"/>
  <c r="T202" i="9"/>
  <c r="U202" i="9" s="1"/>
  <c r="AC202" i="9"/>
  <c r="S202" i="9"/>
  <c r="T221" i="9"/>
  <c r="U221" i="9" s="1"/>
  <c r="AC221" i="9"/>
  <c r="S221" i="9"/>
  <c r="T229" i="9"/>
  <c r="U229" i="9" s="1"/>
  <c r="S229" i="9"/>
  <c r="AC229" i="9"/>
  <c r="T237" i="9"/>
  <c r="U237" i="9" s="1"/>
  <c r="S237" i="9"/>
  <c r="AC237" i="9"/>
  <c r="T245" i="9"/>
  <c r="U245" i="9" s="1"/>
  <c r="S245" i="9"/>
  <c r="AC245" i="9"/>
  <c r="T253" i="9"/>
  <c r="U253" i="9" s="1"/>
  <c r="S253" i="9"/>
  <c r="AC253" i="9"/>
  <c r="T40" i="9"/>
  <c r="U40" i="9" s="1"/>
  <c r="S40" i="9"/>
  <c r="AC40" i="9"/>
  <c r="T49" i="9"/>
  <c r="U49" i="9" s="1"/>
  <c r="S49" i="9"/>
  <c r="AC49" i="9"/>
  <c r="T69" i="9"/>
  <c r="U69" i="9" s="1"/>
  <c r="S69" i="9"/>
  <c r="AC69" i="9"/>
  <c r="T105" i="9"/>
  <c r="U105" i="9" s="1"/>
  <c r="AC105" i="9"/>
  <c r="S105" i="9"/>
  <c r="T115" i="9"/>
  <c r="U115" i="9" s="1"/>
  <c r="AC115" i="9"/>
  <c r="S115" i="9"/>
  <c r="AC118" i="9"/>
  <c r="T118" i="9"/>
  <c r="U118" i="9" s="1"/>
  <c r="S118" i="9"/>
  <c r="AC123" i="9"/>
  <c r="T123" i="9"/>
  <c r="U123" i="9" s="1"/>
  <c r="S123" i="9"/>
  <c r="AC127" i="9"/>
  <c r="T127" i="9"/>
  <c r="U127" i="9" s="1"/>
  <c r="S127" i="9"/>
  <c r="AC129" i="9"/>
  <c r="T129" i="9"/>
  <c r="U129" i="9" s="1"/>
  <c r="S129" i="9"/>
  <c r="T132" i="9"/>
  <c r="U132" i="9" s="1"/>
  <c r="AC132" i="9"/>
  <c r="S132" i="9"/>
  <c r="T134" i="9"/>
  <c r="U134" i="9" s="1"/>
  <c r="AC134" i="9"/>
  <c r="S134" i="9"/>
  <c r="AC141" i="9"/>
  <c r="T141" i="9"/>
  <c r="U141" i="9" s="1"/>
  <c r="S141" i="9"/>
  <c r="T144" i="9"/>
  <c r="U144" i="9" s="1"/>
  <c r="AC144" i="9"/>
  <c r="S144" i="9"/>
  <c r="T146" i="9"/>
  <c r="U146" i="9" s="1"/>
  <c r="AC146" i="9"/>
  <c r="S146" i="9"/>
  <c r="AC149" i="9"/>
  <c r="T149" i="9"/>
  <c r="U149" i="9" s="1"/>
  <c r="S149" i="9"/>
  <c r="T152" i="9"/>
  <c r="U152" i="9" s="1"/>
  <c r="AC152" i="9"/>
  <c r="S152" i="9"/>
  <c r="T154" i="9"/>
  <c r="U154" i="9" s="1"/>
  <c r="AC154" i="9"/>
  <c r="S154" i="9"/>
  <c r="T158" i="9"/>
  <c r="U158" i="9" s="1"/>
  <c r="AC158" i="9"/>
  <c r="S158" i="9"/>
  <c r="T166" i="9"/>
  <c r="U166" i="9" s="1"/>
  <c r="AC166" i="9"/>
  <c r="S166" i="9"/>
  <c r="S173" i="9"/>
  <c r="AC173" i="9"/>
  <c r="T173" i="9"/>
  <c r="U173" i="9" s="1"/>
  <c r="T176" i="9"/>
  <c r="U176" i="9" s="1"/>
  <c r="AC176" i="9"/>
  <c r="S176" i="9"/>
  <c r="T182" i="9"/>
  <c r="U182" i="9" s="1"/>
  <c r="AC182" i="9"/>
  <c r="S182" i="9"/>
  <c r="T194" i="9"/>
  <c r="U194" i="9" s="1"/>
  <c r="AC194" i="9"/>
  <c r="S194" i="9"/>
  <c r="T199" i="9"/>
  <c r="U199" i="9" s="1"/>
  <c r="AC199" i="9"/>
  <c r="S199" i="9"/>
  <c r="T203" i="9"/>
  <c r="U203" i="9" s="1"/>
  <c r="AC203" i="9"/>
  <c r="S203" i="9"/>
  <c r="T209" i="9"/>
  <c r="U209" i="9" s="1"/>
  <c r="AC209" i="9"/>
  <c r="S209" i="9"/>
  <c r="T215" i="9"/>
  <c r="U215" i="9" s="1"/>
  <c r="AC215" i="9"/>
  <c r="S215" i="9"/>
  <c r="T224" i="9"/>
  <c r="U224" i="9" s="1"/>
  <c r="S224" i="9"/>
  <c r="AC224" i="9"/>
  <c r="T228" i="9"/>
  <c r="U228" i="9" s="1"/>
  <c r="S228" i="9"/>
  <c r="AC228" i="9"/>
  <c r="T232" i="9"/>
  <c r="U232" i="9" s="1"/>
  <c r="S232" i="9"/>
  <c r="AC232" i="9"/>
  <c r="T236" i="9"/>
  <c r="U236" i="9" s="1"/>
  <c r="S236" i="9"/>
  <c r="AC236" i="9"/>
  <c r="T240" i="9"/>
  <c r="U240" i="9" s="1"/>
  <c r="S240" i="9"/>
  <c r="AC240" i="9"/>
  <c r="T244" i="9"/>
  <c r="U244" i="9" s="1"/>
  <c r="S244" i="9"/>
  <c r="AC244" i="9"/>
  <c r="T248" i="9"/>
  <c r="U248" i="9" s="1"/>
  <c r="S248" i="9"/>
  <c r="AC248" i="9"/>
  <c r="T252" i="9"/>
  <c r="U252" i="9" s="1"/>
  <c r="S252" i="9"/>
  <c r="AC252" i="9"/>
  <c r="T255" i="9"/>
  <c r="U255" i="9" s="1"/>
  <c r="AC255" i="9"/>
  <c r="S255" i="9"/>
  <c r="T257" i="9"/>
  <c r="U257" i="9" s="1"/>
  <c r="AC257" i="9"/>
  <c r="S257" i="9"/>
  <c r="T259" i="9"/>
  <c r="U259" i="9" s="1"/>
  <c r="S259" i="9"/>
  <c r="AC259" i="9"/>
  <c r="T286" i="9"/>
  <c r="U286" i="9" s="1"/>
  <c r="S286" i="9"/>
  <c r="AC286" i="9"/>
  <c r="T302" i="9"/>
  <c r="U302" i="9" s="1"/>
  <c r="S302" i="9"/>
  <c r="AC302" i="9"/>
  <c r="S177" i="9"/>
  <c r="AC177" i="9"/>
  <c r="T177" i="9"/>
  <c r="U177" i="9" s="1"/>
  <c r="T180" i="9"/>
  <c r="U180" i="9" s="1"/>
  <c r="AC180" i="9"/>
  <c r="S180" i="9"/>
  <c r="S183" i="9"/>
  <c r="AC183" i="9"/>
  <c r="T183" i="9"/>
  <c r="U183" i="9" s="1"/>
  <c r="S185" i="9"/>
  <c r="AC185" i="9"/>
  <c r="T185" i="9"/>
  <c r="U185" i="9" s="1"/>
  <c r="T188" i="9"/>
  <c r="U188" i="9" s="1"/>
  <c r="AC188" i="9"/>
  <c r="S188" i="9"/>
  <c r="T190" i="9"/>
  <c r="U190" i="9" s="1"/>
  <c r="AC190" i="9"/>
  <c r="S190" i="9"/>
  <c r="T204" i="9"/>
  <c r="U204" i="9" s="1"/>
  <c r="AC204" i="9"/>
  <c r="S204" i="9"/>
  <c r="T213" i="9"/>
  <c r="U213" i="9" s="1"/>
  <c r="AC213" i="9"/>
  <c r="S213" i="9"/>
  <c r="T217" i="9"/>
  <c r="U217" i="9" s="1"/>
  <c r="AC217" i="9"/>
  <c r="S217" i="9"/>
  <c r="T222" i="9"/>
  <c r="U222" i="9" s="1"/>
  <c r="AC222" i="9"/>
  <c r="S222" i="9"/>
  <c r="T283" i="9"/>
  <c r="U283" i="9" s="1"/>
  <c r="S283" i="9"/>
  <c r="AC283" i="9"/>
  <c r="T287" i="9"/>
  <c r="U287" i="9" s="1"/>
  <c r="S287" i="9"/>
  <c r="AC287" i="9"/>
  <c r="T291" i="9"/>
  <c r="U291" i="9" s="1"/>
  <c r="S291" i="9"/>
  <c r="AC291" i="9"/>
  <c r="T308" i="9"/>
  <c r="U308" i="9" s="1"/>
  <c r="S308" i="9"/>
  <c r="AC308" i="9"/>
  <c r="T261" i="9"/>
  <c r="U261" i="9" s="1"/>
  <c r="S261" i="9"/>
  <c r="AC261" i="9"/>
  <c r="T263" i="9"/>
  <c r="U263" i="9" s="1"/>
  <c r="S263" i="9"/>
  <c r="AC263" i="9"/>
  <c r="T265" i="9"/>
  <c r="U265" i="9" s="1"/>
  <c r="S265" i="9"/>
  <c r="AC265" i="9"/>
  <c r="T267" i="9"/>
  <c r="U267" i="9" s="1"/>
  <c r="S267" i="9"/>
  <c r="AC267" i="9"/>
  <c r="T269" i="9"/>
  <c r="U269" i="9" s="1"/>
  <c r="S269" i="9"/>
  <c r="AC269" i="9"/>
  <c r="T271" i="9"/>
  <c r="U271" i="9" s="1"/>
  <c r="S271" i="9"/>
  <c r="AC271" i="9"/>
  <c r="T273" i="9"/>
  <c r="U273" i="9" s="1"/>
  <c r="S273" i="9"/>
  <c r="AC273" i="9"/>
  <c r="AC275" i="9"/>
  <c r="T275" i="9"/>
  <c r="U275" i="9" s="1"/>
  <c r="S275" i="9"/>
  <c r="AC277" i="9"/>
  <c r="T277" i="9"/>
  <c r="U277" i="9" s="1"/>
  <c r="S277" i="9"/>
  <c r="AC279" i="9"/>
  <c r="T279" i="9"/>
  <c r="U279" i="9" s="1"/>
  <c r="S279" i="9"/>
  <c r="T309" i="9"/>
  <c r="U309" i="9" s="1"/>
  <c r="AC309" i="9"/>
  <c r="T311" i="9"/>
  <c r="U311" i="9" s="1"/>
  <c r="AC311" i="9"/>
  <c r="T313" i="9"/>
  <c r="U313" i="9" s="1"/>
  <c r="AC313" i="9"/>
  <c r="T315" i="9"/>
  <c r="U315" i="9" s="1"/>
  <c r="AC315" i="9"/>
  <c r="T317" i="9"/>
  <c r="U317" i="9" s="1"/>
  <c r="AC317" i="9"/>
  <c r="S317" i="9"/>
  <c r="T319" i="9"/>
  <c r="U319" i="9" s="1"/>
  <c r="S319" i="9"/>
  <c r="AC319" i="9"/>
  <c r="T294" i="9"/>
  <c r="U294" i="9" s="1"/>
  <c r="S294" i="9"/>
  <c r="AC294" i="9"/>
  <c r="T296" i="9"/>
  <c r="U296" i="9" s="1"/>
  <c r="S296" i="9"/>
  <c r="AC296" i="9"/>
  <c r="T298" i="9"/>
  <c r="U298" i="9" s="1"/>
  <c r="S298" i="9"/>
  <c r="AC298" i="9"/>
  <c r="T300" i="9"/>
  <c r="U300" i="9" s="1"/>
  <c r="S300" i="9"/>
  <c r="AC300" i="9"/>
  <c r="T303" i="9"/>
  <c r="U303" i="9" s="1"/>
  <c r="S303" i="9"/>
  <c r="AC303" i="9"/>
  <c r="T307" i="9"/>
  <c r="U307" i="9" s="1"/>
  <c r="S307" i="9"/>
  <c r="AC307" i="9"/>
  <c r="M53" i="2"/>
  <c r="L53" i="2"/>
  <c r="K53" i="2"/>
  <c r="J53" i="2"/>
  <c r="M52" i="2"/>
  <c r="L52" i="2"/>
  <c r="K52" i="2"/>
  <c r="J52" i="2"/>
  <c r="M51" i="2"/>
  <c r="L51" i="2"/>
  <c r="K51" i="2"/>
  <c r="J51" i="2"/>
  <c r="M50" i="2"/>
  <c r="L50" i="2"/>
  <c r="K50" i="2"/>
  <c r="J50" i="2"/>
  <c r="L45" i="2"/>
  <c r="K45" i="2"/>
  <c r="J45" i="2"/>
  <c r="L44" i="2"/>
  <c r="K44" i="2"/>
  <c r="J44" i="2"/>
  <c r="L43" i="2"/>
  <c r="K43" i="2"/>
  <c r="J43" i="2"/>
  <c r="L38" i="2"/>
  <c r="K38" i="2"/>
  <c r="J38" i="2"/>
  <c r="L37" i="2"/>
  <c r="K37" i="2"/>
  <c r="J37" i="2"/>
  <c r="L36" i="2"/>
  <c r="K36" i="2"/>
  <c r="J36" i="2"/>
  <c r="M33" i="2"/>
  <c r="L33" i="2"/>
  <c r="K33" i="2"/>
  <c r="J33" i="2"/>
  <c r="M32" i="2"/>
  <c r="L32" i="2"/>
  <c r="K32" i="2"/>
  <c r="J32" i="2"/>
  <c r="M31" i="2"/>
  <c r="L31" i="2"/>
  <c r="K31" i="2"/>
  <c r="J31" i="2"/>
  <c r="L28" i="2"/>
  <c r="K28" i="2"/>
  <c r="J28" i="2"/>
  <c r="L27" i="2"/>
  <c r="K27" i="2"/>
  <c r="J27" i="2"/>
  <c r="L26" i="2"/>
  <c r="K26" i="2"/>
  <c r="J26" i="2"/>
  <c r="M23" i="2"/>
  <c r="L23" i="2"/>
  <c r="K23" i="2"/>
  <c r="J23" i="2"/>
  <c r="M22" i="2"/>
  <c r="L22" i="2"/>
  <c r="K22" i="2"/>
  <c r="J22" i="2"/>
  <c r="M21" i="2"/>
  <c r="L21" i="2"/>
  <c r="K21" i="2"/>
  <c r="J21" i="2"/>
  <c r="M18" i="2"/>
  <c r="L18" i="2"/>
  <c r="K18" i="2"/>
  <c r="J18" i="2"/>
  <c r="M17" i="2"/>
  <c r="L17" i="2"/>
  <c r="K17" i="2"/>
  <c r="J17" i="2"/>
  <c r="M16" i="2"/>
  <c r="L16" i="2"/>
  <c r="K16" i="2"/>
  <c r="J16" i="2"/>
  <c r="M15" i="2"/>
  <c r="L15" i="2"/>
  <c r="K15" i="2"/>
  <c r="J15" i="2"/>
  <c r="M12" i="2"/>
  <c r="L12" i="2"/>
  <c r="K12" i="2"/>
  <c r="J12" i="2"/>
  <c r="M11" i="2"/>
  <c r="L11" i="2"/>
  <c r="K11" i="2"/>
  <c r="J11" i="2"/>
  <c r="M10" i="2"/>
  <c r="L10" i="2"/>
  <c r="K10" i="2"/>
  <c r="J10" i="2"/>
  <c r="K8" i="2"/>
  <c r="O8" i="2" s="1"/>
  <c r="I7" i="2"/>
  <c r="H6" i="2"/>
  <c r="G5" i="2"/>
  <c r="BQ88" i="9" l="1"/>
  <c r="BQ132" i="9"/>
  <c r="BQ260" i="9"/>
  <c r="BQ298" i="9"/>
  <c r="BM201" i="9"/>
  <c r="BN201" i="9" s="1"/>
  <c r="BM209" i="9"/>
  <c r="BN209" i="9" s="1"/>
  <c r="BM215" i="9"/>
  <c r="BN215" i="9" s="1"/>
  <c r="BQ223" i="9"/>
  <c r="BQ267" i="9"/>
  <c r="Q7" i="2"/>
  <c r="S8" i="2"/>
  <c r="P6" i="2"/>
  <c r="O5" i="2"/>
  <c r="O34" i="2" s="1"/>
  <c r="AK344" i="9"/>
  <c r="AQ374" i="9"/>
  <c r="AL357" i="9"/>
  <c r="BQ119" i="9"/>
  <c r="BM136" i="9"/>
  <c r="BN136" i="9" s="1"/>
  <c r="BQ38" i="9"/>
  <c r="AK413" i="9"/>
  <c r="AI449" i="9"/>
  <c r="AF8" i="9"/>
  <c r="AP8" i="9"/>
  <c r="AG8" i="9"/>
  <c r="AH8" i="9" s="1"/>
  <c r="AF24" i="9"/>
  <c r="AP24" i="9"/>
  <c r="AG24" i="9"/>
  <c r="AH24" i="9" s="1"/>
  <c r="AF40" i="9"/>
  <c r="AP40" i="9"/>
  <c r="AG40" i="9"/>
  <c r="AH40" i="9" s="1"/>
  <c r="AF56" i="9"/>
  <c r="AP56" i="9"/>
  <c r="AG56" i="9"/>
  <c r="AH56" i="9" s="1"/>
  <c r="AF72" i="9"/>
  <c r="AP72" i="9"/>
  <c r="AG72" i="9"/>
  <c r="AH72" i="9" s="1"/>
  <c r="AF88" i="9"/>
  <c r="AP88" i="9"/>
  <c r="AG88" i="9"/>
  <c r="AH88" i="9" s="1"/>
  <c r="AF104" i="9"/>
  <c r="AP104" i="9"/>
  <c r="AG104" i="9"/>
  <c r="AH104" i="9" s="1"/>
  <c r="AF120" i="9"/>
  <c r="AP120" i="9"/>
  <c r="AG120" i="9"/>
  <c r="AH120" i="9" s="1"/>
  <c r="AF136" i="9"/>
  <c r="AP136" i="9"/>
  <c r="AG136" i="9"/>
  <c r="AH136" i="9" s="1"/>
  <c r="AF152" i="9"/>
  <c r="AP152" i="9"/>
  <c r="AG152" i="9"/>
  <c r="AH152" i="9" s="1"/>
  <c r="AF14" i="9"/>
  <c r="AP14" i="9"/>
  <c r="AG14" i="9"/>
  <c r="AH14" i="9" s="1"/>
  <c r="AF30" i="9"/>
  <c r="AP30" i="9"/>
  <c r="AG30" i="9"/>
  <c r="AH30" i="9" s="1"/>
  <c r="AF46" i="9"/>
  <c r="AP46" i="9"/>
  <c r="AG46" i="9"/>
  <c r="AH46" i="9" s="1"/>
  <c r="AP74" i="9"/>
  <c r="AG74" i="9"/>
  <c r="AH74" i="9" s="1"/>
  <c r="AF74" i="9"/>
  <c r="AP106" i="9"/>
  <c r="AG106" i="9"/>
  <c r="AH106" i="9" s="1"/>
  <c r="AF106" i="9"/>
  <c r="AP138" i="9"/>
  <c r="AG138" i="9"/>
  <c r="AH138" i="9" s="1"/>
  <c r="AF138" i="9"/>
  <c r="AP172" i="9"/>
  <c r="AG172" i="9"/>
  <c r="AH172" i="9" s="1"/>
  <c r="AF172" i="9"/>
  <c r="AP218" i="9"/>
  <c r="AG218" i="9"/>
  <c r="AH218" i="9" s="1"/>
  <c r="AF218" i="9"/>
  <c r="AF13" i="9"/>
  <c r="AG13" i="9"/>
  <c r="AH13" i="9" s="1"/>
  <c r="AP13" i="9"/>
  <c r="AF29" i="9"/>
  <c r="AG29" i="9"/>
  <c r="AH29" i="9" s="1"/>
  <c r="AP29" i="9"/>
  <c r="AF45" i="9"/>
  <c r="AG45" i="9"/>
  <c r="AH45" i="9" s="1"/>
  <c r="AP45" i="9"/>
  <c r="AF61" i="9"/>
  <c r="AG61" i="9"/>
  <c r="AH61" i="9" s="1"/>
  <c r="AP61" i="9"/>
  <c r="AF77" i="9"/>
  <c r="AG77" i="9"/>
  <c r="AH77" i="9" s="1"/>
  <c r="AP77" i="9"/>
  <c r="AF93" i="9"/>
  <c r="AG93" i="9"/>
  <c r="AH93" i="9" s="1"/>
  <c r="AP93" i="9"/>
  <c r="AF109" i="9"/>
  <c r="AG109" i="9"/>
  <c r="AH109" i="9" s="1"/>
  <c r="AP109" i="9"/>
  <c r="AF125" i="9"/>
  <c r="AG125" i="9"/>
  <c r="AH125" i="9" s="1"/>
  <c r="AP125" i="9"/>
  <c r="AF141" i="9"/>
  <c r="AG141" i="9"/>
  <c r="AH141" i="9" s="1"/>
  <c r="AP141" i="9"/>
  <c r="AF158" i="9"/>
  <c r="AP158" i="9"/>
  <c r="AG158" i="9"/>
  <c r="AH158" i="9" s="1"/>
  <c r="AF190" i="9"/>
  <c r="AP190" i="9"/>
  <c r="AG190" i="9"/>
  <c r="AH190" i="9" s="1"/>
  <c r="AF250" i="9"/>
  <c r="AP250" i="9"/>
  <c r="AG250" i="9"/>
  <c r="AH250" i="9" s="1"/>
  <c r="AF299" i="9"/>
  <c r="AP299" i="9"/>
  <c r="AG299" i="9"/>
  <c r="AH299" i="9" s="1"/>
  <c r="AP167" i="9"/>
  <c r="AG167" i="9"/>
  <c r="AH167" i="9" s="1"/>
  <c r="AF167" i="9"/>
  <c r="AP183" i="9"/>
  <c r="AG183" i="9"/>
  <c r="AH183" i="9" s="1"/>
  <c r="AF183" i="9"/>
  <c r="AF204" i="9"/>
  <c r="AP204" i="9"/>
  <c r="AG204" i="9"/>
  <c r="AH204" i="9" s="1"/>
  <c r="AF236" i="9"/>
  <c r="AP236" i="9"/>
  <c r="AG236" i="9"/>
  <c r="AH236" i="9" s="1"/>
  <c r="AF268" i="9"/>
  <c r="AP268" i="9"/>
  <c r="AG268" i="9"/>
  <c r="AH268" i="9" s="1"/>
  <c r="AF195" i="9"/>
  <c r="AG195" i="9"/>
  <c r="AH195" i="9" s="1"/>
  <c r="AP195" i="9"/>
  <c r="AF211" i="9"/>
  <c r="AG211" i="9"/>
  <c r="AH211" i="9" s="1"/>
  <c r="AP211" i="9"/>
  <c r="AF227" i="9"/>
  <c r="AG227" i="9"/>
  <c r="AH227" i="9" s="1"/>
  <c r="AP227" i="9"/>
  <c r="AF243" i="9"/>
  <c r="AG243" i="9"/>
  <c r="AH243" i="9" s="1"/>
  <c r="AP243" i="9"/>
  <c r="AF259" i="9"/>
  <c r="AP259" i="9"/>
  <c r="AG259" i="9"/>
  <c r="AH259" i="9" s="1"/>
  <c r="AF281" i="9"/>
  <c r="AP281" i="9"/>
  <c r="AG281" i="9"/>
  <c r="AH281" i="9" s="1"/>
  <c r="AF314" i="9"/>
  <c r="AP314" i="9"/>
  <c r="AG314" i="9"/>
  <c r="AH314" i="9" s="1"/>
  <c r="AF284" i="9"/>
  <c r="AG284" i="9"/>
  <c r="AH284" i="9" s="1"/>
  <c r="AP284" i="9"/>
  <c r="AF300" i="9"/>
  <c r="AG300" i="9"/>
  <c r="AH300" i="9" s="1"/>
  <c r="AP300" i="9"/>
  <c r="AP313" i="9"/>
  <c r="AF313" i="9"/>
  <c r="AG313" i="9"/>
  <c r="AH313" i="9" s="1"/>
  <c r="AP20" i="9"/>
  <c r="AG20" i="9"/>
  <c r="AH20" i="9" s="1"/>
  <c r="AF20" i="9"/>
  <c r="AP36" i="9"/>
  <c r="AG36" i="9"/>
  <c r="AH36" i="9" s="1"/>
  <c r="AF36" i="9"/>
  <c r="AP52" i="9"/>
  <c r="AG52" i="9"/>
  <c r="AH52" i="9" s="1"/>
  <c r="AF52" i="9"/>
  <c r="AP68" i="9"/>
  <c r="AG68" i="9"/>
  <c r="AH68" i="9" s="1"/>
  <c r="AF68" i="9"/>
  <c r="AP84" i="9"/>
  <c r="AG84" i="9"/>
  <c r="AH84" i="9" s="1"/>
  <c r="AF84" i="9"/>
  <c r="AP100" i="9"/>
  <c r="AG100" i="9"/>
  <c r="AH100" i="9" s="1"/>
  <c r="AF100" i="9"/>
  <c r="AP116" i="9"/>
  <c r="AG116" i="9"/>
  <c r="AH116" i="9" s="1"/>
  <c r="AF116" i="9"/>
  <c r="AP132" i="9"/>
  <c r="AG132" i="9"/>
  <c r="AH132" i="9" s="1"/>
  <c r="AF132" i="9"/>
  <c r="AP148" i="9"/>
  <c r="AG148" i="9"/>
  <c r="AH148" i="9" s="1"/>
  <c r="AF148" i="9"/>
  <c r="AP10" i="9"/>
  <c r="AG10" i="9"/>
  <c r="AH10" i="9" s="1"/>
  <c r="AF10" i="9"/>
  <c r="AP26" i="9"/>
  <c r="AG26" i="9"/>
  <c r="AH26" i="9" s="1"/>
  <c r="AF26" i="9"/>
  <c r="AP42" i="9"/>
  <c r="AG42" i="9"/>
  <c r="AH42" i="9" s="1"/>
  <c r="AF42" i="9"/>
  <c r="AF66" i="9"/>
  <c r="AP66" i="9"/>
  <c r="AG66" i="9"/>
  <c r="AH66" i="9" s="1"/>
  <c r="AF98" i="9"/>
  <c r="AP98" i="9"/>
  <c r="AG98" i="9"/>
  <c r="AH98" i="9" s="1"/>
  <c r="AF130" i="9"/>
  <c r="AP130" i="9"/>
  <c r="AG130" i="9"/>
  <c r="AH130" i="9" s="1"/>
  <c r="AF164" i="9"/>
  <c r="AP164" i="9"/>
  <c r="AG164" i="9"/>
  <c r="AH164" i="9" s="1"/>
  <c r="AF202" i="9"/>
  <c r="AP202" i="9"/>
  <c r="AG202" i="9"/>
  <c r="AH202" i="9" s="1"/>
  <c r="AG9" i="9"/>
  <c r="AH9" i="9" s="1"/>
  <c r="AP9" i="9"/>
  <c r="AF9" i="9"/>
  <c r="AG25" i="9"/>
  <c r="AH25" i="9" s="1"/>
  <c r="AP25" i="9"/>
  <c r="AF25" i="9"/>
  <c r="AG41" i="9"/>
  <c r="AH41" i="9" s="1"/>
  <c r="AP41" i="9"/>
  <c r="AF41" i="9"/>
  <c r="AG57" i="9"/>
  <c r="AH57" i="9" s="1"/>
  <c r="AP57" i="9"/>
  <c r="AF57" i="9"/>
  <c r="AG73" i="9"/>
  <c r="AH73" i="9" s="1"/>
  <c r="AP73" i="9"/>
  <c r="AF73" i="9"/>
  <c r="AG89" i="9"/>
  <c r="AH89" i="9" s="1"/>
  <c r="AP89" i="9"/>
  <c r="AF89" i="9"/>
  <c r="AG105" i="9"/>
  <c r="AH105" i="9" s="1"/>
  <c r="AP105" i="9"/>
  <c r="AF105" i="9"/>
  <c r="AG121" i="9"/>
  <c r="AH121" i="9" s="1"/>
  <c r="AP121" i="9"/>
  <c r="AF121" i="9"/>
  <c r="AG137" i="9"/>
  <c r="AH137" i="9" s="1"/>
  <c r="AP137" i="9"/>
  <c r="AF137" i="9"/>
  <c r="AG153" i="9"/>
  <c r="AH153" i="9" s="1"/>
  <c r="AP153" i="9"/>
  <c r="AF153" i="9"/>
  <c r="AP182" i="9"/>
  <c r="AG182" i="9"/>
  <c r="AH182" i="9" s="1"/>
  <c r="AF182" i="9"/>
  <c r="AP238" i="9"/>
  <c r="AG238" i="9"/>
  <c r="AH238" i="9" s="1"/>
  <c r="AF238" i="9"/>
  <c r="AP283" i="9"/>
  <c r="AG283" i="9"/>
  <c r="AH283" i="9" s="1"/>
  <c r="AF283" i="9"/>
  <c r="AG163" i="9"/>
  <c r="AH163" i="9" s="1"/>
  <c r="AF163" i="9"/>
  <c r="AP163" i="9"/>
  <c r="AG179" i="9"/>
  <c r="AH179" i="9" s="1"/>
  <c r="AF179" i="9"/>
  <c r="AP179" i="9"/>
  <c r="AP196" i="9"/>
  <c r="AG196" i="9"/>
  <c r="AH196" i="9" s="1"/>
  <c r="AF196" i="9"/>
  <c r="AP228" i="9"/>
  <c r="AG228" i="9"/>
  <c r="AH228" i="9" s="1"/>
  <c r="AF228" i="9"/>
  <c r="AP260" i="9"/>
  <c r="AG260" i="9"/>
  <c r="AH260" i="9" s="1"/>
  <c r="AF260" i="9"/>
  <c r="AP310" i="9"/>
  <c r="AG310" i="9"/>
  <c r="AH310" i="9" s="1"/>
  <c r="AF310" i="9"/>
  <c r="AG207" i="9"/>
  <c r="AH207" i="9" s="1"/>
  <c r="AP207" i="9"/>
  <c r="AF207" i="9"/>
  <c r="AG223" i="9"/>
  <c r="AH223" i="9" s="1"/>
  <c r="AP223" i="9"/>
  <c r="AF223" i="9"/>
  <c r="AG239" i="9"/>
  <c r="AH239" i="9" s="1"/>
  <c r="AP239" i="9"/>
  <c r="AF239" i="9"/>
  <c r="AG255" i="9"/>
  <c r="AH255" i="9" s="1"/>
  <c r="AP255" i="9"/>
  <c r="AF255" i="9"/>
  <c r="AP273" i="9"/>
  <c r="AG273" i="9"/>
  <c r="AH273" i="9" s="1"/>
  <c r="AF273" i="9"/>
  <c r="AP305" i="9"/>
  <c r="AG305" i="9"/>
  <c r="AH305" i="9" s="1"/>
  <c r="AF305" i="9"/>
  <c r="AG280" i="9"/>
  <c r="AH280" i="9" s="1"/>
  <c r="AP280" i="9"/>
  <c r="AF280" i="9"/>
  <c r="AG296" i="9"/>
  <c r="AH296" i="9" s="1"/>
  <c r="AP296" i="9"/>
  <c r="AF296" i="9"/>
  <c r="AP316" i="9"/>
  <c r="AG316" i="9"/>
  <c r="AH316" i="9" s="1"/>
  <c r="AF316" i="9"/>
  <c r="AP54" i="9"/>
  <c r="AG54" i="9"/>
  <c r="AH54" i="9" s="1"/>
  <c r="AF54" i="9"/>
  <c r="AP70" i="9"/>
  <c r="AG70" i="9"/>
  <c r="AH70" i="9" s="1"/>
  <c r="AF70" i="9"/>
  <c r="AP86" i="9"/>
  <c r="AG86" i="9"/>
  <c r="AH86" i="9" s="1"/>
  <c r="AF86" i="9"/>
  <c r="AP102" i="9"/>
  <c r="AG102" i="9"/>
  <c r="AH102" i="9" s="1"/>
  <c r="AF102" i="9"/>
  <c r="AP118" i="9"/>
  <c r="AG118" i="9"/>
  <c r="AH118" i="9" s="1"/>
  <c r="AF118" i="9"/>
  <c r="AP134" i="9"/>
  <c r="AG134" i="9"/>
  <c r="AH134" i="9" s="1"/>
  <c r="AF134" i="9"/>
  <c r="AP150" i="9"/>
  <c r="AG150" i="9"/>
  <c r="AH150" i="9" s="1"/>
  <c r="AF150" i="9"/>
  <c r="AP168" i="9"/>
  <c r="AG168" i="9"/>
  <c r="AH168" i="9" s="1"/>
  <c r="AF168" i="9"/>
  <c r="AP184" i="9"/>
  <c r="AG184" i="9"/>
  <c r="AH184" i="9" s="1"/>
  <c r="AF184" i="9"/>
  <c r="AP210" i="9"/>
  <c r="AG210" i="9"/>
  <c r="AH210" i="9" s="1"/>
  <c r="AF210" i="9"/>
  <c r="AP242" i="9"/>
  <c r="AG242" i="9"/>
  <c r="AH242" i="9" s="1"/>
  <c r="AF242" i="9"/>
  <c r="AG11" i="9"/>
  <c r="AH11" i="9" s="1"/>
  <c r="AF11" i="9"/>
  <c r="AP11" i="9"/>
  <c r="AG19" i="9"/>
  <c r="AH19" i="9" s="1"/>
  <c r="AF19" i="9"/>
  <c r="AP19" i="9"/>
  <c r="AG27" i="9"/>
  <c r="AH27" i="9" s="1"/>
  <c r="AF27" i="9"/>
  <c r="AP27" i="9"/>
  <c r="AG35" i="9"/>
  <c r="AH35" i="9" s="1"/>
  <c r="AF35" i="9"/>
  <c r="AP35" i="9"/>
  <c r="AG43" i="9"/>
  <c r="AH43" i="9" s="1"/>
  <c r="AF43" i="9"/>
  <c r="AP43" i="9"/>
  <c r="AG51" i="9"/>
  <c r="AH51" i="9" s="1"/>
  <c r="AF51" i="9"/>
  <c r="AP51" i="9"/>
  <c r="AG59" i="9"/>
  <c r="AH59" i="9" s="1"/>
  <c r="AF59" i="9"/>
  <c r="AP59" i="9"/>
  <c r="AG67" i="9"/>
  <c r="AH67" i="9" s="1"/>
  <c r="AF67" i="9"/>
  <c r="AP67" i="9"/>
  <c r="AG75" i="9"/>
  <c r="AH75" i="9" s="1"/>
  <c r="AF75" i="9"/>
  <c r="AP75" i="9"/>
  <c r="AG83" i="9"/>
  <c r="AH83" i="9" s="1"/>
  <c r="AF83" i="9"/>
  <c r="AP83" i="9"/>
  <c r="AG91" i="9"/>
  <c r="AH91" i="9" s="1"/>
  <c r="AF91" i="9"/>
  <c r="AP91" i="9"/>
  <c r="AG99" i="9"/>
  <c r="AH99" i="9" s="1"/>
  <c r="AF99" i="9"/>
  <c r="AP99" i="9"/>
  <c r="AG107" i="9"/>
  <c r="AH107" i="9" s="1"/>
  <c r="AF107" i="9"/>
  <c r="AP107" i="9"/>
  <c r="AG115" i="9"/>
  <c r="AH115" i="9" s="1"/>
  <c r="AF115" i="9"/>
  <c r="AP115" i="9"/>
  <c r="AG123" i="9"/>
  <c r="AH123" i="9" s="1"/>
  <c r="AF123" i="9"/>
  <c r="AP123" i="9"/>
  <c r="AG131" i="9"/>
  <c r="AH131" i="9" s="1"/>
  <c r="AF131" i="9"/>
  <c r="AP131" i="9"/>
  <c r="AG139" i="9"/>
  <c r="AH139" i="9" s="1"/>
  <c r="AF139" i="9"/>
  <c r="AP139" i="9"/>
  <c r="AG147" i="9"/>
  <c r="AH147" i="9" s="1"/>
  <c r="AF147" i="9"/>
  <c r="AP147" i="9"/>
  <c r="AG155" i="9"/>
  <c r="AH155" i="9" s="1"/>
  <c r="AF155" i="9"/>
  <c r="AP155" i="9"/>
  <c r="AP170" i="9"/>
  <c r="AG170" i="9"/>
  <c r="AH170" i="9" s="1"/>
  <c r="AF170" i="9"/>
  <c r="AP186" i="9"/>
  <c r="AG186" i="9"/>
  <c r="AH186" i="9" s="1"/>
  <c r="AF186" i="9"/>
  <c r="AP214" i="9"/>
  <c r="AG214" i="9"/>
  <c r="AH214" i="9" s="1"/>
  <c r="AF214" i="9"/>
  <c r="AP246" i="9"/>
  <c r="AG246" i="9"/>
  <c r="AH246" i="9" s="1"/>
  <c r="AF246" i="9"/>
  <c r="AP262" i="9"/>
  <c r="AG262" i="9"/>
  <c r="AH262" i="9" s="1"/>
  <c r="AF262" i="9"/>
  <c r="AP291" i="9"/>
  <c r="AG291" i="9"/>
  <c r="AH291" i="9" s="1"/>
  <c r="AF291" i="9"/>
  <c r="AG157" i="9"/>
  <c r="AH157" i="9" s="1"/>
  <c r="AP157" i="9"/>
  <c r="AF157" i="9"/>
  <c r="AG165" i="9"/>
  <c r="AH165" i="9" s="1"/>
  <c r="AP165" i="9"/>
  <c r="AF165" i="9"/>
  <c r="AG173" i="9"/>
  <c r="AH173" i="9" s="1"/>
  <c r="AP173" i="9"/>
  <c r="AF173" i="9"/>
  <c r="AG181" i="9"/>
  <c r="AH181" i="9" s="1"/>
  <c r="AP181" i="9"/>
  <c r="AF181" i="9"/>
  <c r="AG189" i="9"/>
  <c r="AH189" i="9" s="1"/>
  <c r="AP189" i="9"/>
  <c r="AF189" i="9"/>
  <c r="AP200" i="9"/>
  <c r="AG200" i="9"/>
  <c r="AH200" i="9" s="1"/>
  <c r="AF200" i="9"/>
  <c r="AP216" i="9"/>
  <c r="AG216" i="9"/>
  <c r="AH216" i="9" s="1"/>
  <c r="AF216" i="9"/>
  <c r="AP232" i="9"/>
  <c r="AG232" i="9"/>
  <c r="AH232" i="9" s="1"/>
  <c r="AF232" i="9"/>
  <c r="AP248" i="9"/>
  <c r="AG248" i="9"/>
  <c r="AH248" i="9" s="1"/>
  <c r="AF248" i="9"/>
  <c r="AP264" i="9"/>
  <c r="AG264" i="9"/>
  <c r="AH264" i="9" s="1"/>
  <c r="AF264" i="9"/>
  <c r="AP287" i="9"/>
  <c r="AG287" i="9"/>
  <c r="AH287" i="9" s="1"/>
  <c r="AF287" i="9"/>
  <c r="AG193" i="9"/>
  <c r="AH193" i="9" s="1"/>
  <c r="AF193" i="9"/>
  <c r="AP193" i="9"/>
  <c r="AG201" i="9"/>
  <c r="AH201" i="9" s="1"/>
  <c r="AF201" i="9"/>
  <c r="AP201" i="9"/>
  <c r="AG209" i="9"/>
  <c r="AH209" i="9" s="1"/>
  <c r="AF209" i="9"/>
  <c r="AP209" i="9"/>
  <c r="AG217" i="9"/>
  <c r="AH217" i="9" s="1"/>
  <c r="AF217" i="9"/>
  <c r="AP217" i="9"/>
  <c r="AG225" i="9"/>
  <c r="AH225" i="9" s="1"/>
  <c r="AF225" i="9"/>
  <c r="AP225" i="9"/>
  <c r="AG233" i="9"/>
  <c r="AH233" i="9" s="1"/>
  <c r="AF233" i="9"/>
  <c r="AP233" i="9"/>
  <c r="AG241" i="9"/>
  <c r="AH241" i="9" s="1"/>
  <c r="AF241" i="9"/>
  <c r="AP241" i="9"/>
  <c r="AG249" i="9"/>
  <c r="AH249" i="9" s="1"/>
  <c r="AF249" i="9"/>
  <c r="AP249" i="9"/>
  <c r="AG257" i="9"/>
  <c r="AH257" i="9" s="1"/>
  <c r="AF257" i="9"/>
  <c r="AP257" i="9"/>
  <c r="AG265" i="9"/>
  <c r="AH265" i="9" s="1"/>
  <c r="AF265" i="9"/>
  <c r="AP265" i="9"/>
  <c r="AP277" i="9"/>
  <c r="AG277" i="9"/>
  <c r="AH277" i="9" s="1"/>
  <c r="AF277" i="9"/>
  <c r="AP293" i="9"/>
  <c r="AG293" i="9"/>
  <c r="AH293" i="9" s="1"/>
  <c r="AF293" i="9"/>
  <c r="AP309" i="9"/>
  <c r="AG309" i="9"/>
  <c r="AH309" i="9" s="1"/>
  <c r="AF309" i="9"/>
  <c r="AG274" i="9"/>
  <c r="AH274" i="9" s="1"/>
  <c r="AF274" i="9"/>
  <c r="AP274" i="9"/>
  <c r="AG282" i="9"/>
  <c r="AH282" i="9" s="1"/>
  <c r="AF282" i="9"/>
  <c r="AP282" i="9"/>
  <c r="AG290" i="9"/>
  <c r="AH290" i="9" s="1"/>
  <c r="AF290" i="9"/>
  <c r="AP290" i="9"/>
  <c r="AG298" i="9"/>
  <c r="AH298" i="9" s="1"/>
  <c r="AF298" i="9"/>
  <c r="AP298" i="9"/>
  <c r="AG306" i="9"/>
  <c r="AH306" i="9" s="1"/>
  <c r="AF306" i="9"/>
  <c r="AP306" i="9"/>
  <c r="AG311" i="9"/>
  <c r="AH311" i="9" s="1"/>
  <c r="AP311" i="9"/>
  <c r="AF311" i="9"/>
  <c r="AG319" i="9"/>
  <c r="AH319" i="9" s="1"/>
  <c r="AP319" i="9"/>
  <c r="AF319" i="9"/>
  <c r="AJ368" i="9"/>
  <c r="AJ366" i="9"/>
  <c r="AJ367" i="9"/>
  <c r="AR44" i="9"/>
  <c r="AR5" i="9"/>
  <c r="AR7" i="9"/>
  <c r="AR9" i="9"/>
  <c r="AR11" i="9"/>
  <c r="AR13" i="9"/>
  <c r="AR15" i="9"/>
  <c r="AR17" i="9"/>
  <c r="AR19" i="9"/>
  <c r="AR21" i="9"/>
  <c r="AR23" i="9"/>
  <c r="AR25" i="9"/>
  <c r="AR27" i="9"/>
  <c r="AR29" i="9"/>
  <c r="AR31" i="9"/>
  <c r="AR33" i="9"/>
  <c r="AR35" i="9"/>
  <c r="AR37" i="9"/>
  <c r="AR6" i="9"/>
  <c r="AR8" i="9"/>
  <c r="AR10" i="9"/>
  <c r="AR12" i="9"/>
  <c r="AR14" i="9"/>
  <c r="AR16" i="9"/>
  <c r="AR18" i="9"/>
  <c r="AR20" i="9"/>
  <c r="AR22" i="9"/>
  <c r="AR24" i="9"/>
  <c r="AR26" i="9"/>
  <c r="AR28" i="9"/>
  <c r="AR30" i="9"/>
  <c r="AR32" i="9"/>
  <c r="AR34" i="9"/>
  <c r="AR36" i="9"/>
  <c r="AR38" i="9"/>
  <c r="AR39" i="9"/>
  <c r="AR41" i="9"/>
  <c r="AR318" i="9"/>
  <c r="AR314" i="9"/>
  <c r="AR310" i="9"/>
  <c r="AR306" i="9"/>
  <c r="AR302" i="9"/>
  <c r="AR298" i="9"/>
  <c r="AR294" i="9"/>
  <c r="AR290" i="9"/>
  <c r="AR286" i="9"/>
  <c r="AR282" i="9"/>
  <c r="AR315" i="9"/>
  <c r="AR307" i="9"/>
  <c r="AR299" i="9"/>
  <c r="AR309" i="9"/>
  <c r="AR295" i="9"/>
  <c r="AR287" i="9"/>
  <c r="AR280" i="9"/>
  <c r="AR276" i="9"/>
  <c r="AR272" i="9"/>
  <c r="AR268" i="9"/>
  <c r="AR264" i="9"/>
  <c r="AR260" i="9"/>
  <c r="AR256" i="9"/>
  <c r="AR252" i="9"/>
  <c r="AR248" i="9"/>
  <c r="AR244" i="9"/>
  <c r="AR240" i="9"/>
  <c r="AR313" i="9"/>
  <c r="AR297" i="9"/>
  <c r="AR289" i="9"/>
  <c r="AR281" i="9"/>
  <c r="AR277" i="9"/>
  <c r="AR273" i="9"/>
  <c r="AR269" i="9"/>
  <c r="AR261" i="9"/>
  <c r="AR253" i="9"/>
  <c r="AR245" i="9"/>
  <c r="AR237" i="9"/>
  <c r="AR233" i="9"/>
  <c r="AR229" i="9"/>
  <c r="AR225" i="9"/>
  <c r="AR221" i="9"/>
  <c r="AR217" i="9"/>
  <c r="AR213" i="9"/>
  <c r="AR209" i="9"/>
  <c r="AR205" i="9"/>
  <c r="AR201" i="9"/>
  <c r="AR263" i="9"/>
  <c r="AR255" i="9"/>
  <c r="AR247" i="9"/>
  <c r="AR239" i="9"/>
  <c r="AR234" i="9"/>
  <c r="AR230" i="9"/>
  <c r="AR226" i="9"/>
  <c r="AR222" i="9"/>
  <c r="AR218" i="9"/>
  <c r="AR214" i="9"/>
  <c r="AR210" i="9"/>
  <c r="AR206" i="9"/>
  <c r="AR202" i="9"/>
  <c r="AR198" i="9"/>
  <c r="AR196" i="9"/>
  <c r="AR194" i="9"/>
  <c r="AR192" i="9"/>
  <c r="AR190" i="9"/>
  <c r="AR188" i="9"/>
  <c r="AR186" i="9"/>
  <c r="AR184" i="9"/>
  <c r="AR182" i="9"/>
  <c r="AR180" i="9"/>
  <c r="AR178" i="9"/>
  <c r="AR176" i="9"/>
  <c r="AR174" i="9"/>
  <c r="AR172" i="9"/>
  <c r="AR170" i="9"/>
  <c r="AR168" i="9"/>
  <c r="AR166" i="9"/>
  <c r="AR164" i="9"/>
  <c r="AR162" i="9"/>
  <c r="AR160" i="9"/>
  <c r="AR158" i="9"/>
  <c r="AR156" i="9"/>
  <c r="AR154" i="9"/>
  <c r="AR152" i="9"/>
  <c r="AR150" i="9"/>
  <c r="AR200" i="9"/>
  <c r="AR147" i="9"/>
  <c r="AR145" i="9"/>
  <c r="AR143" i="9"/>
  <c r="AR141" i="9"/>
  <c r="AR139" i="9"/>
  <c r="AR137" i="9"/>
  <c r="AR135" i="9"/>
  <c r="AR133" i="9"/>
  <c r="AR131" i="9"/>
  <c r="AR129" i="9"/>
  <c r="AR127" i="9"/>
  <c r="AR125" i="9"/>
  <c r="AR123" i="9"/>
  <c r="AR121" i="9"/>
  <c r="AR119" i="9"/>
  <c r="AR117" i="9"/>
  <c r="AR115" i="9"/>
  <c r="AR113" i="9"/>
  <c r="AR111" i="9"/>
  <c r="AR109" i="9"/>
  <c r="AR107" i="9"/>
  <c r="AR105" i="9"/>
  <c r="AR103" i="9"/>
  <c r="AR101" i="9"/>
  <c r="AR99" i="9"/>
  <c r="AR97" i="9"/>
  <c r="AR95" i="9"/>
  <c r="AR93" i="9"/>
  <c r="AR91" i="9"/>
  <c r="AR89" i="9"/>
  <c r="AR87" i="9"/>
  <c r="AR85" i="9"/>
  <c r="AR83" i="9"/>
  <c r="AR81" i="9"/>
  <c r="AR79" i="9"/>
  <c r="AR77" i="9"/>
  <c r="AR75" i="9"/>
  <c r="AR73" i="9"/>
  <c r="AR71" i="9"/>
  <c r="AR69" i="9"/>
  <c r="AR67" i="9"/>
  <c r="AR65" i="9"/>
  <c r="AR63" i="9"/>
  <c r="AR61" i="9"/>
  <c r="AR59" i="9"/>
  <c r="AR57" i="9"/>
  <c r="AR55" i="9"/>
  <c r="AR53" i="9"/>
  <c r="AR51" i="9"/>
  <c r="AR49" i="9"/>
  <c r="AR47" i="9"/>
  <c r="AR45" i="9"/>
  <c r="AR40" i="9"/>
  <c r="AR42" i="9"/>
  <c r="AR316" i="9"/>
  <c r="AR312" i="9"/>
  <c r="AR308" i="9"/>
  <c r="AR304" i="9"/>
  <c r="AR300" i="9"/>
  <c r="AR296" i="9"/>
  <c r="AR292" i="9"/>
  <c r="AR288" i="9"/>
  <c r="AR284" i="9"/>
  <c r="AR319" i="9"/>
  <c r="AR311" i="9"/>
  <c r="AR303" i="9"/>
  <c r="AR317" i="9"/>
  <c r="AR301" i="9"/>
  <c r="AR291" i="9"/>
  <c r="AR283" i="9"/>
  <c r="AR278" i="9"/>
  <c r="AR274" i="9"/>
  <c r="AR270" i="9"/>
  <c r="AR266" i="9"/>
  <c r="AR262" i="9"/>
  <c r="AR258" i="9"/>
  <c r="AR254" i="9"/>
  <c r="AR250" i="9"/>
  <c r="AR246" i="9"/>
  <c r="AR242" i="9"/>
  <c r="AR238" i="9"/>
  <c r="AR305" i="9"/>
  <c r="AR293" i="9"/>
  <c r="AR285" i="9"/>
  <c r="AR279" i="9"/>
  <c r="AR275" i="9"/>
  <c r="AR271" i="9"/>
  <c r="AR265" i="9"/>
  <c r="AR257" i="9"/>
  <c r="AR249" i="9"/>
  <c r="AR241" i="9"/>
  <c r="AR235" i="9"/>
  <c r="AR231" i="9"/>
  <c r="AR227" i="9"/>
  <c r="AR223" i="9"/>
  <c r="AR219" i="9"/>
  <c r="AR215" i="9"/>
  <c r="AR211" i="9"/>
  <c r="AR207" i="9"/>
  <c r="AR203" i="9"/>
  <c r="AR267" i="9"/>
  <c r="AR259" i="9"/>
  <c r="AR251" i="9"/>
  <c r="AR243" i="9"/>
  <c r="AR236" i="9"/>
  <c r="AR232" i="9"/>
  <c r="AR228" i="9"/>
  <c r="AR224" i="9"/>
  <c r="AR220" i="9"/>
  <c r="AR216" i="9"/>
  <c r="AR212" i="9"/>
  <c r="AR208" i="9"/>
  <c r="AR204" i="9"/>
  <c r="AR199" i="9"/>
  <c r="AR197" i="9"/>
  <c r="AR195" i="9"/>
  <c r="AR193" i="9"/>
  <c r="AR191" i="9"/>
  <c r="AR189" i="9"/>
  <c r="AR187" i="9"/>
  <c r="AR185" i="9"/>
  <c r="AR183" i="9"/>
  <c r="AR181" i="9"/>
  <c r="AR179" i="9"/>
  <c r="AR177" i="9"/>
  <c r="AR175" i="9"/>
  <c r="AR173" i="9"/>
  <c r="AR171" i="9"/>
  <c r="AR169" i="9"/>
  <c r="AR167" i="9"/>
  <c r="AR165" i="9"/>
  <c r="AR163" i="9"/>
  <c r="AR161" i="9"/>
  <c r="AR159" i="9"/>
  <c r="AR157" i="9"/>
  <c r="AR155" i="9"/>
  <c r="AR153" i="9"/>
  <c r="AR151" i="9"/>
  <c r="AR149" i="9"/>
  <c r="AR148" i="9"/>
  <c r="AR146" i="9"/>
  <c r="AR144" i="9"/>
  <c r="AR142" i="9"/>
  <c r="AR140" i="9"/>
  <c r="AR138" i="9"/>
  <c r="AR136" i="9"/>
  <c r="AR134" i="9"/>
  <c r="AR132" i="9"/>
  <c r="AR130" i="9"/>
  <c r="AR128" i="9"/>
  <c r="AR126" i="9"/>
  <c r="AR124" i="9"/>
  <c r="AR122" i="9"/>
  <c r="AR120" i="9"/>
  <c r="AR118" i="9"/>
  <c r="AR116" i="9"/>
  <c r="AR114" i="9"/>
  <c r="AR112" i="9"/>
  <c r="AR110" i="9"/>
  <c r="AR108" i="9"/>
  <c r="AR106" i="9"/>
  <c r="AR104" i="9"/>
  <c r="AR102" i="9"/>
  <c r="AR100" i="9"/>
  <c r="AR98" i="9"/>
  <c r="AR96" i="9"/>
  <c r="AR94" i="9"/>
  <c r="AR92" i="9"/>
  <c r="AR90" i="9"/>
  <c r="AR88" i="9"/>
  <c r="AR86" i="9"/>
  <c r="AR84" i="9"/>
  <c r="AR82" i="9"/>
  <c r="AR80" i="9"/>
  <c r="AR78" i="9"/>
  <c r="AR76" i="9"/>
  <c r="AR74" i="9"/>
  <c r="AR72" i="9"/>
  <c r="AR70" i="9"/>
  <c r="AR68" i="9"/>
  <c r="AR66" i="9"/>
  <c r="AR64" i="9"/>
  <c r="AR62" i="9"/>
  <c r="AR60" i="9"/>
  <c r="AR58" i="9"/>
  <c r="AR56" i="9"/>
  <c r="AR54" i="9"/>
  <c r="AR52" i="9"/>
  <c r="AR50" i="9"/>
  <c r="AR48" i="9"/>
  <c r="AR46" i="9"/>
  <c r="AR43" i="9"/>
  <c r="AN19" i="9"/>
  <c r="AX19" i="9"/>
  <c r="AN109" i="9"/>
  <c r="AX109" i="9"/>
  <c r="AN261" i="9"/>
  <c r="AX261" i="9"/>
  <c r="AN131" i="9"/>
  <c r="AX131" i="9"/>
  <c r="AN129" i="9"/>
  <c r="AX129" i="9"/>
  <c r="AN270" i="9"/>
  <c r="AX270" i="9"/>
  <c r="AN177" i="9"/>
  <c r="AX177" i="9"/>
  <c r="AN137" i="9"/>
  <c r="AX137" i="9"/>
  <c r="AN125" i="9"/>
  <c r="AX125" i="9"/>
  <c r="AN277" i="9"/>
  <c r="AX277" i="9"/>
  <c r="AN246" i="9"/>
  <c r="AX246" i="9"/>
  <c r="AN233" i="9"/>
  <c r="AX233" i="9"/>
  <c r="AN157" i="9"/>
  <c r="AX157" i="9"/>
  <c r="AN120" i="9"/>
  <c r="AX120" i="9"/>
  <c r="AN161" i="9"/>
  <c r="AX161" i="9"/>
  <c r="AN185" i="9"/>
  <c r="AX185" i="9"/>
  <c r="AN140" i="9"/>
  <c r="AX140" i="9"/>
  <c r="AN294" i="9"/>
  <c r="AX294" i="9"/>
  <c r="AN123" i="9"/>
  <c r="AX123" i="9"/>
  <c r="AN76" i="9"/>
  <c r="AX76" i="9"/>
  <c r="AN108" i="9"/>
  <c r="AX108" i="9"/>
  <c r="AN46" i="9"/>
  <c r="AX46" i="9"/>
  <c r="AM320" i="9"/>
  <c r="AN5" i="9"/>
  <c r="AX5" i="9"/>
  <c r="AL320" i="9"/>
  <c r="AJ320" i="9"/>
  <c r="AK406" i="9" s="1"/>
  <c r="AN47" i="9"/>
  <c r="AX47" i="9"/>
  <c r="AN190" i="9"/>
  <c r="AX190" i="9"/>
  <c r="AN182" i="9"/>
  <c r="AX182" i="9"/>
  <c r="AN264" i="9"/>
  <c r="AX264" i="9"/>
  <c r="AN94" i="9"/>
  <c r="AX94" i="9"/>
  <c r="AN111" i="9"/>
  <c r="AX111" i="9"/>
  <c r="AN55" i="9"/>
  <c r="AX55" i="9"/>
  <c r="AN117" i="9"/>
  <c r="AX117" i="9"/>
  <c r="AN193" i="9"/>
  <c r="AX193" i="9"/>
  <c r="AN181" i="9"/>
  <c r="AX181" i="9"/>
  <c r="AN229" i="9"/>
  <c r="AX229" i="9"/>
  <c r="AN251" i="9"/>
  <c r="AX251" i="9"/>
  <c r="AN279" i="9"/>
  <c r="AX279" i="9"/>
  <c r="BB279" i="9" s="1"/>
  <c r="AN174" i="9"/>
  <c r="AX174" i="9"/>
  <c r="AN42" i="9"/>
  <c r="AX42" i="9"/>
  <c r="AN313" i="9"/>
  <c r="AX313" i="9"/>
  <c r="AN57" i="9"/>
  <c r="AX57" i="9"/>
  <c r="BB57" i="9" s="1"/>
  <c r="AN10" i="9"/>
  <c r="AX10" i="9"/>
  <c r="AN272" i="9"/>
  <c r="AX272" i="9"/>
  <c r="AN14" i="9"/>
  <c r="AX14" i="9"/>
  <c r="BB14" i="9" s="1"/>
  <c r="AN202" i="9"/>
  <c r="AX202" i="9"/>
  <c r="BB202" i="9" s="1"/>
  <c r="AN248" i="9"/>
  <c r="AX248" i="9"/>
  <c r="AN288" i="9"/>
  <c r="AX288" i="9"/>
  <c r="AV443" i="9"/>
  <c r="AV344" i="9"/>
  <c r="AX411" i="9" s="1"/>
  <c r="AW411" i="9" s="1"/>
  <c r="BQ45" i="9"/>
  <c r="BJ119" i="9"/>
  <c r="BL119" i="9"/>
  <c r="BJ268" i="9"/>
  <c r="BL268" i="9"/>
  <c r="BO260" i="9"/>
  <c r="BJ260" i="9"/>
  <c r="BL260" i="9"/>
  <c r="BJ267" i="9"/>
  <c r="BL267" i="9"/>
  <c r="BO235" i="9"/>
  <c r="BL235" i="9"/>
  <c r="BJ235" i="9"/>
  <c r="BL223" i="9"/>
  <c r="BJ223" i="9"/>
  <c r="BO219" i="9"/>
  <c r="BL219" i="9"/>
  <c r="BJ219" i="9"/>
  <c r="BJ215" i="9"/>
  <c r="BL215" i="9"/>
  <c r="BJ211" i="9"/>
  <c r="BL211" i="9"/>
  <c r="BJ126" i="9"/>
  <c r="BL126" i="9"/>
  <c r="BM410" i="9"/>
  <c r="BM407" i="9"/>
  <c r="BM405" i="9"/>
  <c r="BK322" i="9"/>
  <c r="BE4" i="9"/>
  <c r="BL4" i="9"/>
  <c r="BF4" i="9"/>
  <c r="BM408" i="9"/>
  <c r="BM404" i="9"/>
  <c r="BE1" i="9"/>
  <c r="BM406" i="9"/>
  <c r="BG4" i="9"/>
  <c r="BH4" i="9"/>
  <c r="BM16" i="9"/>
  <c r="BN16" i="9" s="1"/>
  <c r="BL16" i="9"/>
  <c r="BJ16" i="9"/>
  <c r="BK31" i="9"/>
  <c r="BO31" i="9" s="1"/>
  <c r="BK35" i="9"/>
  <c r="BI328" i="9"/>
  <c r="BI423" i="9"/>
  <c r="BM62" i="9"/>
  <c r="BN62" i="9" s="1"/>
  <c r="BL62" i="9"/>
  <c r="BJ62" i="9"/>
  <c r="BK69" i="9"/>
  <c r="BK85" i="9"/>
  <c r="BK87" i="9"/>
  <c r="BK101" i="9"/>
  <c r="BK103" i="9"/>
  <c r="BK112" i="9"/>
  <c r="BK124" i="9"/>
  <c r="BK133" i="9"/>
  <c r="BI332" i="9"/>
  <c r="BI428" i="9"/>
  <c r="BK210" i="9"/>
  <c r="BK218" i="9"/>
  <c r="BM249" i="9"/>
  <c r="BN249" i="9" s="1"/>
  <c r="BJ249" i="9"/>
  <c r="BL249" i="9"/>
  <c r="BM262" i="9"/>
  <c r="BN262" i="9" s="1"/>
  <c r="BJ262" i="9"/>
  <c r="BL262" i="9"/>
  <c r="BM273" i="9"/>
  <c r="BN273" i="9" s="1"/>
  <c r="BJ273" i="9"/>
  <c r="BL273" i="9"/>
  <c r="BK283" i="9"/>
  <c r="BM285" i="9"/>
  <c r="BN285" i="9" s="1"/>
  <c r="BJ285" i="9"/>
  <c r="BL285" i="9"/>
  <c r="BM287" i="9"/>
  <c r="BN287" i="9" s="1"/>
  <c r="BJ287" i="9"/>
  <c r="BL287" i="9"/>
  <c r="BM289" i="9"/>
  <c r="BN289" i="9" s="1"/>
  <c r="BJ289" i="9"/>
  <c r="BL289" i="9"/>
  <c r="BM293" i="9"/>
  <c r="BN293" i="9" s="1"/>
  <c r="BJ293" i="9"/>
  <c r="BL293" i="9"/>
  <c r="BM295" i="9"/>
  <c r="BN295" i="9" s="1"/>
  <c r="BJ295" i="9"/>
  <c r="BL295" i="9"/>
  <c r="BK311" i="9"/>
  <c r="BI320" i="9"/>
  <c r="BK410" i="9" s="1"/>
  <c r="BK11" i="9"/>
  <c r="BO11" i="9" s="1"/>
  <c r="BM24" i="9"/>
  <c r="BN24" i="9" s="1"/>
  <c r="BL24" i="9"/>
  <c r="BJ24" i="9"/>
  <c r="BM39" i="9"/>
  <c r="BN39" i="9" s="1"/>
  <c r="BJ39" i="9"/>
  <c r="BL39" i="9"/>
  <c r="BK59" i="9"/>
  <c r="BK73" i="9"/>
  <c r="BK91" i="9"/>
  <c r="BK107" i="9"/>
  <c r="BK143" i="9"/>
  <c r="BK149" i="9"/>
  <c r="BK155" i="9"/>
  <c r="BK163" i="9"/>
  <c r="BK167" i="9"/>
  <c r="BK179" i="9"/>
  <c r="BK187" i="9"/>
  <c r="BK197" i="9"/>
  <c r="BK199" i="9"/>
  <c r="BM204" i="9"/>
  <c r="BN204" i="9" s="1"/>
  <c r="BL204" i="9"/>
  <c r="BJ204" i="9"/>
  <c r="BI336" i="9"/>
  <c r="BI433" i="9"/>
  <c r="BM220" i="9"/>
  <c r="BN220" i="9" s="1"/>
  <c r="BL220" i="9"/>
  <c r="BJ220" i="9"/>
  <c r="BM243" i="9"/>
  <c r="BN243" i="9" s="1"/>
  <c r="BJ243" i="9"/>
  <c r="BL243" i="9"/>
  <c r="BK275" i="9"/>
  <c r="BK308" i="9"/>
  <c r="BM315" i="9"/>
  <c r="BN315" i="9" s="1"/>
  <c r="BJ315" i="9"/>
  <c r="BL315" i="9"/>
  <c r="BV316" i="9"/>
  <c r="BV314" i="9"/>
  <c r="BV312" i="9"/>
  <c r="BV310" i="9"/>
  <c r="BV308" i="9"/>
  <c r="BV306" i="9"/>
  <c r="BV304" i="9"/>
  <c r="BV315" i="9"/>
  <c r="BV311" i="9"/>
  <c r="BV307" i="9"/>
  <c r="BV302" i="9"/>
  <c r="BV298" i="9"/>
  <c r="BV294" i="9"/>
  <c r="BV290" i="9"/>
  <c r="BV286" i="9"/>
  <c r="BV282" i="9"/>
  <c r="BX295" i="9"/>
  <c r="BX293" i="9"/>
  <c r="BX289" i="9"/>
  <c r="BX287" i="9"/>
  <c r="BX285" i="9"/>
  <c r="BV274" i="9"/>
  <c r="BV270" i="9"/>
  <c r="BX268" i="9"/>
  <c r="BZ268" i="9" s="1"/>
  <c r="CA268" i="9" s="1"/>
  <c r="BV266" i="9"/>
  <c r="BV262" i="9"/>
  <c r="BX260" i="9"/>
  <c r="BZ260" i="9" s="1"/>
  <c r="CA260" i="9" s="1"/>
  <c r="BV258" i="9"/>
  <c r="BX256" i="9"/>
  <c r="BZ256" i="9" s="1"/>
  <c r="CA256" i="9" s="1"/>
  <c r="BV254" i="9"/>
  <c r="BV250" i="9"/>
  <c r="BV246" i="9"/>
  <c r="BX273" i="9"/>
  <c r="BX267" i="9"/>
  <c r="BV319" i="9"/>
  <c r="BV317" i="9"/>
  <c r="BX306" i="9"/>
  <c r="BV300" i="9"/>
  <c r="BX298" i="9"/>
  <c r="BV296" i="9"/>
  <c r="BV292" i="9"/>
  <c r="BV288" i="9"/>
  <c r="BV284" i="9"/>
  <c r="BV280" i="9"/>
  <c r="BV318" i="9"/>
  <c r="BV313" i="9"/>
  <c r="BV309" i="9"/>
  <c r="BV305" i="9"/>
  <c r="BV303" i="9"/>
  <c r="BV301" i="9"/>
  <c r="BV299" i="9"/>
  <c r="BV297" i="9"/>
  <c r="BV295" i="9"/>
  <c r="BV293" i="9"/>
  <c r="BV291" i="9"/>
  <c r="BV289" i="9"/>
  <c r="BV287" i="9"/>
  <c r="BV285" i="9"/>
  <c r="BV283" i="9"/>
  <c r="BV281" i="9"/>
  <c r="BV279" i="9"/>
  <c r="BV277" i="9"/>
  <c r="BV276" i="9"/>
  <c r="BV272" i="9"/>
  <c r="BV268" i="9"/>
  <c r="BV264" i="9"/>
  <c r="BX262" i="9"/>
  <c r="BV260" i="9"/>
  <c r="BV256" i="9"/>
  <c r="BV252" i="9"/>
  <c r="BV248" i="9"/>
  <c r="BV244" i="9"/>
  <c r="BV278" i="9"/>
  <c r="BV275" i="9"/>
  <c r="BV273" i="9"/>
  <c r="BV271" i="9"/>
  <c r="BV269" i="9"/>
  <c r="BV267" i="9"/>
  <c r="BV265" i="9"/>
  <c r="BV263" i="9"/>
  <c r="BV261" i="9"/>
  <c r="BV259" i="9"/>
  <c r="BV257" i="9"/>
  <c r="BV255" i="9"/>
  <c r="BV253" i="9"/>
  <c r="BV251" i="9"/>
  <c r="BV249" i="9"/>
  <c r="BV247" i="9"/>
  <c r="BV245" i="9"/>
  <c r="BV243" i="9"/>
  <c r="BV239" i="9"/>
  <c r="BV235" i="9"/>
  <c r="BX249" i="9"/>
  <c r="BV237" i="9"/>
  <c r="BV231" i="9"/>
  <c r="BV227" i="9"/>
  <c r="BV223" i="9"/>
  <c r="BV219" i="9"/>
  <c r="BV215" i="9"/>
  <c r="BV242" i="9"/>
  <c r="BV240" i="9"/>
  <c r="BV238" i="9"/>
  <c r="BV236" i="9"/>
  <c r="BV234" i="9"/>
  <c r="BV232" i="9"/>
  <c r="BV230" i="9"/>
  <c r="BV228" i="9"/>
  <c r="BV226" i="9"/>
  <c r="BV224" i="9"/>
  <c r="BV222" i="9"/>
  <c r="BV220" i="9"/>
  <c r="BV218" i="9"/>
  <c r="BV216" i="9"/>
  <c r="BV214" i="9"/>
  <c r="BV212" i="9"/>
  <c r="BV210" i="9"/>
  <c r="BV208" i="9"/>
  <c r="BV206" i="9"/>
  <c r="BV204" i="9"/>
  <c r="BV202" i="9"/>
  <c r="BV200" i="9"/>
  <c r="BV198" i="9"/>
  <c r="BV196" i="9"/>
  <c r="BV194" i="9"/>
  <c r="BV192" i="9"/>
  <c r="BV190" i="9"/>
  <c r="BV188" i="9"/>
  <c r="BV186" i="9"/>
  <c r="BV184" i="9"/>
  <c r="BV182" i="9"/>
  <c r="BV180" i="9"/>
  <c r="BV178" i="9"/>
  <c r="BV176" i="9"/>
  <c r="BV174" i="9"/>
  <c r="BV209" i="9"/>
  <c r="BV205" i="9"/>
  <c r="BV201" i="9"/>
  <c r="BV197" i="9"/>
  <c r="BV193" i="9"/>
  <c r="BV189" i="9"/>
  <c r="BV185" i="9"/>
  <c r="BV181" i="9"/>
  <c r="BV177" i="9"/>
  <c r="BV173" i="9"/>
  <c r="BV169" i="9"/>
  <c r="BV165" i="9"/>
  <c r="BV161" i="9"/>
  <c r="BV157" i="9"/>
  <c r="BV153" i="9"/>
  <c r="BV149" i="9"/>
  <c r="BV145" i="9"/>
  <c r="BV141" i="9"/>
  <c r="BV137" i="9"/>
  <c r="BV133" i="9"/>
  <c r="BV129" i="9"/>
  <c r="BV125" i="9"/>
  <c r="BX205" i="9"/>
  <c r="BZ205" i="9" s="1"/>
  <c r="CA205" i="9" s="1"/>
  <c r="BX136" i="9"/>
  <c r="BX132" i="9"/>
  <c r="BV120" i="9"/>
  <c r="BV116" i="9"/>
  <c r="BV112" i="9"/>
  <c r="BV108" i="9"/>
  <c r="BV104" i="9"/>
  <c r="BV100" i="9"/>
  <c r="BV96" i="9"/>
  <c r="BV92" i="9"/>
  <c r="BV88" i="9"/>
  <c r="BV84" i="9"/>
  <c r="BV80" i="9"/>
  <c r="BV76" i="9"/>
  <c r="BV72" i="9"/>
  <c r="BV68" i="9"/>
  <c r="BV64" i="9"/>
  <c r="BX62" i="9"/>
  <c r="BZ62" i="9" s="1"/>
  <c r="CA62" i="9" s="1"/>
  <c r="BV60" i="9"/>
  <c r="BV56" i="9"/>
  <c r="BV52" i="9"/>
  <c r="BV48" i="9"/>
  <c r="BV44" i="9"/>
  <c r="BV40" i="9"/>
  <c r="BV36" i="9"/>
  <c r="BV32" i="9"/>
  <c r="BV28" i="9"/>
  <c r="BV24" i="9"/>
  <c r="BV20" i="9"/>
  <c r="BX209" i="9"/>
  <c r="BV207" i="9"/>
  <c r="BX201" i="9"/>
  <c r="BV199" i="9"/>
  <c r="BV191" i="9"/>
  <c r="BV183" i="9"/>
  <c r="BV175" i="9"/>
  <c r="BV172" i="9"/>
  <c r="BV164" i="9"/>
  <c r="BV156" i="9"/>
  <c r="BV148" i="9"/>
  <c r="BV140" i="9"/>
  <c r="BZ136" i="9"/>
  <c r="CA136" i="9" s="1"/>
  <c r="BV132" i="9"/>
  <c r="BX126" i="9"/>
  <c r="CD126" i="9" s="1"/>
  <c r="BV124" i="9"/>
  <c r="BV123" i="9"/>
  <c r="BV121" i="9"/>
  <c r="BV119" i="9"/>
  <c r="BV117" i="9"/>
  <c r="BV115" i="9"/>
  <c r="BV113" i="9"/>
  <c r="BV111" i="9"/>
  <c r="BV109" i="9"/>
  <c r="BV107" i="9"/>
  <c r="BV105" i="9"/>
  <c r="BV103" i="9"/>
  <c r="BV101" i="9"/>
  <c r="BV99" i="9"/>
  <c r="BV97" i="9"/>
  <c r="BV95" i="9"/>
  <c r="BX45" i="9"/>
  <c r="BX39" i="9"/>
  <c r="CD39" i="9" s="1"/>
  <c r="CD4" i="9"/>
  <c r="BV14" i="9"/>
  <c r="BV18" i="9"/>
  <c r="BX4" i="9"/>
  <c r="BV6" i="9"/>
  <c r="BV10" i="9"/>
  <c r="BX16" i="9"/>
  <c r="BV19" i="9"/>
  <c r="BV27" i="9"/>
  <c r="BV31" i="9"/>
  <c r="BV35" i="9"/>
  <c r="CA4" i="9"/>
  <c r="CM4" i="9"/>
  <c r="BV21" i="9"/>
  <c r="BV241" i="9"/>
  <c r="BX235" i="9"/>
  <c r="CD235" i="9" s="1"/>
  <c r="BV233" i="9"/>
  <c r="BV229" i="9"/>
  <c r="BV225" i="9"/>
  <c r="BX223" i="9"/>
  <c r="BZ223" i="9" s="1"/>
  <c r="CA223" i="9" s="1"/>
  <c r="BV221" i="9"/>
  <c r="BX219" i="9"/>
  <c r="BZ219" i="9" s="1"/>
  <c r="CA219" i="9" s="1"/>
  <c r="BV217" i="9"/>
  <c r="BX215" i="9"/>
  <c r="BZ215" i="9" s="1"/>
  <c r="CA215" i="9" s="1"/>
  <c r="BV213" i="9"/>
  <c r="BX220" i="9"/>
  <c r="BX204" i="9"/>
  <c r="BX211" i="9"/>
  <c r="BZ211" i="9" s="1"/>
  <c r="CA211" i="9" s="1"/>
  <c r="BV171" i="9"/>
  <c r="BV167" i="9"/>
  <c r="BV163" i="9"/>
  <c r="BV159" i="9"/>
  <c r="BV155" i="9"/>
  <c r="BV151" i="9"/>
  <c r="BV147" i="9"/>
  <c r="BV143" i="9"/>
  <c r="BV139" i="9"/>
  <c r="BV135" i="9"/>
  <c r="BV131" i="9"/>
  <c r="BV127" i="9"/>
  <c r="BV211" i="9"/>
  <c r="BV203" i="9"/>
  <c r="BV195" i="9"/>
  <c r="BV187" i="9"/>
  <c r="BV179" i="9"/>
  <c r="BV170" i="9"/>
  <c r="BV166" i="9"/>
  <c r="BV162" i="9"/>
  <c r="BV158" i="9"/>
  <c r="BV154" i="9"/>
  <c r="BV150" i="9"/>
  <c r="BV146" i="9"/>
  <c r="BV142" i="9"/>
  <c r="BV138" i="9"/>
  <c r="BV134" i="9"/>
  <c r="BV130" i="9"/>
  <c r="BV126" i="9"/>
  <c r="BV122" i="9"/>
  <c r="BV118" i="9"/>
  <c r="BV114" i="9"/>
  <c r="BV110" i="9"/>
  <c r="BV106" i="9"/>
  <c r="BV102" i="9"/>
  <c r="BV98" i="9"/>
  <c r="BV94" i="9"/>
  <c r="BV90" i="9"/>
  <c r="BX88" i="9"/>
  <c r="BZ88" i="9" s="1"/>
  <c r="CA88" i="9" s="1"/>
  <c r="BV86" i="9"/>
  <c r="BV82" i="9"/>
  <c r="BV78" i="9"/>
  <c r="BV74" i="9"/>
  <c r="BX72" i="9"/>
  <c r="BZ72" i="9" s="1"/>
  <c r="CA72" i="9" s="1"/>
  <c r="BV70" i="9"/>
  <c r="BV66" i="9"/>
  <c r="BV62" i="9"/>
  <c r="BV58" i="9"/>
  <c r="BV54" i="9"/>
  <c r="BV50" i="9"/>
  <c r="BX48" i="9"/>
  <c r="BZ48" i="9" s="1"/>
  <c r="CA48" i="9" s="1"/>
  <c r="BV46" i="9"/>
  <c r="BV42" i="9"/>
  <c r="BV38" i="9"/>
  <c r="BV34" i="9"/>
  <c r="BV30" i="9"/>
  <c r="BV26" i="9"/>
  <c r="BX24" i="9"/>
  <c r="BZ24" i="9" s="1"/>
  <c r="CA24" i="9" s="1"/>
  <c r="BV22" i="9"/>
  <c r="BV168" i="9"/>
  <c r="BV160" i="9"/>
  <c r="BV152" i="9"/>
  <c r="BV144" i="9"/>
  <c r="BV136" i="9"/>
  <c r="BZ132" i="9"/>
  <c r="CA132" i="9" s="1"/>
  <c r="BV128" i="9"/>
  <c r="BX119" i="9"/>
  <c r="CD119" i="9" s="1"/>
  <c r="BV93" i="9"/>
  <c r="BV91" i="9"/>
  <c r="BV89" i="9"/>
  <c r="BV87" i="9"/>
  <c r="BV85" i="9"/>
  <c r="BV83" i="9"/>
  <c r="BV81" i="9"/>
  <c r="BV79" i="9"/>
  <c r="BV77" i="9"/>
  <c r="BV75" i="9"/>
  <c r="BV73" i="9"/>
  <c r="BV71" i="9"/>
  <c r="BV69" i="9"/>
  <c r="BV67" i="9"/>
  <c r="BV65" i="9"/>
  <c r="BV63" i="9"/>
  <c r="BV61" i="9"/>
  <c r="BV59" i="9"/>
  <c r="BV57" i="9"/>
  <c r="BV55" i="9"/>
  <c r="BV53" i="9"/>
  <c r="BV51" i="9"/>
  <c r="BV49" i="9"/>
  <c r="BV47" i="9"/>
  <c r="BV45" i="9"/>
  <c r="BV43" i="9"/>
  <c r="BV41" i="9"/>
  <c r="BV39" i="9"/>
  <c r="BV8" i="9"/>
  <c r="BV12" i="9"/>
  <c r="BV16" i="9"/>
  <c r="BV23" i="9"/>
  <c r="BV4" i="9"/>
  <c r="BW4" i="9" s="1"/>
  <c r="CB4" i="9"/>
  <c r="CC4" i="9"/>
  <c r="BV5" i="9"/>
  <c r="BV7" i="9"/>
  <c r="BV9" i="9"/>
  <c r="BV11" i="9"/>
  <c r="BV13" i="9"/>
  <c r="BV15" i="9"/>
  <c r="BV17" i="9"/>
  <c r="BV25" i="9"/>
  <c r="BV29" i="9"/>
  <c r="BV33" i="9"/>
  <c r="BV37" i="9"/>
  <c r="CD24" i="9"/>
  <c r="CD62" i="9"/>
  <c r="CD88" i="9"/>
  <c r="CD201" i="9"/>
  <c r="CD223" i="9"/>
  <c r="CD298" i="9"/>
  <c r="CD45" i="9"/>
  <c r="BZ201" i="9"/>
  <c r="CA201" i="9" s="1"/>
  <c r="BZ209" i="9"/>
  <c r="CA209" i="9" s="1"/>
  <c r="CD249" i="9"/>
  <c r="CD267" i="9"/>
  <c r="CD273" i="9"/>
  <c r="CD256" i="9"/>
  <c r="CD260" i="9"/>
  <c r="CD262" i="9"/>
  <c r="CD268" i="9"/>
  <c r="BZ16" i="9"/>
  <c r="CA16" i="9" s="1"/>
  <c r="CD204" i="9"/>
  <c r="CD220" i="9"/>
  <c r="CD285" i="9"/>
  <c r="CD287" i="9"/>
  <c r="CD289" i="9"/>
  <c r="CD293" i="9"/>
  <c r="CD295" i="9"/>
  <c r="CD306" i="9"/>
  <c r="AN54" i="9"/>
  <c r="AX54" i="9"/>
  <c r="AQ378" i="9"/>
  <c r="AL353" i="9"/>
  <c r="AN113" i="9"/>
  <c r="AX113" i="9"/>
  <c r="AN225" i="9"/>
  <c r="AX225" i="9"/>
  <c r="AN154" i="9"/>
  <c r="AX154" i="9"/>
  <c r="AN105" i="9"/>
  <c r="AX105" i="9"/>
  <c r="AN241" i="9"/>
  <c r="AX241" i="9"/>
  <c r="AN164" i="9"/>
  <c r="AX164" i="9"/>
  <c r="AN252" i="9"/>
  <c r="AX252" i="9"/>
  <c r="AN146" i="9"/>
  <c r="AX146" i="9"/>
  <c r="BO289" i="9"/>
  <c r="CB289" i="9" s="1"/>
  <c r="BB111" i="9"/>
  <c r="BB193" i="9"/>
  <c r="BB185" i="9"/>
  <c r="AN208" i="9"/>
  <c r="AX208" i="9"/>
  <c r="AN12" i="9"/>
  <c r="AX12" i="9"/>
  <c r="AN20" i="9"/>
  <c r="AX20" i="9"/>
  <c r="AN224" i="9"/>
  <c r="AX224" i="9"/>
  <c r="AN240" i="9"/>
  <c r="AX240" i="9"/>
  <c r="AN319" i="9"/>
  <c r="AX319" i="9"/>
  <c r="AN130" i="9"/>
  <c r="AX130" i="9"/>
  <c r="BB130" i="9" s="1"/>
  <c r="AN150" i="9"/>
  <c r="AX150" i="9"/>
  <c r="AN166" i="9"/>
  <c r="AX166" i="9"/>
  <c r="BB55" i="9"/>
  <c r="AN317" i="9"/>
  <c r="AX317" i="9"/>
  <c r="AN90" i="9"/>
  <c r="AX90" i="9"/>
  <c r="AN99" i="9"/>
  <c r="AX99" i="9"/>
  <c r="BB99" i="9" s="1"/>
  <c r="AN310" i="9"/>
  <c r="AX310" i="9"/>
  <c r="AN276" i="9"/>
  <c r="AX276" i="9"/>
  <c r="AN145" i="9"/>
  <c r="AX145" i="9"/>
  <c r="AN203" i="9"/>
  <c r="AX203" i="9"/>
  <c r="AN227" i="9"/>
  <c r="AX227" i="9"/>
  <c r="AN245" i="9"/>
  <c r="AX245" i="9"/>
  <c r="AN291" i="9"/>
  <c r="AX291" i="9"/>
  <c r="BO204" i="9"/>
  <c r="CB204" i="9" s="1"/>
  <c r="BO24" i="9"/>
  <c r="CB24" i="9" s="1"/>
  <c r="BB10" i="9"/>
  <c r="BO62" i="9"/>
  <c r="CB62" i="9" s="1"/>
  <c r="BB272" i="9"/>
  <c r="AN106" i="9"/>
  <c r="AX106" i="9"/>
  <c r="AN52" i="9"/>
  <c r="AX52" i="9"/>
  <c r="AN36" i="9"/>
  <c r="AX36" i="9"/>
  <c r="AN263" i="9"/>
  <c r="AX263" i="9"/>
  <c r="AN49" i="9"/>
  <c r="AX49" i="9"/>
  <c r="BB49" i="9" s="1"/>
  <c r="AN34" i="9"/>
  <c r="AX34" i="9"/>
  <c r="AN18" i="9"/>
  <c r="AX18" i="9"/>
  <c r="AN78" i="9"/>
  <c r="AX78" i="9"/>
  <c r="AN67" i="9"/>
  <c r="AX67" i="9"/>
  <c r="AN22" i="9"/>
  <c r="AX22" i="9"/>
  <c r="AN115" i="9"/>
  <c r="AX115" i="9"/>
  <c r="AN228" i="9"/>
  <c r="AX228" i="9"/>
  <c r="AN234" i="9"/>
  <c r="AX234" i="9"/>
  <c r="AN244" i="9"/>
  <c r="AX244" i="9"/>
  <c r="AN296" i="9"/>
  <c r="AX296" i="9"/>
  <c r="BB296" i="9" s="1"/>
  <c r="AN191" i="9"/>
  <c r="AX191" i="9"/>
  <c r="AQ382" i="9"/>
  <c r="AN192" i="9"/>
  <c r="AX192" i="9"/>
  <c r="AN128" i="9"/>
  <c r="AX128" i="9"/>
  <c r="AN156" i="9"/>
  <c r="AX156" i="9"/>
  <c r="BB156" i="9" s="1"/>
  <c r="AN196" i="9"/>
  <c r="AX196" i="9"/>
  <c r="BO285" i="9"/>
  <c r="CB285" i="9" s="1"/>
  <c r="BO268" i="9"/>
  <c r="CB268" i="9" s="1"/>
  <c r="AN212" i="9"/>
  <c r="AX212" i="9"/>
  <c r="BB212" i="9" s="1"/>
  <c r="AN214" i="9"/>
  <c r="AX214" i="9"/>
  <c r="AN144" i="9"/>
  <c r="AX144" i="9"/>
  <c r="AN152" i="9"/>
  <c r="AX152" i="9"/>
  <c r="AL369" i="9"/>
  <c r="BB105" i="9"/>
  <c r="BB244" i="9"/>
  <c r="BB129" i="9"/>
  <c r="CB215" i="9"/>
  <c r="CB249" i="9"/>
  <c r="BO112" i="9"/>
  <c r="AP16" i="9"/>
  <c r="AG16" i="9"/>
  <c r="AH16" i="9" s="1"/>
  <c r="AF16" i="9"/>
  <c r="AP32" i="9"/>
  <c r="AG32" i="9"/>
  <c r="AH32" i="9" s="1"/>
  <c r="AF32" i="9"/>
  <c r="AP48" i="9"/>
  <c r="AG48" i="9"/>
  <c r="AH48" i="9" s="1"/>
  <c r="AF48" i="9"/>
  <c r="AP64" i="9"/>
  <c r="AG64" i="9"/>
  <c r="AH64" i="9" s="1"/>
  <c r="AF64" i="9"/>
  <c r="AP80" i="9"/>
  <c r="AG80" i="9"/>
  <c r="AH80" i="9" s="1"/>
  <c r="AF80" i="9"/>
  <c r="AP96" i="9"/>
  <c r="AG96" i="9"/>
  <c r="AH96" i="9" s="1"/>
  <c r="AF96" i="9"/>
  <c r="AP112" i="9"/>
  <c r="AG112" i="9"/>
  <c r="AH112" i="9" s="1"/>
  <c r="AF112" i="9"/>
  <c r="AP128" i="9"/>
  <c r="AG128" i="9"/>
  <c r="AH128" i="9" s="1"/>
  <c r="AF128" i="9"/>
  <c r="AP144" i="9"/>
  <c r="AG144" i="9"/>
  <c r="AH144" i="9" s="1"/>
  <c r="AF144" i="9"/>
  <c r="AP6" i="9"/>
  <c r="AG6" i="9"/>
  <c r="AH6" i="9" s="1"/>
  <c r="AF6" i="9"/>
  <c r="AP22" i="9"/>
  <c r="AG22" i="9"/>
  <c r="AH22" i="9" s="1"/>
  <c r="AF22" i="9"/>
  <c r="AP38" i="9"/>
  <c r="AG38" i="9"/>
  <c r="AH38" i="9" s="1"/>
  <c r="AF38" i="9"/>
  <c r="AP58" i="9"/>
  <c r="AG58" i="9"/>
  <c r="AH58" i="9" s="1"/>
  <c r="AF58" i="9"/>
  <c r="AP90" i="9"/>
  <c r="AG90" i="9"/>
  <c r="AH90" i="9" s="1"/>
  <c r="AF90" i="9"/>
  <c r="AP122" i="9"/>
  <c r="AG122" i="9"/>
  <c r="AH122" i="9" s="1"/>
  <c r="AF122" i="9"/>
  <c r="AP154" i="9"/>
  <c r="AG154" i="9"/>
  <c r="AH154" i="9" s="1"/>
  <c r="AF154" i="9"/>
  <c r="AP188" i="9"/>
  <c r="AG188" i="9"/>
  <c r="AH188" i="9" s="1"/>
  <c r="AF188" i="9"/>
  <c r="AE320" i="9"/>
  <c r="AF5" i="9"/>
  <c r="AG5" i="9"/>
  <c r="AP5" i="9"/>
  <c r="AF21" i="9"/>
  <c r="AG21" i="9"/>
  <c r="AH21" i="9" s="1"/>
  <c r="AP21" i="9"/>
  <c r="AF37" i="9"/>
  <c r="AG37" i="9"/>
  <c r="AH37" i="9" s="1"/>
  <c r="AP37" i="9"/>
  <c r="AF53" i="9"/>
  <c r="AG53" i="9"/>
  <c r="AH53" i="9" s="1"/>
  <c r="AP53" i="9"/>
  <c r="AF69" i="9"/>
  <c r="AG69" i="9"/>
  <c r="AH69" i="9" s="1"/>
  <c r="AP69" i="9"/>
  <c r="AF85" i="9"/>
  <c r="AG85" i="9"/>
  <c r="AH85" i="9" s="1"/>
  <c r="AP85" i="9"/>
  <c r="AF101" i="9"/>
  <c r="AP101" i="9"/>
  <c r="AG101" i="9"/>
  <c r="AH101" i="9" s="1"/>
  <c r="AF117" i="9"/>
  <c r="AG117" i="9"/>
  <c r="AH117" i="9" s="1"/>
  <c r="AP117" i="9"/>
  <c r="AF133" i="9"/>
  <c r="AG133" i="9"/>
  <c r="AH133" i="9" s="1"/>
  <c r="AP133" i="9"/>
  <c r="AF149" i="9"/>
  <c r="AG149" i="9"/>
  <c r="AH149" i="9" s="1"/>
  <c r="AP149" i="9"/>
  <c r="AF174" i="9"/>
  <c r="AP174" i="9"/>
  <c r="AG174" i="9"/>
  <c r="AH174" i="9" s="1"/>
  <c r="AF222" i="9"/>
  <c r="AG222" i="9"/>
  <c r="AH222" i="9" s="1"/>
  <c r="AP222" i="9"/>
  <c r="AF266" i="9"/>
  <c r="AP266" i="9"/>
  <c r="AG266" i="9"/>
  <c r="AH266" i="9" s="1"/>
  <c r="AP159" i="9"/>
  <c r="AG159" i="9"/>
  <c r="AH159" i="9" s="1"/>
  <c r="AF159" i="9"/>
  <c r="AP175" i="9"/>
  <c r="AF175" i="9"/>
  <c r="AG175" i="9"/>
  <c r="AH175" i="9" s="1"/>
  <c r="AP191" i="9"/>
  <c r="AG191" i="9"/>
  <c r="AH191" i="9" s="1"/>
  <c r="AF191" i="9"/>
  <c r="AF220" i="9"/>
  <c r="AP220" i="9"/>
  <c r="AG220" i="9"/>
  <c r="AH220" i="9" s="1"/>
  <c r="AF252" i="9"/>
  <c r="AG252" i="9"/>
  <c r="AH252" i="9" s="1"/>
  <c r="AP252" i="9"/>
  <c r="AF295" i="9"/>
  <c r="AP295" i="9"/>
  <c r="AG295" i="9"/>
  <c r="AH295" i="9" s="1"/>
  <c r="AF203" i="9"/>
  <c r="AG203" i="9"/>
  <c r="AH203" i="9" s="1"/>
  <c r="AP203" i="9"/>
  <c r="AF219" i="9"/>
  <c r="AG219" i="9"/>
  <c r="AH219" i="9" s="1"/>
  <c r="AP219" i="9"/>
  <c r="AF235" i="9"/>
  <c r="AG235" i="9"/>
  <c r="AH235" i="9" s="1"/>
  <c r="AP235" i="9"/>
  <c r="AF251" i="9"/>
  <c r="AG251" i="9"/>
  <c r="AH251" i="9" s="1"/>
  <c r="AP251" i="9"/>
  <c r="AF267" i="9"/>
  <c r="AG267" i="9"/>
  <c r="AH267" i="9" s="1"/>
  <c r="AP267" i="9"/>
  <c r="AF297" i="9"/>
  <c r="AG297" i="9"/>
  <c r="AH297" i="9" s="1"/>
  <c r="AP297" i="9"/>
  <c r="AF276" i="9"/>
  <c r="AG276" i="9"/>
  <c r="AH276" i="9" s="1"/>
  <c r="AP276" i="9"/>
  <c r="AF292" i="9"/>
  <c r="AG292" i="9"/>
  <c r="AH292" i="9" s="1"/>
  <c r="AP292" i="9"/>
  <c r="AF308" i="9"/>
  <c r="AG308" i="9"/>
  <c r="AH308" i="9" s="1"/>
  <c r="AP308" i="9"/>
  <c r="AF12" i="9"/>
  <c r="AG12" i="9"/>
  <c r="AH12" i="9" s="1"/>
  <c r="AP12" i="9"/>
  <c r="AF28" i="9"/>
  <c r="AP28" i="9"/>
  <c r="AG28" i="9"/>
  <c r="AH28" i="9" s="1"/>
  <c r="AF44" i="9"/>
  <c r="AG44" i="9"/>
  <c r="AH44" i="9" s="1"/>
  <c r="AP44" i="9"/>
  <c r="AF60" i="9"/>
  <c r="AP60" i="9"/>
  <c r="AG60" i="9"/>
  <c r="AH60" i="9" s="1"/>
  <c r="AF76" i="9"/>
  <c r="AG76" i="9"/>
  <c r="AH76" i="9" s="1"/>
  <c r="AP76" i="9"/>
  <c r="AF92" i="9"/>
  <c r="AP92" i="9"/>
  <c r="AG92" i="9"/>
  <c r="AH92" i="9" s="1"/>
  <c r="AF108" i="9"/>
  <c r="AP108" i="9"/>
  <c r="AG108" i="9"/>
  <c r="AH108" i="9" s="1"/>
  <c r="AF124" i="9"/>
  <c r="AP124" i="9"/>
  <c r="AG124" i="9"/>
  <c r="AH124" i="9" s="1"/>
  <c r="AF140" i="9"/>
  <c r="AG140" i="9"/>
  <c r="AH140" i="9" s="1"/>
  <c r="AP140" i="9"/>
  <c r="AF156" i="9"/>
  <c r="AP156" i="9"/>
  <c r="AG156" i="9"/>
  <c r="AH156" i="9" s="1"/>
  <c r="AF18" i="9"/>
  <c r="AP18" i="9"/>
  <c r="AG18" i="9"/>
  <c r="AH18" i="9" s="1"/>
  <c r="AF34" i="9"/>
  <c r="AP34" i="9"/>
  <c r="AG34" i="9"/>
  <c r="AH34" i="9" s="1"/>
  <c r="AF50" i="9"/>
  <c r="AP50" i="9"/>
  <c r="AG50" i="9"/>
  <c r="AH50" i="9" s="1"/>
  <c r="AF82" i="9"/>
  <c r="AP82" i="9"/>
  <c r="AG82" i="9"/>
  <c r="AH82" i="9" s="1"/>
  <c r="AF114" i="9"/>
  <c r="AP114" i="9"/>
  <c r="AG114" i="9"/>
  <c r="AH114" i="9" s="1"/>
  <c r="AF146" i="9"/>
  <c r="AP146" i="9"/>
  <c r="AG146" i="9"/>
  <c r="AH146" i="9" s="1"/>
  <c r="AF180" i="9"/>
  <c r="AP180" i="9"/>
  <c r="AG180" i="9"/>
  <c r="AH180" i="9" s="1"/>
  <c r="AF234" i="9"/>
  <c r="AP234" i="9"/>
  <c r="AG234" i="9"/>
  <c r="AH234" i="9" s="1"/>
  <c r="AG17" i="9"/>
  <c r="AH17" i="9" s="1"/>
  <c r="AP17" i="9"/>
  <c r="AF17" i="9"/>
  <c r="AG33" i="9"/>
  <c r="AH33" i="9" s="1"/>
  <c r="AP33" i="9"/>
  <c r="AF33" i="9"/>
  <c r="AG49" i="9"/>
  <c r="AH49" i="9" s="1"/>
  <c r="AP49" i="9"/>
  <c r="AF49" i="9"/>
  <c r="AG65" i="9"/>
  <c r="AH65" i="9" s="1"/>
  <c r="AP65" i="9"/>
  <c r="AF65" i="9"/>
  <c r="AG81" i="9"/>
  <c r="AH81" i="9" s="1"/>
  <c r="AP81" i="9"/>
  <c r="AF81" i="9"/>
  <c r="AG97" i="9"/>
  <c r="AH97" i="9" s="1"/>
  <c r="AP97" i="9"/>
  <c r="AF97" i="9"/>
  <c r="AG113" i="9"/>
  <c r="AH113" i="9" s="1"/>
  <c r="AP113" i="9"/>
  <c r="AF113" i="9"/>
  <c r="AG129" i="9"/>
  <c r="AH129" i="9" s="1"/>
  <c r="AP129" i="9"/>
  <c r="AF129" i="9"/>
  <c r="AG145" i="9"/>
  <c r="AH145" i="9" s="1"/>
  <c r="AP145" i="9"/>
  <c r="AF145" i="9"/>
  <c r="AP166" i="9"/>
  <c r="AG166" i="9"/>
  <c r="AH166" i="9" s="1"/>
  <c r="AF166" i="9"/>
  <c r="AP206" i="9"/>
  <c r="AG206" i="9"/>
  <c r="AH206" i="9" s="1"/>
  <c r="AF206" i="9"/>
  <c r="AP258" i="9"/>
  <c r="AG258" i="9"/>
  <c r="AH258" i="9" s="1"/>
  <c r="AF258" i="9"/>
  <c r="AP318" i="9"/>
  <c r="AG318" i="9"/>
  <c r="AH318" i="9" s="1"/>
  <c r="AF318" i="9"/>
  <c r="AG171" i="9"/>
  <c r="AH171" i="9" s="1"/>
  <c r="AF171" i="9"/>
  <c r="AP171" i="9"/>
  <c r="AG187" i="9"/>
  <c r="AH187" i="9" s="1"/>
  <c r="AF187" i="9"/>
  <c r="AP187" i="9"/>
  <c r="AP212" i="9"/>
  <c r="AG212" i="9"/>
  <c r="AH212" i="9" s="1"/>
  <c r="AF212" i="9"/>
  <c r="AP244" i="9"/>
  <c r="AG244" i="9"/>
  <c r="AH244" i="9" s="1"/>
  <c r="AF244" i="9"/>
  <c r="AP279" i="9"/>
  <c r="AG279" i="9"/>
  <c r="AH279" i="9" s="1"/>
  <c r="AF279" i="9"/>
  <c r="AG199" i="9"/>
  <c r="AH199" i="9" s="1"/>
  <c r="AP199" i="9"/>
  <c r="AF199" i="9"/>
  <c r="AG215" i="9"/>
  <c r="AH215" i="9" s="1"/>
  <c r="AP215" i="9"/>
  <c r="AF215" i="9"/>
  <c r="AG231" i="9"/>
  <c r="AH231" i="9" s="1"/>
  <c r="AP231" i="9"/>
  <c r="AF231" i="9"/>
  <c r="AG247" i="9"/>
  <c r="AH247" i="9" s="1"/>
  <c r="AP247" i="9"/>
  <c r="AF247" i="9"/>
  <c r="AG263" i="9"/>
  <c r="AH263" i="9" s="1"/>
  <c r="AP263" i="9"/>
  <c r="AF263" i="9"/>
  <c r="AP289" i="9"/>
  <c r="AG289" i="9"/>
  <c r="AH289" i="9" s="1"/>
  <c r="AF289" i="9"/>
  <c r="AG272" i="9"/>
  <c r="AH272" i="9" s="1"/>
  <c r="AP272" i="9"/>
  <c r="AF272" i="9"/>
  <c r="AG288" i="9"/>
  <c r="AH288" i="9" s="1"/>
  <c r="AP288" i="9"/>
  <c r="AF288" i="9"/>
  <c r="AG304" i="9"/>
  <c r="AH304" i="9" s="1"/>
  <c r="AP304" i="9"/>
  <c r="AF304" i="9"/>
  <c r="AG317" i="9"/>
  <c r="AH317" i="9" s="1"/>
  <c r="AF317" i="9"/>
  <c r="AP317" i="9"/>
  <c r="AF62" i="9"/>
  <c r="AP62" i="9"/>
  <c r="AG62" i="9"/>
  <c r="AH62" i="9" s="1"/>
  <c r="AF78" i="9"/>
  <c r="AP78" i="9"/>
  <c r="AG78" i="9"/>
  <c r="AH78" i="9" s="1"/>
  <c r="AF94" i="9"/>
  <c r="AP94" i="9"/>
  <c r="AG94" i="9"/>
  <c r="AH94" i="9" s="1"/>
  <c r="AF110" i="9"/>
  <c r="AP110" i="9"/>
  <c r="AG110" i="9"/>
  <c r="AH110" i="9" s="1"/>
  <c r="AF126" i="9"/>
  <c r="AP126" i="9"/>
  <c r="AG126" i="9"/>
  <c r="AH126" i="9" s="1"/>
  <c r="AF142" i="9"/>
  <c r="AP142" i="9"/>
  <c r="AG142" i="9"/>
  <c r="AH142" i="9" s="1"/>
  <c r="AF160" i="9"/>
  <c r="AP160" i="9"/>
  <c r="AG160" i="9"/>
  <c r="AH160" i="9" s="1"/>
  <c r="AF176" i="9"/>
  <c r="AP176" i="9"/>
  <c r="AG176" i="9"/>
  <c r="AH176" i="9" s="1"/>
  <c r="AF194" i="9"/>
  <c r="AP194" i="9"/>
  <c r="AG194" i="9"/>
  <c r="AH194" i="9" s="1"/>
  <c r="AF226" i="9"/>
  <c r="AP226" i="9"/>
  <c r="AG226" i="9"/>
  <c r="AH226" i="9" s="1"/>
  <c r="AP7" i="9"/>
  <c r="AG7" i="9"/>
  <c r="AH7" i="9" s="1"/>
  <c r="AF7" i="9"/>
  <c r="AP15" i="9"/>
  <c r="AG15" i="9"/>
  <c r="AH15" i="9" s="1"/>
  <c r="AF15" i="9"/>
  <c r="AP23" i="9"/>
  <c r="AG23" i="9"/>
  <c r="AH23" i="9" s="1"/>
  <c r="AF23" i="9"/>
  <c r="AP31" i="9"/>
  <c r="AF31" i="9"/>
  <c r="AG31" i="9"/>
  <c r="AH31" i="9" s="1"/>
  <c r="AP39" i="9"/>
  <c r="AF39" i="9"/>
  <c r="AG39" i="9"/>
  <c r="AH39" i="9" s="1"/>
  <c r="AP47" i="9"/>
  <c r="AF47" i="9"/>
  <c r="AG47" i="9"/>
  <c r="AH47" i="9" s="1"/>
  <c r="AP55" i="9"/>
  <c r="AF55" i="9"/>
  <c r="AG55" i="9"/>
  <c r="AH55" i="9" s="1"/>
  <c r="AP63" i="9"/>
  <c r="AF63" i="9"/>
  <c r="AG63" i="9"/>
  <c r="AH63" i="9" s="1"/>
  <c r="AP71" i="9"/>
  <c r="AF71" i="9"/>
  <c r="AG71" i="9"/>
  <c r="AH71" i="9" s="1"/>
  <c r="AP79" i="9"/>
  <c r="AF79" i="9"/>
  <c r="AG79" i="9"/>
  <c r="AH79" i="9" s="1"/>
  <c r="AP87" i="9"/>
  <c r="AF87" i="9"/>
  <c r="AG87" i="9"/>
  <c r="AH87" i="9" s="1"/>
  <c r="AP95" i="9"/>
  <c r="AG95" i="9"/>
  <c r="AH95" i="9" s="1"/>
  <c r="AF95" i="9"/>
  <c r="AP103" i="9"/>
  <c r="AG103" i="9"/>
  <c r="AH103" i="9" s="1"/>
  <c r="AF103" i="9"/>
  <c r="AP111" i="9"/>
  <c r="AG111" i="9"/>
  <c r="AH111" i="9" s="1"/>
  <c r="AF111" i="9"/>
  <c r="AP119" i="9"/>
  <c r="AG119" i="9"/>
  <c r="AH119" i="9" s="1"/>
  <c r="AF119" i="9"/>
  <c r="AP127" i="9"/>
  <c r="AG127" i="9"/>
  <c r="AH127" i="9" s="1"/>
  <c r="AF127" i="9"/>
  <c r="AP135" i="9"/>
  <c r="AG135" i="9"/>
  <c r="AH135" i="9" s="1"/>
  <c r="AF135" i="9"/>
  <c r="AP143" i="9"/>
  <c r="AF143" i="9"/>
  <c r="AG143" i="9"/>
  <c r="AH143" i="9" s="1"/>
  <c r="AP151" i="9"/>
  <c r="AF151" i="9"/>
  <c r="AG151" i="9"/>
  <c r="AH151" i="9" s="1"/>
  <c r="AF162" i="9"/>
  <c r="AG162" i="9"/>
  <c r="AH162" i="9" s="1"/>
  <c r="AP162" i="9"/>
  <c r="AF178" i="9"/>
  <c r="AP178" i="9"/>
  <c r="AG178" i="9"/>
  <c r="AH178" i="9" s="1"/>
  <c r="AF198" i="9"/>
  <c r="AP198" i="9"/>
  <c r="AG198" i="9"/>
  <c r="AH198" i="9" s="1"/>
  <c r="AF230" i="9"/>
  <c r="AP230" i="9"/>
  <c r="AG230" i="9"/>
  <c r="AH230" i="9" s="1"/>
  <c r="AF254" i="9"/>
  <c r="AP254" i="9"/>
  <c r="AG254" i="9"/>
  <c r="AH254" i="9" s="1"/>
  <c r="AF275" i="9"/>
  <c r="AP275" i="9"/>
  <c r="AG275" i="9"/>
  <c r="AH275" i="9" s="1"/>
  <c r="AF307" i="9"/>
  <c r="AP307" i="9"/>
  <c r="AG307" i="9"/>
  <c r="AH307" i="9" s="1"/>
  <c r="AF161" i="9"/>
  <c r="AG161" i="9"/>
  <c r="AH161" i="9" s="1"/>
  <c r="AP161" i="9"/>
  <c r="AF169" i="9"/>
  <c r="AG169" i="9"/>
  <c r="AH169" i="9" s="1"/>
  <c r="AP169" i="9"/>
  <c r="AF177" i="9"/>
  <c r="AG177" i="9"/>
  <c r="AH177" i="9" s="1"/>
  <c r="AP177" i="9"/>
  <c r="AF185" i="9"/>
  <c r="AG185" i="9"/>
  <c r="AH185" i="9" s="1"/>
  <c r="AP185" i="9"/>
  <c r="AF192" i="9"/>
  <c r="AP192" i="9"/>
  <c r="AG192" i="9"/>
  <c r="AH192" i="9" s="1"/>
  <c r="AF208" i="9"/>
  <c r="AP208" i="9"/>
  <c r="AG208" i="9"/>
  <c r="AH208" i="9" s="1"/>
  <c r="AF224" i="9"/>
  <c r="AP224" i="9"/>
  <c r="AG224" i="9"/>
  <c r="AH224" i="9" s="1"/>
  <c r="AF240" i="9"/>
  <c r="AP240" i="9"/>
  <c r="AG240" i="9"/>
  <c r="AH240" i="9" s="1"/>
  <c r="AF256" i="9"/>
  <c r="AP256" i="9"/>
  <c r="AG256" i="9"/>
  <c r="AH256" i="9" s="1"/>
  <c r="AF271" i="9"/>
  <c r="AG271" i="9"/>
  <c r="AH271" i="9" s="1"/>
  <c r="AP271" i="9"/>
  <c r="AF303" i="9"/>
  <c r="AP303" i="9"/>
  <c r="AG303" i="9"/>
  <c r="AH303" i="9" s="1"/>
  <c r="AP197" i="9"/>
  <c r="AF197" i="9"/>
  <c r="AG197" i="9"/>
  <c r="AH197" i="9" s="1"/>
  <c r="AP205" i="9"/>
  <c r="AG205" i="9"/>
  <c r="AH205" i="9" s="1"/>
  <c r="AF205" i="9"/>
  <c r="AP213" i="9"/>
  <c r="AF213" i="9"/>
  <c r="AG213" i="9"/>
  <c r="AH213" i="9" s="1"/>
  <c r="AP221" i="9"/>
  <c r="AG221" i="9"/>
  <c r="AH221" i="9" s="1"/>
  <c r="AF221" i="9"/>
  <c r="AP229" i="9"/>
  <c r="AF229" i="9"/>
  <c r="AG229" i="9"/>
  <c r="AH229" i="9" s="1"/>
  <c r="AP237" i="9"/>
  <c r="AG237" i="9"/>
  <c r="AH237" i="9" s="1"/>
  <c r="AF237" i="9"/>
  <c r="AP245" i="9"/>
  <c r="AF245" i="9"/>
  <c r="AG245" i="9"/>
  <c r="AH245" i="9" s="1"/>
  <c r="AP253" i="9"/>
  <c r="AG253" i="9"/>
  <c r="AH253" i="9" s="1"/>
  <c r="AF253" i="9"/>
  <c r="AP261" i="9"/>
  <c r="AF261" i="9"/>
  <c r="AG261" i="9"/>
  <c r="AH261" i="9" s="1"/>
  <c r="AP269" i="9"/>
  <c r="AG269" i="9"/>
  <c r="AH269" i="9" s="1"/>
  <c r="AF269" i="9"/>
  <c r="AF285" i="9"/>
  <c r="AG285" i="9"/>
  <c r="AH285" i="9" s="1"/>
  <c r="AP285" i="9"/>
  <c r="AF301" i="9"/>
  <c r="AP301" i="9"/>
  <c r="AG301" i="9"/>
  <c r="AH301" i="9" s="1"/>
  <c r="AP270" i="9"/>
  <c r="AF270" i="9"/>
  <c r="AG270" i="9"/>
  <c r="AH270" i="9" s="1"/>
  <c r="AP278" i="9"/>
  <c r="AG278" i="9"/>
  <c r="AH278" i="9" s="1"/>
  <c r="AF278" i="9"/>
  <c r="AP286" i="9"/>
  <c r="AF286" i="9"/>
  <c r="AG286" i="9"/>
  <c r="AH286" i="9" s="1"/>
  <c r="AP294" i="9"/>
  <c r="AG294" i="9"/>
  <c r="AH294" i="9" s="1"/>
  <c r="AF294" i="9"/>
  <c r="AP302" i="9"/>
  <c r="AF302" i="9"/>
  <c r="AG302" i="9"/>
  <c r="AH302" i="9" s="1"/>
  <c r="AF312" i="9"/>
  <c r="AP312" i="9"/>
  <c r="AG312" i="9"/>
  <c r="AH312" i="9" s="1"/>
  <c r="AF315" i="9"/>
  <c r="AP315" i="9"/>
  <c r="AG315" i="9"/>
  <c r="AH315" i="9" s="1"/>
  <c r="AJ393" i="9"/>
  <c r="AJ391" i="9"/>
  <c r="AJ392" i="9"/>
  <c r="AX365" i="9"/>
  <c r="AX390" i="9"/>
  <c r="AN80" i="9"/>
  <c r="AX80" i="9"/>
  <c r="BB80" i="9" s="1"/>
  <c r="AN97" i="9"/>
  <c r="AX97" i="9"/>
  <c r="AN43" i="9"/>
  <c r="AX43" i="9"/>
  <c r="AN56" i="9"/>
  <c r="AX56" i="9"/>
  <c r="AN28" i="9"/>
  <c r="AX28" i="9"/>
  <c r="AN207" i="9"/>
  <c r="AX207" i="9"/>
  <c r="AN239" i="9"/>
  <c r="AX239" i="9"/>
  <c r="AN309" i="9"/>
  <c r="AX309" i="9"/>
  <c r="AN165" i="9"/>
  <c r="AX165" i="9"/>
  <c r="BB161" i="9"/>
  <c r="AN231" i="9"/>
  <c r="AX231" i="9"/>
  <c r="AN247" i="9"/>
  <c r="AX247" i="9"/>
  <c r="AN282" i="9"/>
  <c r="AX282" i="9"/>
  <c r="BB294" i="9"/>
  <c r="AN222" i="9"/>
  <c r="AX222" i="9"/>
  <c r="AN68" i="9"/>
  <c r="AX68" i="9"/>
  <c r="AN84" i="9"/>
  <c r="AX84" i="9"/>
  <c r="AN92" i="9"/>
  <c r="AX92" i="9"/>
  <c r="AN100" i="9"/>
  <c r="AX100" i="9"/>
  <c r="AN255" i="9"/>
  <c r="AX255" i="9"/>
  <c r="BB145" i="9"/>
  <c r="AN15" i="9"/>
  <c r="AX15" i="9"/>
  <c r="BB15" i="9" s="1"/>
  <c r="AN299" i="9"/>
  <c r="AX299" i="9"/>
  <c r="BB299" i="9" s="1"/>
  <c r="AN314" i="9"/>
  <c r="AX314" i="9"/>
  <c r="AN316" i="9"/>
  <c r="AX316" i="9"/>
  <c r="AN53" i="9"/>
  <c r="AX53" i="9"/>
  <c r="BB5" i="9"/>
  <c r="AO320" i="9"/>
  <c r="AQ320" i="9"/>
  <c r="AK405" i="9"/>
  <c r="AK412" i="9"/>
  <c r="AK407" i="9"/>
  <c r="AN160" i="9"/>
  <c r="AX160" i="9"/>
  <c r="AN290" i="9"/>
  <c r="AX290" i="9"/>
  <c r="BB152" i="9"/>
  <c r="AN138" i="9"/>
  <c r="AX138" i="9"/>
  <c r="AN134" i="9"/>
  <c r="AX134" i="9"/>
  <c r="BB134" i="9" s="1"/>
  <c r="BB203" i="9"/>
  <c r="AN102" i="9"/>
  <c r="AX102" i="9"/>
  <c r="AN86" i="9"/>
  <c r="AX86" i="9"/>
  <c r="AN50" i="9"/>
  <c r="AX50" i="9"/>
  <c r="AN74" i="9"/>
  <c r="AX74" i="9"/>
  <c r="AN118" i="9"/>
  <c r="AX118" i="9"/>
  <c r="CB16" i="9"/>
  <c r="CB211" i="9"/>
  <c r="CB39" i="9"/>
  <c r="BB313" i="9"/>
  <c r="CB119" i="9"/>
  <c r="AN110" i="9"/>
  <c r="AX110" i="9"/>
  <c r="AN301" i="9"/>
  <c r="AX301" i="9"/>
  <c r="AN29" i="9"/>
  <c r="AX29" i="9"/>
  <c r="AN21" i="9"/>
  <c r="AX21" i="9"/>
  <c r="BB21" i="9" s="1"/>
  <c r="AN13" i="9"/>
  <c r="AX13" i="9"/>
  <c r="AN60" i="9"/>
  <c r="AX60" i="9"/>
  <c r="AN44" i="9"/>
  <c r="AX44" i="9"/>
  <c r="AN305" i="9"/>
  <c r="AX305" i="9"/>
  <c r="AN274" i="9"/>
  <c r="AX274" i="9"/>
  <c r="AN259" i="9"/>
  <c r="AX259" i="9"/>
  <c r="AN71" i="9"/>
  <c r="AX71" i="9"/>
  <c r="AN41" i="9"/>
  <c r="AX41" i="9"/>
  <c r="AN26" i="9"/>
  <c r="AX26" i="9"/>
  <c r="AN257" i="9"/>
  <c r="AX257" i="9"/>
  <c r="AN75" i="9"/>
  <c r="AX75" i="9"/>
  <c r="AN30" i="9"/>
  <c r="AX30" i="9"/>
  <c r="AN139" i="9"/>
  <c r="AX139" i="9"/>
  <c r="BB139" i="9" s="1"/>
  <c r="AN171" i="9"/>
  <c r="AX171" i="9"/>
  <c r="AN232" i="9"/>
  <c r="AX232" i="9"/>
  <c r="BB232" i="9" s="1"/>
  <c r="AN238" i="9"/>
  <c r="AX238" i="9"/>
  <c r="AN278" i="9"/>
  <c r="AX278" i="9"/>
  <c r="AN170" i="9"/>
  <c r="AX170" i="9"/>
  <c r="AN189" i="9"/>
  <c r="AX189" i="9"/>
  <c r="BB189" i="9" s="1"/>
  <c r="AN135" i="9"/>
  <c r="AX135" i="9"/>
  <c r="AN183" i="9"/>
  <c r="AX183" i="9"/>
  <c r="BB183" i="9" s="1"/>
  <c r="AN153" i="9"/>
  <c r="AX153" i="9"/>
  <c r="AN217" i="9"/>
  <c r="AX217" i="9"/>
  <c r="AN172" i="9"/>
  <c r="AX172" i="9"/>
  <c r="AN213" i="9"/>
  <c r="AX213" i="9"/>
  <c r="AN148" i="9"/>
  <c r="AX148" i="9"/>
  <c r="CB223" i="9"/>
  <c r="BB241" i="9"/>
  <c r="CB88" i="9"/>
  <c r="BL45" i="9"/>
  <c r="BJ45" i="9"/>
  <c r="BO306" i="9"/>
  <c r="CB306" i="9" s="1"/>
  <c r="BJ306" i="9"/>
  <c r="BL306" i="9"/>
  <c r="BO298" i="9"/>
  <c r="CB298" i="9" s="1"/>
  <c r="BJ298" i="9"/>
  <c r="BL298" i="9"/>
  <c r="BJ256" i="9"/>
  <c r="BL256" i="9"/>
  <c r="BO209" i="9"/>
  <c r="CB209" i="9" s="1"/>
  <c r="BJ209" i="9"/>
  <c r="BL209" i="9"/>
  <c r="BJ205" i="9"/>
  <c r="BL205" i="9"/>
  <c r="BO201" i="9"/>
  <c r="CB201" i="9" s="1"/>
  <c r="BJ201" i="9"/>
  <c r="BL201" i="9"/>
  <c r="BJ136" i="9"/>
  <c r="BL136" i="9"/>
  <c r="BJ132" i="9"/>
  <c r="BL132" i="9"/>
  <c r="BJ88" i="9"/>
  <c r="BL88" i="9"/>
  <c r="BJ72" i="9"/>
  <c r="BL72" i="9"/>
  <c r="BJ48" i="9"/>
  <c r="BL48" i="9"/>
  <c r="BM6" i="9"/>
  <c r="BN6" i="9" s="1"/>
  <c r="BL6" i="9"/>
  <c r="BJ6" i="9"/>
  <c r="BM8" i="9"/>
  <c r="BN8" i="9" s="1"/>
  <c r="BL8" i="9"/>
  <c r="BJ8" i="9"/>
  <c r="BI324" i="9"/>
  <c r="BI418" i="9"/>
  <c r="BM32" i="9"/>
  <c r="BN32" i="9" s="1"/>
  <c r="BL32" i="9"/>
  <c r="BJ32" i="9"/>
  <c r="BK61" i="9"/>
  <c r="BM70" i="9"/>
  <c r="BN70" i="9" s="1"/>
  <c r="BL70" i="9"/>
  <c r="BJ70" i="9"/>
  <c r="BK77" i="9"/>
  <c r="BK93" i="9"/>
  <c r="BK95" i="9"/>
  <c r="BM253" i="9"/>
  <c r="BN253" i="9" s="1"/>
  <c r="BJ253" i="9"/>
  <c r="BL253" i="9"/>
  <c r="BK258" i="9"/>
  <c r="BK266" i="9"/>
  <c r="BM269" i="9"/>
  <c r="BN269" i="9" s="1"/>
  <c r="BJ269" i="9"/>
  <c r="BL269" i="9"/>
  <c r="BK292" i="9"/>
  <c r="BM303" i="9"/>
  <c r="BN303" i="9" s="1"/>
  <c r="BJ303" i="9"/>
  <c r="BL303" i="9"/>
  <c r="BK27" i="9"/>
  <c r="BM38" i="9"/>
  <c r="BN38" i="9" s="1"/>
  <c r="BL38" i="9"/>
  <c r="BJ38" i="9"/>
  <c r="BM40" i="9"/>
  <c r="BN40" i="9" s="1"/>
  <c r="BL40" i="9"/>
  <c r="BJ40" i="9"/>
  <c r="BM58" i="9"/>
  <c r="BN58" i="9" s="1"/>
  <c r="BL58" i="9"/>
  <c r="BJ58" i="9"/>
  <c r="BK65" i="9"/>
  <c r="BK142" i="9"/>
  <c r="BM158" i="9"/>
  <c r="BN158" i="9" s="1"/>
  <c r="BL158" i="9"/>
  <c r="BJ158" i="9"/>
  <c r="BM168" i="9"/>
  <c r="BN168" i="9" s="1"/>
  <c r="BJ168" i="9"/>
  <c r="BL168" i="9"/>
  <c r="BM180" i="9"/>
  <c r="BN180" i="9" s="1"/>
  <c r="BJ180" i="9"/>
  <c r="BL180" i="9"/>
  <c r="BM186" i="9"/>
  <c r="BN186" i="9" s="1"/>
  <c r="BJ186" i="9"/>
  <c r="BL186" i="9"/>
  <c r="BM198" i="9"/>
  <c r="BN198" i="9" s="1"/>
  <c r="BJ198" i="9"/>
  <c r="BL198" i="9"/>
  <c r="BK216" i="9"/>
  <c r="BM237" i="9"/>
  <c r="BN237" i="9" s="1"/>
  <c r="BJ237" i="9"/>
  <c r="BL237" i="9"/>
  <c r="BK242" i="9"/>
  <c r="BK271" i="9"/>
  <c r="BM300" i="9"/>
  <c r="BN300" i="9" s="1"/>
  <c r="BJ300" i="9"/>
  <c r="BL300" i="9"/>
  <c r="BM307" i="9"/>
  <c r="BN307" i="9" s="1"/>
  <c r="BJ307" i="9"/>
  <c r="BL307" i="9"/>
  <c r="AN51" i="9"/>
  <c r="AX51" i="9"/>
  <c r="AN104" i="9"/>
  <c r="AX104" i="9"/>
  <c r="AN64" i="9"/>
  <c r="AX64" i="9"/>
  <c r="AN114" i="9"/>
  <c r="AX114" i="9"/>
  <c r="AN280" i="9"/>
  <c r="AX280" i="9"/>
  <c r="BB280" i="9" s="1"/>
  <c r="AN230" i="9"/>
  <c r="AX230" i="9"/>
  <c r="AN89" i="9"/>
  <c r="AX89" i="9"/>
  <c r="AN162" i="9"/>
  <c r="AX162" i="9"/>
  <c r="AN254" i="9"/>
  <c r="AX254" i="9"/>
  <c r="AN81" i="9"/>
  <c r="AX81" i="9"/>
  <c r="AN116" i="9"/>
  <c r="AX116" i="9"/>
  <c r="BB116" i="9" s="1"/>
  <c r="AN281" i="9"/>
  <c r="AX281" i="9"/>
  <c r="BB281" i="9" s="1"/>
  <c r="AN96" i="9"/>
  <c r="AX96" i="9"/>
  <c r="BB96" i="9" s="1"/>
  <c r="AN141" i="9"/>
  <c r="AX141" i="9"/>
  <c r="AN176" i="9"/>
  <c r="AX176" i="9"/>
  <c r="BB263" i="9"/>
  <c r="BO293" i="9"/>
  <c r="CB293" i="9" s="1"/>
  <c r="AN226" i="9"/>
  <c r="AX226" i="9"/>
  <c r="AN236" i="9"/>
  <c r="AX236" i="9"/>
  <c r="BB140" i="9"/>
  <c r="AN200" i="9"/>
  <c r="AX200" i="9"/>
  <c r="AN284" i="9"/>
  <c r="AX284" i="9"/>
  <c r="BB123" i="9"/>
  <c r="BB76" i="9"/>
  <c r="BB92" i="9"/>
  <c r="BB108" i="9"/>
  <c r="BB316" i="9"/>
  <c r="BO273" i="9"/>
  <c r="CB273" i="9" s="1"/>
  <c r="AN23" i="9"/>
  <c r="AX23" i="9"/>
  <c r="AN7" i="9"/>
  <c r="AX7" i="9"/>
  <c r="AN37" i="9"/>
  <c r="AX37" i="9"/>
  <c r="AN188" i="9"/>
  <c r="AX188" i="9"/>
  <c r="BO168" i="9"/>
  <c r="AN297" i="9"/>
  <c r="AX297" i="9"/>
  <c r="BB144" i="9"/>
  <c r="BB138" i="9"/>
  <c r="AN194" i="9"/>
  <c r="AX194" i="9"/>
  <c r="BB182" i="9"/>
  <c r="BB181" i="9"/>
  <c r="AN98" i="9"/>
  <c r="AX98" i="9"/>
  <c r="AN82" i="9"/>
  <c r="AX82" i="9"/>
  <c r="AN304" i="9"/>
  <c r="AX304" i="9"/>
  <c r="AN66" i="9"/>
  <c r="AX66" i="9"/>
  <c r="BO8" i="9"/>
  <c r="BB60" i="9"/>
  <c r="BO205" i="9"/>
  <c r="CB205" i="9" s="1"/>
  <c r="BB36" i="9"/>
  <c r="BB18" i="9"/>
  <c r="BB34" i="9"/>
  <c r="BO287" i="9"/>
  <c r="CB287" i="9" s="1"/>
  <c r="BB248" i="9"/>
  <c r="BB42" i="9"/>
  <c r="BO70" i="9"/>
  <c r="BB274" i="9"/>
  <c r="AN33" i="9"/>
  <c r="AX33" i="9"/>
  <c r="AN25" i="9"/>
  <c r="AX25" i="9"/>
  <c r="AN17" i="9"/>
  <c r="AX17" i="9"/>
  <c r="AN9" i="9"/>
  <c r="AX9" i="9"/>
  <c r="AN302" i="9"/>
  <c r="AX302" i="9"/>
  <c r="BB302" i="9" s="1"/>
  <c r="AN318" i="9"/>
  <c r="AX318" i="9"/>
  <c r="AN79" i="9"/>
  <c r="AX79" i="9"/>
  <c r="BB79" i="9" s="1"/>
  <c r="AN63" i="9"/>
  <c r="AX63" i="9"/>
  <c r="AN312" i="9"/>
  <c r="AX312" i="9"/>
  <c r="AN265" i="9"/>
  <c r="AX265" i="9"/>
  <c r="AN83" i="9"/>
  <c r="AX83" i="9"/>
  <c r="AN147" i="9"/>
  <c r="AX147" i="9"/>
  <c r="AN195" i="9"/>
  <c r="AX195" i="9"/>
  <c r="AN206" i="9"/>
  <c r="AX206" i="9"/>
  <c r="AN250" i="9"/>
  <c r="AX250" i="9"/>
  <c r="BB250" i="9" s="1"/>
  <c r="AN286" i="9"/>
  <c r="AX286" i="9"/>
  <c r="AN173" i="9"/>
  <c r="AX173" i="9"/>
  <c r="AN127" i="9"/>
  <c r="AX127" i="9"/>
  <c r="BB127" i="9" s="1"/>
  <c r="AN151" i="9"/>
  <c r="AX151" i="9"/>
  <c r="AN175" i="9"/>
  <c r="AX175" i="9"/>
  <c r="AN121" i="9"/>
  <c r="AX121" i="9"/>
  <c r="AN169" i="9"/>
  <c r="AX169" i="9"/>
  <c r="AN178" i="9"/>
  <c r="AX178" i="9"/>
  <c r="AN184" i="9"/>
  <c r="AX184" i="9"/>
  <c r="BO40" i="9"/>
  <c r="BO315" i="9"/>
  <c r="BO126" i="9"/>
  <c r="CB126" i="9" s="1"/>
  <c r="BO180" i="9"/>
  <c r="BO256" i="9"/>
  <c r="CB256" i="9" s="1"/>
  <c r="AN159" i="9"/>
  <c r="AX159" i="9"/>
  <c r="BB159" i="9" s="1"/>
  <c r="AN122" i="9"/>
  <c r="AX122" i="9"/>
  <c r="BB122" i="9" s="1"/>
  <c r="AN221" i="9"/>
  <c r="AX221" i="9"/>
  <c r="BO220" i="9"/>
  <c r="CB220" i="9" s="1"/>
  <c r="BO262" i="9"/>
  <c r="CB262" i="9" s="1"/>
  <c r="BO267" i="9"/>
  <c r="CB267" i="9" s="1"/>
  <c r="AD394" i="9"/>
  <c r="Y369" i="9"/>
  <c r="AC131" i="9"/>
  <c r="S131" i="9"/>
  <c r="T206" i="9"/>
  <c r="U206" i="9" s="1"/>
  <c r="S206" i="9"/>
  <c r="T235" i="9"/>
  <c r="U235" i="9" s="1"/>
  <c r="AC235" i="9"/>
  <c r="T138" i="9"/>
  <c r="U138" i="9" s="1"/>
  <c r="S138" i="9"/>
  <c r="AC171" i="9"/>
  <c r="S171" i="9"/>
  <c r="T216" i="9"/>
  <c r="U216" i="9" s="1"/>
  <c r="AC216" i="9"/>
  <c r="T249" i="9"/>
  <c r="U249" i="9" s="1"/>
  <c r="AC249" i="9"/>
  <c r="T70" i="9"/>
  <c r="U70" i="9" s="1"/>
  <c r="AC70" i="9"/>
  <c r="AC125" i="9"/>
  <c r="S125" i="9"/>
  <c r="AC139" i="9"/>
  <c r="S139" i="9"/>
  <c r="AC151" i="9"/>
  <c r="S151" i="9"/>
  <c r="AC167" i="9"/>
  <c r="S167" i="9"/>
  <c r="T197" i="9"/>
  <c r="U197" i="9" s="1"/>
  <c r="S197" i="9"/>
  <c r="T220" i="9"/>
  <c r="U220" i="9" s="1"/>
  <c r="AC220" i="9"/>
  <c r="T238" i="9"/>
  <c r="U238" i="9" s="1"/>
  <c r="AC238" i="9"/>
  <c r="T142" i="9"/>
  <c r="U142" i="9" s="1"/>
  <c r="S142" i="9"/>
  <c r="T102" i="9"/>
  <c r="U102" i="9" s="1"/>
  <c r="S102" i="9"/>
  <c r="T42" i="9"/>
  <c r="U42" i="9" s="1"/>
  <c r="S42" i="9"/>
  <c r="T24" i="9"/>
  <c r="U24" i="9" s="1"/>
  <c r="AC24" i="9"/>
  <c r="T37" i="9"/>
  <c r="U37" i="9" s="1"/>
  <c r="S37" i="9"/>
  <c r="T19" i="9"/>
  <c r="U19" i="9" s="1"/>
  <c r="AC19" i="9"/>
  <c r="T13" i="9"/>
  <c r="U13" i="9" s="1"/>
  <c r="U357" i="9" s="1"/>
  <c r="S13" i="9"/>
  <c r="AC116" i="9"/>
  <c r="S116" i="9"/>
  <c r="T96" i="9"/>
  <c r="U96" i="9" s="1"/>
  <c r="S96" i="9"/>
  <c r="T80" i="9"/>
  <c r="U80" i="9" s="1"/>
  <c r="S80" i="9"/>
  <c r="T62" i="9"/>
  <c r="U62" i="9" s="1"/>
  <c r="S62" i="9"/>
  <c r="T66" i="9"/>
  <c r="U66" i="9" s="1"/>
  <c r="S66" i="9"/>
  <c r="T314" i="9"/>
  <c r="U314" i="9" s="1"/>
  <c r="T310" i="9"/>
  <c r="U310" i="9" s="1"/>
  <c r="S278" i="9"/>
  <c r="T274" i="9"/>
  <c r="U274" i="9" s="1"/>
  <c r="AC270" i="9"/>
  <c r="AC266" i="9"/>
  <c r="AC262" i="9"/>
  <c r="AC304" i="9"/>
  <c r="AC285" i="9"/>
  <c r="S218" i="9"/>
  <c r="S205" i="9"/>
  <c r="T189" i="9"/>
  <c r="U189" i="9" s="1"/>
  <c r="S178" i="9"/>
  <c r="S258" i="9"/>
  <c r="AC246" i="9"/>
  <c r="AC230" i="9"/>
  <c r="S220" i="9"/>
  <c r="T207" i="9"/>
  <c r="U207" i="9" s="1"/>
  <c r="S179" i="9"/>
  <c r="T167" i="9"/>
  <c r="U167" i="9" s="1"/>
  <c r="T156" i="9"/>
  <c r="U156" i="9" s="1"/>
  <c r="S145" i="9"/>
  <c r="T139" i="9"/>
  <c r="U139" i="9" s="1"/>
  <c r="T130" i="9"/>
  <c r="U130" i="9" s="1"/>
  <c r="S117" i="9"/>
  <c r="S70" i="9"/>
  <c r="T41" i="9"/>
  <c r="U41" i="9" s="1"/>
  <c r="AC233" i="9"/>
  <c r="S216" i="9"/>
  <c r="S361" i="9" s="1"/>
  <c r="T196" i="9"/>
  <c r="U196" i="9" s="1"/>
  <c r="S162" i="9"/>
  <c r="AC138" i="9"/>
  <c r="T251" i="9"/>
  <c r="U251" i="9" s="1"/>
  <c r="S219" i="9"/>
  <c r="AC206" i="9"/>
  <c r="AC386" i="9" s="1"/>
  <c r="X386" i="9" s="1"/>
  <c r="AC157" i="9"/>
  <c r="S168" i="9"/>
  <c r="AC142" i="9"/>
  <c r="T116" i="9"/>
  <c r="U116" i="9" s="1"/>
  <c r="S112" i="9"/>
  <c r="S100" i="9"/>
  <c r="AC96" i="9"/>
  <c r="T94" i="9"/>
  <c r="U94" i="9" s="1"/>
  <c r="S86" i="9"/>
  <c r="AC80" i="9"/>
  <c r="T78" i="9"/>
  <c r="U78" i="9" s="1"/>
  <c r="S68" i="9"/>
  <c r="AC66" i="9"/>
  <c r="AC62" i="9"/>
  <c r="T60" i="9"/>
  <c r="U60" i="9" s="1"/>
  <c r="S52" i="9"/>
  <c r="T44" i="9"/>
  <c r="U44" i="9" s="1"/>
  <c r="AC20" i="9"/>
  <c r="T39" i="9"/>
  <c r="U39" i="9" s="1"/>
  <c r="S8" i="9"/>
  <c r="AC13" i="9"/>
  <c r="T90" i="9"/>
  <c r="U90" i="9" s="1"/>
  <c r="S82" i="9"/>
  <c r="T74" i="9"/>
  <c r="U74" i="9" s="1"/>
  <c r="S64" i="9"/>
  <c r="T56" i="9"/>
  <c r="U56" i="9" s="1"/>
  <c r="S46" i="9"/>
  <c r="T31" i="9"/>
  <c r="U31" i="9" s="1"/>
  <c r="AC16" i="9"/>
  <c r="T27" i="9"/>
  <c r="U27" i="9" s="1"/>
  <c r="S12" i="9"/>
  <c r="T88" i="9"/>
  <c r="U88" i="9" s="1"/>
  <c r="S88" i="9"/>
  <c r="T72" i="9"/>
  <c r="U72" i="9" s="1"/>
  <c r="S72" i="9"/>
  <c r="T54" i="9"/>
  <c r="U54" i="9" s="1"/>
  <c r="U353" i="9" s="1"/>
  <c r="S54" i="9"/>
  <c r="T28" i="9"/>
  <c r="U28" i="9" s="1"/>
  <c r="AC28" i="9"/>
  <c r="T23" i="9"/>
  <c r="U23" i="9" s="1"/>
  <c r="AC23" i="9"/>
  <c r="CV133" i="14"/>
  <c r="CW133" i="14" s="1"/>
  <c r="AV133" i="14"/>
  <c r="AW133" i="14" s="1"/>
  <c r="CI133" i="14"/>
  <c r="CJ133" i="14" s="1"/>
  <c r="AI133" i="14"/>
  <c r="AJ133" i="14" s="1"/>
  <c r="DV133" i="14"/>
  <c r="DW133" i="14" s="1"/>
  <c r="BV133" i="14"/>
  <c r="BW133" i="14" s="1"/>
  <c r="DI133" i="14"/>
  <c r="DJ133" i="14" s="1"/>
  <c r="BI133" i="14"/>
  <c r="BJ133" i="14" s="1"/>
  <c r="M36" i="13"/>
  <c r="M40" i="13"/>
  <c r="M44" i="13"/>
  <c r="M48" i="13"/>
  <c r="M56" i="13"/>
  <c r="M60" i="13"/>
  <c r="M68" i="13"/>
  <c r="M76" i="13"/>
  <c r="M84" i="13"/>
  <c r="M33" i="13"/>
  <c r="M41" i="13"/>
  <c r="M49" i="13"/>
  <c r="M57" i="13"/>
  <c r="M61" i="13"/>
  <c r="M69" i="13"/>
  <c r="M77" i="13"/>
  <c r="M81" i="13"/>
  <c r="M85" i="13"/>
  <c r="M16" i="13"/>
  <c r="M20" i="13"/>
  <c r="M17" i="13"/>
  <c r="M34" i="13"/>
  <c r="M38" i="13"/>
  <c r="M42" i="13"/>
  <c r="M46" i="13"/>
  <c r="M50" i="13"/>
  <c r="M54" i="13"/>
  <c r="M70" i="13"/>
  <c r="M74" i="13"/>
  <c r="M78" i="13"/>
  <c r="M82" i="13"/>
  <c r="M31" i="13"/>
  <c r="M35" i="13"/>
  <c r="M39" i="13"/>
  <c r="M43" i="13"/>
  <c r="M47" i="13"/>
  <c r="M55" i="13"/>
  <c r="M59" i="13"/>
  <c r="M63" i="13"/>
  <c r="M67" i="13"/>
  <c r="M71" i="13"/>
  <c r="M75" i="13"/>
  <c r="M83" i="13"/>
  <c r="M15" i="13"/>
  <c r="L31" i="13"/>
  <c r="L35" i="13"/>
  <c r="L39" i="13"/>
  <c r="L43" i="13"/>
  <c r="L47" i="13"/>
  <c r="L55" i="13"/>
  <c r="L59" i="13"/>
  <c r="L63" i="13"/>
  <c r="L67" i="13"/>
  <c r="L71" i="13"/>
  <c r="L75" i="13"/>
  <c r="L83" i="13"/>
  <c r="L36" i="13"/>
  <c r="L40" i="13"/>
  <c r="L44" i="13"/>
  <c r="L48" i="13"/>
  <c r="L56" i="13"/>
  <c r="L60" i="13"/>
  <c r="L68" i="13"/>
  <c r="L76" i="13"/>
  <c r="L84" i="13"/>
  <c r="L15" i="13"/>
  <c r="L16" i="13"/>
  <c r="L20" i="13"/>
  <c r="L33" i="13"/>
  <c r="L41" i="13"/>
  <c r="L49" i="13"/>
  <c r="L57" i="13"/>
  <c r="L61" i="13"/>
  <c r="L69" i="13"/>
  <c r="L77" i="13"/>
  <c r="L81" i="13"/>
  <c r="L85" i="13"/>
  <c r="L34" i="13"/>
  <c r="L38" i="13"/>
  <c r="L42" i="13"/>
  <c r="L46" i="13"/>
  <c r="L50" i="13"/>
  <c r="L54" i="13"/>
  <c r="L70" i="13"/>
  <c r="L74" i="13"/>
  <c r="L78" i="13"/>
  <c r="L82" i="13"/>
  <c r="L17" i="13"/>
  <c r="N33" i="13"/>
  <c r="N41" i="13"/>
  <c r="N49" i="13"/>
  <c r="N57" i="13"/>
  <c r="N61" i="13"/>
  <c r="N69" i="13"/>
  <c r="N77" i="13"/>
  <c r="N81" i="13"/>
  <c r="N85" i="13"/>
  <c r="N34" i="13"/>
  <c r="N38" i="13"/>
  <c r="N42" i="13"/>
  <c r="N46" i="13"/>
  <c r="N50" i="13"/>
  <c r="N54" i="13"/>
  <c r="N70" i="13"/>
  <c r="N74" i="13"/>
  <c r="N78" i="13"/>
  <c r="N82" i="13"/>
  <c r="N17" i="13"/>
  <c r="N31" i="13"/>
  <c r="N35" i="13"/>
  <c r="N39" i="13"/>
  <c r="N43" i="13"/>
  <c r="N47" i="13"/>
  <c r="N55" i="13"/>
  <c r="N59" i="13"/>
  <c r="N63" i="13"/>
  <c r="N67" i="13"/>
  <c r="N71" i="13"/>
  <c r="N75" i="13"/>
  <c r="N83" i="13"/>
  <c r="N36" i="13"/>
  <c r="N40" i="13"/>
  <c r="N44" i="13"/>
  <c r="N48" i="13"/>
  <c r="N56" i="13"/>
  <c r="N60" i="13"/>
  <c r="N68" i="13"/>
  <c r="N76" i="13"/>
  <c r="N84" i="13"/>
  <c r="N15" i="13"/>
  <c r="N16" i="13"/>
  <c r="N20" i="13"/>
  <c r="AA349" i="9"/>
  <c r="AA361" i="9"/>
  <c r="S365" i="9"/>
  <c r="AC390" i="9"/>
  <c r="X390" i="9" s="1"/>
  <c r="U365" i="9"/>
  <c r="N11" i="2"/>
  <c r="N38" i="2"/>
  <c r="N15" i="2"/>
  <c r="N17" i="2"/>
  <c r="N21" i="2"/>
  <c r="N33" i="2"/>
  <c r="N50" i="2"/>
  <c r="N52" i="2"/>
  <c r="N26" i="2"/>
  <c r="N28" i="2"/>
  <c r="AA353" i="9"/>
  <c r="N43" i="2"/>
  <c r="V449" i="9"/>
  <c r="X405" i="9"/>
  <c r="X408" i="9"/>
  <c r="AC378" i="9"/>
  <c r="X378" i="9" s="1"/>
  <c r="U5" i="9"/>
  <c r="AA320" i="9"/>
  <c r="AA357" i="9"/>
  <c r="S357" i="9"/>
  <c r="S320" i="9"/>
  <c r="S353" i="9"/>
  <c r="S349" i="9"/>
  <c r="AC320" i="9"/>
  <c r="AC382" i="9"/>
  <c r="X382" i="9" s="1"/>
  <c r="M7" i="2"/>
  <c r="AI426" i="9" s="1"/>
  <c r="AI444" i="9" s="1"/>
  <c r="AI445" i="9" s="1"/>
  <c r="L6" i="2"/>
  <c r="T82" i="13" s="1"/>
  <c r="K5" i="2"/>
  <c r="K34" i="2" s="1"/>
  <c r="N23" i="2"/>
  <c r="N27" i="2"/>
  <c r="N53" i="2"/>
  <c r="N37" i="2"/>
  <c r="N31" i="2"/>
  <c r="N36" i="2"/>
  <c r="N44" i="2"/>
  <c r="N51" i="2"/>
  <c r="N10" i="2"/>
  <c r="N12" i="2"/>
  <c r="N16" i="2"/>
  <c r="N18" i="2"/>
  <c r="N22" i="2"/>
  <c r="N32" i="2"/>
  <c r="N45" i="2"/>
  <c r="U349" i="9" l="1"/>
  <c r="BZ126" i="9"/>
  <c r="CA126" i="9" s="1"/>
  <c r="CD215" i="9"/>
  <c r="BX315" i="9"/>
  <c r="AK341" i="9"/>
  <c r="U320" i="9"/>
  <c r="AC374" i="9"/>
  <c r="U361" i="9"/>
  <c r="AI341" i="9"/>
  <c r="AH366" i="9"/>
  <c r="AQ391" i="9"/>
  <c r="AF366" i="9"/>
  <c r="AV421" i="9"/>
  <c r="AV426" i="9"/>
  <c r="AV444" i="9" s="1"/>
  <c r="AV431" i="9"/>
  <c r="AU366" i="9"/>
  <c r="BC391" i="9"/>
  <c r="AY366" i="9"/>
  <c r="AS366" i="9"/>
  <c r="AV440" i="9"/>
  <c r="AX441" i="9" s="1"/>
  <c r="Q34" i="2" s="1"/>
  <c r="BC393" i="9" s="1"/>
  <c r="AJ390" i="9"/>
  <c r="CD72" i="9"/>
  <c r="CD48" i="9"/>
  <c r="AV420" i="9"/>
  <c r="AV425" i="9"/>
  <c r="AV435" i="9"/>
  <c r="AJ365" i="9"/>
  <c r="AI430" i="9"/>
  <c r="AI439" i="9"/>
  <c r="AK440" i="9" s="1"/>
  <c r="AI431" i="9"/>
  <c r="AK431" i="9" s="1"/>
  <c r="AI425" i="9"/>
  <c r="AI441" i="9"/>
  <c r="AL364" i="9"/>
  <c r="AI421" i="9"/>
  <c r="AI419" i="9"/>
  <c r="AL366" i="9"/>
  <c r="AP391" i="9"/>
  <c r="AN366" i="9"/>
  <c r="AV419" i="9"/>
  <c r="AX420" i="9" s="1"/>
  <c r="P13" i="2" s="1"/>
  <c r="AV326" i="9" s="1"/>
  <c r="AV424" i="9"/>
  <c r="AV429" i="9"/>
  <c r="BA368" i="9"/>
  <c r="AV343" i="9"/>
  <c r="AX341" i="9"/>
  <c r="AU368" i="9"/>
  <c r="BA366" i="9"/>
  <c r="AV341" i="9"/>
  <c r="AV441" i="9"/>
  <c r="AV439" i="9"/>
  <c r="AX440" i="9" s="1"/>
  <c r="AQ394" i="9"/>
  <c r="AV430" i="9"/>
  <c r="AV434" i="9"/>
  <c r="BD391" i="9"/>
  <c r="AI434" i="9"/>
  <c r="AI435" i="9"/>
  <c r="AI420" i="9"/>
  <c r="AK421" i="9" s="1"/>
  <c r="AI429" i="9"/>
  <c r="AQ389" i="9"/>
  <c r="AI424" i="9"/>
  <c r="W8" i="2"/>
  <c r="U7" i="2"/>
  <c r="BI441" i="9" s="1"/>
  <c r="T6" i="2"/>
  <c r="BI420" i="9" s="1"/>
  <c r="S5" i="2"/>
  <c r="AI440" i="9"/>
  <c r="AK441" i="9" s="1"/>
  <c r="AW326" i="9"/>
  <c r="U369" i="9"/>
  <c r="T320" i="9"/>
  <c r="AW221" i="9"/>
  <c r="AY221" i="9"/>
  <c r="BD221" i="9"/>
  <c r="AZ221" i="9"/>
  <c r="AZ122" i="9"/>
  <c r="AW122" i="9"/>
  <c r="AY122" i="9"/>
  <c r="BD122" i="9"/>
  <c r="AY159" i="9"/>
  <c r="AW159" i="9"/>
  <c r="AZ159" i="9"/>
  <c r="BD159" i="9"/>
  <c r="AW184" i="9"/>
  <c r="AY184" i="9"/>
  <c r="AZ184" i="9"/>
  <c r="BD184" i="9"/>
  <c r="AW178" i="9"/>
  <c r="AY178" i="9"/>
  <c r="AZ178" i="9"/>
  <c r="BD178" i="9"/>
  <c r="BB178" i="9"/>
  <c r="AW169" i="9"/>
  <c r="AY169" i="9"/>
  <c r="BD169" i="9"/>
  <c r="AZ169" i="9"/>
  <c r="AX332" i="9"/>
  <c r="AW121" i="9"/>
  <c r="AY121" i="9"/>
  <c r="AZ121" i="9"/>
  <c r="BD121" i="9"/>
  <c r="AW175" i="9"/>
  <c r="AY175" i="9"/>
  <c r="AZ175" i="9"/>
  <c r="BD175" i="9"/>
  <c r="AY151" i="9"/>
  <c r="AW151" i="9"/>
  <c r="AZ151" i="9"/>
  <c r="BD151" i="9"/>
  <c r="AZ127" i="9"/>
  <c r="AW127" i="9"/>
  <c r="AY127" i="9"/>
  <c r="BD127" i="9"/>
  <c r="AW173" i="9"/>
  <c r="AY173" i="9"/>
  <c r="BD173" i="9"/>
  <c r="AZ173" i="9"/>
  <c r="AY286" i="9"/>
  <c r="AW286" i="9"/>
  <c r="BD286" i="9"/>
  <c r="AZ286" i="9"/>
  <c r="AY250" i="9"/>
  <c r="AW250" i="9"/>
  <c r="AZ250" i="9"/>
  <c r="BD250" i="9"/>
  <c r="AY206" i="9"/>
  <c r="AW206" i="9"/>
  <c r="AZ206" i="9"/>
  <c r="BD206" i="9"/>
  <c r="BB206" i="9"/>
  <c r="AW195" i="9"/>
  <c r="AY195" i="9"/>
  <c r="AZ195" i="9"/>
  <c r="BD195" i="9"/>
  <c r="BB195" i="9"/>
  <c r="AZ147" i="9"/>
  <c r="AY147" i="9"/>
  <c r="AW147" i="9"/>
  <c r="BD147" i="9"/>
  <c r="BB147" i="9"/>
  <c r="AZ83" i="9"/>
  <c r="AY83" i="9"/>
  <c r="AW83" i="9"/>
  <c r="BD83" i="9"/>
  <c r="BB83" i="9"/>
  <c r="AY265" i="9"/>
  <c r="AW265" i="9"/>
  <c r="BD265" i="9"/>
  <c r="AZ265" i="9"/>
  <c r="AY312" i="9"/>
  <c r="AW312" i="9"/>
  <c r="AZ312" i="9"/>
  <c r="BD312" i="9"/>
  <c r="BB312" i="9"/>
  <c r="AZ63" i="9"/>
  <c r="AY63" i="9"/>
  <c r="AW63" i="9"/>
  <c r="BD63" i="9"/>
  <c r="AZ79" i="9"/>
  <c r="AY79" i="9"/>
  <c r="AW79" i="9"/>
  <c r="BD79" i="9"/>
  <c r="BD318" i="9"/>
  <c r="AY318" i="9"/>
  <c r="AW318" i="9"/>
  <c r="AZ318" i="9"/>
  <c r="BD302" i="9"/>
  <c r="AY302" i="9"/>
  <c r="AW302" i="9"/>
  <c r="AZ302" i="9"/>
  <c r="AW9" i="9"/>
  <c r="AY9" i="9"/>
  <c r="AZ9" i="9"/>
  <c r="BD9" i="9"/>
  <c r="AW17" i="9"/>
  <c r="AY17" i="9"/>
  <c r="AZ17" i="9"/>
  <c r="BD17" i="9"/>
  <c r="AY25" i="9"/>
  <c r="AW25" i="9"/>
  <c r="AZ25" i="9"/>
  <c r="BD25" i="9"/>
  <c r="AW33" i="9"/>
  <c r="AY33" i="9"/>
  <c r="AZ33" i="9"/>
  <c r="BD33" i="9"/>
  <c r="BB63" i="9"/>
  <c r="AW188" i="9"/>
  <c r="AY188" i="9"/>
  <c r="AZ188" i="9"/>
  <c r="BD188" i="9"/>
  <c r="BB188" i="9"/>
  <c r="AW37" i="9"/>
  <c r="AY37" i="9"/>
  <c r="AZ37" i="9"/>
  <c r="BD37" i="9"/>
  <c r="BB37" i="9"/>
  <c r="AW7" i="9"/>
  <c r="AY7" i="9"/>
  <c r="BD7" i="9"/>
  <c r="AZ7" i="9"/>
  <c r="BB7" i="9"/>
  <c r="AW23" i="9"/>
  <c r="AY23" i="9"/>
  <c r="BD23" i="9"/>
  <c r="AZ23" i="9"/>
  <c r="AW284" i="9"/>
  <c r="AY284" i="9"/>
  <c r="AZ284" i="9"/>
  <c r="BD284" i="9"/>
  <c r="BB284" i="9"/>
  <c r="AZ200" i="9"/>
  <c r="AY200" i="9"/>
  <c r="AW200" i="9"/>
  <c r="BD200" i="9"/>
  <c r="BB200" i="9"/>
  <c r="AW176" i="9"/>
  <c r="AY176" i="9"/>
  <c r="AZ176" i="9"/>
  <c r="BD176" i="9"/>
  <c r="AZ141" i="9"/>
  <c r="AY141" i="9"/>
  <c r="AW141" i="9"/>
  <c r="BD141" i="9"/>
  <c r="AN353" i="9"/>
  <c r="BM242" i="9"/>
  <c r="BJ242" i="9"/>
  <c r="BL242" i="9"/>
  <c r="BO242" i="9"/>
  <c r="BQ242" i="9"/>
  <c r="BM216" i="9"/>
  <c r="BL216" i="9"/>
  <c r="BJ216" i="9"/>
  <c r="BQ216" i="9"/>
  <c r="BO216" i="9"/>
  <c r="BM142" i="9"/>
  <c r="BL142" i="9"/>
  <c r="BJ142" i="9"/>
  <c r="BQ142" i="9"/>
  <c r="BO142" i="9"/>
  <c r="BM258" i="9"/>
  <c r="BJ258" i="9"/>
  <c r="BL258" i="9"/>
  <c r="BO258" i="9"/>
  <c r="BQ258" i="9"/>
  <c r="BM95" i="9"/>
  <c r="BJ95" i="9"/>
  <c r="BL95" i="9"/>
  <c r="BQ95" i="9"/>
  <c r="BO95" i="9"/>
  <c r="BM77" i="9"/>
  <c r="BJ77" i="9"/>
  <c r="BL77" i="9"/>
  <c r="BQ77" i="9"/>
  <c r="BO77" i="9"/>
  <c r="BM61" i="9"/>
  <c r="BJ61" i="9"/>
  <c r="BL61" i="9"/>
  <c r="BO61" i="9"/>
  <c r="BQ61" i="9"/>
  <c r="AX419" i="9"/>
  <c r="AX425" i="9"/>
  <c r="P19" i="2" s="1"/>
  <c r="AV446" i="9"/>
  <c r="AX429" i="9"/>
  <c r="BB17" i="9"/>
  <c r="BB121" i="9"/>
  <c r="AY148" i="9"/>
  <c r="AW148" i="9"/>
  <c r="AZ148" i="9"/>
  <c r="BD148" i="9"/>
  <c r="AY213" i="9"/>
  <c r="AW213" i="9"/>
  <c r="BD213" i="9"/>
  <c r="AZ213" i="9"/>
  <c r="BB213" i="9"/>
  <c r="AW172" i="9"/>
  <c r="AY172" i="9"/>
  <c r="AZ172" i="9"/>
  <c r="BD172" i="9"/>
  <c r="AW217" i="9"/>
  <c r="AY217" i="9"/>
  <c r="BD217" i="9"/>
  <c r="AZ217" i="9"/>
  <c r="BB217" i="9"/>
  <c r="AX336" i="9"/>
  <c r="AY153" i="9"/>
  <c r="AW153" i="9"/>
  <c r="BD153" i="9"/>
  <c r="AZ153" i="9"/>
  <c r="AW183" i="9"/>
  <c r="AY183" i="9"/>
  <c r="AZ183" i="9"/>
  <c r="BD183" i="9"/>
  <c r="AZ135" i="9"/>
  <c r="AW135" i="9"/>
  <c r="AY135" i="9"/>
  <c r="BD135" i="9"/>
  <c r="AW189" i="9"/>
  <c r="AY189" i="9"/>
  <c r="BD189" i="9"/>
  <c r="AZ189" i="9"/>
  <c r="AW170" i="9"/>
  <c r="AY170" i="9"/>
  <c r="AZ170" i="9"/>
  <c r="BD170" i="9"/>
  <c r="BD278" i="9"/>
  <c r="AY278" i="9"/>
  <c r="AW278" i="9"/>
  <c r="AZ278" i="9"/>
  <c r="AW238" i="9"/>
  <c r="AY238" i="9"/>
  <c r="AZ238" i="9"/>
  <c r="BD238" i="9"/>
  <c r="BB238" i="9"/>
  <c r="AY232" i="9"/>
  <c r="AW232" i="9"/>
  <c r="AZ232" i="9"/>
  <c r="BD232" i="9"/>
  <c r="AW171" i="9"/>
  <c r="AY171" i="9"/>
  <c r="AZ171" i="9"/>
  <c r="BD171" i="9"/>
  <c r="AZ139" i="9"/>
  <c r="AW139" i="9"/>
  <c r="AY139" i="9"/>
  <c r="BD139" i="9"/>
  <c r="AZ30" i="9"/>
  <c r="AW30" i="9"/>
  <c r="AY30" i="9"/>
  <c r="BD30" i="9"/>
  <c r="AZ75" i="9"/>
  <c r="AY75" i="9"/>
  <c r="AW75" i="9"/>
  <c r="BD75" i="9"/>
  <c r="AY257" i="9"/>
  <c r="AW257" i="9"/>
  <c r="AZ257" i="9"/>
  <c r="BD257" i="9"/>
  <c r="AZ26" i="9"/>
  <c r="AY26" i="9"/>
  <c r="AW26" i="9"/>
  <c r="BD26" i="9"/>
  <c r="AY41" i="9"/>
  <c r="AW41" i="9"/>
  <c r="AZ41" i="9"/>
  <c r="BD41" i="9"/>
  <c r="AZ71" i="9"/>
  <c r="AY71" i="9"/>
  <c r="AW71" i="9"/>
  <c r="AX330" i="9"/>
  <c r="BD71" i="9"/>
  <c r="BD259" i="9"/>
  <c r="AW259" i="9"/>
  <c r="AY259" i="9"/>
  <c r="AZ259" i="9"/>
  <c r="BD274" i="9"/>
  <c r="AY274" i="9"/>
  <c r="AW274" i="9"/>
  <c r="AZ274" i="9"/>
  <c r="BD305" i="9"/>
  <c r="AY305" i="9"/>
  <c r="AW305" i="9"/>
  <c r="AZ305" i="9"/>
  <c r="AY44" i="9"/>
  <c r="AW44" i="9"/>
  <c r="AZ44" i="9"/>
  <c r="BD44" i="9"/>
  <c r="AY60" i="9"/>
  <c r="AW60" i="9"/>
  <c r="BD60" i="9"/>
  <c r="AZ60" i="9"/>
  <c r="AY13" i="9"/>
  <c r="AW13" i="9"/>
  <c r="AZ13" i="9"/>
  <c r="BD13" i="9"/>
  <c r="AY21" i="9"/>
  <c r="AW21" i="9"/>
  <c r="AZ21" i="9"/>
  <c r="BD21" i="9"/>
  <c r="AW29" i="9"/>
  <c r="AY29" i="9"/>
  <c r="AZ29" i="9"/>
  <c r="BD29" i="9"/>
  <c r="BD301" i="9"/>
  <c r="AW301" i="9"/>
  <c r="AY301" i="9"/>
  <c r="AZ301" i="9"/>
  <c r="AZ110" i="9"/>
  <c r="AY110" i="9"/>
  <c r="AW110" i="9"/>
  <c r="BD110" i="9"/>
  <c r="BB41" i="9"/>
  <c r="BB151" i="9"/>
  <c r="BB44" i="9"/>
  <c r="BD255" i="9"/>
  <c r="AY255" i="9"/>
  <c r="AW255" i="9"/>
  <c r="AZ255" i="9"/>
  <c r="AY100" i="9"/>
  <c r="AW100" i="9"/>
  <c r="BD100" i="9"/>
  <c r="AZ100" i="9"/>
  <c r="AY92" i="9"/>
  <c r="AW92" i="9"/>
  <c r="BD92" i="9"/>
  <c r="AZ92" i="9"/>
  <c r="AY84" i="9"/>
  <c r="AW84" i="9"/>
  <c r="BD84" i="9"/>
  <c r="AZ84" i="9"/>
  <c r="AY68" i="9"/>
  <c r="AW68" i="9"/>
  <c r="BD68" i="9"/>
  <c r="AZ68" i="9"/>
  <c r="AY222" i="9"/>
  <c r="AW222" i="9"/>
  <c r="AZ222" i="9"/>
  <c r="BD222" i="9"/>
  <c r="BB222" i="9"/>
  <c r="AY165" i="9"/>
  <c r="AW165" i="9"/>
  <c r="BD165" i="9"/>
  <c r="AZ165" i="9"/>
  <c r="BB165" i="9"/>
  <c r="BB184" i="9"/>
  <c r="AZ366" i="9"/>
  <c r="AX366" i="9" s="1"/>
  <c r="AW392" i="9"/>
  <c r="AW391" i="9"/>
  <c r="AW393" i="9"/>
  <c r="AX438" i="9"/>
  <c r="AP386" i="9"/>
  <c r="AK386" i="9" s="1"/>
  <c r="AP389" i="9"/>
  <c r="AK389" i="9" s="1"/>
  <c r="AP320" i="9"/>
  <c r="AF320" i="9"/>
  <c r="BB9" i="9"/>
  <c r="BB153" i="9"/>
  <c r="AY152" i="9"/>
  <c r="AW152" i="9"/>
  <c r="AZ152" i="9"/>
  <c r="BD152" i="9"/>
  <c r="AZ144" i="9"/>
  <c r="AY144" i="9"/>
  <c r="AW144" i="9"/>
  <c r="BD144" i="9"/>
  <c r="AY214" i="9"/>
  <c r="AW214" i="9"/>
  <c r="AZ214" i="9"/>
  <c r="BD214" i="9"/>
  <c r="AY212" i="9"/>
  <c r="AW212" i="9"/>
  <c r="AZ212" i="9"/>
  <c r="BD212" i="9"/>
  <c r="AW196" i="9"/>
  <c r="AY196" i="9"/>
  <c r="AZ196" i="9"/>
  <c r="BD196" i="9"/>
  <c r="AY156" i="9"/>
  <c r="AW156" i="9"/>
  <c r="AZ156" i="9"/>
  <c r="BD156" i="9"/>
  <c r="AZ128" i="9"/>
  <c r="AW128" i="9"/>
  <c r="AY128" i="9"/>
  <c r="BD128" i="9"/>
  <c r="AW192" i="9"/>
  <c r="AY192" i="9"/>
  <c r="AZ192" i="9"/>
  <c r="BD192" i="9"/>
  <c r="BB110" i="9"/>
  <c r="BB175" i="9"/>
  <c r="BB265" i="9"/>
  <c r="BB286" i="9"/>
  <c r="BB171" i="9"/>
  <c r="BD291" i="9"/>
  <c r="AW291" i="9"/>
  <c r="AY291" i="9"/>
  <c r="AZ291" i="9"/>
  <c r="BB291" i="9"/>
  <c r="AW245" i="9"/>
  <c r="AY245" i="9"/>
  <c r="AZ245" i="9"/>
  <c r="BD245" i="9"/>
  <c r="BB245" i="9"/>
  <c r="AY227" i="9"/>
  <c r="AW227" i="9"/>
  <c r="BD227" i="9"/>
  <c r="AZ227" i="9"/>
  <c r="BB227" i="9"/>
  <c r="AW203" i="9"/>
  <c r="AY203" i="9"/>
  <c r="BD203" i="9"/>
  <c r="AZ203" i="9"/>
  <c r="AZ145" i="9"/>
  <c r="AY145" i="9"/>
  <c r="AW145" i="9"/>
  <c r="BD145" i="9"/>
  <c r="BD276" i="9"/>
  <c r="AW276" i="9"/>
  <c r="AY276" i="9"/>
  <c r="AZ276" i="9"/>
  <c r="BD310" i="9"/>
  <c r="AW310" i="9"/>
  <c r="AY310" i="9"/>
  <c r="AZ310" i="9"/>
  <c r="BB310" i="9"/>
  <c r="AZ99" i="9"/>
  <c r="AY99" i="9"/>
  <c r="AW99" i="9"/>
  <c r="BD99" i="9"/>
  <c r="AY90" i="9"/>
  <c r="AW90" i="9"/>
  <c r="AZ90" i="9"/>
  <c r="BD90" i="9"/>
  <c r="BB90" i="9"/>
  <c r="BD317" i="9"/>
  <c r="AY317" i="9"/>
  <c r="AW317" i="9"/>
  <c r="AZ317" i="9"/>
  <c r="BB317" i="9"/>
  <c r="BB257" i="9"/>
  <c r="BB192" i="9"/>
  <c r="BB84" i="9"/>
  <c r="AY224" i="9"/>
  <c r="AW224" i="9"/>
  <c r="AZ224" i="9"/>
  <c r="BD224" i="9"/>
  <c r="BB224" i="9"/>
  <c r="AY164" i="9"/>
  <c r="AW164" i="9"/>
  <c r="AZ164" i="9"/>
  <c r="BD164" i="9"/>
  <c r="AY241" i="9"/>
  <c r="AW241" i="9"/>
  <c r="AZ241" i="9"/>
  <c r="BD241" i="9"/>
  <c r="AZ105" i="9"/>
  <c r="AY105" i="9"/>
  <c r="AW105" i="9"/>
  <c r="BD105" i="9"/>
  <c r="AY154" i="9"/>
  <c r="AW154" i="9"/>
  <c r="AZ154" i="9"/>
  <c r="BD154" i="9"/>
  <c r="BB154" i="9"/>
  <c r="AW225" i="9"/>
  <c r="AY225" i="9"/>
  <c r="BD225" i="9"/>
  <c r="AZ225" i="9"/>
  <c r="AY113" i="9"/>
  <c r="AW113" i="9"/>
  <c r="BD113" i="9"/>
  <c r="AZ113" i="9"/>
  <c r="BB113" i="9"/>
  <c r="AY54" i="9"/>
  <c r="AW54" i="9"/>
  <c r="BD54" i="9"/>
  <c r="AZ54" i="9"/>
  <c r="BB54" i="9"/>
  <c r="CD219" i="9"/>
  <c r="BV418" i="9"/>
  <c r="BV324" i="9"/>
  <c r="BV320" i="9"/>
  <c r="BX410" i="9" s="1"/>
  <c r="BV423" i="9"/>
  <c r="BV328" i="9"/>
  <c r="BV332" i="9"/>
  <c r="BV428" i="9"/>
  <c r="BY24" i="9"/>
  <c r="BW24" i="9"/>
  <c r="BX32" i="9"/>
  <c r="BX40" i="9"/>
  <c r="CB40" i="9" s="1"/>
  <c r="BY48" i="9"/>
  <c r="BW48" i="9"/>
  <c r="BY72" i="9"/>
  <c r="BW72" i="9"/>
  <c r="BY88" i="9"/>
  <c r="BW88" i="9"/>
  <c r="CD211" i="9"/>
  <c r="BW211" i="9"/>
  <c r="BY211" i="9"/>
  <c r="BX180" i="9"/>
  <c r="BZ204" i="9"/>
  <c r="CA204" i="9" s="1"/>
  <c r="BW204" i="9"/>
  <c r="BY204" i="9"/>
  <c r="BZ220" i="9"/>
  <c r="CA220" i="9" s="1"/>
  <c r="BY220" i="9"/>
  <c r="BW220" i="9"/>
  <c r="BY215" i="9"/>
  <c r="BW215" i="9"/>
  <c r="BY223" i="9"/>
  <c r="BW223" i="9"/>
  <c r="BY235" i="9"/>
  <c r="BW235" i="9"/>
  <c r="BX8" i="9"/>
  <c r="CB8" i="9" s="1"/>
  <c r="BZ408" i="9"/>
  <c r="BZ404" i="9"/>
  <c r="BZ407" i="9"/>
  <c r="BX322" i="9"/>
  <c r="BU4" i="9"/>
  <c r="BR1" i="9"/>
  <c r="BR4" i="9"/>
  <c r="BZ406" i="9"/>
  <c r="BZ410" i="9"/>
  <c r="BZ405" i="9"/>
  <c r="BY4" i="9"/>
  <c r="BS4" i="9"/>
  <c r="BT4" i="9"/>
  <c r="BZ45" i="9"/>
  <c r="CA45" i="9" s="1"/>
  <c r="BW45" i="9"/>
  <c r="BY45" i="9"/>
  <c r="BW201" i="9"/>
  <c r="BY201" i="9"/>
  <c r="CD209" i="9"/>
  <c r="BY209" i="9"/>
  <c r="BW209" i="9"/>
  <c r="BX58" i="9"/>
  <c r="CD136" i="9"/>
  <c r="BW136" i="9"/>
  <c r="BY136" i="9"/>
  <c r="BX168" i="9"/>
  <c r="BX243" i="9"/>
  <c r="BV433" i="9"/>
  <c r="BV336" i="9"/>
  <c r="BX253" i="9"/>
  <c r="BZ235" i="9"/>
  <c r="CA235" i="9" s="1"/>
  <c r="BY298" i="9"/>
  <c r="BW298" i="9"/>
  <c r="BZ306" i="9"/>
  <c r="CA306" i="9" s="1"/>
  <c r="BW306" i="9"/>
  <c r="BY306" i="9"/>
  <c r="BX269" i="9"/>
  <c r="BZ273" i="9"/>
  <c r="CA273" i="9" s="1"/>
  <c r="BW273" i="9"/>
  <c r="BY273" i="9"/>
  <c r="BW256" i="9"/>
  <c r="BY256" i="9"/>
  <c r="BZ287" i="9"/>
  <c r="CA287" i="9" s="1"/>
  <c r="BY287" i="9"/>
  <c r="BW287" i="9"/>
  <c r="BZ295" i="9"/>
  <c r="CA295" i="9" s="1"/>
  <c r="BY295" i="9"/>
  <c r="BW295" i="9"/>
  <c r="BX303" i="9"/>
  <c r="BX307" i="9"/>
  <c r="BY315" i="9"/>
  <c r="BW315" i="9"/>
  <c r="BZ298" i="9"/>
  <c r="CA298" i="9" s="1"/>
  <c r="BM275" i="9"/>
  <c r="BJ275" i="9"/>
  <c r="BL275" i="9"/>
  <c r="BO275" i="9"/>
  <c r="BQ275" i="9"/>
  <c r="BM199" i="9"/>
  <c r="BL199" i="9"/>
  <c r="BJ199" i="9"/>
  <c r="BO199" i="9"/>
  <c r="BQ199" i="9"/>
  <c r="BM187" i="9"/>
  <c r="BL187" i="9"/>
  <c r="BJ187" i="9"/>
  <c r="BO187" i="9"/>
  <c r="BQ187" i="9"/>
  <c r="BM167" i="9"/>
  <c r="BJ167" i="9"/>
  <c r="BL167" i="9"/>
  <c r="BQ167" i="9"/>
  <c r="BO167" i="9"/>
  <c r="BM155" i="9"/>
  <c r="BJ155" i="9"/>
  <c r="BL155" i="9"/>
  <c r="BQ155" i="9"/>
  <c r="BO155" i="9"/>
  <c r="BM143" i="9"/>
  <c r="BJ143" i="9"/>
  <c r="BL143" i="9"/>
  <c r="BO143" i="9"/>
  <c r="BQ143" i="9"/>
  <c r="BM91" i="9"/>
  <c r="BJ91" i="9"/>
  <c r="BL91" i="9"/>
  <c r="BO91" i="9"/>
  <c r="BQ91" i="9"/>
  <c r="BM59" i="9"/>
  <c r="BJ59" i="9"/>
  <c r="BL59" i="9"/>
  <c r="BO59" i="9"/>
  <c r="BQ59" i="9"/>
  <c r="BM210" i="9"/>
  <c r="BL210" i="9"/>
  <c r="BJ210" i="9"/>
  <c r="BO210" i="9"/>
  <c r="BQ210" i="9"/>
  <c r="BM124" i="9"/>
  <c r="BL124" i="9"/>
  <c r="BJ124" i="9"/>
  <c r="BQ124" i="9"/>
  <c r="BO124" i="9"/>
  <c r="BM103" i="9"/>
  <c r="BJ103" i="9"/>
  <c r="BL103" i="9"/>
  <c r="BO103" i="9"/>
  <c r="BQ103" i="9"/>
  <c r="BM87" i="9"/>
  <c r="BJ87" i="9"/>
  <c r="BL87" i="9"/>
  <c r="BO87" i="9"/>
  <c r="BQ87" i="9"/>
  <c r="BM69" i="9"/>
  <c r="BJ69" i="9"/>
  <c r="BL69" i="9"/>
  <c r="BO69" i="9"/>
  <c r="BQ69" i="9"/>
  <c r="BI443" i="9"/>
  <c r="BM35" i="9"/>
  <c r="BJ35" i="9"/>
  <c r="BL35" i="9"/>
  <c r="BO35" i="9"/>
  <c r="BQ35" i="9"/>
  <c r="BI439" i="9"/>
  <c r="BK440" i="9" s="1"/>
  <c r="F6" i="17" s="1"/>
  <c r="BK390" i="9"/>
  <c r="BI440" i="9"/>
  <c r="BK441" i="9" s="1"/>
  <c r="U34" i="2" s="1"/>
  <c r="BP393" i="9" s="1"/>
  <c r="BK365" i="9"/>
  <c r="CB235" i="9"/>
  <c r="AX421" i="9"/>
  <c r="Q13" i="2" s="1"/>
  <c r="AX327" i="9" s="1"/>
  <c r="AV445" i="9"/>
  <c r="AX446" i="9" s="1"/>
  <c r="CB72" i="9"/>
  <c r="BB164" i="9"/>
  <c r="AY288" i="9"/>
  <c r="AW288" i="9"/>
  <c r="AZ288" i="9"/>
  <c r="BD288" i="9"/>
  <c r="BD248" i="9"/>
  <c r="AW248" i="9"/>
  <c r="AY248" i="9"/>
  <c r="AZ248" i="9"/>
  <c r="AY202" i="9"/>
  <c r="AW202" i="9"/>
  <c r="AZ202" i="9"/>
  <c r="BD202" i="9"/>
  <c r="AW14" i="9"/>
  <c r="AY14" i="9"/>
  <c r="BD14" i="9"/>
  <c r="AZ14" i="9"/>
  <c r="BD272" i="9"/>
  <c r="AW272" i="9"/>
  <c r="AY272" i="9"/>
  <c r="AZ272" i="9"/>
  <c r="AW10" i="9"/>
  <c r="AY10" i="9"/>
  <c r="AZ10" i="9"/>
  <c r="BD10" i="9"/>
  <c r="AZ57" i="9"/>
  <c r="AY57" i="9"/>
  <c r="AW57" i="9"/>
  <c r="BD57" i="9"/>
  <c r="BD313" i="9"/>
  <c r="AY313" i="9"/>
  <c r="AW313" i="9"/>
  <c r="AZ313" i="9"/>
  <c r="AZ42" i="9"/>
  <c r="AY42" i="9"/>
  <c r="AW42" i="9"/>
  <c r="BD42" i="9"/>
  <c r="AX324" i="9"/>
  <c r="AX326" i="9"/>
  <c r="BB148" i="9"/>
  <c r="BB75" i="9"/>
  <c r="BB30" i="9"/>
  <c r="BB214" i="9"/>
  <c r="BB135" i="9"/>
  <c r="BB301" i="9"/>
  <c r="AW182" i="9"/>
  <c r="AY182" i="9"/>
  <c r="AZ182" i="9"/>
  <c r="BD182" i="9"/>
  <c r="AW190" i="9"/>
  <c r="AY190" i="9"/>
  <c r="AZ190" i="9"/>
  <c r="BD190" i="9"/>
  <c r="BB190" i="9"/>
  <c r="BB29" i="9"/>
  <c r="AK408" i="9"/>
  <c r="AX404" i="9"/>
  <c r="AY5" i="9"/>
  <c r="AX320" i="9"/>
  <c r="AW5" i="9"/>
  <c r="AZ5" i="9"/>
  <c r="BD5" i="9"/>
  <c r="BB172" i="9"/>
  <c r="AW185" i="9"/>
  <c r="AY185" i="9"/>
  <c r="BD185" i="9"/>
  <c r="AZ185" i="9"/>
  <c r="AY161" i="9"/>
  <c r="AW161" i="9"/>
  <c r="BD161" i="9"/>
  <c r="AZ161" i="9"/>
  <c r="BB221" i="9"/>
  <c r="BB276" i="9"/>
  <c r="BC46" i="9"/>
  <c r="AT46" i="9"/>
  <c r="AU46" i="9" s="1"/>
  <c r="AS46" i="9"/>
  <c r="AT50" i="9"/>
  <c r="AU50" i="9" s="1"/>
  <c r="AS50" i="9"/>
  <c r="BC50" i="9"/>
  <c r="BC54" i="9"/>
  <c r="AT54" i="9"/>
  <c r="AU54" i="9" s="1"/>
  <c r="AS54" i="9"/>
  <c r="AT58" i="9"/>
  <c r="AU58" i="9" s="1"/>
  <c r="AS58" i="9"/>
  <c r="BC58" i="9"/>
  <c r="BC62" i="9"/>
  <c r="AT62" i="9"/>
  <c r="AU62" i="9" s="1"/>
  <c r="AS62" i="9"/>
  <c r="AT66" i="9"/>
  <c r="AU66" i="9" s="1"/>
  <c r="AS66" i="9"/>
  <c r="BC66" i="9"/>
  <c r="BC70" i="9"/>
  <c r="AT70" i="9"/>
  <c r="AU70" i="9" s="1"/>
  <c r="AS70" i="9"/>
  <c r="AT74" i="9"/>
  <c r="AU74" i="9" s="1"/>
  <c r="AS74" i="9"/>
  <c r="BC74" i="9"/>
  <c r="BC78" i="9"/>
  <c r="AT78" i="9"/>
  <c r="AU78" i="9" s="1"/>
  <c r="AS78" i="9"/>
  <c r="AT82" i="9"/>
  <c r="AU82" i="9" s="1"/>
  <c r="AS82" i="9"/>
  <c r="BC82" i="9"/>
  <c r="BC86" i="9"/>
  <c r="AT86" i="9"/>
  <c r="AU86" i="9" s="1"/>
  <c r="AS86" i="9"/>
  <c r="AT90" i="9"/>
  <c r="AU90" i="9" s="1"/>
  <c r="AS90" i="9"/>
  <c r="BC90" i="9"/>
  <c r="BC94" i="9"/>
  <c r="AT94" i="9"/>
  <c r="AU94" i="9" s="1"/>
  <c r="AS94" i="9"/>
  <c r="AT98" i="9"/>
  <c r="AU98" i="9" s="1"/>
  <c r="AS98" i="9"/>
  <c r="BC98" i="9"/>
  <c r="BC102" i="9"/>
  <c r="AT102" i="9"/>
  <c r="AU102" i="9" s="1"/>
  <c r="AS102" i="9"/>
  <c r="AT106" i="9"/>
  <c r="AU106" i="9" s="1"/>
  <c r="AS106" i="9"/>
  <c r="BC106" i="9"/>
  <c r="BC110" i="9"/>
  <c r="AT110" i="9"/>
  <c r="AU110" i="9" s="1"/>
  <c r="AS110" i="9"/>
  <c r="AT114" i="9"/>
  <c r="AU114" i="9" s="1"/>
  <c r="AS114" i="9"/>
  <c r="BC114" i="9"/>
  <c r="BC118" i="9"/>
  <c r="AT118" i="9"/>
  <c r="AU118" i="9" s="1"/>
  <c r="AS118" i="9"/>
  <c r="AT122" i="9"/>
  <c r="AU122" i="9" s="1"/>
  <c r="AS122" i="9"/>
  <c r="BC122" i="9"/>
  <c r="BC126" i="9"/>
  <c r="AT126" i="9"/>
  <c r="AU126" i="9" s="1"/>
  <c r="AS126" i="9"/>
  <c r="AT130" i="9"/>
  <c r="AU130" i="9" s="1"/>
  <c r="AS130" i="9"/>
  <c r="BC130" i="9"/>
  <c r="BC134" i="9"/>
  <c r="AT134" i="9"/>
  <c r="AU134" i="9" s="1"/>
  <c r="AS134" i="9"/>
  <c r="AT138" i="9"/>
  <c r="AU138" i="9" s="1"/>
  <c r="AS138" i="9"/>
  <c r="BC138" i="9"/>
  <c r="BC142" i="9"/>
  <c r="AT142" i="9"/>
  <c r="AU142" i="9" s="1"/>
  <c r="AS142" i="9"/>
  <c r="AT146" i="9"/>
  <c r="AU146" i="9" s="1"/>
  <c r="AS146" i="9"/>
  <c r="BC146" i="9"/>
  <c r="BC149" i="9"/>
  <c r="AT149" i="9"/>
  <c r="AU149" i="9" s="1"/>
  <c r="AS149" i="9"/>
  <c r="AT153" i="9"/>
  <c r="AU153" i="9" s="1"/>
  <c r="AS153" i="9"/>
  <c r="BC153" i="9"/>
  <c r="BC157" i="9"/>
  <c r="AT157" i="9"/>
  <c r="AU157" i="9" s="1"/>
  <c r="AS157" i="9"/>
  <c r="AT161" i="9"/>
  <c r="AU161" i="9" s="1"/>
  <c r="AS161" i="9"/>
  <c r="BC161" i="9"/>
  <c r="BC165" i="9"/>
  <c r="AT165" i="9"/>
  <c r="AU165" i="9" s="1"/>
  <c r="AS165" i="9"/>
  <c r="AT169" i="9"/>
  <c r="AU169" i="9" s="1"/>
  <c r="AS169" i="9"/>
  <c r="BC169" i="9"/>
  <c r="BC173" i="9"/>
  <c r="AT173" i="9"/>
  <c r="AU173" i="9" s="1"/>
  <c r="AS173" i="9"/>
  <c r="AT177" i="9"/>
  <c r="AU177" i="9" s="1"/>
  <c r="AS177" i="9"/>
  <c r="BC177" i="9"/>
  <c r="BC181" i="9"/>
  <c r="AT181" i="9"/>
  <c r="AU181" i="9" s="1"/>
  <c r="AS181" i="9"/>
  <c r="AT185" i="9"/>
  <c r="AU185" i="9" s="1"/>
  <c r="AS185" i="9"/>
  <c r="BC185" i="9"/>
  <c r="BC189" i="9"/>
  <c r="AT189" i="9"/>
  <c r="AU189" i="9" s="1"/>
  <c r="AS189" i="9"/>
  <c r="AT193" i="9"/>
  <c r="AU193" i="9" s="1"/>
  <c r="AS193" i="9"/>
  <c r="BC193" i="9"/>
  <c r="BC197" i="9"/>
  <c r="AT197" i="9"/>
  <c r="AU197" i="9" s="1"/>
  <c r="AS197" i="9"/>
  <c r="BC204" i="9"/>
  <c r="AT204" i="9"/>
  <c r="AU204" i="9" s="1"/>
  <c r="AS204" i="9"/>
  <c r="AS212" i="9"/>
  <c r="BC212" i="9"/>
  <c r="AT212" i="9"/>
  <c r="AU212" i="9" s="1"/>
  <c r="BC220" i="9"/>
  <c r="AT220" i="9"/>
  <c r="AU220" i="9" s="1"/>
  <c r="AS220" i="9"/>
  <c r="AS228" i="9"/>
  <c r="BC228" i="9"/>
  <c r="AT228" i="9"/>
  <c r="AU228" i="9" s="1"/>
  <c r="BC236" i="9"/>
  <c r="AT236" i="9"/>
  <c r="AU236" i="9" s="1"/>
  <c r="AS236" i="9"/>
  <c r="AS251" i="9"/>
  <c r="BC251" i="9"/>
  <c r="AT251" i="9"/>
  <c r="AU251" i="9" s="1"/>
  <c r="BC267" i="9"/>
  <c r="AT267" i="9"/>
  <c r="AU267" i="9" s="1"/>
  <c r="AS267" i="9"/>
  <c r="AS207" i="9"/>
  <c r="BC207" i="9"/>
  <c r="AT207" i="9"/>
  <c r="AU207" i="9" s="1"/>
  <c r="BC215" i="9"/>
  <c r="AT215" i="9"/>
  <c r="AU215" i="9" s="1"/>
  <c r="AS215" i="9"/>
  <c r="AS223" i="9"/>
  <c r="BC223" i="9"/>
  <c r="AT223" i="9"/>
  <c r="AU223" i="9" s="1"/>
  <c r="BC231" i="9"/>
  <c r="AT231" i="9"/>
  <c r="AU231" i="9" s="1"/>
  <c r="AS231" i="9"/>
  <c r="AS241" i="9"/>
  <c r="BC241" i="9"/>
  <c r="AT241" i="9"/>
  <c r="AU241" i="9" s="1"/>
  <c r="BC257" i="9"/>
  <c r="AT257" i="9"/>
  <c r="AU257" i="9" s="1"/>
  <c r="AS257" i="9"/>
  <c r="AS271" i="9"/>
  <c r="BC271" i="9"/>
  <c r="AT271" i="9"/>
  <c r="AU271" i="9" s="1"/>
  <c r="BC279" i="9"/>
  <c r="AT279" i="9"/>
  <c r="AU279" i="9" s="1"/>
  <c r="AS279" i="9"/>
  <c r="AS293" i="9"/>
  <c r="BC293" i="9"/>
  <c r="AT293" i="9"/>
  <c r="AU293" i="9" s="1"/>
  <c r="BC238" i="9"/>
  <c r="AT238" i="9"/>
  <c r="AU238" i="9" s="1"/>
  <c r="AS238" i="9"/>
  <c r="AS246" i="9"/>
  <c r="BC246" i="9"/>
  <c r="AT246" i="9"/>
  <c r="AU246" i="9" s="1"/>
  <c r="BC254" i="9"/>
  <c r="AT254" i="9"/>
  <c r="AU254" i="9" s="1"/>
  <c r="AS254" i="9"/>
  <c r="AS262" i="9"/>
  <c r="BC262" i="9"/>
  <c r="AT262" i="9"/>
  <c r="AU262" i="9" s="1"/>
  <c r="BC270" i="9"/>
  <c r="AT270" i="9"/>
  <c r="AU270" i="9" s="1"/>
  <c r="AS270" i="9"/>
  <c r="AS278" i="9"/>
  <c r="BC278" i="9"/>
  <c r="AT278" i="9"/>
  <c r="AU278" i="9" s="1"/>
  <c r="BC291" i="9"/>
  <c r="AT291" i="9"/>
  <c r="AU291" i="9" s="1"/>
  <c r="AS291" i="9"/>
  <c r="AS317" i="9"/>
  <c r="BC317" i="9"/>
  <c r="AT317" i="9"/>
  <c r="AU317" i="9" s="1"/>
  <c r="BC311" i="9"/>
  <c r="AT311" i="9"/>
  <c r="AU311" i="9" s="1"/>
  <c r="AS311" i="9"/>
  <c r="AS284" i="9"/>
  <c r="BC284" i="9"/>
  <c r="AT284" i="9"/>
  <c r="AU284" i="9" s="1"/>
  <c r="BC292" i="9"/>
  <c r="AT292" i="9"/>
  <c r="AU292" i="9" s="1"/>
  <c r="AS292" i="9"/>
  <c r="AS300" i="9"/>
  <c r="BC300" i="9"/>
  <c r="AT300" i="9"/>
  <c r="AU300" i="9" s="1"/>
  <c r="AS308" i="9"/>
  <c r="BC308" i="9"/>
  <c r="AT308" i="9"/>
  <c r="AU308" i="9" s="1"/>
  <c r="AS316" i="9"/>
  <c r="BC316" i="9"/>
  <c r="AT316" i="9"/>
  <c r="AU316" i="9" s="1"/>
  <c r="AS40" i="9"/>
  <c r="BC40" i="9"/>
  <c r="AT40" i="9"/>
  <c r="AU40" i="9" s="1"/>
  <c r="BC47" i="9"/>
  <c r="AT47" i="9"/>
  <c r="AU47" i="9" s="1"/>
  <c r="AS47" i="9"/>
  <c r="BC51" i="9"/>
  <c r="AT51" i="9"/>
  <c r="AU51" i="9" s="1"/>
  <c r="AS51" i="9"/>
  <c r="BC55" i="9"/>
  <c r="AT55" i="9"/>
  <c r="AU55" i="9" s="1"/>
  <c r="AS55" i="9"/>
  <c r="BC59" i="9"/>
  <c r="AT59" i="9"/>
  <c r="AU59" i="9" s="1"/>
  <c r="AS59" i="9"/>
  <c r="AT63" i="9"/>
  <c r="AU63" i="9" s="1"/>
  <c r="AS63" i="9"/>
  <c r="BC63" i="9"/>
  <c r="AT67" i="9"/>
  <c r="AU67" i="9" s="1"/>
  <c r="AS67" i="9"/>
  <c r="BC67" i="9"/>
  <c r="AT71" i="9"/>
  <c r="AU71" i="9" s="1"/>
  <c r="AS71" i="9"/>
  <c r="BC71" i="9"/>
  <c r="AT75" i="9"/>
  <c r="AU75" i="9" s="1"/>
  <c r="AS75" i="9"/>
  <c r="BC75" i="9"/>
  <c r="AT79" i="9"/>
  <c r="AU79" i="9" s="1"/>
  <c r="AS79" i="9"/>
  <c r="BC79" i="9"/>
  <c r="AT83" i="9"/>
  <c r="AU83" i="9" s="1"/>
  <c r="AS83" i="9"/>
  <c r="BC83" i="9"/>
  <c r="AT87" i="9"/>
  <c r="AU87" i="9" s="1"/>
  <c r="AS87" i="9"/>
  <c r="BC87" i="9"/>
  <c r="AT91" i="9"/>
  <c r="AU91" i="9" s="1"/>
  <c r="AS91" i="9"/>
  <c r="BC91" i="9"/>
  <c r="AT95" i="9"/>
  <c r="AU95" i="9" s="1"/>
  <c r="AS95" i="9"/>
  <c r="BC95" i="9"/>
  <c r="AT99" i="9"/>
  <c r="AU99" i="9" s="1"/>
  <c r="AS99" i="9"/>
  <c r="BC99" i="9"/>
  <c r="AT103" i="9"/>
  <c r="AU103" i="9" s="1"/>
  <c r="AS103" i="9"/>
  <c r="BC103" i="9"/>
  <c r="AT107" i="9"/>
  <c r="AU107" i="9" s="1"/>
  <c r="AS107" i="9"/>
  <c r="BC107" i="9"/>
  <c r="BC111" i="9"/>
  <c r="AT111" i="9"/>
  <c r="AU111" i="9" s="1"/>
  <c r="AS111" i="9"/>
  <c r="BC115" i="9"/>
  <c r="AT115" i="9"/>
  <c r="AU115" i="9" s="1"/>
  <c r="AS115" i="9"/>
  <c r="BC119" i="9"/>
  <c r="AT119" i="9"/>
  <c r="AU119" i="9" s="1"/>
  <c r="AS119" i="9"/>
  <c r="BC123" i="9"/>
  <c r="AT123" i="9"/>
  <c r="AU123" i="9" s="1"/>
  <c r="AS123" i="9"/>
  <c r="BC127" i="9"/>
  <c r="AT127" i="9"/>
  <c r="AU127" i="9" s="1"/>
  <c r="AS127" i="9"/>
  <c r="BC131" i="9"/>
  <c r="AT131" i="9"/>
  <c r="AU131" i="9" s="1"/>
  <c r="AS131" i="9"/>
  <c r="BC135" i="9"/>
  <c r="AT135" i="9"/>
  <c r="AU135" i="9" s="1"/>
  <c r="AS135" i="9"/>
  <c r="BC139" i="9"/>
  <c r="AT139" i="9"/>
  <c r="AU139" i="9" s="1"/>
  <c r="AS139" i="9"/>
  <c r="BC143" i="9"/>
  <c r="AT143" i="9"/>
  <c r="AU143" i="9" s="1"/>
  <c r="AS143" i="9"/>
  <c r="BC147" i="9"/>
  <c r="AT147" i="9"/>
  <c r="AU147" i="9" s="1"/>
  <c r="AS147" i="9"/>
  <c r="BC150" i="9"/>
  <c r="AT150" i="9"/>
  <c r="AU150" i="9" s="1"/>
  <c r="AS150" i="9"/>
  <c r="BC154" i="9"/>
  <c r="AT154" i="9"/>
  <c r="AU154" i="9" s="1"/>
  <c r="AS154" i="9"/>
  <c r="BC158" i="9"/>
  <c r="AT158" i="9"/>
  <c r="AU158" i="9" s="1"/>
  <c r="AS158" i="9"/>
  <c r="BC162" i="9"/>
  <c r="AT162" i="9"/>
  <c r="AU162" i="9" s="1"/>
  <c r="AS162" i="9"/>
  <c r="BC166" i="9"/>
  <c r="AT166" i="9"/>
  <c r="AU166" i="9" s="1"/>
  <c r="AS166" i="9"/>
  <c r="BC170" i="9"/>
  <c r="AT170" i="9"/>
  <c r="AU170" i="9" s="1"/>
  <c r="AS170" i="9"/>
  <c r="BC174" i="9"/>
  <c r="AT174" i="9"/>
  <c r="AU174" i="9" s="1"/>
  <c r="AS174" i="9"/>
  <c r="BC178" i="9"/>
  <c r="AT178" i="9"/>
  <c r="AU178" i="9" s="1"/>
  <c r="AS178" i="9"/>
  <c r="BC182" i="9"/>
  <c r="AT182" i="9"/>
  <c r="AU182" i="9" s="1"/>
  <c r="AS182" i="9"/>
  <c r="BC186" i="9"/>
  <c r="AT186" i="9"/>
  <c r="AU186" i="9" s="1"/>
  <c r="AS186" i="9"/>
  <c r="BC190" i="9"/>
  <c r="AT190" i="9"/>
  <c r="AU190" i="9" s="1"/>
  <c r="AS190" i="9"/>
  <c r="BC194" i="9"/>
  <c r="AT194" i="9"/>
  <c r="AU194" i="9" s="1"/>
  <c r="AS194" i="9"/>
  <c r="BC198" i="9"/>
  <c r="AT198" i="9"/>
  <c r="AU198" i="9" s="1"/>
  <c r="AS198" i="9"/>
  <c r="AS206" i="9"/>
  <c r="BC206" i="9"/>
  <c r="AT206" i="9"/>
  <c r="AU206" i="9" s="1"/>
  <c r="AS214" i="9"/>
  <c r="BC214" i="9"/>
  <c r="AT214" i="9"/>
  <c r="AU214" i="9" s="1"/>
  <c r="AS222" i="9"/>
  <c r="BC222" i="9"/>
  <c r="AT222" i="9"/>
  <c r="AU222" i="9" s="1"/>
  <c r="AS230" i="9"/>
  <c r="BC230" i="9"/>
  <c r="AT230" i="9"/>
  <c r="AU230" i="9" s="1"/>
  <c r="AS239" i="9"/>
  <c r="BC239" i="9"/>
  <c r="AT239" i="9"/>
  <c r="AU239" i="9" s="1"/>
  <c r="AS255" i="9"/>
  <c r="BC255" i="9"/>
  <c r="AT255" i="9"/>
  <c r="AU255" i="9" s="1"/>
  <c r="AS201" i="9"/>
  <c r="BC201" i="9"/>
  <c r="AT201" i="9"/>
  <c r="AU201" i="9" s="1"/>
  <c r="AS209" i="9"/>
  <c r="BC209" i="9"/>
  <c r="AT209" i="9"/>
  <c r="AU209" i="9" s="1"/>
  <c r="AS217" i="9"/>
  <c r="BC217" i="9"/>
  <c r="AT217" i="9"/>
  <c r="AU217" i="9" s="1"/>
  <c r="AS225" i="9"/>
  <c r="BC225" i="9"/>
  <c r="AT225" i="9"/>
  <c r="AU225" i="9" s="1"/>
  <c r="AS233" i="9"/>
  <c r="BC233" i="9"/>
  <c r="AT233" i="9"/>
  <c r="AU233" i="9" s="1"/>
  <c r="AS245" i="9"/>
  <c r="BC245" i="9"/>
  <c r="AT245" i="9"/>
  <c r="AU245" i="9" s="1"/>
  <c r="AS261" i="9"/>
  <c r="BC261" i="9"/>
  <c r="AT261" i="9"/>
  <c r="AU261" i="9" s="1"/>
  <c r="AS273" i="9"/>
  <c r="BC273" i="9"/>
  <c r="AT273" i="9"/>
  <c r="AU273" i="9" s="1"/>
  <c r="AS281" i="9"/>
  <c r="BC281" i="9"/>
  <c r="AT281" i="9"/>
  <c r="AU281" i="9" s="1"/>
  <c r="AS297" i="9"/>
  <c r="BC297" i="9"/>
  <c r="AT297" i="9"/>
  <c r="AU297" i="9" s="1"/>
  <c r="AS240" i="9"/>
  <c r="BC240" i="9"/>
  <c r="AT240" i="9"/>
  <c r="AU240" i="9" s="1"/>
  <c r="AS248" i="9"/>
  <c r="BC248" i="9"/>
  <c r="AT248" i="9"/>
  <c r="AU248" i="9" s="1"/>
  <c r="AS256" i="9"/>
  <c r="BC256" i="9"/>
  <c r="AT256" i="9"/>
  <c r="AU256" i="9" s="1"/>
  <c r="AS264" i="9"/>
  <c r="BC264" i="9"/>
  <c r="AT264" i="9"/>
  <c r="AU264" i="9" s="1"/>
  <c r="AS272" i="9"/>
  <c r="BC272" i="9"/>
  <c r="AT272" i="9"/>
  <c r="AU272" i="9" s="1"/>
  <c r="AS280" i="9"/>
  <c r="BC280" i="9"/>
  <c r="AT280" i="9"/>
  <c r="AU280" i="9" s="1"/>
  <c r="AS295" i="9"/>
  <c r="BC295" i="9"/>
  <c r="AT295" i="9"/>
  <c r="AU295" i="9" s="1"/>
  <c r="AS299" i="9"/>
  <c r="BC299" i="9"/>
  <c r="AT299" i="9"/>
  <c r="AU299" i="9" s="1"/>
  <c r="AS315" i="9"/>
  <c r="BC315" i="9"/>
  <c r="AT315" i="9"/>
  <c r="AU315" i="9" s="1"/>
  <c r="AS286" i="9"/>
  <c r="BC286" i="9"/>
  <c r="AT286" i="9"/>
  <c r="AU286" i="9" s="1"/>
  <c r="AS294" i="9"/>
  <c r="BC294" i="9"/>
  <c r="AT294" i="9"/>
  <c r="AU294" i="9" s="1"/>
  <c r="AS302" i="9"/>
  <c r="BC302" i="9"/>
  <c r="AT302" i="9"/>
  <c r="AU302" i="9" s="1"/>
  <c r="AS310" i="9"/>
  <c r="BC310" i="9"/>
  <c r="AT310" i="9"/>
  <c r="AU310" i="9" s="1"/>
  <c r="AS318" i="9"/>
  <c r="BC318" i="9"/>
  <c r="AT318" i="9"/>
  <c r="AU318" i="9" s="1"/>
  <c r="BC39" i="9"/>
  <c r="AT39" i="9"/>
  <c r="AU39" i="9" s="1"/>
  <c r="AS39" i="9"/>
  <c r="BC36" i="9"/>
  <c r="AT36" i="9"/>
  <c r="AU36" i="9" s="1"/>
  <c r="AS36" i="9"/>
  <c r="BC32" i="9"/>
  <c r="AT32" i="9"/>
  <c r="AU32" i="9" s="1"/>
  <c r="AS32" i="9"/>
  <c r="AS28" i="9"/>
  <c r="BC28" i="9"/>
  <c r="AT28" i="9"/>
  <c r="AU28" i="9" s="1"/>
  <c r="BC24" i="9"/>
  <c r="AT24" i="9"/>
  <c r="AU24" i="9" s="1"/>
  <c r="AS24" i="9"/>
  <c r="AS20" i="9"/>
  <c r="BC20" i="9"/>
  <c r="AT20" i="9"/>
  <c r="AU20" i="9" s="1"/>
  <c r="BC16" i="9"/>
  <c r="AT16" i="9"/>
  <c r="AU16" i="9" s="1"/>
  <c r="AS16" i="9"/>
  <c r="BC12" i="9"/>
  <c r="AT12" i="9"/>
  <c r="AU12" i="9" s="1"/>
  <c r="AS12" i="9"/>
  <c r="BC8" i="9"/>
  <c r="AT8" i="9"/>
  <c r="AU8" i="9" s="1"/>
  <c r="AS8" i="9"/>
  <c r="BC37" i="9"/>
  <c r="AT37" i="9"/>
  <c r="AU37" i="9" s="1"/>
  <c r="AS37" i="9"/>
  <c r="BC33" i="9"/>
  <c r="AT33" i="9"/>
  <c r="AU33" i="9" s="1"/>
  <c r="AS33" i="9"/>
  <c r="BC29" i="9"/>
  <c r="AT29" i="9"/>
  <c r="AU29" i="9" s="1"/>
  <c r="AS29" i="9"/>
  <c r="AS25" i="9"/>
  <c r="BC25" i="9"/>
  <c r="AT25" i="9"/>
  <c r="AU25" i="9" s="1"/>
  <c r="AS21" i="9"/>
  <c r="BC21" i="9"/>
  <c r="AT21" i="9"/>
  <c r="AU21" i="9" s="1"/>
  <c r="BC17" i="9"/>
  <c r="AT17" i="9"/>
  <c r="AU17" i="9" s="1"/>
  <c r="AS17" i="9"/>
  <c r="AS13" i="9"/>
  <c r="BC13" i="9"/>
  <c r="AT13" i="9"/>
  <c r="AU13" i="9" s="1"/>
  <c r="BC9" i="9"/>
  <c r="AT9" i="9"/>
  <c r="AU9" i="9" s="1"/>
  <c r="AS9" i="9"/>
  <c r="BC5" i="9"/>
  <c r="AT5" i="9"/>
  <c r="AR320" i="9"/>
  <c r="AS5" i="9"/>
  <c r="AP378" i="9"/>
  <c r="AK378" i="9" s="1"/>
  <c r="AH353" i="9"/>
  <c r="AF349" i="9"/>
  <c r="AH357" i="9"/>
  <c r="BB176" i="9"/>
  <c r="BB33" i="9"/>
  <c r="BB278" i="9"/>
  <c r="CB45" i="9"/>
  <c r="S369" i="9"/>
  <c r="CB180" i="9"/>
  <c r="AN357" i="9"/>
  <c r="AY66" i="9"/>
  <c r="AW66" i="9"/>
  <c r="AZ66" i="9"/>
  <c r="BD66" i="9"/>
  <c r="BB66" i="9"/>
  <c r="AY304" i="9"/>
  <c r="AW304" i="9"/>
  <c r="AZ304" i="9"/>
  <c r="BD304" i="9"/>
  <c r="BB304" i="9"/>
  <c r="AY82" i="9"/>
  <c r="AW82" i="9"/>
  <c r="AZ82" i="9"/>
  <c r="BD82" i="9"/>
  <c r="BB82" i="9"/>
  <c r="AY98" i="9"/>
  <c r="AW98" i="9"/>
  <c r="AZ98" i="9"/>
  <c r="BD98" i="9"/>
  <c r="BB98" i="9"/>
  <c r="AW194" i="9"/>
  <c r="AY194" i="9"/>
  <c r="AZ194" i="9"/>
  <c r="BD194" i="9"/>
  <c r="BB194" i="9"/>
  <c r="BD297" i="9"/>
  <c r="AY297" i="9"/>
  <c r="AW297" i="9"/>
  <c r="AZ297" i="9"/>
  <c r="BB297" i="9"/>
  <c r="CB168" i="9"/>
  <c r="AY236" i="9"/>
  <c r="AW236" i="9"/>
  <c r="AZ236" i="9"/>
  <c r="BD236" i="9"/>
  <c r="BB236" i="9"/>
  <c r="AY226" i="9"/>
  <c r="AW226" i="9"/>
  <c r="AZ226" i="9"/>
  <c r="BD226" i="9"/>
  <c r="BB226" i="9"/>
  <c r="AY96" i="9"/>
  <c r="AW96" i="9"/>
  <c r="BD96" i="9"/>
  <c r="AZ96" i="9"/>
  <c r="BD281" i="9"/>
  <c r="AY281" i="9"/>
  <c r="AW281" i="9"/>
  <c r="AZ281" i="9"/>
  <c r="AW116" i="9"/>
  <c r="AY116" i="9"/>
  <c r="BD116" i="9"/>
  <c r="AZ116" i="9"/>
  <c r="AZ81" i="9"/>
  <c r="AY81" i="9"/>
  <c r="AW81" i="9"/>
  <c r="BD81" i="9"/>
  <c r="BB81" i="9"/>
  <c r="AW254" i="9"/>
  <c r="AY254" i="9"/>
  <c r="AZ254" i="9"/>
  <c r="BD254" i="9"/>
  <c r="BB254" i="9"/>
  <c r="AY162" i="9"/>
  <c r="AW162" i="9"/>
  <c r="AZ162" i="9"/>
  <c r="BD162" i="9"/>
  <c r="BB162" i="9"/>
  <c r="AZ89" i="9"/>
  <c r="AY89" i="9"/>
  <c r="AW89" i="9"/>
  <c r="BD89" i="9"/>
  <c r="BB89" i="9"/>
  <c r="AY230" i="9"/>
  <c r="AW230" i="9"/>
  <c r="AZ230" i="9"/>
  <c r="BD230" i="9"/>
  <c r="BB230" i="9"/>
  <c r="BD280" i="9"/>
  <c r="AW280" i="9"/>
  <c r="AY280" i="9"/>
  <c r="AZ280" i="9"/>
  <c r="AZ114" i="9"/>
  <c r="AY114" i="9"/>
  <c r="AW114" i="9"/>
  <c r="BD114" i="9"/>
  <c r="AY64" i="9"/>
  <c r="AW64" i="9"/>
  <c r="BD64" i="9"/>
  <c r="AZ64" i="9"/>
  <c r="AY104" i="9"/>
  <c r="AW104" i="9"/>
  <c r="BD104" i="9"/>
  <c r="AZ104" i="9"/>
  <c r="AZ51" i="9"/>
  <c r="AX328" i="9"/>
  <c r="AY51" i="9"/>
  <c r="AW51" i="9"/>
  <c r="BD51" i="9"/>
  <c r="BM271" i="9"/>
  <c r="BJ271" i="9"/>
  <c r="BL271" i="9"/>
  <c r="BO271" i="9"/>
  <c r="BQ271" i="9"/>
  <c r="BM65" i="9"/>
  <c r="BJ65" i="9"/>
  <c r="BL65" i="9"/>
  <c r="BQ65" i="9"/>
  <c r="BO65" i="9"/>
  <c r="BM27" i="9"/>
  <c r="BJ27" i="9"/>
  <c r="BL27" i="9"/>
  <c r="BQ27" i="9"/>
  <c r="BM292" i="9"/>
  <c r="BJ292" i="9"/>
  <c r="BL292" i="9"/>
  <c r="BO292" i="9"/>
  <c r="BQ292" i="9"/>
  <c r="BM266" i="9"/>
  <c r="BJ266" i="9"/>
  <c r="BL266" i="9"/>
  <c r="BO266" i="9"/>
  <c r="BQ266" i="9"/>
  <c r="BM93" i="9"/>
  <c r="BJ93" i="9"/>
  <c r="BL93" i="9"/>
  <c r="BQ93" i="9"/>
  <c r="BO93" i="9"/>
  <c r="BI344" i="9"/>
  <c r="BK411" i="9" s="1"/>
  <c r="BJ411" i="9" s="1"/>
  <c r="BB51" i="9"/>
  <c r="BB141" i="9"/>
  <c r="AN361" i="9"/>
  <c r="AN364" i="9"/>
  <c r="AW118" i="9"/>
  <c r="AY118" i="9"/>
  <c r="BD118" i="9"/>
  <c r="AZ118" i="9"/>
  <c r="BB118" i="9"/>
  <c r="AY74" i="9"/>
  <c r="AW74" i="9"/>
  <c r="AZ74" i="9"/>
  <c r="BD74" i="9"/>
  <c r="BB74" i="9"/>
  <c r="AY50" i="9"/>
  <c r="AW50" i="9"/>
  <c r="AZ50" i="9"/>
  <c r="BD50" i="9"/>
  <c r="AY86" i="9"/>
  <c r="AW86" i="9"/>
  <c r="BD86" i="9"/>
  <c r="AZ86" i="9"/>
  <c r="BB86" i="9"/>
  <c r="AY102" i="9"/>
  <c r="AW102" i="9"/>
  <c r="BD102" i="9"/>
  <c r="AZ102" i="9"/>
  <c r="BB102" i="9"/>
  <c r="AW134" i="9"/>
  <c r="AY134" i="9"/>
  <c r="BD134" i="9"/>
  <c r="AZ134" i="9"/>
  <c r="AW138" i="9"/>
  <c r="AY138" i="9"/>
  <c r="AZ138" i="9"/>
  <c r="BD138" i="9"/>
  <c r="AW290" i="9"/>
  <c r="AY290" i="9"/>
  <c r="AZ290" i="9"/>
  <c r="BD290" i="9"/>
  <c r="AY160" i="9"/>
  <c r="AW160" i="9"/>
  <c r="AZ160" i="9"/>
  <c r="BD160" i="9"/>
  <c r="BB160" i="9"/>
  <c r="AZ53" i="9"/>
  <c r="AY53" i="9"/>
  <c r="AW53" i="9"/>
  <c r="BD53" i="9"/>
  <c r="BB53" i="9"/>
  <c r="AW316" i="9"/>
  <c r="AY316" i="9"/>
  <c r="AZ316" i="9"/>
  <c r="BD316" i="9"/>
  <c r="BD314" i="9"/>
  <c r="AY314" i="9"/>
  <c r="AW314" i="9"/>
  <c r="AZ314" i="9"/>
  <c r="BB314" i="9"/>
  <c r="AY299" i="9"/>
  <c r="AW299" i="9"/>
  <c r="BD299" i="9"/>
  <c r="AZ299" i="9"/>
  <c r="AW15" i="9"/>
  <c r="AY15" i="9"/>
  <c r="BD15" i="9"/>
  <c r="AZ15" i="9"/>
  <c r="AW282" i="9"/>
  <c r="AY282" i="9"/>
  <c r="AZ282" i="9"/>
  <c r="BD282" i="9"/>
  <c r="BD247" i="9"/>
  <c r="AY247" i="9"/>
  <c r="AW247" i="9"/>
  <c r="AZ247" i="9"/>
  <c r="BB247" i="9"/>
  <c r="AY231" i="9"/>
  <c r="AW231" i="9"/>
  <c r="AZ231" i="9"/>
  <c r="BD231" i="9"/>
  <c r="BB231" i="9"/>
  <c r="BD309" i="9"/>
  <c r="AW309" i="9"/>
  <c r="AY309" i="9"/>
  <c r="AZ309" i="9"/>
  <c r="BB309" i="9"/>
  <c r="BD239" i="9"/>
  <c r="AY239" i="9"/>
  <c r="AW239" i="9"/>
  <c r="AZ239" i="9"/>
  <c r="BB239" i="9"/>
  <c r="AW207" i="9"/>
  <c r="AY207" i="9"/>
  <c r="AZ207" i="9"/>
  <c r="BD207" i="9"/>
  <c r="BB207" i="9"/>
  <c r="AY28" i="9"/>
  <c r="AW28" i="9"/>
  <c r="BD28" i="9"/>
  <c r="AZ28" i="9"/>
  <c r="BB28" i="9"/>
  <c r="AY56" i="9"/>
  <c r="AW56" i="9"/>
  <c r="BD56" i="9"/>
  <c r="AZ56" i="9"/>
  <c r="BB56" i="9"/>
  <c r="AW43" i="9"/>
  <c r="AY43" i="9"/>
  <c r="AZ43" i="9"/>
  <c r="BD43" i="9"/>
  <c r="BB43" i="9"/>
  <c r="AZ97" i="9"/>
  <c r="AY97" i="9"/>
  <c r="AW97" i="9"/>
  <c r="BD97" i="9"/>
  <c r="BB97" i="9"/>
  <c r="AY80" i="9"/>
  <c r="AW80" i="9"/>
  <c r="BD80" i="9"/>
  <c r="AZ80" i="9"/>
  <c r="AW368" i="9"/>
  <c r="AW366" i="9"/>
  <c r="AW367" i="9"/>
  <c r="AF361" i="9"/>
  <c r="AF364" i="9"/>
  <c r="AH361" i="9"/>
  <c r="AH364" i="9"/>
  <c r="AH5" i="9"/>
  <c r="AH320" i="9" s="1"/>
  <c r="AG320" i="9"/>
  <c r="BO27" i="9"/>
  <c r="BB318" i="9"/>
  <c r="BB13" i="9"/>
  <c r="AW191" i="9"/>
  <c r="AY191" i="9"/>
  <c r="AZ191" i="9"/>
  <c r="BD191" i="9"/>
  <c r="AY296" i="9"/>
  <c r="AW296" i="9"/>
  <c r="BD296" i="9"/>
  <c r="AZ296" i="9"/>
  <c r="BD244" i="9"/>
  <c r="AY244" i="9"/>
  <c r="AW244" i="9"/>
  <c r="AZ244" i="9"/>
  <c r="AY234" i="9"/>
  <c r="AW234" i="9"/>
  <c r="AZ234" i="9"/>
  <c r="BD234" i="9"/>
  <c r="BB234" i="9"/>
  <c r="AY228" i="9"/>
  <c r="AW228" i="9"/>
  <c r="AZ228" i="9"/>
  <c r="BD228" i="9"/>
  <c r="AY115" i="9"/>
  <c r="AW115" i="9"/>
  <c r="AZ115" i="9"/>
  <c r="BD115" i="9"/>
  <c r="AW22" i="9"/>
  <c r="AY22" i="9"/>
  <c r="AZ22" i="9"/>
  <c r="BD22" i="9"/>
  <c r="BB22" i="9"/>
  <c r="AZ67" i="9"/>
  <c r="AY67" i="9"/>
  <c r="AW67" i="9"/>
  <c r="BD67" i="9"/>
  <c r="BB67" i="9"/>
  <c r="AY78" i="9"/>
  <c r="AW78" i="9"/>
  <c r="BD78" i="9"/>
  <c r="AZ78" i="9"/>
  <c r="AY18" i="9"/>
  <c r="AW18" i="9"/>
  <c r="AZ18" i="9"/>
  <c r="BD18" i="9"/>
  <c r="AW34" i="9"/>
  <c r="AY34" i="9"/>
  <c r="AZ34" i="9"/>
  <c r="BD34" i="9"/>
  <c r="AZ49" i="9"/>
  <c r="AW49" i="9"/>
  <c r="AY49" i="9"/>
  <c r="BD49" i="9"/>
  <c r="BD263" i="9"/>
  <c r="AY263" i="9"/>
  <c r="AW263" i="9"/>
  <c r="AZ263" i="9"/>
  <c r="AW36" i="9"/>
  <c r="AY36" i="9"/>
  <c r="AZ36" i="9"/>
  <c r="BD36" i="9"/>
  <c r="AY52" i="9"/>
  <c r="AW52" i="9"/>
  <c r="BD52" i="9"/>
  <c r="AZ52" i="9"/>
  <c r="BB52" i="9"/>
  <c r="AY106" i="9"/>
  <c r="AW106" i="9"/>
  <c r="AZ106" i="9"/>
  <c r="BD106" i="9"/>
  <c r="BB106" i="9"/>
  <c r="BB78" i="9"/>
  <c r="BB173" i="9"/>
  <c r="BB71" i="9"/>
  <c r="BB26" i="9"/>
  <c r="BB169" i="9"/>
  <c r="BB170" i="9"/>
  <c r="AY166" i="9"/>
  <c r="AW166" i="9"/>
  <c r="AZ166" i="9"/>
  <c r="BD166" i="9"/>
  <c r="BB166" i="9"/>
  <c r="AY150" i="9"/>
  <c r="AW150" i="9"/>
  <c r="AZ150" i="9"/>
  <c r="BD150" i="9"/>
  <c r="BB150" i="9"/>
  <c r="AZ130" i="9"/>
  <c r="AW130" i="9"/>
  <c r="AY130" i="9"/>
  <c r="BD130" i="9"/>
  <c r="BB25" i="9"/>
  <c r="AY319" i="9"/>
  <c r="AW319" i="9"/>
  <c r="AZ319" i="9"/>
  <c r="BD319" i="9"/>
  <c r="BD240" i="9"/>
  <c r="AW240" i="9"/>
  <c r="AY240" i="9"/>
  <c r="AZ240" i="9"/>
  <c r="BB240" i="9"/>
  <c r="BB255" i="9"/>
  <c r="BB100" i="9"/>
  <c r="BB68" i="9"/>
  <c r="AZ20" i="9"/>
  <c r="AY20" i="9"/>
  <c r="AW20" i="9"/>
  <c r="BD20" i="9"/>
  <c r="BB20" i="9"/>
  <c r="AW12" i="9"/>
  <c r="AY12" i="9"/>
  <c r="BD12" i="9"/>
  <c r="AZ12" i="9"/>
  <c r="BB12" i="9"/>
  <c r="AY208" i="9"/>
  <c r="AW208" i="9"/>
  <c r="AZ208" i="9"/>
  <c r="BD208" i="9"/>
  <c r="BB208" i="9"/>
  <c r="AZ146" i="9"/>
  <c r="AY146" i="9"/>
  <c r="AW146" i="9"/>
  <c r="BD146" i="9"/>
  <c r="BB146" i="9"/>
  <c r="BD252" i="9"/>
  <c r="AY252" i="9"/>
  <c r="AW252" i="9"/>
  <c r="AZ252" i="9"/>
  <c r="BB252" i="9"/>
  <c r="BX6" i="9"/>
  <c r="BZ119" i="9"/>
  <c r="CA119" i="9" s="1"/>
  <c r="BY119" i="9"/>
  <c r="BW119" i="9"/>
  <c r="BX186" i="9"/>
  <c r="BX198" i="9"/>
  <c r="BY219" i="9"/>
  <c r="BW219" i="9"/>
  <c r="CI315" i="9"/>
  <c r="CI313" i="9"/>
  <c r="CI307" i="9"/>
  <c r="CI305" i="9"/>
  <c r="CI303" i="9"/>
  <c r="CI319" i="9"/>
  <c r="CI312" i="9"/>
  <c r="CI308" i="9"/>
  <c r="CI304" i="9"/>
  <c r="CI301" i="9"/>
  <c r="CI299" i="9"/>
  <c r="CI297" i="9"/>
  <c r="CI295" i="9"/>
  <c r="CI293" i="9"/>
  <c r="CI291" i="9"/>
  <c r="CI289" i="9"/>
  <c r="CI287" i="9"/>
  <c r="CI285" i="9"/>
  <c r="CI283" i="9"/>
  <c r="CI281" i="9"/>
  <c r="CI314" i="9"/>
  <c r="CI306" i="9"/>
  <c r="CI302" i="9"/>
  <c r="CI298" i="9"/>
  <c r="CI294" i="9"/>
  <c r="CI290" i="9"/>
  <c r="CI286" i="9"/>
  <c r="CI282" i="9"/>
  <c r="CI278" i="9"/>
  <c r="CI277" i="9"/>
  <c r="CI275" i="9"/>
  <c r="CI273" i="9"/>
  <c r="CI271" i="9"/>
  <c r="CI269" i="9"/>
  <c r="CI267" i="9"/>
  <c r="CI265" i="9"/>
  <c r="CI263" i="9"/>
  <c r="CI261" i="9"/>
  <c r="CI259" i="9"/>
  <c r="CI257" i="9"/>
  <c r="CI255" i="9"/>
  <c r="CI253" i="9"/>
  <c r="CI251" i="9"/>
  <c r="CI249" i="9"/>
  <c r="CI247" i="9"/>
  <c r="CI245" i="9"/>
  <c r="CI279" i="9"/>
  <c r="CK268" i="9"/>
  <c r="CO268" i="9" s="1"/>
  <c r="CK260" i="9"/>
  <c r="CQ260" i="9" s="1"/>
  <c r="CK256" i="9"/>
  <c r="CI242" i="9"/>
  <c r="CI238" i="9"/>
  <c r="CI234" i="9"/>
  <c r="CI230" i="9"/>
  <c r="CI226" i="9"/>
  <c r="CI222" i="9"/>
  <c r="CK220" i="9"/>
  <c r="CO220" i="9" s="1"/>
  <c r="CI218" i="9"/>
  <c r="CI214" i="9"/>
  <c r="CK235" i="9"/>
  <c r="CK223" i="9"/>
  <c r="CQ223" i="9" s="1"/>
  <c r="CK219" i="9"/>
  <c r="CK215" i="9"/>
  <c r="CK211" i="9"/>
  <c r="CI209" i="9"/>
  <c r="CI207" i="9"/>
  <c r="CI201" i="9"/>
  <c r="CI199" i="9"/>
  <c r="CI193" i="9"/>
  <c r="CI191" i="9"/>
  <c r="CI185" i="9"/>
  <c r="CI183" i="9"/>
  <c r="CI177" i="9"/>
  <c r="CI175" i="9"/>
  <c r="CK204" i="9"/>
  <c r="CM204" i="9" s="1"/>
  <c r="CN204" i="9" s="1"/>
  <c r="CI202" i="9"/>
  <c r="CI198" i="9"/>
  <c r="CI318" i="9"/>
  <c r="CI316" i="9"/>
  <c r="CI317" i="9"/>
  <c r="CI311" i="9"/>
  <c r="CI309" i="9"/>
  <c r="CK306" i="9"/>
  <c r="CM306" i="9" s="1"/>
  <c r="CN306" i="9" s="1"/>
  <c r="CK295" i="9"/>
  <c r="CQ295" i="9" s="1"/>
  <c r="CK287" i="9"/>
  <c r="CI310" i="9"/>
  <c r="CI300" i="9"/>
  <c r="CK298" i="9"/>
  <c r="CI296" i="9"/>
  <c r="CI292" i="9"/>
  <c r="CI288" i="9"/>
  <c r="CI284" i="9"/>
  <c r="CI280" i="9"/>
  <c r="CK273" i="9"/>
  <c r="CI243" i="9"/>
  <c r="CI276" i="9"/>
  <c r="CI274" i="9"/>
  <c r="CI272" i="9"/>
  <c r="CI270" i="9"/>
  <c r="CI268" i="9"/>
  <c r="CI266" i="9"/>
  <c r="CI264" i="9"/>
  <c r="CI262" i="9"/>
  <c r="CI260" i="9"/>
  <c r="CI258" i="9"/>
  <c r="CI256" i="9"/>
  <c r="CI254" i="9"/>
  <c r="CI252" i="9"/>
  <c r="CI250" i="9"/>
  <c r="CI248" i="9"/>
  <c r="CI246" i="9"/>
  <c r="CI244" i="9"/>
  <c r="CI240" i="9"/>
  <c r="CI236" i="9"/>
  <c r="CI232" i="9"/>
  <c r="CI228" i="9"/>
  <c r="CI224" i="9"/>
  <c r="CI220" i="9"/>
  <c r="CI216" i="9"/>
  <c r="CI241" i="9"/>
  <c r="CI239" i="9"/>
  <c r="CI237" i="9"/>
  <c r="CI235" i="9"/>
  <c r="CI233" i="9"/>
  <c r="CI231" i="9"/>
  <c r="CI229" i="9"/>
  <c r="CI227" i="9"/>
  <c r="CI225" i="9"/>
  <c r="CI223" i="9"/>
  <c r="CI221" i="9"/>
  <c r="CI219" i="9"/>
  <c r="CI217" i="9"/>
  <c r="CI215" i="9"/>
  <c r="CI213" i="9"/>
  <c r="CI211" i="9"/>
  <c r="CI205" i="9"/>
  <c r="CI203" i="9"/>
  <c r="CI197" i="9"/>
  <c r="CI195" i="9"/>
  <c r="CI189" i="9"/>
  <c r="CI187" i="9"/>
  <c r="CI181" i="9"/>
  <c r="CI179" i="9"/>
  <c r="CI210" i="9"/>
  <c r="CI206" i="9"/>
  <c r="CI194" i="9"/>
  <c r="CI190" i="9"/>
  <c r="CI178" i="9"/>
  <c r="CI174" i="9"/>
  <c r="CI172" i="9"/>
  <c r="CI166" i="9"/>
  <c r="CI164" i="9"/>
  <c r="CI158" i="9"/>
  <c r="CI156" i="9"/>
  <c r="CI150" i="9"/>
  <c r="CI148" i="9"/>
  <c r="CI142" i="9"/>
  <c r="CI140" i="9"/>
  <c r="CK136" i="9"/>
  <c r="CI134" i="9"/>
  <c r="CI132" i="9"/>
  <c r="CI126" i="9"/>
  <c r="CI124" i="9"/>
  <c r="CI208" i="9"/>
  <c r="CI200" i="9"/>
  <c r="CI192" i="9"/>
  <c r="CI184" i="9"/>
  <c r="CI176" i="9"/>
  <c r="CI171" i="9"/>
  <c r="CI167" i="9"/>
  <c r="CI163" i="9"/>
  <c r="CI159" i="9"/>
  <c r="CI155" i="9"/>
  <c r="CI151" i="9"/>
  <c r="CI147" i="9"/>
  <c r="CI143" i="9"/>
  <c r="CI139" i="9"/>
  <c r="CI135" i="9"/>
  <c r="CI131" i="9"/>
  <c r="CI127" i="9"/>
  <c r="CI182" i="9"/>
  <c r="CI170" i="9"/>
  <c r="CI160" i="9"/>
  <c r="CI154" i="9"/>
  <c r="CI144" i="9"/>
  <c r="CI138" i="9"/>
  <c r="CK132" i="9"/>
  <c r="CI128" i="9"/>
  <c r="CI121" i="9"/>
  <c r="CI117" i="9"/>
  <c r="CI113" i="9"/>
  <c r="CI109" i="9"/>
  <c r="CI105" i="9"/>
  <c r="CI101" i="9"/>
  <c r="CI97" i="9"/>
  <c r="CI93" i="9"/>
  <c r="CI89" i="9"/>
  <c r="CI85" i="9"/>
  <c r="CI81" i="9"/>
  <c r="CI77" i="9"/>
  <c r="CI73" i="9"/>
  <c r="CI69" i="9"/>
  <c r="CI65" i="9"/>
  <c r="CI61" i="9"/>
  <c r="CI57" i="9"/>
  <c r="CI53" i="9"/>
  <c r="CI49" i="9"/>
  <c r="CI45" i="9"/>
  <c r="CI41" i="9"/>
  <c r="CI37" i="9"/>
  <c r="CI33" i="9"/>
  <c r="CI29" i="9"/>
  <c r="CI25" i="9"/>
  <c r="CI21" i="9"/>
  <c r="CI212" i="9"/>
  <c r="CI204" i="9"/>
  <c r="CI196" i="9"/>
  <c r="CI188" i="9"/>
  <c r="CI180" i="9"/>
  <c r="CI169" i="9"/>
  <c r="CI161" i="9"/>
  <c r="CI153" i="9"/>
  <c r="CI145" i="9"/>
  <c r="CI137" i="9"/>
  <c r="CI129" i="9"/>
  <c r="CK88" i="9"/>
  <c r="CK72" i="9"/>
  <c r="CQ72" i="9" s="1"/>
  <c r="CK62" i="9"/>
  <c r="CO62" i="9" s="1"/>
  <c r="CK48" i="9"/>
  <c r="CQ48" i="9" s="1"/>
  <c r="CI26" i="9"/>
  <c r="CI22" i="9"/>
  <c r="CI18" i="9"/>
  <c r="CI14" i="9"/>
  <c r="CI10" i="9"/>
  <c r="CI6" i="9"/>
  <c r="CO4" i="9"/>
  <c r="CI4" i="9"/>
  <c r="CJ4" i="9" s="1"/>
  <c r="CI36" i="9"/>
  <c r="CI28" i="9"/>
  <c r="CI17" i="9"/>
  <c r="CI15" i="9"/>
  <c r="CP4" i="9"/>
  <c r="CI13" i="9"/>
  <c r="CI9" i="9"/>
  <c r="CI7" i="9"/>
  <c r="CI5" i="9"/>
  <c r="CI186" i="9"/>
  <c r="CI168" i="9"/>
  <c r="CI162" i="9"/>
  <c r="CI152" i="9"/>
  <c r="CI146" i="9"/>
  <c r="CI136" i="9"/>
  <c r="CI130" i="9"/>
  <c r="CI123" i="9"/>
  <c r="CI119" i="9"/>
  <c r="CI115" i="9"/>
  <c r="CI111" i="9"/>
  <c r="CI107" i="9"/>
  <c r="CI103" i="9"/>
  <c r="CI99" i="9"/>
  <c r="CI95" i="9"/>
  <c r="CI91" i="9"/>
  <c r="CI87" i="9"/>
  <c r="CI83" i="9"/>
  <c r="CI79" i="9"/>
  <c r="CI75" i="9"/>
  <c r="CI71" i="9"/>
  <c r="CI67" i="9"/>
  <c r="CI63" i="9"/>
  <c r="CI59" i="9"/>
  <c r="CI55" i="9"/>
  <c r="CI51" i="9"/>
  <c r="CI47" i="9"/>
  <c r="CK45" i="9"/>
  <c r="CI43" i="9"/>
  <c r="CI39" i="9"/>
  <c r="CI35" i="9"/>
  <c r="CI31" i="9"/>
  <c r="CI27" i="9"/>
  <c r="CI23" i="9"/>
  <c r="CI19" i="9"/>
  <c r="CI173" i="9"/>
  <c r="CI165" i="9"/>
  <c r="CI157" i="9"/>
  <c r="CI149" i="9"/>
  <c r="CI141" i="9"/>
  <c r="CI133" i="9"/>
  <c r="CI125" i="9"/>
  <c r="CI122" i="9"/>
  <c r="CI120" i="9"/>
  <c r="CI118" i="9"/>
  <c r="CI116" i="9"/>
  <c r="CI114" i="9"/>
  <c r="CI112" i="9"/>
  <c r="CI110" i="9"/>
  <c r="CI108" i="9"/>
  <c r="CI106" i="9"/>
  <c r="CI104" i="9"/>
  <c r="CI102" i="9"/>
  <c r="CI100" i="9"/>
  <c r="CI98" i="9"/>
  <c r="CI96" i="9"/>
  <c r="CI94" i="9"/>
  <c r="CI92" i="9"/>
  <c r="CI90" i="9"/>
  <c r="CI88" i="9"/>
  <c r="CI86" i="9"/>
  <c r="CI84" i="9"/>
  <c r="CI82" i="9"/>
  <c r="CI80" i="9"/>
  <c r="CI78" i="9"/>
  <c r="CI76" i="9"/>
  <c r="CI74" i="9"/>
  <c r="CI72" i="9"/>
  <c r="CI70" i="9"/>
  <c r="CI68" i="9"/>
  <c r="CI66" i="9"/>
  <c r="CI64" i="9"/>
  <c r="CI62" i="9"/>
  <c r="CI60" i="9"/>
  <c r="CI58" i="9"/>
  <c r="CI56" i="9"/>
  <c r="CI54" i="9"/>
  <c r="CI52" i="9"/>
  <c r="CI50" i="9"/>
  <c r="CI48" i="9"/>
  <c r="CI46" i="9"/>
  <c r="CI44" i="9"/>
  <c r="CI42" i="9"/>
  <c r="CI40" i="9"/>
  <c r="CI38" i="9"/>
  <c r="CI34" i="9"/>
  <c r="CI30" i="9"/>
  <c r="CK24" i="9"/>
  <c r="CQ24" i="9" s="1"/>
  <c r="CI16" i="9"/>
  <c r="CI12" i="9"/>
  <c r="CI8" i="9"/>
  <c r="CQ4" i="9"/>
  <c r="CK4" i="9"/>
  <c r="CI32" i="9"/>
  <c r="CI20" i="9"/>
  <c r="CI11" i="9"/>
  <c r="CN4" i="9"/>
  <c r="CI24" i="9"/>
  <c r="CZ4" i="9"/>
  <c r="CQ88" i="9"/>
  <c r="CQ136" i="9"/>
  <c r="CQ256" i="9"/>
  <c r="CQ287" i="9"/>
  <c r="CK16" i="9"/>
  <c r="CQ16" i="9" s="1"/>
  <c r="CQ220" i="9"/>
  <c r="CQ62" i="9"/>
  <c r="CK126" i="9"/>
  <c r="CM126" i="9" s="1"/>
  <c r="CN126" i="9" s="1"/>
  <c r="CK201" i="9"/>
  <c r="CK205" i="9"/>
  <c r="CK209" i="9"/>
  <c r="CQ215" i="9"/>
  <c r="CQ273" i="9"/>
  <c r="CM205" i="9"/>
  <c r="CN205" i="9" s="1"/>
  <c r="CQ209" i="9"/>
  <c r="CQ205" i="9"/>
  <c r="CQ201" i="9"/>
  <c r="CQ126" i="9"/>
  <c r="CM16" i="9"/>
  <c r="CN16" i="9" s="1"/>
  <c r="CD16" i="9"/>
  <c r="BY16" i="9"/>
  <c r="BW16" i="9"/>
  <c r="BZ39" i="9"/>
  <c r="CA39" i="9" s="1"/>
  <c r="BW39" i="9"/>
  <c r="BY39" i="9"/>
  <c r="BY126" i="9"/>
  <c r="BW126" i="9"/>
  <c r="BX158" i="9"/>
  <c r="BX38" i="9"/>
  <c r="BY62" i="9"/>
  <c r="BW62" i="9"/>
  <c r="BX70" i="9"/>
  <c r="CD132" i="9"/>
  <c r="BW132" i="9"/>
  <c r="BY132" i="9"/>
  <c r="CD205" i="9"/>
  <c r="BY205" i="9"/>
  <c r="BW205" i="9"/>
  <c r="BZ249" i="9"/>
  <c r="CA249" i="9" s="1"/>
  <c r="BW249" i="9"/>
  <c r="BY249" i="9"/>
  <c r="BX237" i="9"/>
  <c r="BW262" i="9"/>
  <c r="BY262" i="9"/>
  <c r="BZ267" i="9"/>
  <c r="CA267" i="9" s="1"/>
  <c r="BW267" i="9"/>
  <c r="BY267" i="9"/>
  <c r="BW260" i="9"/>
  <c r="BY260" i="9"/>
  <c r="BZ262" i="9"/>
  <c r="CA262" i="9" s="1"/>
  <c r="BW268" i="9"/>
  <c r="BY268" i="9"/>
  <c r="BZ285" i="9"/>
  <c r="CA285" i="9" s="1"/>
  <c r="BY285" i="9"/>
  <c r="BW285" i="9"/>
  <c r="BZ289" i="9"/>
  <c r="CA289" i="9" s="1"/>
  <c r="BY289" i="9"/>
  <c r="BW289" i="9"/>
  <c r="BZ293" i="9"/>
  <c r="CA293" i="9" s="1"/>
  <c r="BY293" i="9"/>
  <c r="BW293" i="9"/>
  <c r="BX300" i="9"/>
  <c r="BM308" i="9"/>
  <c r="BJ308" i="9"/>
  <c r="BL308" i="9"/>
  <c r="BO308" i="9"/>
  <c r="BQ308" i="9"/>
  <c r="BM197" i="9"/>
  <c r="BL197" i="9"/>
  <c r="BJ197" i="9"/>
  <c r="BQ197" i="9"/>
  <c r="BO197" i="9"/>
  <c r="BM179" i="9"/>
  <c r="BL179" i="9"/>
  <c r="BJ179" i="9"/>
  <c r="BO179" i="9"/>
  <c r="BQ179" i="9"/>
  <c r="BM163" i="9"/>
  <c r="BJ163" i="9"/>
  <c r="BL163" i="9"/>
  <c r="BQ163" i="9"/>
  <c r="BO163" i="9"/>
  <c r="BM149" i="9"/>
  <c r="BJ149" i="9"/>
  <c r="BL149" i="9"/>
  <c r="BO149" i="9"/>
  <c r="BQ149" i="9"/>
  <c r="BM107" i="9"/>
  <c r="BJ107" i="9"/>
  <c r="BL107" i="9"/>
  <c r="BO107" i="9"/>
  <c r="BQ107" i="9"/>
  <c r="BM73" i="9"/>
  <c r="BJ73" i="9"/>
  <c r="BL73" i="9"/>
  <c r="BQ73" i="9"/>
  <c r="BO73" i="9"/>
  <c r="BM11" i="9"/>
  <c r="BJ11" i="9"/>
  <c r="BL11" i="9"/>
  <c r="BQ11" i="9"/>
  <c r="BM311" i="9"/>
  <c r="BJ311" i="9"/>
  <c r="BL311" i="9"/>
  <c r="BO311" i="9"/>
  <c r="BQ311" i="9"/>
  <c r="BM283" i="9"/>
  <c r="BJ283" i="9"/>
  <c r="BL283" i="9"/>
  <c r="BO283" i="9"/>
  <c r="BQ283" i="9"/>
  <c r="BM218" i="9"/>
  <c r="BL218" i="9"/>
  <c r="BJ218" i="9"/>
  <c r="BO218" i="9"/>
  <c r="BQ218" i="9"/>
  <c r="BM133" i="9"/>
  <c r="BJ133" i="9"/>
  <c r="BL133" i="9"/>
  <c r="BO133" i="9"/>
  <c r="BQ133" i="9"/>
  <c r="BM112" i="9"/>
  <c r="BL112" i="9"/>
  <c r="BJ112" i="9"/>
  <c r="BQ112" i="9"/>
  <c r="BM101" i="9"/>
  <c r="BJ101" i="9"/>
  <c r="BL101" i="9"/>
  <c r="BO101" i="9"/>
  <c r="BQ101" i="9"/>
  <c r="BM85" i="9"/>
  <c r="BJ85" i="9"/>
  <c r="BL85" i="9"/>
  <c r="BQ85" i="9"/>
  <c r="BO85" i="9"/>
  <c r="BM31" i="9"/>
  <c r="BJ31" i="9"/>
  <c r="BL31" i="9"/>
  <c r="BQ31" i="9"/>
  <c r="BE318" i="9"/>
  <c r="BE316" i="9"/>
  <c r="BE314" i="9"/>
  <c r="BE312" i="9"/>
  <c r="BE310" i="9"/>
  <c r="BE308" i="9"/>
  <c r="BE306" i="9"/>
  <c r="BE304" i="9"/>
  <c r="BE302" i="9"/>
  <c r="BE300" i="9"/>
  <c r="BE298" i="9"/>
  <c r="BE296" i="9"/>
  <c r="BE294" i="9"/>
  <c r="BE292" i="9"/>
  <c r="BE290" i="9"/>
  <c r="BE288" i="9"/>
  <c r="BE286" i="9"/>
  <c r="BE284" i="9"/>
  <c r="BE282" i="9"/>
  <c r="BE280" i="9"/>
  <c r="BE278" i="9"/>
  <c r="BE276" i="9"/>
  <c r="BE274" i="9"/>
  <c r="BE272" i="9"/>
  <c r="BE270" i="9"/>
  <c r="BE268" i="9"/>
  <c r="BE266" i="9"/>
  <c r="BE264" i="9"/>
  <c r="BE262" i="9"/>
  <c r="BE260" i="9"/>
  <c r="BE258" i="9"/>
  <c r="BE256" i="9"/>
  <c r="BE254" i="9"/>
  <c r="BE252" i="9"/>
  <c r="BE250" i="9"/>
  <c r="BE248" i="9"/>
  <c r="BE246" i="9"/>
  <c r="BE244" i="9"/>
  <c r="BE242" i="9"/>
  <c r="BE240" i="9"/>
  <c r="BE238" i="9"/>
  <c r="BE236" i="9"/>
  <c r="BE234" i="9"/>
  <c r="BE232" i="9"/>
  <c r="BE230" i="9"/>
  <c r="BE228" i="9"/>
  <c r="BE226" i="9"/>
  <c r="BE224" i="9"/>
  <c r="BE222" i="9"/>
  <c r="BE220" i="9"/>
  <c r="BE218" i="9"/>
  <c r="BE216" i="9"/>
  <c r="BE214" i="9"/>
  <c r="BE212" i="9"/>
  <c r="BE210" i="9"/>
  <c r="BE208" i="9"/>
  <c r="BE206" i="9"/>
  <c r="BE204" i="9"/>
  <c r="BE202" i="9"/>
  <c r="BE200" i="9"/>
  <c r="BE198" i="9"/>
  <c r="BE196" i="9"/>
  <c r="BE194" i="9"/>
  <c r="BE192" i="9"/>
  <c r="BE190" i="9"/>
  <c r="BE188" i="9"/>
  <c r="BE186" i="9"/>
  <c r="BE184" i="9"/>
  <c r="BE182" i="9"/>
  <c r="BE180" i="9"/>
  <c r="BE178" i="9"/>
  <c r="BE176" i="9"/>
  <c r="BE174" i="9"/>
  <c r="BE172" i="9"/>
  <c r="BE170" i="9"/>
  <c r="BE168" i="9"/>
  <c r="BE166" i="9"/>
  <c r="BE164" i="9"/>
  <c r="BE162" i="9"/>
  <c r="BE160" i="9"/>
  <c r="BE158" i="9"/>
  <c r="BE156" i="9"/>
  <c r="BE154" i="9"/>
  <c r="BE152" i="9"/>
  <c r="BE150" i="9"/>
  <c r="BE148" i="9"/>
  <c r="BE146" i="9"/>
  <c r="BE144" i="9"/>
  <c r="BE142" i="9"/>
  <c r="BE140" i="9"/>
  <c r="BE138" i="9"/>
  <c r="BE136" i="9"/>
  <c r="BE134" i="9"/>
  <c r="BE132" i="9"/>
  <c r="BE130" i="9"/>
  <c r="BE128" i="9"/>
  <c r="BE126" i="9"/>
  <c r="BE124" i="9"/>
  <c r="BE122" i="9"/>
  <c r="BE120" i="9"/>
  <c r="BE118" i="9"/>
  <c r="BE116" i="9"/>
  <c r="BE114" i="9"/>
  <c r="BE112" i="9"/>
  <c r="BE110" i="9"/>
  <c r="BE108" i="9"/>
  <c r="BE106" i="9"/>
  <c r="BE104" i="9"/>
  <c r="BE102" i="9"/>
  <c r="BE100" i="9"/>
  <c r="BE98" i="9"/>
  <c r="BE96" i="9"/>
  <c r="BE94" i="9"/>
  <c r="BE92" i="9"/>
  <c r="BE90" i="9"/>
  <c r="BE88" i="9"/>
  <c r="BE86" i="9"/>
  <c r="BE84" i="9"/>
  <c r="BE82" i="9"/>
  <c r="BE80" i="9"/>
  <c r="BE78" i="9"/>
  <c r="BE76" i="9"/>
  <c r="BE74" i="9"/>
  <c r="BE72" i="9"/>
  <c r="BE70" i="9"/>
  <c r="BE68" i="9"/>
  <c r="BE66" i="9"/>
  <c r="BE64" i="9"/>
  <c r="BE62" i="9"/>
  <c r="BE60" i="9"/>
  <c r="BE58" i="9"/>
  <c r="BE56" i="9"/>
  <c r="BE54" i="9"/>
  <c r="BE52" i="9"/>
  <c r="BE50" i="9"/>
  <c r="BE48" i="9"/>
  <c r="BE46" i="9"/>
  <c r="BE44" i="9"/>
  <c r="BE42" i="9"/>
  <c r="BE40" i="9"/>
  <c r="BE38" i="9"/>
  <c r="BE36" i="9"/>
  <c r="BE34" i="9"/>
  <c r="BE32" i="9"/>
  <c r="BE30" i="9"/>
  <c r="BE28" i="9"/>
  <c r="BE26" i="9"/>
  <c r="BE24" i="9"/>
  <c r="BE22" i="9"/>
  <c r="BE20" i="9"/>
  <c r="BE18" i="9"/>
  <c r="BE16" i="9"/>
  <c r="BE14" i="9"/>
  <c r="BE12" i="9"/>
  <c r="BE10" i="9"/>
  <c r="BE8" i="9"/>
  <c r="BE6" i="9"/>
  <c r="BE147" i="9"/>
  <c r="BE121" i="9"/>
  <c r="BE115" i="9"/>
  <c r="BE111" i="9"/>
  <c r="BE109" i="9"/>
  <c r="BE105" i="9"/>
  <c r="BE101" i="9"/>
  <c r="BE97" i="9"/>
  <c r="BE93" i="9"/>
  <c r="BE89" i="9"/>
  <c r="BE85" i="9"/>
  <c r="BE81" i="9"/>
  <c r="BE77" i="9"/>
  <c r="BE73" i="9"/>
  <c r="BE69" i="9"/>
  <c r="BE65" i="9"/>
  <c r="BE61" i="9"/>
  <c r="BE57" i="9"/>
  <c r="BE53" i="9"/>
  <c r="BE49" i="9"/>
  <c r="BE45" i="9"/>
  <c r="BE41" i="9"/>
  <c r="BE37" i="9"/>
  <c r="BE33" i="9"/>
  <c r="BE29" i="9"/>
  <c r="BE25" i="9"/>
  <c r="BE21" i="9"/>
  <c r="BE17" i="9"/>
  <c r="BE13" i="9"/>
  <c r="BE9" i="9"/>
  <c r="BE5" i="9"/>
  <c r="BE319" i="9"/>
  <c r="BE317" i="9"/>
  <c r="BE315" i="9"/>
  <c r="BE313" i="9"/>
  <c r="BE311" i="9"/>
  <c r="BE309" i="9"/>
  <c r="BE307" i="9"/>
  <c r="BE305" i="9"/>
  <c r="BE303" i="9"/>
  <c r="BE301" i="9"/>
  <c r="BE299" i="9"/>
  <c r="BE297" i="9"/>
  <c r="BE295" i="9"/>
  <c r="BE293" i="9"/>
  <c r="BE291" i="9"/>
  <c r="BE289" i="9"/>
  <c r="BE287" i="9"/>
  <c r="BE285" i="9"/>
  <c r="BE283" i="9"/>
  <c r="BE281" i="9"/>
  <c r="BE279" i="9"/>
  <c r="BE277" i="9"/>
  <c r="BE275" i="9"/>
  <c r="BE273" i="9"/>
  <c r="BE271" i="9"/>
  <c r="BE269" i="9"/>
  <c r="BE267" i="9"/>
  <c r="BE265" i="9"/>
  <c r="BE263" i="9"/>
  <c r="BE261" i="9"/>
  <c r="BE259" i="9"/>
  <c r="BE257" i="9"/>
  <c r="BE255" i="9"/>
  <c r="BE253" i="9"/>
  <c r="BE251" i="9"/>
  <c r="BE249" i="9"/>
  <c r="BE247" i="9"/>
  <c r="BE245" i="9"/>
  <c r="BE243" i="9"/>
  <c r="BE241" i="9"/>
  <c r="BE239" i="9"/>
  <c r="BE237" i="9"/>
  <c r="BE235" i="9"/>
  <c r="BE233" i="9"/>
  <c r="BE231" i="9"/>
  <c r="BE229" i="9"/>
  <c r="BE227" i="9"/>
  <c r="BE225" i="9"/>
  <c r="BE223" i="9"/>
  <c r="BE221" i="9"/>
  <c r="BE219" i="9"/>
  <c r="BE217" i="9"/>
  <c r="BE215" i="9"/>
  <c r="BE213" i="9"/>
  <c r="BE211" i="9"/>
  <c r="BE209" i="9"/>
  <c r="BE207" i="9"/>
  <c r="BE205" i="9"/>
  <c r="BE203" i="9"/>
  <c r="BE201" i="9"/>
  <c r="BE199" i="9"/>
  <c r="BE197" i="9"/>
  <c r="BE195" i="9"/>
  <c r="BE193" i="9"/>
  <c r="BE191" i="9"/>
  <c r="BE189" i="9"/>
  <c r="BE187" i="9"/>
  <c r="BE185" i="9"/>
  <c r="BE183" i="9"/>
  <c r="BE181" i="9"/>
  <c r="BE179" i="9"/>
  <c r="BE177" i="9"/>
  <c r="BE175" i="9"/>
  <c r="BE173" i="9"/>
  <c r="BE171" i="9"/>
  <c r="BE169" i="9"/>
  <c r="BE167" i="9"/>
  <c r="BE165" i="9"/>
  <c r="BE163" i="9"/>
  <c r="BE161" i="9"/>
  <c r="BE159" i="9"/>
  <c r="BE157" i="9"/>
  <c r="BE155" i="9"/>
  <c r="BE153" i="9"/>
  <c r="BE151" i="9"/>
  <c r="BE149" i="9"/>
  <c r="BE145" i="9"/>
  <c r="BE143" i="9"/>
  <c r="BE141" i="9"/>
  <c r="BE139" i="9"/>
  <c r="BE137" i="9"/>
  <c r="BE135" i="9"/>
  <c r="BE133" i="9"/>
  <c r="BE131" i="9"/>
  <c r="BE129" i="9"/>
  <c r="BE127" i="9"/>
  <c r="BE125" i="9"/>
  <c r="BE123" i="9"/>
  <c r="BE119" i="9"/>
  <c r="BE117" i="9"/>
  <c r="BE113" i="9"/>
  <c r="BE107" i="9"/>
  <c r="BE103" i="9"/>
  <c r="BE99" i="9"/>
  <c r="BE95" i="9"/>
  <c r="BE91" i="9"/>
  <c r="BE87" i="9"/>
  <c r="BE83" i="9"/>
  <c r="BE79" i="9"/>
  <c r="BE75" i="9"/>
  <c r="BE71" i="9"/>
  <c r="BE67" i="9"/>
  <c r="BE63" i="9"/>
  <c r="BE59" i="9"/>
  <c r="BE55" i="9"/>
  <c r="BE51" i="9"/>
  <c r="BE47" i="9"/>
  <c r="BE43" i="9"/>
  <c r="BE39" i="9"/>
  <c r="BE35" i="9"/>
  <c r="BE31" i="9"/>
  <c r="BE27" i="9"/>
  <c r="BE23" i="9"/>
  <c r="BE19" i="9"/>
  <c r="BE15" i="9"/>
  <c r="BE11" i="9"/>
  <c r="BE7" i="9"/>
  <c r="CB219" i="9"/>
  <c r="CO219" i="9" s="1"/>
  <c r="CB260" i="9"/>
  <c r="AX424" i="9"/>
  <c r="AX426" i="9"/>
  <c r="Q19" i="2" s="1"/>
  <c r="AV331" i="9" s="1"/>
  <c r="AW331" i="9" s="1"/>
  <c r="AV447" i="9"/>
  <c r="AX431" i="9"/>
  <c r="Q24" i="2" s="1"/>
  <c r="AX335" i="9" s="1"/>
  <c r="BB104" i="9"/>
  <c r="BB114" i="9"/>
  <c r="BB319" i="9"/>
  <c r="BB23" i="9"/>
  <c r="BB228" i="9"/>
  <c r="AN349" i="9"/>
  <c r="BB305" i="9"/>
  <c r="CB295" i="9"/>
  <c r="CO295" i="9" s="1"/>
  <c r="CB48" i="9"/>
  <c r="CO48" i="9" s="1"/>
  <c r="AW174" i="9"/>
  <c r="AY174" i="9"/>
  <c r="AZ174" i="9"/>
  <c r="BD174" i="9"/>
  <c r="BB174" i="9"/>
  <c r="BD279" i="9"/>
  <c r="AW279" i="9"/>
  <c r="AY279" i="9"/>
  <c r="AZ279" i="9"/>
  <c r="BD251" i="9"/>
  <c r="AW251" i="9"/>
  <c r="AY251" i="9"/>
  <c r="AZ251" i="9"/>
  <c r="BB251" i="9"/>
  <c r="AW229" i="9"/>
  <c r="AY229" i="9"/>
  <c r="BD229" i="9"/>
  <c r="AZ229" i="9"/>
  <c r="BB229" i="9"/>
  <c r="AW181" i="9"/>
  <c r="AY181" i="9"/>
  <c r="BD181" i="9"/>
  <c r="AZ181" i="9"/>
  <c r="AW193" i="9"/>
  <c r="AY193" i="9"/>
  <c r="BD193" i="9"/>
  <c r="AZ193" i="9"/>
  <c r="AZ117" i="9"/>
  <c r="AW117" i="9"/>
  <c r="AY117" i="9"/>
  <c r="BD117" i="9"/>
  <c r="BB117" i="9"/>
  <c r="AZ55" i="9"/>
  <c r="AY55" i="9"/>
  <c r="AW55" i="9"/>
  <c r="BD55" i="9"/>
  <c r="AY111" i="9"/>
  <c r="AW111" i="9"/>
  <c r="BD111" i="9"/>
  <c r="AZ111" i="9"/>
  <c r="AY94" i="9"/>
  <c r="AW94" i="9"/>
  <c r="BD94" i="9"/>
  <c r="AZ94" i="9"/>
  <c r="BB94" i="9"/>
  <c r="BD264" i="9"/>
  <c r="AW264" i="9"/>
  <c r="AY264" i="9"/>
  <c r="AZ264" i="9"/>
  <c r="BB264" i="9"/>
  <c r="BB50" i="9"/>
  <c r="BB191" i="9"/>
  <c r="BB128" i="9"/>
  <c r="AY47" i="9"/>
  <c r="AW47" i="9"/>
  <c r="BD47" i="9"/>
  <c r="AZ47" i="9"/>
  <c r="BB47" i="9"/>
  <c r="BB290" i="9"/>
  <c r="AN320" i="9"/>
  <c r="AK414" i="9" s="1"/>
  <c r="AZ46" i="9"/>
  <c r="AW46" i="9"/>
  <c r="AY46" i="9"/>
  <c r="BD46" i="9"/>
  <c r="BB46" i="9"/>
  <c r="BB259" i="9"/>
  <c r="AY108" i="9"/>
  <c r="AW108" i="9"/>
  <c r="BD108" i="9"/>
  <c r="AZ108" i="9"/>
  <c r="AY76" i="9"/>
  <c r="AW76" i="9"/>
  <c r="BD76" i="9"/>
  <c r="AZ76" i="9"/>
  <c r="AW123" i="9"/>
  <c r="AY123" i="9"/>
  <c r="BD123" i="9"/>
  <c r="AZ123" i="9"/>
  <c r="AY294" i="9"/>
  <c r="AW294" i="9"/>
  <c r="BD294" i="9"/>
  <c r="AZ294" i="9"/>
  <c r="AZ140" i="9"/>
  <c r="AY140" i="9"/>
  <c r="AW140" i="9"/>
  <c r="BD140" i="9"/>
  <c r="BB282" i="9"/>
  <c r="BB196" i="9"/>
  <c r="AZ120" i="9"/>
  <c r="AW120" i="9"/>
  <c r="AY120" i="9"/>
  <c r="BD120" i="9"/>
  <c r="AY157" i="9"/>
  <c r="AW157" i="9"/>
  <c r="BD157" i="9"/>
  <c r="AZ157" i="9"/>
  <c r="BB157" i="9"/>
  <c r="AW233" i="9"/>
  <c r="AY233" i="9"/>
  <c r="BD233" i="9"/>
  <c r="AZ233" i="9"/>
  <c r="BB233" i="9"/>
  <c r="AW246" i="9"/>
  <c r="AY246" i="9"/>
  <c r="AZ246" i="9"/>
  <c r="BD246" i="9"/>
  <c r="BB246" i="9"/>
  <c r="BD277" i="9"/>
  <c r="AW277" i="9"/>
  <c r="AY277" i="9"/>
  <c r="AZ277" i="9"/>
  <c r="BB277" i="9"/>
  <c r="AW125" i="9"/>
  <c r="AY125" i="9"/>
  <c r="BD125" i="9"/>
  <c r="AZ125" i="9"/>
  <c r="AZ137" i="9"/>
  <c r="AW137" i="9"/>
  <c r="AY137" i="9"/>
  <c r="BD137" i="9"/>
  <c r="BB137" i="9"/>
  <c r="AW177" i="9"/>
  <c r="AY177" i="9"/>
  <c r="BD177" i="9"/>
  <c r="AZ177" i="9"/>
  <c r="BB177" i="9"/>
  <c r="BD270" i="9"/>
  <c r="AY270" i="9"/>
  <c r="AW270" i="9"/>
  <c r="AZ270" i="9"/>
  <c r="BB270" i="9"/>
  <c r="AW129" i="9"/>
  <c r="AY129" i="9"/>
  <c r="AZ129" i="9"/>
  <c r="BD129" i="9"/>
  <c r="AZ131" i="9"/>
  <c r="AW131" i="9"/>
  <c r="AY131" i="9"/>
  <c r="BD131" i="9"/>
  <c r="BB131" i="9"/>
  <c r="AW261" i="9"/>
  <c r="AY261" i="9"/>
  <c r="AZ261" i="9"/>
  <c r="BD261" i="9"/>
  <c r="AZ109" i="9"/>
  <c r="AY109" i="9"/>
  <c r="AW109" i="9"/>
  <c r="BD109" i="9"/>
  <c r="BB109" i="9"/>
  <c r="AY19" i="9"/>
  <c r="AW19" i="9"/>
  <c r="BD19" i="9"/>
  <c r="AZ19" i="9"/>
  <c r="BB19" i="9"/>
  <c r="AS43" i="9"/>
  <c r="BC43" i="9"/>
  <c r="AT43" i="9"/>
  <c r="AU43" i="9" s="1"/>
  <c r="AT48" i="9"/>
  <c r="AU48" i="9" s="1"/>
  <c r="AS48" i="9"/>
  <c r="BC48" i="9"/>
  <c r="BC52" i="9"/>
  <c r="AT52" i="9"/>
  <c r="AU52" i="9" s="1"/>
  <c r="AS52" i="9"/>
  <c r="AT56" i="9"/>
  <c r="AU56" i="9" s="1"/>
  <c r="AS56" i="9"/>
  <c r="BC56" i="9"/>
  <c r="BC60" i="9"/>
  <c r="AT60" i="9"/>
  <c r="AU60" i="9" s="1"/>
  <c r="AS60" i="9"/>
  <c r="AT64" i="9"/>
  <c r="AU64" i="9" s="1"/>
  <c r="AS64" i="9"/>
  <c r="BC64" i="9"/>
  <c r="BC68" i="9"/>
  <c r="AT68" i="9"/>
  <c r="AU68" i="9" s="1"/>
  <c r="AS68" i="9"/>
  <c r="AT72" i="9"/>
  <c r="AU72" i="9" s="1"/>
  <c r="AS72" i="9"/>
  <c r="BC72" i="9"/>
  <c r="BC76" i="9"/>
  <c r="AT76" i="9"/>
  <c r="AU76" i="9" s="1"/>
  <c r="AS76" i="9"/>
  <c r="AT80" i="9"/>
  <c r="AU80" i="9" s="1"/>
  <c r="AS80" i="9"/>
  <c r="BC80" i="9"/>
  <c r="BC84" i="9"/>
  <c r="AT84" i="9"/>
  <c r="AU84" i="9" s="1"/>
  <c r="AS84" i="9"/>
  <c r="AT88" i="9"/>
  <c r="AU88" i="9" s="1"/>
  <c r="AS88" i="9"/>
  <c r="BC88" i="9"/>
  <c r="BC92" i="9"/>
  <c r="AT92" i="9"/>
  <c r="AU92" i="9" s="1"/>
  <c r="AS92" i="9"/>
  <c r="AT96" i="9"/>
  <c r="AU96" i="9" s="1"/>
  <c r="AS96" i="9"/>
  <c r="BC96" i="9"/>
  <c r="BC100" i="9"/>
  <c r="AT100" i="9"/>
  <c r="AU100" i="9" s="1"/>
  <c r="AS100" i="9"/>
  <c r="AT104" i="9"/>
  <c r="AU104" i="9" s="1"/>
  <c r="AS104" i="9"/>
  <c r="BC104" i="9"/>
  <c r="BC108" i="9"/>
  <c r="AT108" i="9"/>
  <c r="AU108" i="9" s="1"/>
  <c r="AS108" i="9"/>
  <c r="AT112" i="9"/>
  <c r="AU112" i="9" s="1"/>
  <c r="AS112" i="9"/>
  <c r="BC112" i="9"/>
  <c r="BC116" i="9"/>
  <c r="AT116" i="9"/>
  <c r="AU116" i="9" s="1"/>
  <c r="AS116" i="9"/>
  <c r="AT120" i="9"/>
  <c r="AU120" i="9" s="1"/>
  <c r="AS120" i="9"/>
  <c r="BC120" i="9"/>
  <c r="BC124" i="9"/>
  <c r="AT124" i="9"/>
  <c r="AU124" i="9" s="1"/>
  <c r="AS124" i="9"/>
  <c r="AT128" i="9"/>
  <c r="AU128" i="9" s="1"/>
  <c r="AS128" i="9"/>
  <c r="BC128" i="9"/>
  <c r="BC132" i="9"/>
  <c r="AT132" i="9"/>
  <c r="AU132" i="9" s="1"/>
  <c r="AS132" i="9"/>
  <c r="AT136" i="9"/>
  <c r="AU136" i="9" s="1"/>
  <c r="AS136" i="9"/>
  <c r="BC136" i="9"/>
  <c r="BC140" i="9"/>
  <c r="AT140" i="9"/>
  <c r="AU140" i="9" s="1"/>
  <c r="AS140" i="9"/>
  <c r="AT144" i="9"/>
  <c r="AU144" i="9" s="1"/>
  <c r="AS144" i="9"/>
  <c r="BC144" i="9"/>
  <c r="AS148" i="9"/>
  <c r="BC148" i="9"/>
  <c r="AT148" i="9"/>
  <c r="AU148" i="9" s="1"/>
  <c r="AT151" i="9"/>
  <c r="AU151" i="9" s="1"/>
  <c r="AS151" i="9"/>
  <c r="BC151" i="9"/>
  <c r="BC155" i="9"/>
  <c r="AT155" i="9"/>
  <c r="AU155" i="9" s="1"/>
  <c r="AS155" i="9"/>
  <c r="AT159" i="9"/>
  <c r="AU159" i="9" s="1"/>
  <c r="AS159" i="9"/>
  <c r="BC159" i="9"/>
  <c r="BC163" i="9"/>
  <c r="AT163" i="9"/>
  <c r="AU163" i="9" s="1"/>
  <c r="AS163" i="9"/>
  <c r="AT167" i="9"/>
  <c r="AU167" i="9" s="1"/>
  <c r="AS167" i="9"/>
  <c r="BC167" i="9"/>
  <c r="BC171" i="9"/>
  <c r="AT171" i="9"/>
  <c r="AU171" i="9" s="1"/>
  <c r="AS171" i="9"/>
  <c r="AT175" i="9"/>
  <c r="AU175" i="9" s="1"/>
  <c r="AS175" i="9"/>
  <c r="BC175" i="9"/>
  <c r="BC179" i="9"/>
  <c r="AT179" i="9"/>
  <c r="AU179" i="9" s="1"/>
  <c r="AS179" i="9"/>
  <c r="AT183" i="9"/>
  <c r="AU183" i="9" s="1"/>
  <c r="AS183" i="9"/>
  <c r="BC183" i="9"/>
  <c r="BC187" i="9"/>
  <c r="AT187" i="9"/>
  <c r="AU187" i="9" s="1"/>
  <c r="AS187" i="9"/>
  <c r="AT191" i="9"/>
  <c r="AU191" i="9" s="1"/>
  <c r="AS191" i="9"/>
  <c r="BC191" i="9"/>
  <c r="BC195" i="9"/>
  <c r="AT195" i="9"/>
  <c r="AU195" i="9" s="1"/>
  <c r="AS195" i="9"/>
  <c r="AT199" i="9"/>
  <c r="AU199" i="9" s="1"/>
  <c r="AS199" i="9"/>
  <c r="BC199" i="9"/>
  <c r="AS208" i="9"/>
  <c r="BC208" i="9"/>
  <c r="AT208" i="9"/>
  <c r="AU208" i="9" s="1"/>
  <c r="BC216" i="9"/>
  <c r="AT216" i="9"/>
  <c r="AU216" i="9" s="1"/>
  <c r="AS216" i="9"/>
  <c r="AS224" i="9"/>
  <c r="BC224" i="9"/>
  <c r="AT224" i="9"/>
  <c r="AU224" i="9" s="1"/>
  <c r="BC232" i="9"/>
  <c r="AT232" i="9"/>
  <c r="AU232" i="9" s="1"/>
  <c r="AS232" i="9"/>
  <c r="AS243" i="9"/>
  <c r="BC243" i="9"/>
  <c r="AT243" i="9"/>
  <c r="AU243" i="9" s="1"/>
  <c r="BC259" i="9"/>
  <c r="AT259" i="9"/>
  <c r="AU259" i="9" s="1"/>
  <c r="AS259" i="9"/>
  <c r="AS203" i="9"/>
  <c r="BC203" i="9"/>
  <c r="AT203" i="9"/>
  <c r="AU203" i="9" s="1"/>
  <c r="BC211" i="9"/>
  <c r="AT211" i="9"/>
  <c r="AU211" i="9" s="1"/>
  <c r="AS211" i="9"/>
  <c r="AS219" i="9"/>
  <c r="BC219" i="9"/>
  <c r="AT219" i="9"/>
  <c r="AU219" i="9" s="1"/>
  <c r="BC227" i="9"/>
  <c r="AT227" i="9"/>
  <c r="AU227" i="9" s="1"/>
  <c r="AS227" i="9"/>
  <c r="AS235" i="9"/>
  <c r="BC235" i="9"/>
  <c r="AT235" i="9"/>
  <c r="AU235" i="9" s="1"/>
  <c r="BC249" i="9"/>
  <c r="AT249" i="9"/>
  <c r="AU249" i="9" s="1"/>
  <c r="AS249" i="9"/>
  <c r="AS265" i="9"/>
  <c r="BC265" i="9"/>
  <c r="AT265" i="9"/>
  <c r="AU265" i="9" s="1"/>
  <c r="BC275" i="9"/>
  <c r="AT275" i="9"/>
  <c r="AU275" i="9" s="1"/>
  <c r="AS275" i="9"/>
  <c r="AS285" i="9"/>
  <c r="BC285" i="9"/>
  <c r="AT285" i="9"/>
  <c r="AU285" i="9" s="1"/>
  <c r="BC305" i="9"/>
  <c r="AT305" i="9"/>
  <c r="AU305" i="9" s="1"/>
  <c r="AS305" i="9"/>
  <c r="AS242" i="9"/>
  <c r="BC242" i="9"/>
  <c r="AT242" i="9"/>
  <c r="AU242" i="9" s="1"/>
  <c r="BC250" i="9"/>
  <c r="AT250" i="9"/>
  <c r="AU250" i="9" s="1"/>
  <c r="AS250" i="9"/>
  <c r="AS258" i="9"/>
  <c r="BC258" i="9"/>
  <c r="AT258" i="9"/>
  <c r="AU258" i="9" s="1"/>
  <c r="BC266" i="9"/>
  <c r="AT266" i="9"/>
  <c r="AU266" i="9" s="1"/>
  <c r="AS266" i="9"/>
  <c r="AS274" i="9"/>
  <c r="BC274" i="9"/>
  <c r="AT274" i="9"/>
  <c r="AU274" i="9" s="1"/>
  <c r="BC283" i="9"/>
  <c r="AT283" i="9"/>
  <c r="AU283" i="9" s="1"/>
  <c r="AS283" i="9"/>
  <c r="AS301" i="9"/>
  <c r="BC301" i="9"/>
  <c r="AT301" i="9"/>
  <c r="AU301" i="9" s="1"/>
  <c r="BC303" i="9"/>
  <c r="AT303" i="9"/>
  <c r="AU303" i="9" s="1"/>
  <c r="AS303" i="9"/>
  <c r="AS319" i="9"/>
  <c r="BC319" i="9"/>
  <c r="AT319" i="9"/>
  <c r="AU319" i="9" s="1"/>
  <c r="BC288" i="9"/>
  <c r="AT288" i="9"/>
  <c r="AU288" i="9" s="1"/>
  <c r="AS288" i="9"/>
  <c r="AS296" i="9"/>
  <c r="BC296" i="9"/>
  <c r="AT296" i="9"/>
  <c r="AU296" i="9" s="1"/>
  <c r="BC304" i="9"/>
  <c r="AT304" i="9"/>
  <c r="AU304" i="9" s="1"/>
  <c r="AS304" i="9"/>
  <c r="BC312" i="9"/>
  <c r="AT312" i="9"/>
  <c r="AU312" i="9" s="1"/>
  <c r="AS312" i="9"/>
  <c r="AS42" i="9"/>
  <c r="BC42" i="9"/>
  <c r="AT42" i="9"/>
  <c r="AU42" i="9" s="1"/>
  <c r="AS45" i="9"/>
  <c r="BC45" i="9"/>
  <c r="AT45" i="9"/>
  <c r="AU45" i="9" s="1"/>
  <c r="AT49" i="9"/>
  <c r="AU49" i="9" s="1"/>
  <c r="AS49" i="9"/>
  <c r="BC49" i="9"/>
  <c r="AT53" i="9"/>
  <c r="AU53" i="9" s="1"/>
  <c r="AS53" i="9"/>
  <c r="BC53" i="9"/>
  <c r="AT57" i="9"/>
  <c r="AU57" i="9" s="1"/>
  <c r="AS57" i="9"/>
  <c r="BC57" i="9"/>
  <c r="AT61" i="9"/>
  <c r="AU61" i="9" s="1"/>
  <c r="AS61" i="9"/>
  <c r="BC61" i="9"/>
  <c r="BC65" i="9"/>
  <c r="AS65" i="9"/>
  <c r="AT65" i="9"/>
  <c r="AU65" i="9" s="1"/>
  <c r="BC69" i="9"/>
  <c r="AT69" i="9"/>
  <c r="AU69" i="9" s="1"/>
  <c r="AS69" i="9"/>
  <c r="BC73" i="9"/>
  <c r="AS73" i="9"/>
  <c r="AT73" i="9"/>
  <c r="AU73" i="9" s="1"/>
  <c r="BC77" i="9"/>
  <c r="AT77" i="9"/>
  <c r="AU77" i="9" s="1"/>
  <c r="AS77" i="9"/>
  <c r="BC81" i="9"/>
  <c r="AS81" i="9"/>
  <c r="AT81" i="9"/>
  <c r="AU81" i="9" s="1"/>
  <c r="BC85" i="9"/>
  <c r="AT85" i="9"/>
  <c r="AU85" i="9" s="1"/>
  <c r="AS85" i="9"/>
  <c r="BC89" i="9"/>
  <c r="AS89" i="9"/>
  <c r="AT89" i="9"/>
  <c r="AU89" i="9" s="1"/>
  <c r="BC93" i="9"/>
  <c r="AT93" i="9"/>
  <c r="AU93" i="9" s="1"/>
  <c r="AS93" i="9"/>
  <c r="BC97" i="9"/>
  <c r="AS97" i="9"/>
  <c r="AT97" i="9"/>
  <c r="AU97" i="9" s="1"/>
  <c r="BC101" i="9"/>
  <c r="AT101" i="9"/>
  <c r="AU101" i="9" s="1"/>
  <c r="AS101" i="9"/>
  <c r="BC105" i="9"/>
  <c r="AS105" i="9"/>
  <c r="AT105" i="9"/>
  <c r="AU105" i="9" s="1"/>
  <c r="AT109" i="9"/>
  <c r="AU109" i="9" s="1"/>
  <c r="AS109" i="9"/>
  <c r="BC109" i="9"/>
  <c r="AT113" i="9"/>
  <c r="AU113" i="9" s="1"/>
  <c r="AS113" i="9"/>
  <c r="BC113" i="9"/>
  <c r="AT117" i="9"/>
  <c r="AU117" i="9" s="1"/>
  <c r="AS117" i="9"/>
  <c r="BC117" i="9"/>
  <c r="AT121" i="9"/>
  <c r="AU121" i="9" s="1"/>
  <c r="AS121" i="9"/>
  <c r="BC121" i="9"/>
  <c r="AT125" i="9"/>
  <c r="AU125" i="9" s="1"/>
  <c r="AS125" i="9"/>
  <c r="BC125" i="9"/>
  <c r="AT129" i="9"/>
  <c r="AU129" i="9" s="1"/>
  <c r="AS129" i="9"/>
  <c r="BC129" i="9"/>
  <c r="AT133" i="9"/>
  <c r="AU133" i="9" s="1"/>
  <c r="AS133" i="9"/>
  <c r="BC133" i="9"/>
  <c r="AT137" i="9"/>
  <c r="AU137" i="9" s="1"/>
  <c r="AS137" i="9"/>
  <c r="BC137" i="9"/>
  <c r="AT141" i="9"/>
  <c r="AU141" i="9" s="1"/>
  <c r="AS141" i="9"/>
  <c r="BC141" i="9"/>
  <c r="AT145" i="9"/>
  <c r="AU145" i="9" s="1"/>
  <c r="AS145" i="9"/>
  <c r="BC145" i="9"/>
  <c r="BC200" i="9"/>
  <c r="AT200" i="9"/>
  <c r="AU200" i="9" s="1"/>
  <c r="AS200" i="9"/>
  <c r="AT152" i="9"/>
  <c r="AU152" i="9" s="1"/>
  <c r="AS152" i="9"/>
  <c r="BC152" i="9"/>
  <c r="AT156" i="9"/>
  <c r="AU156" i="9" s="1"/>
  <c r="AS156" i="9"/>
  <c r="BC156" i="9"/>
  <c r="AT160" i="9"/>
  <c r="AU160" i="9" s="1"/>
  <c r="AS160" i="9"/>
  <c r="BC160" i="9"/>
  <c r="AT164" i="9"/>
  <c r="AU164" i="9" s="1"/>
  <c r="AS164" i="9"/>
  <c r="BC164" i="9"/>
  <c r="AT168" i="9"/>
  <c r="AU168" i="9" s="1"/>
  <c r="AS168" i="9"/>
  <c r="BC168" i="9"/>
  <c r="AT172" i="9"/>
  <c r="AU172" i="9" s="1"/>
  <c r="AS172" i="9"/>
  <c r="BC172" i="9"/>
  <c r="AT176" i="9"/>
  <c r="AU176" i="9" s="1"/>
  <c r="AS176" i="9"/>
  <c r="BC176" i="9"/>
  <c r="AT180" i="9"/>
  <c r="AU180" i="9" s="1"/>
  <c r="AS180" i="9"/>
  <c r="BC180" i="9"/>
  <c r="AT184" i="9"/>
  <c r="AU184" i="9" s="1"/>
  <c r="AS184" i="9"/>
  <c r="BC184" i="9"/>
  <c r="AT188" i="9"/>
  <c r="AU188" i="9" s="1"/>
  <c r="AS188" i="9"/>
  <c r="BC188" i="9"/>
  <c r="AT192" i="9"/>
  <c r="AU192" i="9" s="1"/>
  <c r="AS192" i="9"/>
  <c r="BC192" i="9"/>
  <c r="AT196" i="9"/>
  <c r="AU196" i="9" s="1"/>
  <c r="AS196" i="9"/>
  <c r="BC196" i="9"/>
  <c r="BC202" i="9"/>
  <c r="AT202" i="9"/>
  <c r="AU202" i="9" s="1"/>
  <c r="AS202" i="9"/>
  <c r="BC210" i="9"/>
  <c r="AT210" i="9"/>
  <c r="AU210" i="9" s="1"/>
  <c r="AS210" i="9"/>
  <c r="BC218" i="9"/>
  <c r="AT218" i="9"/>
  <c r="AU218" i="9" s="1"/>
  <c r="AS218" i="9"/>
  <c r="BC226" i="9"/>
  <c r="AT226" i="9"/>
  <c r="AU226" i="9" s="1"/>
  <c r="AS226" i="9"/>
  <c r="BC234" i="9"/>
  <c r="AT234" i="9"/>
  <c r="AU234" i="9" s="1"/>
  <c r="AS234" i="9"/>
  <c r="BC247" i="9"/>
  <c r="AT247" i="9"/>
  <c r="AU247" i="9" s="1"/>
  <c r="AS247" i="9"/>
  <c r="BC263" i="9"/>
  <c r="AT263" i="9"/>
  <c r="AU263" i="9" s="1"/>
  <c r="AS263" i="9"/>
  <c r="BC205" i="9"/>
  <c r="AT205" i="9"/>
  <c r="AU205" i="9" s="1"/>
  <c r="AS205" i="9"/>
  <c r="BC213" i="9"/>
  <c r="AT213" i="9"/>
  <c r="AU213" i="9" s="1"/>
  <c r="AS213" i="9"/>
  <c r="BC221" i="9"/>
  <c r="AT221" i="9"/>
  <c r="AU221" i="9" s="1"/>
  <c r="AS221" i="9"/>
  <c r="BC229" i="9"/>
  <c r="AT229" i="9"/>
  <c r="AU229" i="9" s="1"/>
  <c r="AS229" i="9"/>
  <c r="BC237" i="9"/>
  <c r="AT237" i="9"/>
  <c r="AU237" i="9" s="1"/>
  <c r="AS237" i="9"/>
  <c r="BC253" i="9"/>
  <c r="AT253" i="9"/>
  <c r="AU253" i="9" s="1"/>
  <c r="AS253" i="9"/>
  <c r="BC269" i="9"/>
  <c r="AT269" i="9"/>
  <c r="AU269" i="9" s="1"/>
  <c r="AS269" i="9"/>
  <c r="BC277" i="9"/>
  <c r="AT277" i="9"/>
  <c r="AU277" i="9" s="1"/>
  <c r="AS277" i="9"/>
  <c r="BC289" i="9"/>
  <c r="AT289" i="9"/>
  <c r="AU289" i="9" s="1"/>
  <c r="AS289" i="9"/>
  <c r="BC313" i="9"/>
  <c r="AT313" i="9"/>
  <c r="AU313" i="9" s="1"/>
  <c r="AS313" i="9"/>
  <c r="BC244" i="9"/>
  <c r="AT244" i="9"/>
  <c r="AU244" i="9" s="1"/>
  <c r="AS244" i="9"/>
  <c r="BC252" i="9"/>
  <c r="AT252" i="9"/>
  <c r="AU252" i="9" s="1"/>
  <c r="AS252" i="9"/>
  <c r="BC260" i="9"/>
  <c r="AT260" i="9"/>
  <c r="AU260" i="9" s="1"/>
  <c r="AS260" i="9"/>
  <c r="BC268" i="9"/>
  <c r="AT268" i="9"/>
  <c r="AU268" i="9" s="1"/>
  <c r="AS268" i="9"/>
  <c r="BC276" i="9"/>
  <c r="AT276" i="9"/>
  <c r="AU276" i="9" s="1"/>
  <c r="AS276" i="9"/>
  <c r="BC287" i="9"/>
  <c r="AT287" i="9"/>
  <c r="AU287" i="9" s="1"/>
  <c r="AS287" i="9"/>
  <c r="BC309" i="9"/>
  <c r="AT309" i="9"/>
  <c r="AU309" i="9" s="1"/>
  <c r="AS309" i="9"/>
  <c r="BC307" i="9"/>
  <c r="AT307" i="9"/>
  <c r="AU307" i="9" s="1"/>
  <c r="AS307" i="9"/>
  <c r="BC282" i="9"/>
  <c r="AT282" i="9"/>
  <c r="AU282" i="9" s="1"/>
  <c r="AS282" i="9"/>
  <c r="BC290" i="9"/>
  <c r="AT290" i="9"/>
  <c r="AU290" i="9" s="1"/>
  <c r="AS290" i="9"/>
  <c r="BC298" i="9"/>
  <c r="AT298" i="9"/>
  <c r="AU298" i="9" s="1"/>
  <c r="AS298" i="9"/>
  <c r="BC306" i="9"/>
  <c r="AT306" i="9"/>
  <c r="AU306" i="9" s="1"/>
  <c r="AS306" i="9"/>
  <c r="BC314" i="9"/>
  <c r="AT314" i="9"/>
  <c r="AU314" i="9" s="1"/>
  <c r="AS314" i="9"/>
  <c r="AS41" i="9"/>
  <c r="BC41" i="9"/>
  <c r="AT41" i="9"/>
  <c r="AU41" i="9" s="1"/>
  <c r="BC38" i="9"/>
  <c r="AT38" i="9"/>
  <c r="AU38" i="9" s="1"/>
  <c r="AS38" i="9"/>
  <c r="BC34" i="9"/>
  <c r="AT34" i="9"/>
  <c r="AU34" i="9" s="1"/>
  <c r="AS34" i="9"/>
  <c r="AS30" i="9"/>
  <c r="BC30" i="9"/>
  <c r="AT30" i="9"/>
  <c r="AU30" i="9" s="1"/>
  <c r="BC26" i="9"/>
  <c r="AT26" i="9"/>
  <c r="AU26" i="9" s="1"/>
  <c r="AS26" i="9"/>
  <c r="AS22" i="9"/>
  <c r="BC22" i="9"/>
  <c r="AT22" i="9"/>
  <c r="AU22" i="9" s="1"/>
  <c r="BC18" i="9"/>
  <c r="AT18" i="9"/>
  <c r="AU18" i="9" s="1"/>
  <c r="AS18" i="9"/>
  <c r="BC14" i="9"/>
  <c r="AT14" i="9"/>
  <c r="AU14" i="9" s="1"/>
  <c r="AS14" i="9"/>
  <c r="BC10" i="9"/>
  <c r="AT10" i="9"/>
  <c r="AU10" i="9" s="1"/>
  <c r="AS10" i="9"/>
  <c r="BC6" i="9"/>
  <c r="AT6" i="9"/>
  <c r="AU6" i="9" s="1"/>
  <c r="AS6" i="9"/>
  <c r="AS35" i="9"/>
  <c r="BC35" i="9"/>
  <c r="AT35" i="9"/>
  <c r="AU35" i="9" s="1"/>
  <c r="BC31" i="9"/>
  <c r="AT31" i="9"/>
  <c r="AU31" i="9" s="1"/>
  <c r="AS31" i="9"/>
  <c r="AS27" i="9"/>
  <c r="BC27" i="9"/>
  <c r="AT27" i="9"/>
  <c r="AU27" i="9" s="1"/>
  <c r="BC23" i="9"/>
  <c r="AT23" i="9"/>
  <c r="AU23" i="9" s="1"/>
  <c r="AS23" i="9"/>
  <c r="AS19" i="9"/>
  <c r="BC19" i="9"/>
  <c r="AT19" i="9"/>
  <c r="AU19" i="9" s="1"/>
  <c r="BC15" i="9"/>
  <c r="AT15" i="9"/>
  <c r="AU15" i="9" s="1"/>
  <c r="AS15" i="9"/>
  <c r="AS11" i="9"/>
  <c r="BC11" i="9"/>
  <c r="AT11" i="9"/>
  <c r="AU11" i="9" s="1"/>
  <c r="BC7" i="9"/>
  <c r="AT7" i="9"/>
  <c r="AU7" i="9" s="1"/>
  <c r="AS7" i="9"/>
  <c r="AS44" i="9"/>
  <c r="BC44" i="9"/>
  <c r="AT44" i="9"/>
  <c r="AU44" i="9" s="1"/>
  <c r="AF353" i="9"/>
  <c r="AP374" i="9"/>
  <c r="AH349" i="9"/>
  <c r="AH369" i="9" s="1"/>
  <c r="AF357" i="9"/>
  <c r="AP382" i="9"/>
  <c r="AK382" i="9" s="1"/>
  <c r="BB64" i="9"/>
  <c r="BB261" i="9"/>
  <c r="BB120" i="9"/>
  <c r="BB288" i="9"/>
  <c r="BB225" i="9"/>
  <c r="BB125" i="9"/>
  <c r="BB115" i="9"/>
  <c r="AJ413" i="9"/>
  <c r="CB136" i="9"/>
  <c r="CO136" i="9" s="1"/>
  <c r="CB132" i="9"/>
  <c r="CO132" i="9" s="1"/>
  <c r="AK391" i="9"/>
  <c r="AM366" i="9"/>
  <c r="AK366" i="9" s="1"/>
  <c r="X374" i="9"/>
  <c r="X394" i="9" s="1"/>
  <c r="AC394" i="9"/>
  <c r="L34" i="2"/>
  <c r="M34" i="2"/>
  <c r="AA369" i="9"/>
  <c r="AI159" i="14"/>
  <c r="AI167" i="14" s="1"/>
  <c r="BA146" i="14"/>
  <c r="AY146" i="14"/>
  <c r="AY154" i="14" s="1"/>
  <c r="AN146" i="14"/>
  <c r="AQ159" i="14"/>
  <c r="AQ167" i="14" s="1"/>
  <c r="AP159" i="14"/>
  <c r="AS146" i="14"/>
  <c r="AV159" i="14"/>
  <c r="AV167" i="14" s="1"/>
  <c r="AH146" i="14"/>
  <c r="BD159" i="14"/>
  <c r="BD167" i="14" s="1"/>
  <c r="AX133" i="14"/>
  <c r="AL146" i="14"/>
  <c r="AL154" i="14" s="1"/>
  <c r="AK133" i="14"/>
  <c r="BC159" i="14"/>
  <c r="AU146" i="14"/>
  <c r="AF146" i="14"/>
  <c r="S85" i="13"/>
  <c r="U83" i="13"/>
  <c r="AB15" i="13"/>
  <c r="AB41" i="13"/>
  <c r="AB57" i="13"/>
  <c r="AB69" i="13"/>
  <c r="AB81" i="13"/>
  <c r="AB34" i="13"/>
  <c r="AB42" i="13"/>
  <c r="AB50" i="13"/>
  <c r="AB70" i="13"/>
  <c r="AB78" i="13"/>
  <c r="AB16" i="13"/>
  <c r="AB17" i="13"/>
  <c r="AB35" i="13"/>
  <c r="AB43" i="13"/>
  <c r="AB55" i="13"/>
  <c r="AB63" i="13"/>
  <c r="AB71" i="13"/>
  <c r="AB83" i="13"/>
  <c r="AB40" i="13"/>
  <c r="AB48" i="13"/>
  <c r="AB60" i="13"/>
  <c r="AB76" i="13"/>
  <c r="U17" i="13"/>
  <c r="U34" i="13"/>
  <c r="U42" i="13"/>
  <c r="U50" i="13"/>
  <c r="U70" i="13"/>
  <c r="U78" i="13"/>
  <c r="U41" i="13"/>
  <c r="U57" i="13"/>
  <c r="U69" i="13"/>
  <c r="U81" i="13"/>
  <c r="U15" i="13"/>
  <c r="U20" i="13"/>
  <c r="U36" i="13"/>
  <c r="U44" i="13"/>
  <c r="U56" i="13"/>
  <c r="U68" i="13"/>
  <c r="U84" i="13"/>
  <c r="U39" i="13"/>
  <c r="U47" i="13"/>
  <c r="U59" i="13"/>
  <c r="U67" i="13"/>
  <c r="U75" i="13"/>
  <c r="Z16" i="13"/>
  <c r="Z17" i="13"/>
  <c r="Z35" i="13"/>
  <c r="Z43" i="13"/>
  <c r="Z55" i="13"/>
  <c r="Z63" i="13"/>
  <c r="Z71" i="13"/>
  <c r="Z83" i="13"/>
  <c r="Z40" i="13"/>
  <c r="Z48" i="13"/>
  <c r="Z60" i="13"/>
  <c r="Z76" i="13"/>
  <c r="Z15" i="13"/>
  <c r="Z41" i="13"/>
  <c r="Z57" i="13"/>
  <c r="Z69" i="13"/>
  <c r="Z81" i="13"/>
  <c r="Z34" i="13"/>
  <c r="Z42" i="13"/>
  <c r="Z50" i="13"/>
  <c r="Z70" i="13"/>
  <c r="Z78" i="13"/>
  <c r="S15" i="13"/>
  <c r="S16" i="13"/>
  <c r="S31" i="13"/>
  <c r="S40" i="13"/>
  <c r="S48" i="13"/>
  <c r="S60" i="13"/>
  <c r="S76" i="13"/>
  <c r="S35" i="13"/>
  <c r="S43" i="13"/>
  <c r="S55" i="13"/>
  <c r="S63" i="13"/>
  <c r="S71" i="13"/>
  <c r="S83" i="13"/>
  <c r="S33" i="13"/>
  <c r="S42" i="13"/>
  <c r="S50" i="13"/>
  <c r="S70" i="13"/>
  <c r="S78" i="13"/>
  <c r="S41" i="13"/>
  <c r="S57" i="13"/>
  <c r="S69" i="13"/>
  <c r="S81" i="13"/>
  <c r="AA17" i="13"/>
  <c r="AA40" i="13"/>
  <c r="AA48" i="13"/>
  <c r="AA60" i="13"/>
  <c r="AA76" i="13"/>
  <c r="AA33" i="13"/>
  <c r="AA49" i="13"/>
  <c r="AA61" i="13"/>
  <c r="AA77" i="13"/>
  <c r="AA85" i="13"/>
  <c r="AA16" i="13"/>
  <c r="AA34" i="13"/>
  <c r="AA42" i="13"/>
  <c r="AA50" i="13"/>
  <c r="AA70" i="13"/>
  <c r="AA78" i="13"/>
  <c r="AA31" i="13"/>
  <c r="AA39" i="13"/>
  <c r="AA47" i="13"/>
  <c r="AA59" i="13"/>
  <c r="AA67" i="13"/>
  <c r="AA75" i="13"/>
  <c r="T16" i="13"/>
  <c r="T31" i="13"/>
  <c r="T41" i="13"/>
  <c r="T57" i="13"/>
  <c r="T69" i="13"/>
  <c r="T81" i="13"/>
  <c r="T36" i="13"/>
  <c r="T44" i="13"/>
  <c r="T56" i="13"/>
  <c r="T68" i="13"/>
  <c r="T84" i="13"/>
  <c r="T15" i="13"/>
  <c r="T35" i="13"/>
  <c r="T43" i="13"/>
  <c r="T55" i="13"/>
  <c r="T63" i="13"/>
  <c r="T71" i="13"/>
  <c r="T83" i="13"/>
  <c r="T42" i="13"/>
  <c r="T50" i="13"/>
  <c r="T70" i="13"/>
  <c r="T78" i="13"/>
  <c r="AB33" i="13"/>
  <c r="AB49" i="13"/>
  <c r="AB61" i="13"/>
  <c r="AB77" i="13"/>
  <c r="AB85" i="13"/>
  <c r="AB38" i="13"/>
  <c r="AB46" i="13"/>
  <c r="AB54" i="13"/>
  <c r="AB74" i="13"/>
  <c r="AB82" i="13"/>
  <c r="AB20" i="13"/>
  <c r="AB31" i="13"/>
  <c r="AB39" i="13"/>
  <c r="AB47" i="13"/>
  <c r="AB59" i="13"/>
  <c r="AB67" i="13"/>
  <c r="AB75" i="13"/>
  <c r="AB36" i="13"/>
  <c r="AB44" i="13"/>
  <c r="AB56" i="13"/>
  <c r="AB68" i="13"/>
  <c r="AB84" i="13"/>
  <c r="U33" i="13"/>
  <c r="U38" i="13"/>
  <c r="U46" i="13"/>
  <c r="U54" i="13"/>
  <c r="U74" i="13"/>
  <c r="U82" i="13"/>
  <c r="U49" i="13"/>
  <c r="U61" i="13"/>
  <c r="U77" i="13"/>
  <c r="U85" i="13"/>
  <c r="U16" i="13"/>
  <c r="U31" i="13"/>
  <c r="U40" i="13"/>
  <c r="U48" i="13"/>
  <c r="U60" i="13"/>
  <c r="U76" i="13"/>
  <c r="U35" i="13"/>
  <c r="U43" i="13"/>
  <c r="U55" i="13"/>
  <c r="U63" i="13"/>
  <c r="U71" i="13"/>
  <c r="Z20" i="13"/>
  <c r="Z31" i="13"/>
  <c r="Z39" i="13"/>
  <c r="Z47" i="13"/>
  <c r="Z59" i="13"/>
  <c r="Z67" i="13"/>
  <c r="Z75" i="13"/>
  <c r="Z36" i="13"/>
  <c r="Z44" i="13"/>
  <c r="Z56" i="13"/>
  <c r="Z68" i="13"/>
  <c r="Z84" i="13"/>
  <c r="Z33" i="13"/>
  <c r="Z49" i="13"/>
  <c r="Z61" i="13"/>
  <c r="Z77" i="13"/>
  <c r="Z85" i="13"/>
  <c r="Z38" i="13"/>
  <c r="Z46" i="13"/>
  <c r="Z54" i="13"/>
  <c r="Z74" i="13"/>
  <c r="Z82" i="13"/>
  <c r="S34" i="13"/>
  <c r="S20" i="13"/>
  <c r="S36" i="13"/>
  <c r="S44" i="13"/>
  <c r="S56" i="13"/>
  <c r="S68" i="13"/>
  <c r="S84" i="13"/>
  <c r="S39" i="13"/>
  <c r="S47" i="13"/>
  <c r="S59" i="13"/>
  <c r="S67" i="13"/>
  <c r="S75" i="13"/>
  <c r="S17" i="13"/>
  <c r="S38" i="13"/>
  <c r="S46" i="13"/>
  <c r="S54" i="13"/>
  <c r="S74" i="13"/>
  <c r="S82" i="13"/>
  <c r="S49" i="13"/>
  <c r="S61" i="13"/>
  <c r="S77" i="13"/>
  <c r="AA36" i="13"/>
  <c r="AA44" i="13"/>
  <c r="AA56" i="13"/>
  <c r="AA68" i="13"/>
  <c r="AA84" i="13"/>
  <c r="AA41" i="13"/>
  <c r="AA57" i="13"/>
  <c r="AA69" i="13"/>
  <c r="AA81" i="13"/>
  <c r="AA15" i="13"/>
  <c r="AA20" i="13"/>
  <c r="AA38" i="13"/>
  <c r="AA46" i="13"/>
  <c r="AA54" i="13"/>
  <c r="AA74" i="13"/>
  <c r="AA82" i="13"/>
  <c r="AA35" i="13"/>
  <c r="AA43" i="13"/>
  <c r="AA55" i="13"/>
  <c r="AA63" i="13"/>
  <c r="AA71" i="13"/>
  <c r="AA83" i="13"/>
  <c r="T20" i="13"/>
  <c r="T17" i="13"/>
  <c r="T49" i="13"/>
  <c r="T61" i="13"/>
  <c r="T77" i="13"/>
  <c r="T85" i="13"/>
  <c r="T40" i="13"/>
  <c r="T48" i="13"/>
  <c r="T60" i="13"/>
  <c r="T76" i="13"/>
  <c r="T33" i="13"/>
  <c r="T34" i="13"/>
  <c r="T39" i="13"/>
  <c r="T47" i="13"/>
  <c r="T59" i="13"/>
  <c r="T67" i="13"/>
  <c r="T75" i="13"/>
  <c r="T38" i="13"/>
  <c r="T46" i="13"/>
  <c r="T54" i="13"/>
  <c r="T74" i="13"/>
  <c r="F5" i="17"/>
  <c r="G5" i="17"/>
  <c r="X414" i="9"/>
  <c r="Z365" i="9"/>
  <c r="X365" i="9" s="1"/>
  <c r="M101" i="13"/>
  <c r="H112" i="13" s="1"/>
  <c r="M27" i="13"/>
  <c r="H107" i="13" s="1"/>
  <c r="N101" i="13"/>
  <c r="H113" i="13" s="1"/>
  <c r="N27" i="13"/>
  <c r="H108" i="13" s="1"/>
  <c r="I108" i="13" s="1"/>
  <c r="L101" i="13"/>
  <c r="H111" i="13" s="1"/>
  <c r="L27" i="13"/>
  <c r="H106" i="13" s="1"/>
  <c r="Z361" i="9"/>
  <c r="X361" i="9" s="1"/>
  <c r="X439" i="9"/>
  <c r="G34" i="2" s="1"/>
  <c r="Z349" i="9"/>
  <c r="Z353" i="9"/>
  <c r="X353" i="9" s="1"/>
  <c r="Z357" i="9"/>
  <c r="X357" i="9" s="1"/>
  <c r="CK39" i="9" l="1"/>
  <c r="CM39" i="9" s="1"/>
  <c r="CN39" i="9" s="1"/>
  <c r="CQ268" i="9"/>
  <c r="CD315" i="9"/>
  <c r="BZ315" i="9"/>
  <c r="CB315" i="9"/>
  <c r="AW390" i="9"/>
  <c r="CK289" i="9"/>
  <c r="CQ289" i="9" s="1"/>
  <c r="CO204" i="9"/>
  <c r="S34" i="2"/>
  <c r="AK425" i="9"/>
  <c r="AK424" i="9"/>
  <c r="AI446" i="9"/>
  <c r="AK430" i="9"/>
  <c r="AK429" i="9"/>
  <c r="AK435" i="9"/>
  <c r="AK434" i="9"/>
  <c r="AX435" i="9"/>
  <c r="P29" i="2" s="1"/>
  <c r="AX434" i="9"/>
  <c r="BI430" i="9"/>
  <c r="BI426" i="9"/>
  <c r="BI444" i="9" s="1"/>
  <c r="BI445" i="9" s="1"/>
  <c r="BI434" i="9"/>
  <c r="P34" i="2"/>
  <c r="E6" i="17"/>
  <c r="E7" i="17" s="1"/>
  <c r="AX430" i="9"/>
  <c r="P24" i="2" s="1"/>
  <c r="BI419" i="9"/>
  <c r="AK420" i="9"/>
  <c r="AK419" i="9"/>
  <c r="AK418" i="9" s="1"/>
  <c r="AK426" i="9"/>
  <c r="AI447" i="9"/>
  <c r="AK438" i="9"/>
  <c r="BI424" i="9"/>
  <c r="BI435" i="9"/>
  <c r="AS368" i="9"/>
  <c r="BD393" i="9"/>
  <c r="AX393" i="9" s="1"/>
  <c r="BI421" i="9"/>
  <c r="BK421" i="9" s="1"/>
  <c r="U13" i="2" s="1"/>
  <c r="BI327" i="9" s="1"/>
  <c r="BJ327" i="9" s="1"/>
  <c r="AS351" i="9"/>
  <c r="CO260" i="9"/>
  <c r="CK119" i="9"/>
  <c r="CM119" i="9" s="1"/>
  <c r="CN119" i="9" s="1"/>
  <c r="CM220" i="9"/>
  <c r="CN220" i="9" s="1"/>
  <c r="CK262" i="9"/>
  <c r="BN368" i="9"/>
  <c r="AA8" i="2"/>
  <c r="Y7" i="2"/>
  <c r="BV431" i="9" s="1"/>
  <c r="X6" i="2"/>
  <c r="BV435" i="9" s="1"/>
  <c r="W5" i="2"/>
  <c r="BV419" i="9" s="1"/>
  <c r="BX419" i="9" s="1"/>
  <c r="BI429" i="9"/>
  <c r="BI425" i="9"/>
  <c r="AK428" i="9"/>
  <c r="BI431" i="9"/>
  <c r="AY368" i="9"/>
  <c r="AX391" i="9"/>
  <c r="AX343" i="9"/>
  <c r="AP394" i="9"/>
  <c r="AK374" i="9"/>
  <c r="AU352" i="9"/>
  <c r="AU349" i="9"/>
  <c r="AU351" i="9"/>
  <c r="BC385" i="9"/>
  <c r="BC382" i="9"/>
  <c r="BC384" i="9"/>
  <c r="AU360" i="9"/>
  <c r="AU357" i="9"/>
  <c r="AS364" i="9"/>
  <c r="BA131" i="9"/>
  <c r="BK131" i="9"/>
  <c r="BA129" i="9"/>
  <c r="BK129" i="9"/>
  <c r="BA270" i="9"/>
  <c r="BK270" i="9"/>
  <c r="BA125" i="9"/>
  <c r="BK125" i="9"/>
  <c r="BA157" i="9"/>
  <c r="BK157" i="9"/>
  <c r="BA294" i="9"/>
  <c r="BK294" i="9"/>
  <c r="BA123" i="9"/>
  <c r="BK123" i="9"/>
  <c r="BA76" i="9"/>
  <c r="BK76" i="9"/>
  <c r="BA108" i="9"/>
  <c r="BK108" i="9"/>
  <c r="BD374" i="9"/>
  <c r="BA94" i="9"/>
  <c r="BK94" i="9"/>
  <c r="BA111" i="9"/>
  <c r="BK111" i="9"/>
  <c r="BA117" i="9"/>
  <c r="BK117" i="9"/>
  <c r="BA229" i="9"/>
  <c r="BK229" i="9"/>
  <c r="AN369" i="9"/>
  <c r="AM349" i="9"/>
  <c r="AX423" i="9"/>
  <c r="O19" i="2"/>
  <c r="BG7" i="9"/>
  <c r="BH7" i="9" s="1"/>
  <c r="BF7" i="9"/>
  <c r="BP7" i="9"/>
  <c r="BG15" i="9"/>
  <c r="BH15" i="9" s="1"/>
  <c r="BF15" i="9"/>
  <c r="BP15" i="9"/>
  <c r="BG23" i="9"/>
  <c r="BH23" i="9" s="1"/>
  <c r="BF23" i="9"/>
  <c r="BP23" i="9"/>
  <c r="BG31" i="9"/>
  <c r="BH31" i="9" s="1"/>
  <c r="BF31" i="9"/>
  <c r="BP31" i="9"/>
  <c r="BG39" i="9"/>
  <c r="BH39" i="9" s="1"/>
  <c r="BF39" i="9"/>
  <c r="BP39" i="9"/>
  <c r="BP47" i="9"/>
  <c r="BG47" i="9"/>
  <c r="BH47" i="9" s="1"/>
  <c r="BF47" i="9"/>
  <c r="BP55" i="9"/>
  <c r="BG55" i="9"/>
  <c r="BH55" i="9" s="1"/>
  <c r="BF55" i="9"/>
  <c r="BP63" i="9"/>
  <c r="BG63" i="9"/>
  <c r="BH63" i="9" s="1"/>
  <c r="BF63" i="9"/>
  <c r="BP71" i="9"/>
  <c r="BG71" i="9"/>
  <c r="BH71" i="9" s="1"/>
  <c r="BF71" i="9"/>
  <c r="BP79" i="9"/>
  <c r="BG79" i="9"/>
  <c r="BH79" i="9" s="1"/>
  <c r="BF79" i="9"/>
  <c r="BP87" i="9"/>
  <c r="BG87" i="9"/>
  <c r="BH87" i="9" s="1"/>
  <c r="BF87" i="9"/>
  <c r="BP95" i="9"/>
  <c r="BG95" i="9"/>
  <c r="BH95" i="9" s="1"/>
  <c r="BF95" i="9"/>
  <c r="BP103" i="9"/>
  <c r="BG103" i="9"/>
  <c r="BH103" i="9" s="1"/>
  <c r="BF103" i="9"/>
  <c r="BF113" i="9"/>
  <c r="BP113" i="9"/>
  <c r="BG113" i="9"/>
  <c r="BH113" i="9" s="1"/>
  <c r="BP119" i="9"/>
  <c r="BG119" i="9"/>
  <c r="BH119" i="9" s="1"/>
  <c r="BF119" i="9"/>
  <c r="BF125" i="9"/>
  <c r="BP125" i="9"/>
  <c r="BG125" i="9"/>
  <c r="BH125" i="9" s="1"/>
  <c r="BF129" i="9"/>
  <c r="BP129" i="9"/>
  <c r="BG129" i="9"/>
  <c r="BH129" i="9" s="1"/>
  <c r="BF133" i="9"/>
  <c r="BP133" i="9"/>
  <c r="BG133" i="9"/>
  <c r="BH133" i="9" s="1"/>
  <c r="BF137" i="9"/>
  <c r="BP137" i="9"/>
  <c r="BG137" i="9"/>
  <c r="BH137" i="9" s="1"/>
  <c r="BF141" i="9"/>
  <c r="BP141" i="9"/>
  <c r="BG141" i="9"/>
  <c r="BH141" i="9" s="1"/>
  <c r="BF145" i="9"/>
  <c r="BP145" i="9"/>
  <c r="BG145" i="9"/>
  <c r="BH145" i="9" s="1"/>
  <c r="BP151" i="9"/>
  <c r="BG151" i="9"/>
  <c r="BH151" i="9" s="1"/>
  <c r="BF151" i="9"/>
  <c r="BP155" i="9"/>
  <c r="BG155" i="9"/>
  <c r="BH155" i="9" s="1"/>
  <c r="BF155" i="9"/>
  <c r="BP159" i="9"/>
  <c r="BG159" i="9"/>
  <c r="BH159" i="9" s="1"/>
  <c r="BF159" i="9"/>
  <c r="BP163" i="9"/>
  <c r="BG163" i="9"/>
  <c r="BH163" i="9" s="1"/>
  <c r="BF163" i="9"/>
  <c r="BP167" i="9"/>
  <c r="BG167" i="9"/>
  <c r="BH167" i="9" s="1"/>
  <c r="BF167" i="9"/>
  <c r="BP171" i="9"/>
  <c r="BG171" i="9"/>
  <c r="BH171" i="9" s="1"/>
  <c r="BF171" i="9"/>
  <c r="BP175" i="9"/>
  <c r="BG175" i="9"/>
  <c r="BH175" i="9" s="1"/>
  <c r="BF175" i="9"/>
  <c r="BP179" i="9"/>
  <c r="BG179" i="9"/>
  <c r="BH179" i="9" s="1"/>
  <c r="BF179" i="9"/>
  <c r="BP183" i="9"/>
  <c r="BG183" i="9"/>
  <c r="BH183" i="9" s="1"/>
  <c r="BF183" i="9"/>
  <c r="BP187" i="9"/>
  <c r="BG187" i="9"/>
  <c r="BH187" i="9" s="1"/>
  <c r="BF187" i="9"/>
  <c r="BP191" i="9"/>
  <c r="BG191" i="9"/>
  <c r="BH191" i="9" s="1"/>
  <c r="BF191" i="9"/>
  <c r="BP195" i="9"/>
  <c r="BG195" i="9"/>
  <c r="BH195" i="9" s="1"/>
  <c r="BF195" i="9"/>
  <c r="BP199" i="9"/>
  <c r="BG199" i="9"/>
  <c r="BH199" i="9" s="1"/>
  <c r="BF199" i="9"/>
  <c r="BG203" i="9"/>
  <c r="BH203" i="9" s="1"/>
  <c r="BF203" i="9"/>
  <c r="BP203" i="9"/>
  <c r="BG207" i="9"/>
  <c r="BH207" i="9" s="1"/>
  <c r="BF207" i="9"/>
  <c r="BP207" i="9"/>
  <c r="BG211" i="9"/>
  <c r="BH211" i="9" s="1"/>
  <c r="BF211" i="9"/>
  <c r="BP211" i="9"/>
  <c r="BG215" i="9"/>
  <c r="BH215" i="9" s="1"/>
  <c r="BF215" i="9"/>
  <c r="BP215" i="9"/>
  <c r="BG219" i="9"/>
  <c r="BH219" i="9" s="1"/>
  <c r="BF219" i="9"/>
  <c r="BP219" i="9"/>
  <c r="BG223" i="9"/>
  <c r="BH223" i="9" s="1"/>
  <c r="BF223" i="9"/>
  <c r="BP223" i="9"/>
  <c r="BG227" i="9"/>
  <c r="BH227" i="9" s="1"/>
  <c r="BF227" i="9"/>
  <c r="BP227" i="9"/>
  <c r="BG231" i="9"/>
  <c r="BH231" i="9" s="1"/>
  <c r="BF231" i="9"/>
  <c r="BP231" i="9"/>
  <c r="BG235" i="9"/>
  <c r="BH235" i="9" s="1"/>
  <c r="BF235" i="9"/>
  <c r="BP235" i="9"/>
  <c r="BG239" i="9"/>
  <c r="BH239" i="9" s="1"/>
  <c r="BP239" i="9"/>
  <c r="BF239" i="9"/>
  <c r="BG243" i="9"/>
  <c r="BH243" i="9" s="1"/>
  <c r="BP243" i="9"/>
  <c r="BF243" i="9"/>
  <c r="BG247" i="9"/>
  <c r="BH247" i="9" s="1"/>
  <c r="BP247" i="9"/>
  <c r="BF247" i="9"/>
  <c r="BG251" i="9"/>
  <c r="BH251" i="9" s="1"/>
  <c r="BP251" i="9"/>
  <c r="BF251" i="9"/>
  <c r="BG255" i="9"/>
  <c r="BH255" i="9" s="1"/>
  <c r="BP255" i="9"/>
  <c r="BF255" i="9"/>
  <c r="BG259" i="9"/>
  <c r="BH259" i="9" s="1"/>
  <c r="BP259" i="9"/>
  <c r="BF259" i="9"/>
  <c r="BG263" i="9"/>
  <c r="BH263" i="9" s="1"/>
  <c r="BP263" i="9"/>
  <c r="BF263" i="9"/>
  <c r="BG267" i="9"/>
  <c r="BH267" i="9" s="1"/>
  <c r="BP267" i="9"/>
  <c r="BF267" i="9"/>
  <c r="BG271" i="9"/>
  <c r="BH271" i="9" s="1"/>
  <c r="BP271" i="9"/>
  <c r="BF271" i="9"/>
  <c r="BG275" i="9"/>
  <c r="BH275" i="9" s="1"/>
  <c r="BP275" i="9"/>
  <c r="BF275" i="9"/>
  <c r="BG279" i="9"/>
  <c r="BH279" i="9" s="1"/>
  <c r="BP279" i="9"/>
  <c r="BF279" i="9"/>
  <c r="BG283" i="9"/>
  <c r="BH283" i="9" s="1"/>
  <c r="BP283" i="9"/>
  <c r="BF283" i="9"/>
  <c r="BG287" i="9"/>
  <c r="BH287" i="9" s="1"/>
  <c r="BP287" i="9"/>
  <c r="BF287" i="9"/>
  <c r="BG291" i="9"/>
  <c r="BH291" i="9" s="1"/>
  <c r="BP291" i="9"/>
  <c r="BF291" i="9"/>
  <c r="BG295" i="9"/>
  <c r="BH295" i="9" s="1"/>
  <c r="BP295" i="9"/>
  <c r="BF295" i="9"/>
  <c r="BG299" i="9"/>
  <c r="BH299" i="9" s="1"/>
  <c r="BP299" i="9"/>
  <c r="BF299" i="9"/>
  <c r="BG303" i="9"/>
  <c r="BH303" i="9" s="1"/>
  <c r="BP303" i="9"/>
  <c r="BF303" i="9"/>
  <c r="BG307" i="9"/>
  <c r="BH307" i="9" s="1"/>
  <c r="BP307" i="9"/>
  <c r="BF307" i="9"/>
  <c r="BG311" i="9"/>
  <c r="BH311" i="9" s="1"/>
  <c r="BP311" i="9"/>
  <c r="BF311" i="9"/>
  <c r="BG315" i="9"/>
  <c r="BH315" i="9" s="1"/>
  <c r="BP315" i="9"/>
  <c r="BF315" i="9"/>
  <c r="BG319" i="9"/>
  <c r="BH319" i="9" s="1"/>
  <c r="BP319" i="9"/>
  <c r="BF319" i="9"/>
  <c r="BP9" i="9"/>
  <c r="BG9" i="9"/>
  <c r="BH9" i="9" s="1"/>
  <c r="BF9" i="9"/>
  <c r="BP17" i="9"/>
  <c r="BG17" i="9"/>
  <c r="BH17" i="9" s="1"/>
  <c r="BF17" i="9"/>
  <c r="BP25" i="9"/>
  <c r="BG25" i="9"/>
  <c r="BH25" i="9" s="1"/>
  <c r="BF25" i="9"/>
  <c r="BP33" i="9"/>
  <c r="BG33" i="9"/>
  <c r="BH33" i="9" s="1"/>
  <c r="BF33" i="9"/>
  <c r="BP41" i="9"/>
  <c r="BG41" i="9"/>
  <c r="BH41" i="9" s="1"/>
  <c r="BF41" i="9"/>
  <c r="BF49" i="9"/>
  <c r="BP49" i="9"/>
  <c r="BG49" i="9"/>
  <c r="BH49" i="9" s="1"/>
  <c r="BF57" i="9"/>
  <c r="BP57" i="9"/>
  <c r="BG57" i="9"/>
  <c r="BH57" i="9" s="1"/>
  <c r="BF65" i="9"/>
  <c r="BP65" i="9"/>
  <c r="BG65" i="9"/>
  <c r="BH65" i="9" s="1"/>
  <c r="BF73" i="9"/>
  <c r="BP73" i="9"/>
  <c r="BG73" i="9"/>
  <c r="BH73" i="9" s="1"/>
  <c r="BF81" i="9"/>
  <c r="BP81" i="9"/>
  <c r="BG81" i="9"/>
  <c r="BH81" i="9" s="1"/>
  <c r="BF89" i="9"/>
  <c r="BP89" i="9"/>
  <c r="BG89" i="9"/>
  <c r="BH89" i="9" s="1"/>
  <c r="BF97" i="9"/>
  <c r="BP97" i="9"/>
  <c r="BG97" i="9"/>
  <c r="BH97" i="9" s="1"/>
  <c r="BF105" i="9"/>
  <c r="BP105" i="9"/>
  <c r="BG105" i="9"/>
  <c r="BH105" i="9" s="1"/>
  <c r="BP111" i="9"/>
  <c r="BG111" i="9"/>
  <c r="BH111" i="9" s="1"/>
  <c r="BF111" i="9"/>
  <c r="BF121" i="9"/>
  <c r="BP121" i="9"/>
  <c r="BG121" i="9"/>
  <c r="BH121" i="9" s="1"/>
  <c r="BP6" i="9"/>
  <c r="BG6" i="9"/>
  <c r="BH6" i="9" s="1"/>
  <c r="BF6" i="9"/>
  <c r="BP10" i="9"/>
  <c r="BG10" i="9"/>
  <c r="BH10" i="9" s="1"/>
  <c r="BF10" i="9"/>
  <c r="BP14" i="9"/>
  <c r="BG14" i="9"/>
  <c r="BH14" i="9" s="1"/>
  <c r="BF14" i="9"/>
  <c r="BP18" i="9"/>
  <c r="BG18" i="9"/>
  <c r="BH18" i="9" s="1"/>
  <c r="BF18" i="9"/>
  <c r="BP22" i="9"/>
  <c r="BG22" i="9"/>
  <c r="BH22" i="9" s="1"/>
  <c r="BF22" i="9"/>
  <c r="BP26" i="9"/>
  <c r="BG26" i="9"/>
  <c r="BH26" i="9" s="1"/>
  <c r="BF26" i="9"/>
  <c r="BP30" i="9"/>
  <c r="BG30" i="9"/>
  <c r="BH30" i="9" s="1"/>
  <c r="BF30" i="9"/>
  <c r="BP34" i="9"/>
  <c r="BG34" i="9"/>
  <c r="BH34" i="9" s="1"/>
  <c r="BF34" i="9"/>
  <c r="BP38" i="9"/>
  <c r="BG38" i="9"/>
  <c r="BH38" i="9" s="1"/>
  <c r="BF38" i="9"/>
  <c r="BP42" i="9"/>
  <c r="BG42" i="9"/>
  <c r="BH42" i="9" s="1"/>
  <c r="BF42" i="9"/>
  <c r="BF46" i="9"/>
  <c r="BP46" i="9"/>
  <c r="BG46" i="9"/>
  <c r="BH46" i="9" s="1"/>
  <c r="BF50" i="9"/>
  <c r="BP50" i="9"/>
  <c r="BG50" i="9"/>
  <c r="BH50" i="9" s="1"/>
  <c r="BF54" i="9"/>
  <c r="BP54" i="9"/>
  <c r="BG54" i="9"/>
  <c r="BH54" i="9" s="1"/>
  <c r="BF58" i="9"/>
  <c r="BP58" i="9"/>
  <c r="BG58" i="9"/>
  <c r="BH58" i="9" s="1"/>
  <c r="BF62" i="9"/>
  <c r="BP62" i="9"/>
  <c r="BG62" i="9"/>
  <c r="BH62" i="9" s="1"/>
  <c r="BF66" i="9"/>
  <c r="BP66" i="9"/>
  <c r="BG66" i="9"/>
  <c r="BH66" i="9" s="1"/>
  <c r="BF70" i="9"/>
  <c r="BP70" i="9"/>
  <c r="BG70" i="9"/>
  <c r="BH70" i="9" s="1"/>
  <c r="BF74" i="9"/>
  <c r="BP74" i="9"/>
  <c r="BG74" i="9"/>
  <c r="BH74" i="9" s="1"/>
  <c r="BF78" i="9"/>
  <c r="BP78" i="9"/>
  <c r="BG78" i="9"/>
  <c r="BH78" i="9" s="1"/>
  <c r="BF82" i="9"/>
  <c r="BP82" i="9"/>
  <c r="BG82" i="9"/>
  <c r="BH82" i="9" s="1"/>
  <c r="BF86" i="9"/>
  <c r="BP86" i="9"/>
  <c r="BG86" i="9"/>
  <c r="BH86" i="9" s="1"/>
  <c r="BF90" i="9"/>
  <c r="BP90" i="9"/>
  <c r="BG90" i="9"/>
  <c r="BH90" i="9" s="1"/>
  <c r="BF94" i="9"/>
  <c r="BP94" i="9"/>
  <c r="BG94" i="9"/>
  <c r="BH94" i="9" s="1"/>
  <c r="BF98" i="9"/>
  <c r="BP98" i="9"/>
  <c r="BG98" i="9"/>
  <c r="BH98" i="9" s="1"/>
  <c r="BF102" i="9"/>
  <c r="BP102" i="9"/>
  <c r="BG102" i="9"/>
  <c r="BH102" i="9" s="1"/>
  <c r="BF106" i="9"/>
  <c r="BP106" i="9"/>
  <c r="BG106" i="9"/>
  <c r="BH106" i="9" s="1"/>
  <c r="BF110" i="9"/>
  <c r="BP110" i="9"/>
  <c r="BG110" i="9"/>
  <c r="BH110" i="9" s="1"/>
  <c r="BF114" i="9"/>
  <c r="BP114" i="9"/>
  <c r="BG114" i="9"/>
  <c r="BH114" i="9" s="1"/>
  <c r="BF118" i="9"/>
  <c r="BP118" i="9"/>
  <c r="BG118" i="9"/>
  <c r="BH118" i="9" s="1"/>
  <c r="BF122" i="9"/>
  <c r="BP122" i="9"/>
  <c r="BG122" i="9"/>
  <c r="BH122" i="9" s="1"/>
  <c r="BF126" i="9"/>
  <c r="BP126" i="9"/>
  <c r="BG126" i="9"/>
  <c r="BH126" i="9" s="1"/>
  <c r="BF130" i="9"/>
  <c r="BP130" i="9"/>
  <c r="BG130" i="9"/>
  <c r="BH130" i="9" s="1"/>
  <c r="BF134" i="9"/>
  <c r="BP134" i="9"/>
  <c r="BG134" i="9"/>
  <c r="BH134" i="9" s="1"/>
  <c r="BF138" i="9"/>
  <c r="BP138" i="9"/>
  <c r="BG138" i="9"/>
  <c r="BH138" i="9" s="1"/>
  <c r="BF142" i="9"/>
  <c r="BP142" i="9"/>
  <c r="BG142" i="9"/>
  <c r="BH142" i="9" s="1"/>
  <c r="BF146" i="9"/>
  <c r="BP146" i="9"/>
  <c r="BG146" i="9"/>
  <c r="BH146" i="9" s="1"/>
  <c r="BF150" i="9"/>
  <c r="BP150" i="9"/>
  <c r="BG150" i="9"/>
  <c r="BH150" i="9" s="1"/>
  <c r="BF154" i="9"/>
  <c r="BP154" i="9"/>
  <c r="BG154" i="9"/>
  <c r="BH154" i="9" s="1"/>
  <c r="BF158" i="9"/>
  <c r="BP158" i="9"/>
  <c r="BG158" i="9"/>
  <c r="BH158" i="9" s="1"/>
  <c r="BF162" i="9"/>
  <c r="BP162" i="9"/>
  <c r="BG162" i="9"/>
  <c r="BH162" i="9" s="1"/>
  <c r="BF166" i="9"/>
  <c r="BP166" i="9"/>
  <c r="BG166" i="9"/>
  <c r="BH166" i="9" s="1"/>
  <c r="BF170" i="9"/>
  <c r="BP170" i="9"/>
  <c r="BG170" i="9"/>
  <c r="BH170" i="9" s="1"/>
  <c r="BF174" i="9"/>
  <c r="BP174" i="9"/>
  <c r="BG174" i="9"/>
  <c r="BH174" i="9" s="1"/>
  <c r="BF178" i="9"/>
  <c r="BP178" i="9"/>
  <c r="BG178" i="9"/>
  <c r="BH178" i="9" s="1"/>
  <c r="BF182" i="9"/>
  <c r="BP182" i="9"/>
  <c r="BG182" i="9"/>
  <c r="BH182" i="9" s="1"/>
  <c r="BF186" i="9"/>
  <c r="BP186" i="9"/>
  <c r="BG186" i="9"/>
  <c r="BH186" i="9" s="1"/>
  <c r="BF190" i="9"/>
  <c r="BP190" i="9"/>
  <c r="BG190" i="9"/>
  <c r="BH190" i="9" s="1"/>
  <c r="BF194" i="9"/>
  <c r="BP194" i="9"/>
  <c r="BG194" i="9"/>
  <c r="BH194" i="9" s="1"/>
  <c r="BF198" i="9"/>
  <c r="BP198" i="9"/>
  <c r="BG198" i="9"/>
  <c r="BH198" i="9" s="1"/>
  <c r="BF202" i="9"/>
  <c r="BG202" i="9"/>
  <c r="BH202" i="9" s="1"/>
  <c r="BP202" i="9"/>
  <c r="BF206" i="9"/>
  <c r="BG206" i="9"/>
  <c r="BH206" i="9" s="1"/>
  <c r="BP206" i="9"/>
  <c r="BF210" i="9"/>
  <c r="BG210" i="9"/>
  <c r="BH210" i="9" s="1"/>
  <c r="BP210" i="9"/>
  <c r="BF214" i="9"/>
  <c r="BG214" i="9"/>
  <c r="BH214" i="9" s="1"/>
  <c r="BP214" i="9"/>
  <c r="BF218" i="9"/>
  <c r="BG218" i="9"/>
  <c r="BH218" i="9" s="1"/>
  <c r="BP218" i="9"/>
  <c r="BF222" i="9"/>
  <c r="BG222" i="9"/>
  <c r="BH222" i="9" s="1"/>
  <c r="BP222" i="9"/>
  <c r="BF226" i="9"/>
  <c r="BG226" i="9"/>
  <c r="BH226" i="9" s="1"/>
  <c r="BP226" i="9"/>
  <c r="BF230" i="9"/>
  <c r="BG230" i="9"/>
  <c r="BH230" i="9" s="1"/>
  <c r="BP230" i="9"/>
  <c r="BF234" i="9"/>
  <c r="BG234" i="9"/>
  <c r="BH234" i="9" s="1"/>
  <c r="BP234" i="9"/>
  <c r="BP238" i="9"/>
  <c r="BG238" i="9"/>
  <c r="BH238" i="9" s="1"/>
  <c r="BF238" i="9"/>
  <c r="BP242" i="9"/>
  <c r="BG242" i="9"/>
  <c r="BH242" i="9" s="1"/>
  <c r="BF242" i="9"/>
  <c r="BP246" i="9"/>
  <c r="BG246" i="9"/>
  <c r="BH246" i="9" s="1"/>
  <c r="BF246" i="9"/>
  <c r="BP250" i="9"/>
  <c r="BG250" i="9"/>
  <c r="BH250" i="9" s="1"/>
  <c r="BF250" i="9"/>
  <c r="BP254" i="9"/>
  <c r="BG254" i="9"/>
  <c r="BH254" i="9" s="1"/>
  <c r="BF254" i="9"/>
  <c r="BP258" i="9"/>
  <c r="BG258" i="9"/>
  <c r="BH258" i="9" s="1"/>
  <c r="BF258" i="9"/>
  <c r="BP262" i="9"/>
  <c r="BG262" i="9"/>
  <c r="BH262" i="9" s="1"/>
  <c r="BF262" i="9"/>
  <c r="BP266" i="9"/>
  <c r="BG266" i="9"/>
  <c r="BH266" i="9" s="1"/>
  <c r="BF266" i="9"/>
  <c r="BP270" i="9"/>
  <c r="BG270" i="9"/>
  <c r="BH270" i="9" s="1"/>
  <c r="BF270" i="9"/>
  <c r="BP274" i="9"/>
  <c r="BG274" i="9"/>
  <c r="BH274" i="9" s="1"/>
  <c r="BF274" i="9"/>
  <c r="BP278" i="9"/>
  <c r="BG278" i="9"/>
  <c r="BH278" i="9" s="1"/>
  <c r="BF278" i="9"/>
  <c r="BP282" i="9"/>
  <c r="BG282" i="9"/>
  <c r="BH282" i="9" s="1"/>
  <c r="BF282" i="9"/>
  <c r="BP286" i="9"/>
  <c r="BG286" i="9"/>
  <c r="BH286" i="9" s="1"/>
  <c r="BF286" i="9"/>
  <c r="BP290" i="9"/>
  <c r="BG290" i="9"/>
  <c r="BH290" i="9" s="1"/>
  <c r="BF290" i="9"/>
  <c r="BP294" i="9"/>
  <c r="BG294" i="9"/>
  <c r="BH294" i="9" s="1"/>
  <c r="BF294" i="9"/>
  <c r="BP298" i="9"/>
  <c r="BG298" i="9"/>
  <c r="BH298" i="9" s="1"/>
  <c r="BF298" i="9"/>
  <c r="BP302" i="9"/>
  <c r="BG302" i="9"/>
  <c r="BH302" i="9" s="1"/>
  <c r="BF302" i="9"/>
  <c r="BP306" i="9"/>
  <c r="BG306" i="9"/>
  <c r="BH306" i="9" s="1"/>
  <c r="BF306" i="9"/>
  <c r="BP310" i="9"/>
  <c r="BG310" i="9"/>
  <c r="BH310" i="9" s="1"/>
  <c r="BF310" i="9"/>
  <c r="BP314" i="9"/>
  <c r="BG314" i="9"/>
  <c r="BH314" i="9" s="1"/>
  <c r="BF314" i="9"/>
  <c r="BP318" i="9"/>
  <c r="BG318" i="9"/>
  <c r="BH318" i="9" s="1"/>
  <c r="BF318" i="9"/>
  <c r="BN31" i="9"/>
  <c r="BX31" i="9"/>
  <c r="BN85" i="9"/>
  <c r="BX85" i="9"/>
  <c r="BN133" i="9"/>
  <c r="BX133" i="9"/>
  <c r="BN283" i="9"/>
  <c r="BX283" i="9"/>
  <c r="BN73" i="9"/>
  <c r="BX73" i="9"/>
  <c r="BN149" i="9"/>
  <c r="BX149" i="9"/>
  <c r="BN179" i="9"/>
  <c r="BX179" i="9"/>
  <c r="BN308" i="9"/>
  <c r="BX308" i="9"/>
  <c r="BY70" i="9"/>
  <c r="BW70" i="9"/>
  <c r="BZ70" i="9"/>
  <c r="CD70" i="9"/>
  <c r="CD158" i="9"/>
  <c r="BY158" i="9"/>
  <c r="BW158" i="9"/>
  <c r="BZ158" i="9"/>
  <c r="CB158" i="9"/>
  <c r="CJ209" i="9"/>
  <c r="CL209" i="9"/>
  <c r="CJ201" i="9"/>
  <c r="CL201" i="9"/>
  <c r="CI324" i="9"/>
  <c r="CI418" i="9"/>
  <c r="CM24" i="9"/>
  <c r="CN24" i="9" s="1"/>
  <c r="CJ24" i="9"/>
  <c r="CL24" i="9"/>
  <c r="CJ45" i="9"/>
  <c r="CL45" i="9"/>
  <c r="CI423" i="9"/>
  <c r="CI328" i="9"/>
  <c r="CI332" i="9"/>
  <c r="CI428" i="9"/>
  <c r="CI320" i="9"/>
  <c r="CK410" i="9" s="1"/>
  <c r="CM48" i="9"/>
  <c r="CN48" i="9" s="1"/>
  <c r="CL48" i="9"/>
  <c r="CJ48" i="9"/>
  <c r="CM72" i="9"/>
  <c r="CN72" i="9" s="1"/>
  <c r="CL72" i="9"/>
  <c r="CJ72" i="9"/>
  <c r="CM88" i="9"/>
  <c r="CN88" i="9" s="1"/>
  <c r="CL88" i="9"/>
  <c r="CJ88" i="9"/>
  <c r="CL39" i="9"/>
  <c r="CJ39" i="9"/>
  <c r="CL119" i="9"/>
  <c r="CJ119" i="9"/>
  <c r="CM132" i="9"/>
  <c r="CN132" i="9" s="1"/>
  <c r="CJ132" i="9"/>
  <c r="CL132" i="9"/>
  <c r="CM136" i="9"/>
  <c r="CN136" i="9" s="1"/>
  <c r="CJ136" i="9"/>
  <c r="CL136" i="9"/>
  <c r="CI433" i="9"/>
  <c r="CI336" i="9"/>
  <c r="CK249" i="9"/>
  <c r="CM273" i="9"/>
  <c r="CN273" i="9" s="1"/>
  <c r="CJ273" i="9"/>
  <c r="CL273" i="9"/>
  <c r="CJ298" i="9"/>
  <c r="CL298" i="9"/>
  <c r="CK285" i="9"/>
  <c r="CM289" i="9"/>
  <c r="CN289" i="9" s="1"/>
  <c r="CJ289" i="9"/>
  <c r="CL289" i="9"/>
  <c r="CK293" i="9"/>
  <c r="CM211" i="9"/>
  <c r="CN211" i="9" s="1"/>
  <c r="CJ211" i="9"/>
  <c r="CL211" i="9"/>
  <c r="CM215" i="9"/>
  <c r="CN215" i="9" s="1"/>
  <c r="CJ215" i="9"/>
  <c r="CL215" i="9"/>
  <c r="CM219" i="9"/>
  <c r="CN219" i="9" s="1"/>
  <c r="CJ219" i="9"/>
  <c r="CL219" i="9"/>
  <c r="CM223" i="9"/>
  <c r="CN223" i="9" s="1"/>
  <c r="CJ223" i="9"/>
  <c r="CL223" i="9"/>
  <c r="CM235" i="9"/>
  <c r="CN235" i="9" s="1"/>
  <c r="CJ235" i="9"/>
  <c r="CL235" i="9"/>
  <c r="CM262" i="9"/>
  <c r="CN262" i="9" s="1"/>
  <c r="CJ262" i="9"/>
  <c r="CL262" i="9"/>
  <c r="CM298" i="9"/>
  <c r="CN298" i="9" s="1"/>
  <c r="BZ186" i="9"/>
  <c r="BY186" i="9"/>
  <c r="BW186" i="9"/>
  <c r="CD186" i="9"/>
  <c r="CB186" i="9"/>
  <c r="BW6" i="9"/>
  <c r="BY6" i="9"/>
  <c r="BZ6" i="9"/>
  <c r="CB6" i="9"/>
  <c r="CD6" i="9"/>
  <c r="BA252" i="9"/>
  <c r="BK252" i="9"/>
  <c r="BA146" i="9"/>
  <c r="BK146" i="9"/>
  <c r="BA240" i="9"/>
  <c r="BK240" i="9"/>
  <c r="BA130" i="9"/>
  <c r="BK130" i="9"/>
  <c r="BA166" i="9"/>
  <c r="BK166" i="9"/>
  <c r="BA106" i="9"/>
  <c r="BK106" i="9"/>
  <c r="BA52" i="9"/>
  <c r="BK52" i="9"/>
  <c r="BA263" i="9"/>
  <c r="BK263" i="9"/>
  <c r="BA78" i="9"/>
  <c r="BK78" i="9"/>
  <c r="BA67" i="9"/>
  <c r="BK67" i="9"/>
  <c r="BA234" i="9"/>
  <c r="BK234" i="9"/>
  <c r="BA191" i="9"/>
  <c r="BK191" i="9"/>
  <c r="BA43" i="9"/>
  <c r="BK43" i="9"/>
  <c r="BA56" i="9"/>
  <c r="BK56" i="9"/>
  <c r="BA309" i="9"/>
  <c r="BK309" i="9"/>
  <c r="BA282" i="9"/>
  <c r="BK282" i="9"/>
  <c r="BA15" i="9"/>
  <c r="BK15" i="9"/>
  <c r="BA299" i="9"/>
  <c r="BK299" i="9"/>
  <c r="BA316" i="9"/>
  <c r="BK316" i="9"/>
  <c r="BA160" i="9"/>
  <c r="BK160" i="9"/>
  <c r="BA290" i="9"/>
  <c r="BK290" i="9"/>
  <c r="BA134" i="9"/>
  <c r="BK134" i="9"/>
  <c r="BA102" i="9"/>
  <c r="BK102" i="9"/>
  <c r="BA50" i="9"/>
  <c r="BK50" i="9"/>
  <c r="AM364" i="9"/>
  <c r="AK364" i="9" s="1"/>
  <c r="CO209" i="9"/>
  <c r="BN266" i="9"/>
  <c r="BX266" i="9"/>
  <c r="BN65" i="9"/>
  <c r="BX65" i="9"/>
  <c r="BD378" i="9"/>
  <c r="AY353" i="9"/>
  <c r="BA51" i="9"/>
  <c r="BK51" i="9"/>
  <c r="BA114" i="9"/>
  <c r="BK114" i="9"/>
  <c r="BA89" i="9"/>
  <c r="BK89" i="9"/>
  <c r="BA254" i="9"/>
  <c r="BK254" i="9"/>
  <c r="BA116" i="9"/>
  <c r="BK116" i="9"/>
  <c r="BA281" i="9"/>
  <c r="BK281" i="9"/>
  <c r="BA96" i="9"/>
  <c r="BK96" i="9"/>
  <c r="BA226" i="9"/>
  <c r="BK226" i="9"/>
  <c r="BA194" i="9"/>
  <c r="BK194" i="9"/>
  <c r="BA82" i="9"/>
  <c r="BK82" i="9"/>
  <c r="BA66" i="9"/>
  <c r="BK66" i="9"/>
  <c r="AM357" i="9"/>
  <c r="AK357" i="9" s="1"/>
  <c r="AS320" i="9"/>
  <c r="AU5" i="9"/>
  <c r="AU320" i="9" s="1"/>
  <c r="AT320" i="9"/>
  <c r="AS355" i="9"/>
  <c r="AS356" i="9"/>
  <c r="AS354" i="9"/>
  <c r="AS353" i="9"/>
  <c r="BC378" i="9"/>
  <c r="AX378" i="9" s="1"/>
  <c r="AS363" i="9"/>
  <c r="AS361" i="9"/>
  <c r="BC388" i="9"/>
  <c r="BC389" i="9"/>
  <c r="BC386" i="9"/>
  <c r="BA161" i="9"/>
  <c r="BK161" i="9"/>
  <c r="BA185" i="9"/>
  <c r="BK185" i="9"/>
  <c r="BA5" i="9"/>
  <c r="AZ320" i="9"/>
  <c r="BK5" i="9"/>
  <c r="AX407" i="9"/>
  <c r="AX412" i="9"/>
  <c r="BD389" i="9"/>
  <c r="AX344" i="9"/>
  <c r="AY327" i="9"/>
  <c r="AY326" i="9"/>
  <c r="BD376" i="9"/>
  <c r="BD377" i="9"/>
  <c r="AY352" i="9"/>
  <c r="AY349" i="9"/>
  <c r="AY351" i="9"/>
  <c r="BA313" i="9"/>
  <c r="BK313" i="9"/>
  <c r="BA272" i="9"/>
  <c r="BK272" i="9"/>
  <c r="BA14" i="9"/>
  <c r="BK14" i="9"/>
  <c r="BA248" i="9"/>
  <c r="BK248" i="9"/>
  <c r="O39" i="2"/>
  <c r="O46" i="2"/>
  <c r="CO235" i="9"/>
  <c r="BF368" i="9"/>
  <c r="BJ393" i="9"/>
  <c r="BJ391" i="9"/>
  <c r="BJ390" i="9" s="1"/>
  <c r="BJ392" i="9"/>
  <c r="BK343" i="9"/>
  <c r="BN69" i="9"/>
  <c r="BX69" i="9"/>
  <c r="BN103" i="9"/>
  <c r="BX103" i="9"/>
  <c r="BN210" i="9"/>
  <c r="BX210" i="9"/>
  <c r="BN91" i="9"/>
  <c r="BX91" i="9"/>
  <c r="BN155" i="9"/>
  <c r="BX155" i="9"/>
  <c r="BN187" i="9"/>
  <c r="BX187" i="9"/>
  <c r="BZ303" i="9"/>
  <c r="BY303" i="9"/>
  <c r="BW303" i="9"/>
  <c r="CD303" i="9"/>
  <c r="CB303" i="9"/>
  <c r="BZ269" i="9"/>
  <c r="BW269" i="9"/>
  <c r="BY269" i="9"/>
  <c r="CD269" i="9"/>
  <c r="CB269" i="9"/>
  <c r="BW243" i="9"/>
  <c r="BY243" i="9"/>
  <c r="CD243" i="9"/>
  <c r="BZ243" i="9"/>
  <c r="CB243" i="9"/>
  <c r="BR319" i="9"/>
  <c r="BR316" i="9"/>
  <c r="BR312" i="9"/>
  <c r="BR308" i="9"/>
  <c r="BR304" i="9"/>
  <c r="BR315" i="9"/>
  <c r="BR307" i="9"/>
  <c r="BR300" i="9"/>
  <c r="BR296" i="9"/>
  <c r="BR292" i="9"/>
  <c r="BR288" i="9"/>
  <c r="BR284" i="9"/>
  <c r="BR280" i="9"/>
  <c r="BR309" i="9"/>
  <c r="BR303" i="9"/>
  <c r="BR299" i="9"/>
  <c r="BR295" i="9"/>
  <c r="BR291" i="9"/>
  <c r="BR287" i="9"/>
  <c r="BR283" i="9"/>
  <c r="BR279" i="9"/>
  <c r="BR276" i="9"/>
  <c r="BR272" i="9"/>
  <c r="BR268" i="9"/>
  <c r="BR264" i="9"/>
  <c r="BR260" i="9"/>
  <c r="BR256" i="9"/>
  <c r="BR252" i="9"/>
  <c r="BR248" i="9"/>
  <c r="BR244" i="9"/>
  <c r="BR275" i="9"/>
  <c r="BR271" i="9"/>
  <c r="BR267" i="9"/>
  <c r="BR263" i="9"/>
  <c r="BR259" i="9"/>
  <c r="BR255" i="9"/>
  <c r="BR251" i="9"/>
  <c r="BR247" i="9"/>
  <c r="BR241" i="9"/>
  <c r="BR237" i="9"/>
  <c r="BR233" i="9"/>
  <c r="BR229" i="9"/>
  <c r="BR225" i="9"/>
  <c r="BR221" i="9"/>
  <c r="BR217" i="9"/>
  <c r="BR245" i="9"/>
  <c r="BR240" i="9"/>
  <c r="BR236" i="9"/>
  <c r="BR232" i="9"/>
  <c r="BR228" i="9"/>
  <c r="BR224" i="9"/>
  <c r="BR220" i="9"/>
  <c r="BR216" i="9"/>
  <c r="BR212" i="9"/>
  <c r="BR208" i="9"/>
  <c r="BR204" i="9"/>
  <c r="BR200" i="9"/>
  <c r="BR196" i="9"/>
  <c r="BR192" i="9"/>
  <c r="BR188" i="9"/>
  <c r="BR184" i="9"/>
  <c r="BR180" i="9"/>
  <c r="BR176" i="9"/>
  <c r="BR209" i="9"/>
  <c r="BR201" i="9"/>
  <c r="BR193" i="9"/>
  <c r="BR185" i="9"/>
  <c r="BR177" i="9"/>
  <c r="BR171" i="9"/>
  <c r="BR167" i="9"/>
  <c r="BR163" i="9"/>
  <c r="BR159" i="9"/>
  <c r="BR155" i="9"/>
  <c r="BR151" i="9"/>
  <c r="BR147" i="9"/>
  <c r="BR143" i="9"/>
  <c r="BR139" i="9"/>
  <c r="BR135" i="9"/>
  <c r="BR131" i="9"/>
  <c r="BR127" i="9"/>
  <c r="BR207" i="9"/>
  <c r="BR191" i="9"/>
  <c r="BR175" i="9"/>
  <c r="BR170" i="9"/>
  <c r="BR162" i="9"/>
  <c r="BR154" i="9"/>
  <c r="BR146" i="9"/>
  <c r="BR138" i="9"/>
  <c r="BR130" i="9"/>
  <c r="BR122" i="9"/>
  <c r="BR118" i="9"/>
  <c r="BR114" i="9"/>
  <c r="BR110" i="9"/>
  <c r="BR106" i="9"/>
  <c r="BR102" i="9"/>
  <c r="BR98" i="9"/>
  <c r="BR94" i="9"/>
  <c r="BR90" i="9"/>
  <c r="BR86" i="9"/>
  <c r="BR82" i="9"/>
  <c r="BR78" i="9"/>
  <c r="BR74" i="9"/>
  <c r="BR70" i="9"/>
  <c r="BR66" i="9"/>
  <c r="BR62" i="9"/>
  <c r="BR58" i="9"/>
  <c r="BR54" i="9"/>
  <c r="BR50" i="9"/>
  <c r="BR46" i="9"/>
  <c r="BR42" i="9"/>
  <c r="BR38" i="9"/>
  <c r="BR34" i="9"/>
  <c r="BR30" i="9"/>
  <c r="BR26" i="9"/>
  <c r="BR22" i="9"/>
  <c r="BR211" i="9"/>
  <c r="BR195" i="9"/>
  <c r="BR179" i="9"/>
  <c r="BR168" i="9"/>
  <c r="BR160" i="9"/>
  <c r="BR152" i="9"/>
  <c r="BR144" i="9"/>
  <c r="BR136" i="9"/>
  <c r="BR128" i="9"/>
  <c r="BR123" i="9"/>
  <c r="BR119" i="9"/>
  <c r="BR115" i="9"/>
  <c r="BR111" i="9"/>
  <c r="BR107" i="9"/>
  <c r="BR103" i="9"/>
  <c r="BR99" i="9"/>
  <c r="BR95" i="9"/>
  <c r="BR91" i="9"/>
  <c r="BR87" i="9"/>
  <c r="BR83" i="9"/>
  <c r="BR79" i="9"/>
  <c r="BR75" i="9"/>
  <c r="BR71" i="9"/>
  <c r="BR67" i="9"/>
  <c r="BR63" i="9"/>
  <c r="BR59" i="9"/>
  <c r="BR55" i="9"/>
  <c r="BR51" i="9"/>
  <c r="BR47" i="9"/>
  <c r="BR43" i="9"/>
  <c r="BR39" i="9"/>
  <c r="BR33" i="9"/>
  <c r="BR25" i="9"/>
  <c r="BR17" i="9"/>
  <c r="BR13" i="9"/>
  <c r="BR9" i="9"/>
  <c r="BR5" i="9"/>
  <c r="BR31" i="9"/>
  <c r="BR19" i="9"/>
  <c r="BR12" i="9"/>
  <c r="BR6" i="9"/>
  <c r="BR18" i="9"/>
  <c r="BR8" i="9"/>
  <c r="BR317" i="9"/>
  <c r="BR314" i="9"/>
  <c r="BR310" i="9"/>
  <c r="BR306" i="9"/>
  <c r="BR318" i="9"/>
  <c r="BR311" i="9"/>
  <c r="BR302" i="9"/>
  <c r="BR298" i="9"/>
  <c r="BR294" i="9"/>
  <c r="BR290" i="9"/>
  <c r="BR286" i="9"/>
  <c r="BR282" i="9"/>
  <c r="BR313" i="9"/>
  <c r="BR305" i="9"/>
  <c r="BR301" i="9"/>
  <c r="BR297" i="9"/>
  <c r="BR293" i="9"/>
  <c r="BR289" i="9"/>
  <c r="BR285" i="9"/>
  <c r="BR281" i="9"/>
  <c r="BR277" i="9"/>
  <c r="BR274" i="9"/>
  <c r="BR270" i="9"/>
  <c r="BR266" i="9"/>
  <c r="BR262" i="9"/>
  <c r="BR258" i="9"/>
  <c r="BR254" i="9"/>
  <c r="BR250" i="9"/>
  <c r="BR246" i="9"/>
  <c r="BR278" i="9"/>
  <c r="BR273" i="9"/>
  <c r="BR269" i="9"/>
  <c r="BR265" i="9"/>
  <c r="BR261" i="9"/>
  <c r="BR257" i="9"/>
  <c r="BR253" i="9"/>
  <c r="BR249" i="9"/>
  <c r="BR243" i="9"/>
  <c r="BR239" i="9"/>
  <c r="BR235" i="9"/>
  <c r="BR231" i="9"/>
  <c r="BR227" i="9"/>
  <c r="BR223" i="9"/>
  <c r="BR219" i="9"/>
  <c r="BR215" i="9"/>
  <c r="BR242" i="9"/>
  <c r="BR238" i="9"/>
  <c r="BR234" i="9"/>
  <c r="BR230" i="9"/>
  <c r="BR226" i="9"/>
  <c r="BR222" i="9"/>
  <c r="BR218" i="9"/>
  <c r="BR214" i="9"/>
  <c r="BR210" i="9"/>
  <c r="BR206" i="9"/>
  <c r="BR202" i="9"/>
  <c r="BR198" i="9"/>
  <c r="BR194" i="9"/>
  <c r="BR190" i="9"/>
  <c r="BR186" i="9"/>
  <c r="BR182" i="9"/>
  <c r="BR178" i="9"/>
  <c r="BR213" i="9"/>
  <c r="BR205" i="9"/>
  <c r="BR197" i="9"/>
  <c r="BR189" i="9"/>
  <c r="BR181" i="9"/>
  <c r="BR173" i="9"/>
  <c r="BR169" i="9"/>
  <c r="BR165" i="9"/>
  <c r="BR161" i="9"/>
  <c r="BR157" i="9"/>
  <c r="BR153" i="9"/>
  <c r="BR149" i="9"/>
  <c r="BR145" i="9"/>
  <c r="BR141" i="9"/>
  <c r="BR137" i="9"/>
  <c r="BR133" i="9"/>
  <c r="BR129" i="9"/>
  <c r="BR125" i="9"/>
  <c r="BR199" i="9"/>
  <c r="BR183" i="9"/>
  <c r="BR174" i="9"/>
  <c r="BR166" i="9"/>
  <c r="BR158" i="9"/>
  <c r="BR150" i="9"/>
  <c r="BR142" i="9"/>
  <c r="BR134" i="9"/>
  <c r="BR126" i="9"/>
  <c r="BR120" i="9"/>
  <c r="BR116" i="9"/>
  <c r="BR112" i="9"/>
  <c r="BR108" i="9"/>
  <c r="BR104" i="9"/>
  <c r="BR100" i="9"/>
  <c r="BR96" i="9"/>
  <c r="BR92" i="9"/>
  <c r="BR88" i="9"/>
  <c r="BR84" i="9"/>
  <c r="BR80" i="9"/>
  <c r="BR76" i="9"/>
  <c r="BR72" i="9"/>
  <c r="BR68" i="9"/>
  <c r="BR64" i="9"/>
  <c r="BR60" i="9"/>
  <c r="BR56" i="9"/>
  <c r="BR52" i="9"/>
  <c r="BR48" i="9"/>
  <c r="BR44" i="9"/>
  <c r="BR40" i="9"/>
  <c r="BR36" i="9"/>
  <c r="BR32" i="9"/>
  <c r="BR28" i="9"/>
  <c r="BR24" i="9"/>
  <c r="BR20" i="9"/>
  <c r="BR203" i="9"/>
  <c r="BR187" i="9"/>
  <c r="BR172" i="9"/>
  <c r="BR164" i="9"/>
  <c r="BR156" i="9"/>
  <c r="BR148" i="9"/>
  <c r="BR140" i="9"/>
  <c r="BR132" i="9"/>
  <c r="BR124" i="9"/>
  <c r="BR121" i="9"/>
  <c r="BR117" i="9"/>
  <c r="BR113" i="9"/>
  <c r="BR109" i="9"/>
  <c r="BR105" i="9"/>
  <c r="BR101" i="9"/>
  <c r="BR97" i="9"/>
  <c r="BR93" i="9"/>
  <c r="BR89" i="9"/>
  <c r="BR85" i="9"/>
  <c r="BR81" i="9"/>
  <c r="BR77" i="9"/>
  <c r="BR73" i="9"/>
  <c r="BR69" i="9"/>
  <c r="BR65" i="9"/>
  <c r="BR61" i="9"/>
  <c r="BR57" i="9"/>
  <c r="BR53" i="9"/>
  <c r="BR49" i="9"/>
  <c r="BR45" i="9"/>
  <c r="BR41" i="9"/>
  <c r="BR37" i="9"/>
  <c r="BR29" i="9"/>
  <c r="BR21" i="9"/>
  <c r="BR15" i="9"/>
  <c r="BR11" i="9"/>
  <c r="BR7" i="9"/>
  <c r="BR35" i="9"/>
  <c r="BR23" i="9"/>
  <c r="BR16" i="9"/>
  <c r="BR10" i="9"/>
  <c r="BR27" i="9"/>
  <c r="BR14" i="9"/>
  <c r="BY32" i="9"/>
  <c r="BW32" i="9"/>
  <c r="BZ32" i="9"/>
  <c r="CB32" i="9"/>
  <c r="CD32" i="9"/>
  <c r="BV424" i="9"/>
  <c r="BV426" i="9"/>
  <c r="BV444" i="9" s="1"/>
  <c r="BV443" i="9"/>
  <c r="BV344" i="9"/>
  <c r="BX411" i="9" s="1"/>
  <c r="BW411" i="9" s="1"/>
  <c r="BA54" i="9"/>
  <c r="BK54" i="9"/>
  <c r="BA145" i="9"/>
  <c r="BK145" i="9"/>
  <c r="BA227" i="9"/>
  <c r="BK227" i="9"/>
  <c r="BA245" i="9"/>
  <c r="BK245" i="9"/>
  <c r="BA291" i="9"/>
  <c r="BK291" i="9"/>
  <c r="CO24" i="9"/>
  <c r="BA212" i="9"/>
  <c r="BK212" i="9"/>
  <c r="BA214" i="9"/>
  <c r="BK214" i="9"/>
  <c r="BA144" i="9"/>
  <c r="BK144" i="9"/>
  <c r="BA152" i="9"/>
  <c r="BK152" i="9"/>
  <c r="AJ389" i="9"/>
  <c r="AJ387" i="9"/>
  <c r="AJ388" i="9"/>
  <c r="BA222" i="9"/>
  <c r="BK222" i="9"/>
  <c r="BB320" i="9"/>
  <c r="CO211" i="9"/>
  <c r="BA301" i="9"/>
  <c r="BK301" i="9"/>
  <c r="BA60" i="9"/>
  <c r="BK60" i="9"/>
  <c r="BA305" i="9"/>
  <c r="BK305" i="9"/>
  <c r="BA274" i="9"/>
  <c r="BK274" i="9"/>
  <c r="BA259" i="9"/>
  <c r="BK259" i="9"/>
  <c r="BD380" i="9"/>
  <c r="BD381" i="9"/>
  <c r="BD379" i="9"/>
  <c r="AX331" i="9"/>
  <c r="BA71" i="9"/>
  <c r="BK71" i="9"/>
  <c r="BA41" i="9"/>
  <c r="BK41" i="9"/>
  <c r="BA26" i="9"/>
  <c r="BK26" i="9"/>
  <c r="BO26" i="9" s="1"/>
  <c r="BA257" i="9"/>
  <c r="BK257" i="9"/>
  <c r="BO257" i="9" s="1"/>
  <c r="BA75" i="9"/>
  <c r="BK75" i="9"/>
  <c r="BA30" i="9"/>
  <c r="BK30" i="9"/>
  <c r="BA139" i="9"/>
  <c r="BK139" i="9"/>
  <c r="BA171" i="9"/>
  <c r="BK171" i="9"/>
  <c r="BA232" i="9"/>
  <c r="BK232" i="9"/>
  <c r="BA278" i="9"/>
  <c r="BK278" i="9"/>
  <c r="BA189" i="9"/>
  <c r="BK189" i="9"/>
  <c r="BA153" i="9"/>
  <c r="BK153" i="9"/>
  <c r="BA217" i="9"/>
  <c r="BK217" i="9"/>
  <c r="AY361" i="9"/>
  <c r="AY363" i="9"/>
  <c r="BA148" i="9"/>
  <c r="BK148" i="9"/>
  <c r="CO88" i="9"/>
  <c r="AX447" i="9"/>
  <c r="AX418" i="9"/>
  <c r="O13" i="2"/>
  <c r="CO201" i="9"/>
  <c r="BN61" i="9"/>
  <c r="BX61" i="9"/>
  <c r="BN95" i="9"/>
  <c r="BX95" i="9"/>
  <c r="BN142" i="9"/>
  <c r="BX142" i="9"/>
  <c r="BN242" i="9"/>
  <c r="BX242" i="9"/>
  <c r="BA141" i="9"/>
  <c r="BK141" i="9"/>
  <c r="BA176" i="9"/>
  <c r="BK176" i="9"/>
  <c r="AY364" i="9"/>
  <c r="BA284" i="9"/>
  <c r="BK284" i="9"/>
  <c r="BA23" i="9"/>
  <c r="BK23" i="9"/>
  <c r="BA188" i="9"/>
  <c r="BK188" i="9"/>
  <c r="BA302" i="9"/>
  <c r="BK302" i="9"/>
  <c r="BA318" i="9"/>
  <c r="BK318" i="9"/>
  <c r="BA312" i="9"/>
  <c r="BK312" i="9"/>
  <c r="BA147" i="9"/>
  <c r="BK147" i="9"/>
  <c r="BA206" i="9"/>
  <c r="BK206" i="9"/>
  <c r="BA250" i="9"/>
  <c r="BK250" i="9"/>
  <c r="BA127" i="9"/>
  <c r="BK127" i="9"/>
  <c r="BA151" i="9"/>
  <c r="BK151" i="9"/>
  <c r="BA175" i="9"/>
  <c r="BK175" i="9"/>
  <c r="BA121" i="9"/>
  <c r="BK121" i="9"/>
  <c r="BO121" i="9" s="1"/>
  <c r="BD384" i="9"/>
  <c r="BD385" i="9"/>
  <c r="BD382" i="9"/>
  <c r="BA221" i="9"/>
  <c r="BK221" i="9"/>
  <c r="CO262" i="9"/>
  <c r="AS352" i="9"/>
  <c r="AS349" i="9"/>
  <c r="BO125" i="9"/>
  <c r="AJ385" i="9"/>
  <c r="AJ383" i="9"/>
  <c r="AJ384" i="9"/>
  <c r="BC377" i="9"/>
  <c r="BC376" i="9"/>
  <c r="BC374" i="9"/>
  <c r="AS360" i="9"/>
  <c r="AS359" i="9"/>
  <c r="AS357" i="9"/>
  <c r="AU364" i="9"/>
  <c r="BA19" i="9"/>
  <c r="BK19" i="9"/>
  <c r="BA109" i="9"/>
  <c r="BK109" i="9"/>
  <c r="BA261" i="9"/>
  <c r="BK261" i="9"/>
  <c r="BO261" i="9" s="1"/>
  <c r="BO270" i="9"/>
  <c r="BA177" i="9"/>
  <c r="BK177" i="9"/>
  <c r="BA137" i="9"/>
  <c r="BK137" i="9"/>
  <c r="BA277" i="9"/>
  <c r="BK277" i="9"/>
  <c r="BO277" i="9" s="1"/>
  <c r="BA246" i="9"/>
  <c r="BK246" i="9"/>
  <c r="BA233" i="9"/>
  <c r="BK233" i="9"/>
  <c r="BO157" i="9"/>
  <c r="BA120" i="9"/>
  <c r="BK120" i="9"/>
  <c r="BO120" i="9" s="1"/>
  <c r="BO282" i="9"/>
  <c r="BA140" i="9"/>
  <c r="BK140" i="9"/>
  <c r="BA46" i="9"/>
  <c r="BK46" i="9"/>
  <c r="BO290" i="9"/>
  <c r="BA47" i="9"/>
  <c r="BK47" i="9"/>
  <c r="BO50" i="9"/>
  <c r="BA264" i="9"/>
  <c r="BK264" i="9"/>
  <c r="BO94" i="9"/>
  <c r="BA55" i="9"/>
  <c r="BK55" i="9"/>
  <c r="BA193" i="9"/>
  <c r="BK193" i="9"/>
  <c r="BA181" i="9"/>
  <c r="BK181" i="9"/>
  <c r="BO229" i="9"/>
  <c r="BA251" i="9"/>
  <c r="BK251" i="9"/>
  <c r="BA279" i="9"/>
  <c r="BK279" i="9"/>
  <c r="BA174" i="9"/>
  <c r="BK174" i="9"/>
  <c r="BO305" i="9"/>
  <c r="AV335" i="9"/>
  <c r="AW335" i="9" s="1"/>
  <c r="BG11" i="9"/>
  <c r="BH11" i="9" s="1"/>
  <c r="BF11" i="9"/>
  <c r="BP11" i="9"/>
  <c r="BG19" i="9"/>
  <c r="BH19" i="9" s="1"/>
  <c r="BF19" i="9"/>
  <c r="BP19" i="9"/>
  <c r="BG27" i="9"/>
  <c r="BH27" i="9" s="1"/>
  <c r="BF27" i="9"/>
  <c r="BP27" i="9"/>
  <c r="BG35" i="9"/>
  <c r="BH35" i="9" s="1"/>
  <c r="BF35" i="9"/>
  <c r="BP35" i="9"/>
  <c r="BG43" i="9"/>
  <c r="BH43" i="9" s="1"/>
  <c r="BF43" i="9"/>
  <c r="BP43" i="9"/>
  <c r="BP51" i="9"/>
  <c r="BG51" i="9"/>
  <c r="BH51" i="9" s="1"/>
  <c r="BF51" i="9"/>
  <c r="BP59" i="9"/>
  <c r="BG59" i="9"/>
  <c r="BH59" i="9" s="1"/>
  <c r="BF59" i="9"/>
  <c r="BP67" i="9"/>
  <c r="BG67" i="9"/>
  <c r="BH67" i="9" s="1"/>
  <c r="BF67" i="9"/>
  <c r="BP75" i="9"/>
  <c r="BG75" i="9"/>
  <c r="BH75" i="9" s="1"/>
  <c r="BF75" i="9"/>
  <c r="BP83" i="9"/>
  <c r="BG83" i="9"/>
  <c r="BH83" i="9" s="1"/>
  <c r="BF83" i="9"/>
  <c r="BP91" i="9"/>
  <c r="BG91" i="9"/>
  <c r="BH91" i="9" s="1"/>
  <c r="BF91" i="9"/>
  <c r="BP99" i="9"/>
  <c r="BG99" i="9"/>
  <c r="BH99" i="9" s="1"/>
  <c r="BF99" i="9"/>
  <c r="BP107" i="9"/>
  <c r="BG107" i="9"/>
  <c r="BH107" i="9" s="1"/>
  <c r="BF107" i="9"/>
  <c r="BF117" i="9"/>
  <c r="BP117" i="9"/>
  <c r="BG117" i="9"/>
  <c r="BH117" i="9" s="1"/>
  <c r="BP123" i="9"/>
  <c r="BG123" i="9"/>
  <c r="BH123" i="9" s="1"/>
  <c r="BF123" i="9"/>
  <c r="BP127" i="9"/>
  <c r="BG127" i="9"/>
  <c r="BH127" i="9" s="1"/>
  <c r="BF127" i="9"/>
  <c r="BP131" i="9"/>
  <c r="BG131" i="9"/>
  <c r="BH131" i="9" s="1"/>
  <c r="BF131" i="9"/>
  <c r="BP135" i="9"/>
  <c r="BG135" i="9"/>
  <c r="BH135" i="9" s="1"/>
  <c r="BF135" i="9"/>
  <c r="BP139" i="9"/>
  <c r="BG139" i="9"/>
  <c r="BH139" i="9" s="1"/>
  <c r="BF139" i="9"/>
  <c r="BP143" i="9"/>
  <c r="BG143" i="9"/>
  <c r="BH143" i="9" s="1"/>
  <c r="BF143" i="9"/>
  <c r="BF149" i="9"/>
  <c r="BP149" i="9"/>
  <c r="BG149" i="9"/>
  <c r="BH149" i="9" s="1"/>
  <c r="BF153" i="9"/>
  <c r="BP153" i="9"/>
  <c r="BG153" i="9"/>
  <c r="BH153" i="9" s="1"/>
  <c r="BF157" i="9"/>
  <c r="BP157" i="9"/>
  <c r="BG157" i="9"/>
  <c r="BH157" i="9" s="1"/>
  <c r="BF161" i="9"/>
  <c r="BP161" i="9"/>
  <c r="BG161" i="9"/>
  <c r="BH161" i="9" s="1"/>
  <c r="BF165" i="9"/>
  <c r="BP165" i="9"/>
  <c r="BG165" i="9"/>
  <c r="BH165" i="9" s="1"/>
  <c r="BF169" i="9"/>
  <c r="BP169" i="9"/>
  <c r="BG169" i="9"/>
  <c r="BH169" i="9" s="1"/>
  <c r="BF173" i="9"/>
  <c r="BP173" i="9"/>
  <c r="BG173" i="9"/>
  <c r="BH173" i="9" s="1"/>
  <c r="BF177" i="9"/>
  <c r="BP177" i="9"/>
  <c r="BG177" i="9"/>
  <c r="BH177" i="9" s="1"/>
  <c r="BF181" i="9"/>
  <c r="BP181" i="9"/>
  <c r="BG181" i="9"/>
  <c r="BH181" i="9" s="1"/>
  <c r="BF185" i="9"/>
  <c r="BP185" i="9"/>
  <c r="BG185" i="9"/>
  <c r="BH185" i="9" s="1"/>
  <c r="BF189" i="9"/>
  <c r="BP189" i="9"/>
  <c r="BG189" i="9"/>
  <c r="BH189" i="9" s="1"/>
  <c r="BF193" i="9"/>
  <c r="BP193" i="9"/>
  <c r="BG193" i="9"/>
  <c r="BH193" i="9" s="1"/>
  <c r="BF197" i="9"/>
  <c r="BP197" i="9"/>
  <c r="BG197" i="9"/>
  <c r="BH197" i="9" s="1"/>
  <c r="BP201" i="9"/>
  <c r="BG201" i="9"/>
  <c r="BH201" i="9" s="1"/>
  <c r="BF201" i="9"/>
  <c r="BP205" i="9"/>
  <c r="BG205" i="9"/>
  <c r="BH205" i="9" s="1"/>
  <c r="BF205" i="9"/>
  <c r="BP209" i="9"/>
  <c r="BG209" i="9"/>
  <c r="BH209" i="9" s="1"/>
  <c r="BF209" i="9"/>
  <c r="BP213" i="9"/>
  <c r="BG213" i="9"/>
  <c r="BH213" i="9" s="1"/>
  <c r="BF213" i="9"/>
  <c r="BP217" i="9"/>
  <c r="BG217" i="9"/>
  <c r="BH217" i="9" s="1"/>
  <c r="BF217" i="9"/>
  <c r="BP221" i="9"/>
  <c r="BG221" i="9"/>
  <c r="BH221" i="9" s="1"/>
  <c r="BF221" i="9"/>
  <c r="BP225" i="9"/>
  <c r="BG225" i="9"/>
  <c r="BH225" i="9" s="1"/>
  <c r="BF225" i="9"/>
  <c r="BP229" i="9"/>
  <c r="BG229" i="9"/>
  <c r="BH229" i="9" s="1"/>
  <c r="BF229" i="9"/>
  <c r="BP233" i="9"/>
  <c r="BG233" i="9"/>
  <c r="BH233" i="9" s="1"/>
  <c r="BF233" i="9"/>
  <c r="BF237" i="9"/>
  <c r="BG237" i="9"/>
  <c r="BH237" i="9" s="1"/>
  <c r="BP237" i="9"/>
  <c r="BF241" i="9"/>
  <c r="BG241" i="9"/>
  <c r="BH241" i="9" s="1"/>
  <c r="BP241" i="9"/>
  <c r="BF245" i="9"/>
  <c r="BG245" i="9"/>
  <c r="BH245" i="9" s="1"/>
  <c r="BP245" i="9"/>
  <c r="BF249" i="9"/>
  <c r="BG249" i="9"/>
  <c r="BH249" i="9" s="1"/>
  <c r="BP249" i="9"/>
  <c r="BF253" i="9"/>
  <c r="BG253" i="9"/>
  <c r="BH253" i="9" s="1"/>
  <c r="BP253" i="9"/>
  <c r="BF257" i="9"/>
  <c r="BG257" i="9"/>
  <c r="BH257" i="9" s="1"/>
  <c r="BP257" i="9"/>
  <c r="BF261" i="9"/>
  <c r="BG261" i="9"/>
  <c r="BH261" i="9" s="1"/>
  <c r="BP261" i="9"/>
  <c r="BF265" i="9"/>
  <c r="BG265" i="9"/>
  <c r="BH265" i="9" s="1"/>
  <c r="BP265" i="9"/>
  <c r="BF269" i="9"/>
  <c r="BG269" i="9"/>
  <c r="BH269" i="9" s="1"/>
  <c r="BP269" i="9"/>
  <c r="BF273" i="9"/>
  <c r="BG273" i="9"/>
  <c r="BH273" i="9" s="1"/>
  <c r="BP273" i="9"/>
  <c r="BF277" i="9"/>
  <c r="BG277" i="9"/>
  <c r="BH277" i="9" s="1"/>
  <c r="BP277" i="9"/>
  <c r="BF281" i="9"/>
  <c r="BG281" i="9"/>
  <c r="BH281" i="9" s="1"/>
  <c r="BP281" i="9"/>
  <c r="BF285" i="9"/>
  <c r="BG285" i="9"/>
  <c r="BH285" i="9" s="1"/>
  <c r="BP285" i="9"/>
  <c r="BF289" i="9"/>
  <c r="BG289" i="9"/>
  <c r="BH289" i="9" s="1"/>
  <c r="BP289" i="9"/>
  <c r="BF293" i="9"/>
  <c r="BG293" i="9"/>
  <c r="BH293" i="9" s="1"/>
  <c r="BP293" i="9"/>
  <c r="BF297" i="9"/>
  <c r="BG297" i="9"/>
  <c r="BH297" i="9" s="1"/>
  <c r="BP297" i="9"/>
  <c r="BF301" i="9"/>
  <c r="BG301" i="9"/>
  <c r="BH301" i="9" s="1"/>
  <c r="BP301" i="9"/>
  <c r="BF305" i="9"/>
  <c r="BG305" i="9"/>
  <c r="BH305" i="9" s="1"/>
  <c r="BP305" i="9"/>
  <c r="BF309" i="9"/>
  <c r="BG309" i="9"/>
  <c r="BH309" i="9" s="1"/>
  <c r="BP309" i="9"/>
  <c r="BF313" i="9"/>
  <c r="BG313" i="9"/>
  <c r="BH313" i="9" s="1"/>
  <c r="BP313" i="9"/>
  <c r="BF317" i="9"/>
  <c r="BG317" i="9"/>
  <c r="BH317" i="9" s="1"/>
  <c r="BP317" i="9"/>
  <c r="BE320" i="9"/>
  <c r="BP5" i="9"/>
  <c r="BG5" i="9"/>
  <c r="BF5" i="9"/>
  <c r="BP13" i="9"/>
  <c r="BG13" i="9"/>
  <c r="BH13" i="9" s="1"/>
  <c r="BF13" i="9"/>
  <c r="BP21" i="9"/>
  <c r="BG21" i="9"/>
  <c r="BH21" i="9" s="1"/>
  <c r="BF21" i="9"/>
  <c r="BP29" i="9"/>
  <c r="BG29" i="9"/>
  <c r="BH29" i="9" s="1"/>
  <c r="BF29" i="9"/>
  <c r="BP37" i="9"/>
  <c r="BG37" i="9"/>
  <c r="BH37" i="9" s="1"/>
  <c r="BF37" i="9"/>
  <c r="BF45" i="9"/>
  <c r="BP45" i="9"/>
  <c r="BG45" i="9"/>
  <c r="BH45" i="9" s="1"/>
  <c r="BF53" i="9"/>
  <c r="BP53" i="9"/>
  <c r="BG53" i="9"/>
  <c r="BH53" i="9" s="1"/>
  <c r="BF61" i="9"/>
  <c r="BP61" i="9"/>
  <c r="BG61" i="9"/>
  <c r="BH61" i="9" s="1"/>
  <c r="BF69" i="9"/>
  <c r="BP69" i="9"/>
  <c r="BG69" i="9"/>
  <c r="BH69" i="9" s="1"/>
  <c r="BF77" i="9"/>
  <c r="BP77" i="9"/>
  <c r="BG77" i="9"/>
  <c r="BH77" i="9" s="1"/>
  <c r="BF85" i="9"/>
  <c r="BP85" i="9"/>
  <c r="BG85" i="9"/>
  <c r="BH85" i="9" s="1"/>
  <c r="BF93" i="9"/>
  <c r="BP93" i="9"/>
  <c r="BG93" i="9"/>
  <c r="BH93" i="9" s="1"/>
  <c r="BF101" i="9"/>
  <c r="BP101" i="9"/>
  <c r="BG101" i="9"/>
  <c r="BH101" i="9" s="1"/>
  <c r="BF109" i="9"/>
  <c r="BP109" i="9"/>
  <c r="BG109" i="9"/>
  <c r="BH109" i="9" s="1"/>
  <c r="BP115" i="9"/>
  <c r="BG115" i="9"/>
  <c r="BH115" i="9" s="1"/>
  <c r="BF115" i="9"/>
  <c r="BF147" i="9"/>
  <c r="BG147" i="9"/>
  <c r="BH147" i="9" s="1"/>
  <c r="BP147" i="9"/>
  <c r="BG8" i="9"/>
  <c r="BH8" i="9" s="1"/>
  <c r="BF8" i="9"/>
  <c r="BP8" i="9"/>
  <c r="BG12" i="9"/>
  <c r="BH12" i="9" s="1"/>
  <c r="BF12" i="9"/>
  <c r="BP12" i="9"/>
  <c r="BG16" i="9"/>
  <c r="BH16" i="9" s="1"/>
  <c r="BF16" i="9"/>
  <c r="BP16" i="9"/>
  <c r="BG20" i="9"/>
  <c r="BH20" i="9" s="1"/>
  <c r="BF20" i="9"/>
  <c r="BP20" i="9"/>
  <c r="BG24" i="9"/>
  <c r="BH24" i="9" s="1"/>
  <c r="BF24" i="9"/>
  <c r="BP24" i="9"/>
  <c r="BG28" i="9"/>
  <c r="BH28" i="9" s="1"/>
  <c r="BF28" i="9"/>
  <c r="BP28" i="9"/>
  <c r="BG32" i="9"/>
  <c r="BH32" i="9" s="1"/>
  <c r="BF32" i="9"/>
  <c r="BP32" i="9"/>
  <c r="BG36" i="9"/>
  <c r="BH36" i="9" s="1"/>
  <c r="BF36" i="9"/>
  <c r="BP36" i="9"/>
  <c r="BG40" i="9"/>
  <c r="BH40" i="9" s="1"/>
  <c r="BF40" i="9"/>
  <c r="BP40" i="9"/>
  <c r="BG44" i="9"/>
  <c r="BH44" i="9" s="1"/>
  <c r="BP44" i="9"/>
  <c r="BF44" i="9"/>
  <c r="BP48" i="9"/>
  <c r="BG48" i="9"/>
  <c r="BH48" i="9" s="1"/>
  <c r="BF48" i="9"/>
  <c r="BP52" i="9"/>
  <c r="BG52" i="9"/>
  <c r="BH52" i="9" s="1"/>
  <c r="BF52" i="9"/>
  <c r="BP56" i="9"/>
  <c r="BG56" i="9"/>
  <c r="BH56" i="9" s="1"/>
  <c r="BF56" i="9"/>
  <c r="BP60" i="9"/>
  <c r="BG60" i="9"/>
  <c r="BH60" i="9" s="1"/>
  <c r="BF60" i="9"/>
  <c r="BP64" i="9"/>
  <c r="BG64" i="9"/>
  <c r="BH64" i="9" s="1"/>
  <c r="BF64" i="9"/>
  <c r="BP68" i="9"/>
  <c r="BG68" i="9"/>
  <c r="BH68" i="9" s="1"/>
  <c r="BF68" i="9"/>
  <c r="BP72" i="9"/>
  <c r="BG72" i="9"/>
  <c r="BH72" i="9" s="1"/>
  <c r="BF72" i="9"/>
  <c r="BP76" i="9"/>
  <c r="BG76" i="9"/>
  <c r="BH76" i="9" s="1"/>
  <c r="BF76" i="9"/>
  <c r="BP80" i="9"/>
  <c r="BG80" i="9"/>
  <c r="BH80" i="9" s="1"/>
  <c r="BF80" i="9"/>
  <c r="BP84" i="9"/>
  <c r="BG84" i="9"/>
  <c r="BH84" i="9" s="1"/>
  <c r="BF84" i="9"/>
  <c r="BP88" i="9"/>
  <c r="BG88" i="9"/>
  <c r="BH88" i="9" s="1"/>
  <c r="BF88" i="9"/>
  <c r="BP92" i="9"/>
  <c r="BG92" i="9"/>
  <c r="BH92" i="9" s="1"/>
  <c r="BF92" i="9"/>
  <c r="BP96" i="9"/>
  <c r="BG96" i="9"/>
  <c r="BH96" i="9" s="1"/>
  <c r="BF96" i="9"/>
  <c r="BP100" i="9"/>
  <c r="BG100" i="9"/>
  <c r="BH100" i="9" s="1"/>
  <c r="BF100" i="9"/>
  <c r="BP104" i="9"/>
  <c r="BG104" i="9"/>
  <c r="BH104" i="9" s="1"/>
  <c r="BF104" i="9"/>
  <c r="BP108" i="9"/>
  <c r="BG108" i="9"/>
  <c r="BH108" i="9" s="1"/>
  <c r="BF108" i="9"/>
  <c r="BP112" i="9"/>
  <c r="BG112" i="9"/>
  <c r="BH112" i="9" s="1"/>
  <c r="BF112" i="9"/>
  <c r="BP116" i="9"/>
  <c r="BG116" i="9"/>
  <c r="BH116" i="9" s="1"/>
  <c r="BF116" i="9"/>
  <c r="BP120" i="9"/>
  <c r="BG120" i="9"/>
  <c r="BH120" i="9" s="1"/>
  <c r="BF120" i="9"/>
  <c r="BP124" i="9"/>
  <c r="BG124" i="9"/>
  <c r="BH124" i="9" s="1"/>
  <c r="BF124" i="9"/>
  <c r="BP128" i="9"/>
  <c r="BG128" i="9"/>
  <c r="BH128" i="9" s="1"/>
  <c r="BF128" i="9"/>
  <c r="BP132" i="9"/>
  <c r="BG132" i="9"/>
  <c r="BH132" i="9" s="1"/>
  <c r="BF132" i="9"/>
  <c r="BP136" i="9"/>
  <c r="BG136" i="9"/>
  <c r="BH136" i="9" s="1"/>
  <c r="BF136" i="9"/>
  <c r="BP140" i="9"/>
  <c r="BG140" i="9"/>
  <c r="BH140" i="9" s="1"/>
  <c r="BF140" i="9"/>
  <c r="BP144" i="9"/>
  <c r="BG144" i="9"/>
  <c r="BH144" i="9" s="1"/>
  <c r="BF144" i="9"/>
  <c r="BP148" i="9"/>
  <c r="BG148" i="9"/>
  <c r="BH148" i="9" s="1"/>
  <c r="BF148" i="9"/>
  <c r="BP152" i="9"/>
  <c r="BG152" i="9"/>
  <c r="BH152" i="9" s="1"/>
  <c r="BF152" i="9"/>
  <c r="BP156" i="9"/>
  <c r="BG156" i="9"/>
  <c r="BH156" i="9" s="1"/>
  <c r="BF156" i="9"/>
  <c r="BP160" i="9"/>
  <c r="BG160" i="9"/>
  <c r="BH160" i="9" s="1"/>
  <c r="BF160" i="9"/>
  <c r="BP164" i="9"/>
  <c r="BG164" i="9"/>
  <c r="BH164" i="9" s="1"/>
  <c r="BF164" i="9"/>
  <c r="BP168" i="9"/>
  <c r="BG168" i="9"/>
  <c r="BH168" i="9" s="1"/>
  <c r="BF168" i="9"/>
  <c r="BP172" i="9"/>
  <c r="BG172" i="9"/>
  <c r="BH172" i="9" s="1"/>
  <c r="BF172" i="9"/>
  <c r="BP176" i="9"/>
  <c r="BG176" i="9"/>
  <c r="BH176" i="9" s="1"/>
  <c r="BF176" i="9"/>
  <c r="BP180" i="9"/>
  <c r="BG180" i="9"/>
  <c r="BH180" i="9" s="1"/>
  <c r="BF180" i="9"/>
  <c r="BP184" i="9"/>
  <c r="BG184" i="9"/>
  <c r="BH184" i="9" s="1"/>
  <c r="BF184" i="9"/>
  <c r="BP188" i="9"/>
  <c r="BG188" i="9"/>
  <c r="BH188" i="9" s="1"/>
  <c r="BF188" i="9"/>
  <c r="BP192" i="9"/>
  <c r="BG192" i="9"/>
  <c r="BH192" i="9" s="1"/>
  <c r="BF192" i="9"/>
  <c r="BP196" i="9"/>
  <c r="BG196" i="9"/>
  <c r="BH196" i="9" s="1"/>
  <c r="BF196" i="9"/>
  <c r="BG200" i="9"/>
  <c r="BH200" i="9" s="1"/>
  <c r="BP200" i="9"/>
  <c r="BF200" i="9"/>
  <c r="BG204" i="9"/>
  <c r="BH204" i="9" s="1"/>
  <c r="BP204" i="9"/>
  <c r="BF204" i="9"/>
  <c r="BG208" i="9"/>
  <c r="BH208" i="9" s="1"/>
  <c r="BP208" i="9"/>
  <c r="BF208" i="9"/>
  <c r="BG212" i="9"/>
  <c r="BH212" i="9" s="1"/>
  <c r="BP212" i="9"/>
  <c r="BF212" i="9"/>
  <c r="BG216" i="9"/>
  <c r="BH216" i="9" s="1"/>
  <c r="BP216" i="9"/>
  <c r="BF216" i="9"/>
  <c r="BG220" i="9"/>
  <c r="BH220" i="9" s="1"/>
  <c r="BP220" i="9"/>
  <c r="BF220" i="9"/>
  <c r="BG224" i="9"/>
  <c r="BH224" i="9" s="1"/>
  <c r="BP224" i="9"/>
  <c r="BF224" i="9"/>
  <c r="BG228" i="9"/>
  <c r="BH228" i="9" s="1"/>
  <c r="BP228" i="9"/>
  <c r="BF228" i="9"/>
  <c r="BG232" i="9"/>
  <c r="BH232" i="9" s="1"/>
  <c r="BP232" i="9"/>
  <c r="BF232" i="9"/>
  <c r="BG236" i="9"/>
  <c r="BH236" i="9" s="1"/>
  <c r="BP236" i="9"/>
  <c r="BF236" i="9"/>
  <c r="BG240" i="9"/>
  <c r="BH240" i="9" s="1"/>
  <c r="BF240" i="9"/>
  <c r="BP240" i="9"/>
  <c r="BG244" i="9"/>
  <c r="BH244" i="9" s="1"/>
  <c r="BF244" i="9"/>
  <c r="BP244" i="9"/>
  <c r="BG248" i="9"/>
  <c r="BH248" i="9" s="1"/>
  <c r="BF248" i="9"/>
  <c r="BP248" i="9"/>
  <c r="BG252" i="9"/>
  <c r="BH252" i="9" s="1"/>
  <c r="BF252" i="9"/>
  <c r="BP252" i="9"/>
  <c r="BG256" i="9"/>
  <c r="BH256" i="9" s="1"/>
  <c r="BF256" i="9"/>
  <c r="BP256" i="9"/>
  <c r="BG260" i="9"/>
  <c r="BH260" i="9" s="1"/>
  <c r="BF260" i="9"/>
  <c r="BP260" i="9"/>
  <c r="BG264" i="9"/>
  <c r="BH264" i="9" s="1"/>
  <c r="BF264" i="9"/>
  <c r="BP264" i="9"/>
  <c r="BG268" i="9"/>
  <c r="BH268" i="9" s="1"/>
  <c r="BF268" i="9"/>
  <c r="BP268" i="9"/>
  <c r="BG272" i="9"/>
  <c r="BH272" i="9" s="1"/>
  <c r="BF272" i="9"/>
  <c r="BP272" i="9"/>
  <c r="BG276" i="9"/>
  <c r="BH276" i="9" s="1"/>
  <c r="BF276" i="9"/>
  <c r="BP276" i="9"/>
  <c r="BG280" i="9"/>
  <c r="BH280" i="9" s="1"/>
  <c r="BF280" i="9"/>
  <c r="BP280" i="9"/>
  <c r="BG284" i="9"/>
  <c r="BH284" i="9" s="1"/>
  <c r="BF284" i="9"/>
  <c r="BP284" i="9"/>
  <c r="BG288" i="9"/>
  <c r="BH288" i="9" s="1"/>
  <c r="BF288" i="9"/>
  <c r="BP288" i="9"/>
  <c r="BG292" i="9"/>
  <c r="BH292" i="9" s="1"/>
  <c r="BF292" i="9"/>
  <c r="BP292" i="9"/>
  <c r="BG296" i="9"/>
  <c r="BH296" i="9" s="1"/>
  <c r="BF296" i="9"/>
  <c r="BP296" i="9"/>
  <c r="BG300" i="9"/>
  <c r="BH300" i="9" s="1"/>
  <c r="BF300" i="9"/>
  <c r="BP300" i="9"/>
  <c r="BG304" i="9"/>
  <c r="BH304" i="9" s="1"/>
  <c r="BF304" i="9"/>
  <c r="BP304" i="9"/>
  <c r="BG308" i="9"/>
  <c r="BH308" i="9" s="1"/>
  <c r="BF308" i="9"/>
  <c r="BP308" i="9"/>
  <c r="BG312" i="9"/>
  <c r="BH312" i="9" s="1"/>
  <c r="BF312" i="9"/>
  <c r="BP312" i="9"/>
  <c r="BG316" i="9"/>
  <c r="BH316" i="9" s="1"/>
  <c r="BF316" i="9"/>
  <c r="BP316" i="9"/>
  <c r="BN101" i="9"/>
  <c r="BX101" i="9"/>
  <c r="BN112" i="9"/>
  <c r="BX112" i="9"/>
  <c r="CB133" i="9"/>
  <c r="BN218" i="9"/>
  <c r="BX218" i="9"/>
  <c r="CB283" i="9"/>
  <c r="BN311" i="9"/>
  <c r="BX311" i="9"/>
  <c r="BN11" i="9"/>
  <c r="BX11" i="9"/>
  <c r="BN107" i="9"/>
  <c r="BX107" i="9"/>
  <c r="CB149" i="9"/>
  <c r="BN163" i="9"/>
  <c r="BX163" i="9"/>
  <c r="CB179" i="9"/>
  <c r="BN197" i="9"/>
  <c r="BX197" i="9"/>
  <c r="CB308" i="9"/>
  <c r="BY300" i="9"/>
  <c r="BW300" i="9"/>
  <c r="CB300" i="9"/>
  <c r="BZ300" i="9"/>
  <c r="CD300" i="9"/>
  <c r="BY237" i="9"/>
  <c r="BW237" i="9"/>
  <c r="BZ237" i="9"/>
  <c r="CD237" i="9"/>
  <c r="CB237" i="9"/>
  <c r="BY38" i="9"/>
  <c r="BW38" i="9"/>
  <c r="CB38" i="9"/>
  <c r="BZ38" i="9"/>
  <c r="CD38" i="9"/>
  <c r="CM201" i="9"/>
  <c r="CN201" i="9" s="1"/>
  <c r="CM209" i="9"/>
  <c r="CN209" i="9" s="1"/>
  <c r="CQ262" i="9"/>
  <c r="CQ235" i="9"/>
  <c r="CQ219" i="9"/>
  <c r="CJ205" i="9"/>
  <c r="CL205" i="9"/>
  <c r="CO126" i="9"/>
  <c r="CJ126" i="9"/>
  <c r="CL126" i="9"/>
  <c r="CQ298" i="9"/>
  <c r="CQ45" i="9"/>
  <c r="CJ16" i="9"/>
  <c r="CL16" i="9"/>
  <c r="CQ211" i="9"/>
  <c r="CQ132" i="9"/>
  <c r="CQ119" i="9"/>
  <c r="CQ39" i="9"/>
  <c r="DM4" i="9"/>
  <c r="CV317" i="9"/>
  <c r="CV318" i="9"/>
  <c r="CV312" i="9"/>
  <c r="CV310" i="9"/>
  <c r="CX306" i="9"/>
  <c r="CZ306" i="9" s="1"/>
  <c r="DA306" i="9" s="1"/>
  <c r="CV304" i="9"/>
  <c r="CV313" i="9"/>
  <c r="CV305" i="9"/>
  <c r="CV302" i="9"/>
  <c r="CV298" i="9"/>
  <c r="CV294" i="9"/>
  <c r="CV290" i="9"/>
  <c r="CV286" i="9"/>
  <c r="CV282" i="9"/>
  <c r="CV311" i="9"/>
  <c r="CV307" i="9"/>
  <c r="CX289" i="9"/>
  <c r="CV278" i="9"/>
  <c r="CV274" i="9"/>
  <c r="CV272" i="9"/>
  <c r="CV270" i="9"/>
  <c r="CV268" i="9"/>
  <c r="CV266" i="9"/>
  <c r="CV264" i="9"/>
  <c r="CV262" i="9"/>
  <c r="CV260" i="9"/>
  <c r="CV258" i="9"/>
  <c r="CV256" i="9"/>
  <c r="CV254" i="9"/>
  <c r="CV252" i="9"/>
  <c r="CV250" i="9"/>
  <c r="CV248" i="9"/>
  <c r="CV246" i="9"/>
  <c r="CV244" i="9"/>
  <c r="CV276" i="9"/>
  <c r="CV275" i="9"/>
  <c r="CV273" i="9"/>
  <c r="CV271" i="9"/>
  <c r="CV269" i="9"/>
  <c r="CV267" i="9"/>
  <c r="CV265" i="9"/>
  <c r="CV263" i="9"/>
  <c r="CV261" i="9"/>
  <c r="CV259" i="9"/>
  <c r="CV257" i="9"/>
  <c r="CV255" i="9"/>
  <c r="CV253" i="9"/>
  <c r="CV251" i="9"/>
  <c r="CV249" i="9"/>
  <c r="CV247" i="9"/>
  <c r="CV245" i="9"/>
  <c r="CV239" i="9"/>
  <c r="CV235" i="9"/>
  <c r="CV231" i="9"/>
  <c r="CV227" i="9"/>
  <c r="CV223" i="9"/>
  <c r="CV219" i="9"/>
  <c r="CV215" i="9"/>
  <c r="CV243" i="9"/>
  <c r="CV242" i="9"/>
  <c r="CV240" i="9"/>
  <c r="CV238" i="9"/>
  <c r="CV236" i="9"/>
  <c r="CV234" i="9"/>
  <c r="CV232" i="9"/>
  <c r="CV230" i="9"/>
  <c r="CV228" i="9"/>
  <c r="CV226" i="9"/>
  <c r="CV224" i="9"/>
  <c r="CV222" i="9"/>
  <c r="CV220" i="9"/>
  <c r="CV218" i="9"/>
  <c r="CV216" i="9"/>
  <c r="CV214" i="9"/>
  <c r="CV212" i="9"/>
  <c r="CV210" i="9"/>
  <c r="CV208" i="9"/>
  <c r="CV206" i="9"/>
  <c r="CV204" i="9"/>
  <c r="CV202" i="9"/>
  <c r="CV200" i="9"/>
  <c r="CV182" i="9"/>
  <c r="CV180" i="9"/>
  <c r="CV178" i="9"/>
  <c r="CV176" i="9"/>
  <c r="CV174" i="9"/>
  <c r="CV207" i="9"/>
  <c r="CV199" i="9"/>
  <c r="CV191" i="9"/>
  <c r="CV183" i="9"/>
  <c r="CV175" i="9"/>
  <c r="CV171" i="9"/>
  <c r="CV167" i="9"/>
  <c r="CV163" i="9"/>
  <c r="CV159" i="9"/>
  <c r="CV155" i="9"/>
  <c r="CV151" i="9"/>
  <c r="CV147" i="9"/>
  <c r="CV143" i="9"/>
  <c r="CV139" i="9"/>
  <c r="CV135" i="9"/>
  <c r="CV131" i="9"/>
  <c r="CV127" i="9"/>
  <c r="CV123" i="9"/>
  <c r="CV205" i="9"/>
  <c r="CV197" i="9"/>
  <c r="CV189" i="9"/>
  <c r="CV181" i="9"/>
  <c r="CX88" i="9"/>
  <c r="CX72" i="9"/>
  <c r="DD72" i="9" s="1"/>
  <c r="CX48" i="9"/>
  <c r="CV34" i="9"/>
  <c r="CV32" i="9"/>
  <c r="CV30" i="9"/>
  <c r="CV28" i="9"/>
  <c r="CV26" i="9"/>
  <c r="CV24" i="9"/>
  <c r="CV18" i="9"/>
  <c r="CV209" i="9"/>
  <c r="CV201" i="9"/>
  <c r="CV193" i="9"/>
  <c r="CV185" i="9"/>
  <c r="CV177" i="9"/>
  <c r="CV170" i="9"/>
  <c r="CV166" i="9"/>
  <c r="CV162" i="9"/>
  <c r="CV158" i="9"/>
  <c r="CV154" i="9"/>
  <c r="CV150" i="9"/>
  <c r="CV146" i="9"/>
  <c r="CV142" i="9"/>
  <c r="CV138" i="9"/>
  <c r="CV134" i="9"/>
  <c r="CV130" i="9"/>
  <c r="CV126" i="9"/>
  <c r="CV121" i="9"/>
  <c r="CV119" i="9"/>
  <c r="CV113" i="9"/>
  <c r="CV111" i="9"/>
  <c r="CV105" i="9"/>
  <c r="CV103" i="9"/>
  <c r="CV101" i="9"/>
  <c r="CV95" i="9"/>
  <c r="CV93" i="9"/>
  <c r="CV91" i="9"/>
  <c r="CV89" i="9"/>
  <c r="CV87" i="9"/>
  <c r="CV85" i="9"/>
  <c r="CV83" i="9"/>
  <c r="CV81" i="9"/>
  <c r="CV79" i="9"/>
  <c r="CV77" i="9"/>
  <c r="CV75" i="9"/>
  <c r="CV73" i="9"/>
  <c r="CV71" i="9"/>
  <c r="CV69" i="9"/>
  <c r="CV67" i="9"/>
  <c r="CV65" i="9"/>
  <c r="CV63" i="9"/>
  <c r="CV61" i="9"/>
  <c r="CV59" i="9"/>
  <c r="CV57" i="9"/>
  <c r="CV55" i="9"/>
  <c r="CV53" i="9"/>
  <c r="CV51" i="9"/>
  <c r="CV49" i="9"/>
  <c r="CV47" i="9"/>
  <c r="CV45" i="9"/>
  <c r="CV43" i="9"/>
  <c r="CV41" i="9"/>
  <c r="CV39" i="9"/>
  <c r="CV37" i="9"/>
  <c r="CV35" i="9"/>
  <c r="CV23" i="9"/>
  <c r="CV19" i="9"/>
  <c r="CV15" i="9"/>
  <c r="CV11" i="9"/>
  <c r="CV7" i="9"/>
  <c r="DC4" i="9"/>
  <c r="CV6" i="9"/>
  <c r="CX4" i="9"/>
  <c r="CV25" i="9"/>
  <c r="CV21" i="9"/>
  <c r="CV14" i="9"/>
  <c r="CV319" i="9"/>
  <c r="CV315" i="9"/>
  <c r="CV314" i="9"/>
  <c r="CV308" i="9"/>
  <c r="CV306" i="9"/>
  <c r="CV316" i="9"/>
  <c r="CV309" i="9"/>
  <c r="CV300" i="9"/>
  <c r="CX298" i="9"/>
  <c r="CV296" i="9"/>
  <c r="CV292" i="9"/>
  <c r="CV288" i="9"/>
  <c r="CV284" i="9"/>
  <c r="CV280" i="9"/>
  <c r="CV303" i="9"/>
  <c r="CV301" i="9"/>
  <c r="CV299" i="9"/>
  <c r="CV297" i="9"/>
  <c r="CV295" i="9"/>
  <c r="CV293" i="9"/>
  <c r="CV291" i="9"/>
  <c r="CV289" i="9"/>
  <c r="CV287" i="9"/>
  <c r="CV285" i="9"/>
  <c r="CV283" i="9"/>
  <c r="CV281" i="9"/>
  <c r="CV279" i="9"/>
  <c r="CV277" i="9"/>
  <c r="CX262" i="9"/>
  <c r="DD262" i="9" s="1"/>
  <c r="CX273" i="9"/>
  <c r="CV241" i="9"/>
  <c r="CV237" i="9"/>
  <c r="CX235" i="9"/>
  <c r="CV233" i="9"/>
  <c r="CV229" i="9"/>
  <c r="CV225" i="9"/>
  <c r="CX223" i="9"/>
  <c r="CZ223" i="9" s="1"/>
  <c r="DA223" i="9" s="1"/>
  <c r="CV221" i="9"/>
  <c r="CX219" i="9"/>
  <c r="CV217" i="9"/>
  <c r="CX215" i="9"/>
  <c r="CZ215" i="9" s="1"/>
  <c r="DA215" i="9" s="1"/>
  <c r="CV213" i="9"/>
  <c r="CX220" i="9"/>
  <c r="CZ220" i="9" s="1"/>
  <c r="DA220" i="9" s="1"/>
  <c r="CX204" i="9"/>
  <c r="CZ204" i="9" s="1"/>
  <c r="DA204" i="9" s="1"/>
  <c r="CV198" i="9"/>
  <c r="CV196" i="9"/>
  <c r="CV194" i="9"/>
  <c r="CV192" i="9"/>
  <c r="CV190" i="9"/>
  <c r="CV188" i="9"/>
  <c r="CV186" i="9"/>
  <c r="CV184" i="9"/>
  <c r="CV211" i="9"/>
  <c r="CV203" i="9"/>
  <c r="CV195" i="9"/>
  <c r="CV187" i="9"/>
  <c r="CV179" i="9"/>
  <c r="CV173" i="9"/>
  <c r="CV169" i="9"/>
  <c r="CV165" i="9"/>
  <c r="CV161" i="9"/>
  <c r="CV157" i="9"/>
  <c r="CV153" i="9"/>
  <c r="CV149" i="9"/>
  <c r="CV145" i="9"/>
  <c r="CV141" i="9"/>
  <c r="CV137" i="9"/>
  <c r="CV133" i="9"/>
  <c r="CV129" i="9"/>
  <c r="CV125" i="9"/>
  <c r="CV172" i="9"/>
  <c r="CV168" i="9"/>
  <c r="CV164" i="9"/>
  <c r="CV160" i="9"/>
  <c r="CV156" i="9"/>
  <c r="CV152" i="9"/>
  <c r="CV148" i="9"/>
  <c r="CV144" i="9"/>
  <c r="CV140" i="9"/>
  <c r="CV136" i="9"/>
  <c r="CV132" i="9"/>
  <c r="CV128" i="9"/>
  <c r="CV124" i="9"/>
  <c r="CV122" i="9"/>
  <c r="CV120" i="9"/>
  <c r="CV118" i="9"/>
  <c r="CV116" i="9"/>
  <c r="CV114" i="9"/>
  <c r="CV112" i="9"/>
  <c r="CV110" i="9"/>
  <c r="CV108" i="9"/>
  <c r="CV106" i="9"/>
  <c r="CV104" i="9"/>
  <c r="CV102" i="9"/>
  <c r="CV100" i="9"/>
  <c r="CV98" i="9"/>
  <c r="CV96" i="9"/>
  <c r="CV94" i="9"/>
  <c r="CV92" i="9"/>
  <c r="CV90" i="9"/>
  <c r="CV88" i="9"/>
  <c r="CV86" i="9"/>
  <c r="CV84" i="9"/>
  <c r="CV82" i="9"/>
  <c r="CV80" i="9"/>
  <c r="CV78" i="9"/>
  <c r="CV76" i="9"/>
  <c r="CV74" i="9"/>
  <c r="CV72" i="9"/>
  <c r="CV70" i="9"/>
  <c r="CV68" i="9"/>
  <c r="CV66" i="9"/>
  <c r="CV64" i="9"/>
  <c r="CV62" i="9"/>
  <c r="CV60" i="9"/>
  <c r="CV58" i="9"/>
  <c r="CV56" i="9"/>
  <c r="CV54" i="9"/>
  <c r="CV52" i="9"/>
  <c r="CV50" i="9"/>
  <c r="CV48" i="9"/>
  <c r="CV46" i="9"/>
  <c r="CV44" i="9"/>
  <c r="CV42" i="9"/>
  <c r="CV40" i="9"/>
  <c r="CV38" i="9"/>
  <c r="CV36" i="9"/>
  <c r="CX24" i="9"/>
  <c r="CZ24" i="9" s="1"/>
  <c r="DA24" i="9" s="1"/>
  <c r="CV22" i="9"/>
  <c r="CV20" i="9"/>
  <c r="CX211" i="9"/>
  <c r="CX136" i="9"/>
  <c r="CX132" i="9"/>
  <c r="CX119" i="9"/>
  <c r="DD119" i="9" s="1"/>
  <c r="CV117" i="9"/>
  <c r="CV115" i="9"/>
  <c r="CV109" i="9"/>
  <c r="CV107" i="9"/>
  <c r="CV99" i="9"/>
  <c r="CV97" i="9"/>
  <c r="CX39" i="9"/>
  <c r="CV31" i="9"/>
  <c r="CV27" i="9"/>
  <c r="CV17" i="9"/>
  <c r="CV13" i="9"/>
  <c r="CV9" i="9"/>
  <c r="CV5" i="9"/>
  <c r="DA4" i="9"/>
  <c r="CV33" i="9"/>
  <c r="CV29" i="9"/>
  <c r="CV12" i="9"/>
  <c r="CV10" i="9"/>
  <c r="DB4" i="9"/>
  <c r="CV4" i="9"/>
  <c r="CW4" i="9" s="1"/>
  <c r="CV16" i="9"/>
  <c r="CV8" i="9"/>
  <c r="DD4" i="9"/>
  <c r="CZ119" i="9"/>
  <c r="DA119" i="9" s="1"/>
  <c r="CZ72" i="9"/>
  <c r="DA72" i="9" s="1"/>
  <c r="CZ88" i="9"/>
  <c r="DA88" i="9" s="1"/>
  <c r="DD136" i="9"/>
  <c r="CZ273" i="9"/>
  <c r="DA273" i="9" s="1"/>
  <c r="DD48" i="9"/>
  <c r="DD88" i="9"/>
  <c r="CZ39" i="9"/>
  <c r="DA39" i="9" s="1"/>
  <c r="DD219" i="9"/>
  <c r="DD235" i="9"/>
  <c r="DD39" i="9"/>
  <c r="DD211" i="9"/>
  <c r="DD220" i="9"/>
  <c r="CX205" i="9"/>
  <c r="CZ205" i="9" s="1"/>
  <c r="DA205" i="9" s="1"/>
  <c r="CX209" i="9"/>
  <c r="CZ209" i="9" s="1"/>
  <c r="DA209" i="9" s="1"/>
  <c r="CX16" i="9"/>
  <c r="CX126" i="9"/>
  <c r="DD126" i="9" s="1"/>
  <c r="CZ16" i="9"/>
  <c r="DA16" i="9" s="1"/>
  <c r="DD16" i="9"/>
  <c r="CZ126" i="9"/>
  <c r="DA126" i="9" s="1"/>
  <c r="CM407" i="9"/>
  <c r="CM408" i="9"/>
  <c r="CM404" i="9"/>
  <c r="CG4" i="9"/>
  <c r="CL4" i="9"/>
  <c r="CE1" i="9"/>
  <c r="CM410" i="9"/>
  <c r="CM405" i="9"/>
  <c r="CM406" i="9"/>
  <c r="CK322" i="9"/>
  <c r="CE4" i="9"/>
  <c r="CF4" i="9"/>
  <c r="CH4" i="9"/>
  <c r="CM62" i="9"/>
  <c r="CN62" i="9" s="1"/>
  <c r="CJ62" i="9"/>
  <c r="CL62" i="9"/>
  <c r="CM45" i="9"/>
  <c r="CN45" i="9" s="1"/>
  <c r="CK267" i="9"/>
  <c r="CM287" i="9"/>
  <c r="CN287" i="9" s="1"/>
  <c r="CL287" i="9"/>
  <c r="CJ287" i="9"/>
  <c r="CM295" i="9"/>
  <c r="CN295" i="9" s="1"/>
  <c r="CL295" i="9"/>
  <c r="CJ295" i="9"/>
  <c r="CQ306" i="9"/>
  <c r="CJ306" i="9"/>
  <c r="CL306" i="9"/>
  <c r="CQ204" i="9"/>
  <c r="CJ204" i="9"/>
  <c r="CL204" i="9"/>
  <c r="CJ220" i="9"/>
  <c r="CL220" i="9"/>
  <c r="CM256" i="9"/>
  <c r="CN256" i="9" s="1"/>
  <c r="CL256" i="9"/>
  <c r="CJ256" i="9"/>
  <c r="CM260" i="9"/>
  <c r="CN260" i="9" s="1"/>
  <c r="CL260" i="9"/>
  <c r="CJ260" i="9"/>
  <c r="CM268" i="9"/>
  <c r="CN268" i="9" s="1"/>
  <c r="CL268" i="9"/>
  <c r="CJ268" i="9"/>
  <c r="BZ198" i="9"/>
  <c r="BY198" i="9"/>
  <c r="BW198" i="9"/>
  <c r="CD198" i="9"/>
  <c r="CB198" i="9"/>
  <c r="BO252" i="9"/>
  <c r="BA208" i="9"/>
  <c r="BK208" i="9"/>
  <c r="BA12" i="9"/>
  <c r="BK12" i="9"/>
  <c r="BA20" i="9"/>
  <c r="BK20" i="9"/>
  <c r="BO240" i="9"/>
  <c r="BA319" i="9"/>
  <c r="BK319" i="9"/>
  <c r="BA150" i="9"/>
  <c r="BK150" i="9"/>
  <c r="BO71" i="9"/>
  <c r="BO52" i="9"/>
  <c r="BA36" i="9"/>
  <c r="BK36" i="9"/>
  <c r="BA49" i="9"/>
  <c r="BK49" i="9"/>
  <c r="BA34" i="9"/>
  <c r="BK34" i="9"/>
  <c r="BA18" i="9"/>
  <c r="BK18" i="9"/>
  <c r="BA22" i="9"/>
  <c r="BK22" i="9"/>
  <c r="BA115" i="9"/>
  <c r="BK115" i="9"/>
  <c r="BO115" i="9" s="1"/>
  <c r="BA228" i="9"/>
  <c r="BK228" i="9"/>
  <c r="BA244" i="9"/>
  <c r="BK244" i="9"/>
  <c r="BA296" i="9"/>
  <c r="BK296" i="9"/>
  <c r="CO215" i="9"/>
  <c r="DB215" i="9" s="1"/>
  <c r="AM361" i="9"/>
  <c r="AK361" i="9" s="1"/>
  <c r="AJ364" i="9" s="1"/>
  <c r="AW365" i="9"/>
  <c r="BA80" i="9"/>
  <c r="BK80" i="9"/>
  <c r="BA97" i="9"/>
  <c r="BK97" i="9"/>
  <c r="BO56" i="9"/>
  <c r="BA28" i="9"/>
  <c r="BK28" i="9"/>
  <c r="BA207" i="9"/>
  <c r="BK207" i="9"/>
  <c r="BA239" i="9"/>
  <c r="BK239" i="9"/>
  <c r="BO309" i="9"/>
  <c r="BA231" i="9"/>
  <c r="BK231" i="9"/>
  <c r="BA247" i="9"/>
  <c r="BK247" i="9"/>
  <c r="BA314" i="9"/>
  <c r="BK314" i="9"/>
  <c r="BO314" i="9" s="1"/>
  <c r="BA53" i="9"/>
  <c r="BK53" i="9"/>
  <c r="BA138" i="9"/>
  <c r="BK138" i="9"/>
  <c r="BO102" i="9"/>
  <c r="BA86" i="9"/>
  <c r="BK86" i="9"/>
  <c r="BO86" i="9" s="1"/>
  <c r="BA74" i="9"/>
  <c r="BK74" i="9"/>
  <c r="BA118" i="9"/>
  <c r="BK118" i="9"/>
  <c r="CO39" i="9"/>
  <c r="AO364" i="9"/>
  <c r="BO141" i="9"/>
  <c r="AU359" i="9"/>
  <c r="CO306" i="9"/>
  <c r="BN93" i="9"/>
  <c r="BX93" i="9"/>
  <c r="CB266" i="9"/>
  <c r="BN292" i="9"/>
  <c r="BX292" i="9"/>
  <c r="CB292" i="9" s="1"/>
  <c r="BN27" i="9"/>
  <c r="BX27" i="9"/>
  <c r="BN271" i="9"/>
  <c r="BX271" i="9"/>
  <c r="CB271" i="9" s="1"/>
  <c r="AY331" i="9"/>
  <c r="BA104" i="9"/>
  <c r="BK104" i="9"/>
  <c r="BA64" i="9"/>
  <c r="BK64" i="9"/>
  <c r="BA280" i="9"/>
  <c r="BK280" i="9"/>
  <c r="BA230" i="9"/>
  <c r="BK230" i="9"/>
  <c r="BA162" i="9"/>
  <c r="BK162" i="9"/>
  <c r="BA81" i="9"/>
  <c r="BK81" i="9"/>
  <c r="BA236" i="9"/>
  <c r="BK236" i="9"/>
  <c r="BA297" i="9"/>
  <c r="BK297" i="9"/>
  <c r="BO297" i="9" s="1"/>
  <c r="BA98" i="9"/>
  <c r="BK98" i="9"/>
  <c r="BA304" i="9"/>
  <c r="BK304" i="9"/>
  <c r="CB70" i="9"/>
  <c r="CO45" i="9"/>
  <c r="BO278" i="9"/>
  <c r="BO176" i="9"/>
  <c r="AF369" i="9"/>
  <c r="AJ380" i="9"/>
  <c r="AJ381" i="9"/>
  <c r="AJ379" i="9"/>
  <c r="BC320" i="9"/>
  <c r="BC381" i="9"/>
  <c r="AX381" i="9" s="1"/>
  <c r="BC379" i="9"/>
  <c r="AX379" i="9" s="1"/>
  <c r="AU356" i="9"/>
  <c r="AU372" i="9" s="1"/>
  <c r="AU355" i="9"/>
  <c r="AU354" i="9"/>
  <c r="AU353" i="9"/>
  <c r="AU361" i="9"/>
  <c r="AU363" i="9"/>
  <c r="BO221" i="9"/>
  <c r="BD320" i="9"/>
  <c r="AW320" i="9"/>
  <c r="AX406" i="9" s="1"/>
  <c r="AY320" i="9"/>
  <c r="BA190" i="9"/>
  <c r="BK190" i="9"/>
  <c r="BA182" i="9"/>
  <c r="BK182" i="9"/>
  <c r="BO30" i="9"/>
  <c r="BO148" i="9"/>
  <c r="AX347" i="9"/>
  <c r="AV450" i="9" s="1"/>
  <c r="BA42" i="9"/>
  <c r="BK42" i="9"/>
  <c r="BA57" i="9"/>
  <c r="BK57" i="9"/>
  <c r="BA10" i="9"/>
  <c r="BK10" i="9"/>
  <c r="BA202" i="9"/>
  <c r="BK202" i="9"/>
  <c r="BA288" i="9"/>
  <c r="BK288" i="9"/>
  <c r="CO72" i="9"/>
  <c r="AV327" i="9"/>
  <c r="BJ367" i="9"/>
  <c r="BJ368" i="9"/>
  <c r="BJ366" i="9"/>
  <c r="BQ393" i="9"/>
  <c r="BK393" i="9" s="1"/>
  <c r="BI343" i="9"/>
  <c r="BH368" i="9"/>
  <c r="BL368" i="9"/>
  <c r="BK438" i="9"/>
  <c r="T34" i="2"/>
  <c r="BN35" i="9"/>
  <c r="BX35" i="9"/>
  <c r="CB69" i="9"/>
  <c r="BN87" i="9"/>
  <c r="BX87" i="9"/>
  <c r="CB103" i="9"/>
  <c r="BN124" i="9"/>
  <c r="BX124" i="9"/>
  <c r="CB210" i="9"/>
  <c r="BN59" i="9"/>
  <c r="BX59" i="9"/>
  <c r="CB91" i="9"/>
  <c r="BN143" i="9"/>
  <c r="BX143" i="9"/>
  <c r="CB143" i="9" s="1"/>
  <c r="BN167" i="9"/>
  <c r="BX167" i="9"/>
  <c r="CB187" i="9"/>
  <c r="BN199" i="9"/>
  <c r="BX199" i="9"/>
  <c r="CB199" i="9" s="1"/>
  <c r="BN275" i="9"/>
  <c r="BX275" i="9"/>
  <c r="BY307" i="9"/>
  <c r="BW307" i="9"/>
  <c r="CB307" i="9"/>
  <c r="CD307" i="9"/>
  <c r="BZ307" i="9"/>
  <c r="BZ253" i="9"/>
  <c r="BW253" i="9"/>
  <c r="BY253" i="9"/>
  <c r="CB253" i="9"/>
  <c r="CD253" i="9"/>
  <c r="CD168" i="9"/>
  <c r="BY168" i="9"/>
  <c r="BW168" i="9"/>
  <c r="BZ168" i="9"/>
  <c r="BY58" i="9"/>
  <c r="BW58" i="9"/>
  <c r="CD58" i="9"/>
  <c r="CB58" i="9"/>
  <c r="BZ58" i="9"/>
  <c r="BX365" i="9"/>
  <c r="BV439" i="9"/>
  <c r="BX440" i="9" s="1"/>
  <c r="BX438" i="9" s="1"/>
  <c r="BV440" i="9"/>
  <c r="BX441" i="9" s="1"/>
  <c r="BX390" i="9"/>
  <c r="BV441" i="9"/>
  <c r="W34" i="2"/>
  <c r="Y34" i="2"/>
  <c r="BU368" i="9" s="1"/>
  <c r="BZ8" i="9"/>
  <c r="BW8" i="9"/>
  <c r="BY8" i="9"/>
  <c r="CD8" i="9"/>
  <c r="BZ180" i="9"/>
  <c r="BW180" i="9"/>
  <c r="BY180" i="9"/>
  <c r="CD180" i="9"/>
  <c r="BY40" i="9"/>
  <c r="BW40" i="9"/>
  <c r="BZ40" i="9"/>
  <c r="CD40" i="9"/>
  <c r="BV429" i="9"/>
  <c r="BX429" i="9" s="1"/>
  <c r="BV425" i="9"/>
  <c r="BV421" i="9"/>
  <c r="BV420" i="9"/>
  <c r="BO54" i="9"/>
  <c r="BA113" i="9"/>
  <c r="BK113" i="9"/>
  <c r="BA225" i="9"/>
  <c r="BK225" i="9"/>
  <c r="BA154" i="9"/>
  <c r="BK154" i="9"/>
  <c r="BA105" i="9"/>
  <c r="BK105" i="9"/>
  <c r="BA241" i="9"/>
  <c r="BK241" i="9"/>
  <c r="BA164" i="9"/>
  <c r="BK164" i="9"/>
  <c r="CO289" i="9"/>
  <c r="DB289" i="9" s="1"/>
  <c r="BA224" i="9"/>
  <c r="BK224" i="9"/>
  <c r="BA317" i="9"/>
  <c r="BK317" i="9"/>
  <c r="BA90" i="9"/>
  <c r="BK90" i="9"/>
  <c r="BA99" i="9"/>
  <c r="BK99" i="9"/>
  <c r="BA310" i="9"/>
  <c r="BK310" i="9"/>
  <c r="BO310" i="9" s="1"/>
  <c r="BA276" i="9"/>
  <c r="BK276" i="9"/>
  <c r="BA203" i="9"/>
  <c r="BK203" i="9"/>
  <c r="BO291" i="9"/>
  <c r="BO171" i="9"/>
  <c r="BO175" i="9"/>
  <c r="BA192" i="9"/>
  <c r="BK192" i="9"/>
  <c r="BO192" i="9" s="1"/>
  <c r="BA128" i="9"/>
  <c r="BK128" i="9"/>
  <c r="BA156" i="9"/>
  <c r="BK156" i="9"/>
  <c r="BA196" i="9"/>
  <c r="BK196" i="9"/>
  <c r="BO196" i="9" s="1"/>
  <c r="BO153" i="9"/>
  <c r="BA165" i="9"/>
  <c r="BK165" i="9"/>
  <c r="BA68" i="9"/>
  <c r="BK68" i="9"/>
  <c r="BA84" i="9"/>
  <c r="BK84" i="9"/>
  <c r="BA92" i="9"/>
  <c r="BK92" i="9"/>
  <c r="BA100" i="9"/>
  <c r="BK100" i="9"/>
  <c r="BA255" i="9"/>
  <c r="BK255" i="9"/>
  <c r="CO16" i="9"/>
  <c r="DB16" i="9" s="1"/>
  <c r="BO151" i="9"/>
  <c r="CO119" i="9"/>
  <c r="BA110" i="9"/>
  <c r="BK110" i="9"/>
  <c r="BA29" i="9"/>
  <c r="BK29" i="9"/>
  <c r="BA21" i="9"/>
  <c r="BK21" i="9"/>
  <c r="BA13" i="9"/>
  <c r="BK13" i="9"/>
  <c r="BA44" i="9"/>
  <c r="BK44" i="9"/>
  <c r="AY330" i="9"/>
  <c r="AY355" i="9"/>
  <c r="AY356" i="9"/>
  <c r="AY354" i="9"/>
  <c r="BA238" i="9"/>
  <c r="BK238" i="9"/>
  <c r="BA170" i="9"/>
  <c r="BK170" i="9"/>
  <c r="BA135" i="9"/>
  <c r="BK135" i="9"/>
  <c r="BA183" i="9"/>
  <c r="BK183" i="9"/>
  <c r="BO217" i="9"/>
  <c r="BD386" i="9"/>
  <c r="BD388" i="9"/>
  <c r="AX388" i="9" s="1"/>
  <c r="BA172" i="9"/>
  <c r="BK172" i="9"/>
  <c r="BA213" i="9"/>
  <c r="BK213" i="9"/>
  <c r="CO223" i="9"/>
  <c r="DB223" i="9" s="1"/>
  <c r="AX428" i="9"/>
  <c r="O24" i="2"/>
  <c r="BD383" i="9" s="1"/>
  <c r="BC380" i="9"/>
  <c r="AV330" i="9"/>
  <c r="CO298" i="9"/>
  <c r="DB298" i="9" s="1"/>
  <c r="CB61" i="9"/>
  <c r="BN77" i="9"/>
  <c r="BX77" i="9"/>
  <c r="BN258" i="9"/>
  <c r="BX258" i="9"/>
  <c r="BN216" i="9"/>
  <c r="BX216" i="9"/>
  <c r="CB242" i="9"/>
  <c r="AM353" i="9"/>
  <c r="AK353" i="9" s="1"/>
  <c r="BA200" i="9"/>
  <c r="BK200" i="9"/>
  <c r="CO273" i="9"/>
  <c r="BA7" i="9"/>
  <c r="BK7" i="9"/>
  <c r="BO7" i="9" s="1"/>
  <c r="BA37" i="9"/>
  <c r="BK37" i="9"/>
  <c r="CO205" i="9"/>
  <c r="DB205" i="9" s="1"/>
  <c r="CO287" i="9"/>
  <c r="BA33" i="9"/>
  <c r="BK33" i="9"/>
  <c r="BA25" i="9"/>
  <c r="BK25" i="9"/>
  <c r="BA17" i="9"/>
  <c r="BK17" i="9"/>
  <c r="BA9" i="9"/>
  <c r="BK9" i="9"/>
  <c r="BA79" i="9"/>
  <c r="BK79" i="9"/>
  <c r="BA63" i="9"/>
  <c r="BK63" i="9"/>
  <c r="BA265" i="9"/>
  <c r="BK265" i="9"/>
  <c r="BA83" i="9"/>
  <c r="BK83" i="9"/>
  <c r="BA195" i="9"/>
  <c r="BK195" i="9"/>
  <c r="BA286" i="9"/>
  <c r="BK286" i="9"/>
  <c r="BA173" i="9"/>
  <c r="BK173" i="9"/>
  <c r="AY335" i="9"/>
  <c r="BA169" i="9"/>
  <c r="BK169" i="9"/>
  <c r="AY360" i="9"/>
  <c r="AY359" i="9"/>
  <c r="AY357" i="9"/>
  <c r="AY358" i="9"/>
  <c r="BA178" i="9"/>
  <c r="BK178" i="9"/>
  <c r="BA184" i="9"/>
  <c r="BK184" i="9"/>
  <c r="CO256" i="9"/>
  <c r="BA159" i="9"/>
  <c r="BK159" i="9"/>
  <c r="BA122" i="9"/>
  <c r="BK122" i="9"/>
  <c r="AN368" i="9"/>
  <c r="AF368" i="9"/>
  <c r="AP393" i="9"/>
  <c r="AI343" i="9"/>
  <c r="AQ393" i="9"/>
  <c r="AL368" i="9"/>
  <c r="AH368" i="9"/>
  <c r="AK343" i="9"/>
  <c r="AQ392" i="9"/>
  <c r="AL367" i="9"/>
  <c r="AH367" i="9"/>
  <c r="AK342" i="9"/>
  <c r="AN367" i="9"/>
  <c r="AF367" i="9"/>
  <c r="AP392" i="9"/>
  <c r="AK392" i="9" s="1"/>
  <c r="AI342" i="9"/>
  <c r="M13" i="2"/>
  <c r="L13" i="2"/>
  <c r="K13" i="2"/>
  <c r="M19" i="2"/>
  <c r="L24" i="2"/>
  <c r="K24" i="2"/>
  <c r="L19" i="2"/>
  <c r="L29" i="2"/>
  <c r="K29" i="2"/>
  <c r="M24" i="2"/>
  <c r="X349" i="9"/>
  <c r="X369" i="9" s="1"/>
  <c r="X399" i="9" s="1"/>
  <c r="X415" i="9" s="1"/>
  <c r="Z369" i="9"/>
  <c r="BQ159" i="14"/>
  <c r="BQ167" i="14" s="1"/>
  <c r="BH146" i="14"/>
  <c r="AP167" i="14"/>
  <c r="AK159" i="14"/>
  <c r="AK167" i="14" s="1"/>
  <c r="AN154" i="14"/>
  <c r="AM146" i="14"/>
  <c r="AZ146" i="14"/>
  <c r="BA154" i="14"/>
  <c r="BN146" i="14"/>
  <c r="BI159" i="14"/>
  <c r="BI167" i="14" s="1"/>
  <c r="BF146" i="14"/>
  <c r="BC167" i="14"/>
  <c r="AX159" i="14"/>
  <c r="AX167" i="14" s="1"/>
  <c r="AK141" i="14"/>
  <c r="AL133" i="14"/>
  <c r="AX141" i="14"/>
  <c r="AY133" i="14"/>
  <c r="BK133" i="14"/>
  <c r="BP159" i="14"/>
  <c r="BL146" i="14"/>
  <c r="BL154" i="14" s="1"/>
  <c r="AH60" i="13"/>
  <c r="AH40" i="13"/>
  <c r="AH71" i="13"/>
  <c r="AH55" i="13"/>
  <c r="AH35" i="13"/>
  <c r="AH78" i="13"/>
  <c r="AH50" i="13"/>
  <c r="AH34" i="13"/>
  <c r="AH69" i="13"/>
  <c r="AH41" i="13"/>
  <c r="AH16" i="13"/>
  <c r="AH84" i="13"/>
  <c r="AH56" i="13"/>
  <c r="AH36" i="13"/>
  <c r="AH67" i="13"/>
  <c r="AH47" i="13"/>
  <c r="AH31" i="13"/>
  <c r="AH74" i="13"/>
  <c r="AH46" i="13"/>
  <c r="AH85" i="13"/>
  <c r="AH61" i="13"/>
  <c r="AH33" i="13"/>
  <c r="AG71" i="13"/>
  <c r="AG55" i="13"/>
  <c r="AG35" i="13"/>
  <c r="AG74" i="13"/>
  <c r="AG46" i="13"/>
  <c r="AG17" i="13"/>
  <c r="AG69" i="13"/>
  <c r="AG41" i="13"/>
  <c r="AG68" i="13"/>
  <c r="AG44" i="13"/>
  <c r="AG16" i="13"/>
  <c r="AG67" i="13"/>
  <c r="AG47" i="13"/>
  <c r="AG31" i="13"/>
  <c r="AG70" i="13"/>
  <c r="AG42" i="13"/>
  <c r="AG85" i="13"/>
  <c r="AG61" i="13"/>
  <c r="AG33" i="13"/>
  <c r="AG60" i="13"/>
  <c r="AG40" i="13"/>
  <c r="AG15" i="13"/>
  <c r="AG83" i="13"/>
  <c r="AG63" i="13"/>
  <c r="AG43" i="13"/>
  <c r="AG82" i="13"/>
  <c r="AG54" i="13"/>
  <c r="AG38" i="13"/>
  <c r="AG81" i="13"/>
  <c r="AG57" i="13"/>
  <c r="AG84" i="13"/>
  <c r="AG56" i="13"/>
  <c r="AG36" i="13"/>
  <c r="AG75" i="13"/>
  <c r="AG59" i="13"/>
  <c r="AG39" i="13"/>
  <c r="AG78" i="13"/>
  <c r="AG50" i="13"/>
  <c r="AG34" i="13"/>
  <c r="AG77" i="13"/>
  <c r="AG49" i="13"/>
  <c r="AG76" i="13"/>
  <c r="AG48" i="13"/>
  <c r="AG20" i="13"/>
  <c r="AI85" i="13"/>
  <c r="AI61" i="13"/>
  <c r="AI33" i="13"/>
  <c r="AI60" i="13"/>
  <c r="AI40" i="13"/>
  <c r="AI15" i="13"/>
  <c r="AI67" i="13"/>
  <c r="AI47" i="13"/>
  <c r="AI31" i="13"/>
  <c r="AI70" i="13"/>
  <c r="AI42" i="13"/>
  <c r="AI81" i="13"/>
  <c r="AI57" i="13"/>
  <c r="AI84" i="13"/>
  <c r="AI56" i="13"/>
  <c r="AI36" i="13"/>
  <c r="AI83" i="13"/>
  <c r="AI63" i="13"/>
  <c r="AI43" i="13"/>
  <c r="AI82" i="13"/>
  <c r="AI54" i="13"/>
  <c r="AI38" i="13"/>
  <c r="AI77" i="13"/>
  <c r="AI49" i="13"/>
  <c r="AI76" i="13"/>
  <c r="AI48" i="13"/>
  <c r="AI20" i="13"/>
  <c r="AI75" i="13"/>
  <c r="AI59" i="13"/>
  <c r="AI39" i="13"/>
  <c r="AI78" i="13"/>
  <c r="AI50" i="13"/>
  <c r="AI34" i="13"/>
  <c r="AI69" i="13"/>
  <c r="AI41" i="13"/>
  <c r="AI68" i="13"/>
  <c r="AI44" i="13"/>
  <c r="AI16" i="13"/>
  <c r="AI71" i="13"/>
  <c r="AI55" i="13"/>
  <c r="AI35" i="13"/>
  <c r="AI74" i="13"/>
  <c r="AI46" i="13"/>
  <c r="AI17" i="13"/>
  <c r="AH76" i="13"/>
  <c r="AH48" i="13"/>
  <c r="AH83" i="13"/>
  <c r="AH63" i="13"/>
  <c r="AH43" i="13"/>
  <c r="AH15" i="13"/>
  <c r="AH70" i="13"/>
  <c r="AH42" i="13"/>
  <c r="AH81" i="13"/>
  <c r="AH57" i="13"/>
  <c r="AH17" i="13"/>
  <c r="AH68" i="13"/>
  <c r="AH44" i="13"/>
  <c r="AH75" i="13"/>
  <c r="AH59" i="13"/>
  <c r="AH39" i="13"/>
  <c r="AH82" i="13"/>
  <c r="AH54" i="13"/>
  <c r="AH38" i="13"/>
  <c r="AH77" i="13"/>
  <c r="AH49" i="13"/>
  <c r="AH20" i="13"/>
  <c r="F7" i="17"/>
  <c r="G6" i="17"/>
  <c r="G7" i="17" s="1"/>
  <c r="E8" i="17"/>
  <c r="T27" i="13"/>
  <c r="O107" i="13" s="1"/>
  <c r="F24" i="10" s="1"/>
  <c r="I111" i="13"/>
  <c r="C23" i="10"/>
  <c r="I113" i="13"/>
  <c r="C65" i="10"/>
  <c r="I107" i="13"/>
  <c r="D24" i="10"/>
  <c r="I106" i="13"/>
  <c r="I105" i="13" s="1"/>
  <c r="C24" i="10"/>
  <c r="T101" i="13"/>
  <c r="O112" i="13" s="1"/>
  <c r="U27" i="13"/>
  <c r="O108" i="13" s="1"/>
  <c r="P108" i="13" s="1"/>
  <c r="I112" i="13"/>
  <c r="D23" i="10"/>
  <c r="U101" i="13"/>
  <c r="O113" i="13" s="1"/>
  <c r="S101" i="13"/>
  <c r="O111" i="13" s="1"/>
  <c r="S27" i="13"/>
  <c r="O106" i="13" s="1"/>
  <c r="DD205" i="9" l="1"/>
  <c r="CX201" i="9"/>
  <c r="CZ201" i="9" s="1"/>
  <c r="DA201" i="9" s="1"/>
  <c r="DD204" i="9"/>
  <c r="DD24" i="9"/>
  <c r="CA315" i="9"/>
  <c r="CK315" i="9"/>
  <c r="AJ378" i="9"/>
  <c r="AJ382" i="9"/>
  <c r="AK433" i="9"/>
  <c r="BX421" i="9"/>
  <c r="Y13" i="2" s="1"/>
  <c r="BV327" i="9" s="1"/>
  <c r="BW327" i="9" s="1"/>
  <c r="DD306" i="9"/>
  <c r="DD223" i="9"/>
  <c r="DD215" i="9"/>
  <c r="BV445" i="9"/>
  <c r="BI447" i="9"/>
  <c r="BK426" i="9"/>
  <c r="U19" i="2" s="1"/>
  <c r="BI331" i="9" s="1"/>
  <c r="BJ331" i="9" s="1"/>
  <c r="AZ368" i="9"/>
  <c r="AX368" i="9" s="1"/>
  <c r="BK425" i="9"/>
  <c r="T19" i="2" s="1"/>
  <c r="BI330" i="9" s="1"/>
  <c r="BJ330" i="9" s="1"/>
  <c r="BK424" i="9"/>
  <c r="BI446" i="9"/>
  <c r="BK447" i="9" s="1"/>
  <c r="T46" i="2" s="1"/>
  <c r="BK420" i="9"/>
  <c r="T13" i="2" s="1"/>
  <c r="BI326" i="9" s="1"/>
  <c r="BJ326" i="9" s="1"/>
  <c r="BK419" i="9"/>
  <c r="BK434" i="9"/>
  <c r="BK435" i="9"/>
  <c r="T29" i="2" s="1"/>
  <c r="BI338" i="9" s="1"/>
  <c r="BJ338" i="9" s="1"/>
  <c r="BK431" i="9"/>
  <c r="U24" i="2" s="1"/>
  <c r="BI335" i="9" s="1"/>
  <c r="BJ335" i="9" s="1"/>
  <c r="AV338" i="9"/>
  <c r="AW338" i="9" s="1"/>
  <c r="AX338" i="9"/>
  <c r="AY338" i="9" s="1"/>
  <c r="AK447" i="9"/>
  <c r="AK445" i="9" s="1"/>
  <c r="AK446" i="9"/>
  <c r="BV430" i="9"/>
  <c r="BX431" i="9" s="1"/>
  <c r="Y24" i="2" s="1"/>
  <c r="BV335" i="9" s="1"/>
  <c r="BW335" i="9" s="1"/>
  <c r="BM368" i="9"/>
  <c r="BK368" i="9" s="1"/>
  <c r="BK429" i="9"/>
  <c r="BK430" i="9"/>
  <c r="T24" i="2" s="1"/>
  <c r="BI334" i="9" s="1"/>
  <c r="BJ334" i="9" s="1"/>
  <c r="AC7" i="2"/>
  <c r="CI426" i="9" s="1"/>
  <c r="CI444" i="9" s="1"/>
  <c r="AB6" i="2"/>
  <c r="CI425" i="9" s="1"/>
  <c r="AA5" i="2"/>
  <c r="AE8" i="2"/>
  <c r="BV434" i="9"/>
  <c r="AX334" i="9"/>
  <c r="AV334" i="9"/>
  <c r="AW334" i="9" s="1"/>
  <c r="AU367" i="9"/>
  <c r="BA367" i="9"/>
  <c r="AX342" i="9"/>
  <c r="AY367" i="9"/>
  <c r="AV342" i="9"/>
  <c r="AS367" i="9"/>
  <c r="BC392" i="9"/>
  <c r="R34" i="2"/>
  <c r="BD392" i="9"/>
  <c r="AX433" i="9"/>
  <c r="O29" i="2"/>
  <c r="AK423" i="9"/>
  <c r="K19" i="2"/>
  <c r="BP391" i="9"/>
  <c r="BH366" i="9"/>
  <c r="BL366" i="9"/>
  <c r="BF366" i="9"/>
  <c r="BQ391" i="9"/>
  <c r="BN366" i="9"/>
  <c r="BI341" i="9"/>
  <c r="BK341" i="9"/>
  <c r="BM184" i="9"/>
  <c r="BJ184" i="9"/>
  <c r="BL184" i="9"/>
  <c r="BQ184" i="9"/>
  <c r="BM178" i="9"/>
  <c r="BJ178" i="9"/>
  <c r="BL178" i="9"/>
  <c r="BQ178" i="9"/>
  <c r="BO178" i="9"/>
  <c r="BA357" i="9"/>
  <c r="BA358" i="9"/>
  <c r="BA359" i="9"/>
  <c r="AZ359" i="9" s="1"/>
  <c r="AX359" i="9" s="1"/>
  <c r="BM173" i="9"/>
  <c r="BL173" i="9"/>
  <c r="BJ173" i="9"/>
  <c r="BQ173" i="9"/>
  <c r="BM286" i="9"/>
  <c r="BJ286" i="9"/>
  <c r="BL286" i="9"/>
  <c r="BQ286" i="9"/>
  <c r="BM195" i="9"/>
  <c r="BL195" i="9"/>
  <c r="BJ195" i="9"/>
  <c r="BQ195" i="9"/>
  <c r="BO195" i="9"/>
  <c r="BM265" i="9"/>
  <c r="BJ265" i="9"/>
  <c r="BL265" i="9"/>
  <c r="BQ265" i="9"/>
  <c r="BM63" i="9"/>
  <c r="BJ63" i="9"/>
  <c r="BL63" i="9"/>
  <c r="BQ63" i="9"/>
  <c r="BM79" i="9"/>
  <c r="BJ79" i="9"/>
  <c r="BL79" i="9"/>
  <c r="BQ79" i="9"/>
  <c r="BO79" i="9"/>
  <c r="BM9" i="9"/>
  <c r="BJ9" i="9"/>
  <c r="BL9" i="9"/>
  <c r="BQ9" i="9"/>
  <c r="BM17" i="9"/>
  <c r="BJ17" i="9"/>
  <c r="BL17" i="9"/>
  <c r="BQ17" i="9"/>
  <c r="BM25" i="9"/>
  <c r="BJ25" i="9"/>
  <c r="BL25" i="9"/>
  <c r="BQ25" i="9"/>
  <c r="BM33" i="9"/>
  <c r="BJ33" i="9"/>
  <c r="BL33" i="9"/>
  <c r="BQ33" i="9"/>
  <c r="BM37" i="9"/>
  <c r="BJ37" i="9"/>
  <c r="BL37" i="9"/>
  <c r="BQ37" i="9"/>
  <c r="BO37" i="9"/>
  <c r="BM200" i="9"/>
  <c r="BL200" i="9"/>
  <c r="BJ200" i="9"/>
  <c r="BQ200" i="9"/>
  <c r="BO200" i="9"/>
  <c r="BW258" i="9"/>
  <c r="BY258" i="9"/>
  <c r="BZ258" i="9"/>
  <c r="CD258" i="9"/>
  <c r="BZ77" i="9"/>
  <c r="BY77" i="9"/>
  <c r="BW77" i="9"/>
  <c r="CD77" i="9"/>
  <c r="CB77" i="9"/>
  <c r="BM183" i="9"/>
  <c r="BL183" i="9"/>
  <c r="BJ183" i="9"/>
  <c r="BQ183" i="9"/>
  <c r="BO183" i="9"/>
  <c r="BM135" i="9"/>
  <c r="BJ135" i="9"/>
  <c r="BL135" i="9"/>
  <c r="BQ135" i="9"/>
  <c r="BM170" i="9"/>
  <c r="BJ170" i="9"/>
  <c r="BL170" i="9"/>
  <c r="BQ170" i="9"/>
  <c r="BM238" i="9"/>
  <c r="BJ238" i="9"/>
  <c r="BL238" i="9"/>
  <c r="BQ238" i="9"/>
  <c r="BO238" i="9"/>
  <c r="AY372" i="9"/>
  <c r="BJ255" i="9"/>
  <c r="BL255" i="9"/>
  <c r="BQ255" i="9"/>
  <c r="BM255" i="9"/>
  <c r="BJ100" i="9"/>
  <c r="BL100" i="9"/>
  <c r="BM100" i="9"/>
  <c r="BQ100" i="9"/>
  <c r="BJ92" i="9"/>
  <c r="BL92" i="9"/>
  <c r="BM92" i="9"/>
  <c r="BQ92" i="9"/>
  <c r="BO92" i="9"/>
  <c r="BJ84" i="9"/>
  <c r="BL84" i="9"/>
  <c r="BM84" i="9"/>
  <c r="BQ84" i="9"/>
  <c r="BJ68" i="9"/>
  <c r="BL68" i="9"/>
  <c r="BM68" i="9"/>
  <c r="BQ68" i="9"/>
  <c r="BM165" i="9"/>
  <c r="BJ165" i="9"/>
  <c r="BL165" i="9"/>
  <c r="BQ165" i="9"/>
  <c r="BO184" i="9"/>
  <c r="BM317" i="9"/>
  <c r="BJ317" i="9"/>
  <c r="BL317" i="9"/>
  <c r="BQ317" i="9"/>
  <c r="BL225" i="9"/>
  <c r="BJ225" i="9"/>
  <c r="BM225" i="9"/>
  <c r="BQ225" i="9"/>
  <c r="BJ113" i="9"/>
  <c r="BL113" i="9"/>
  <c r="BM113" i="9"/>
  <c r="BQ113" i="9"/>
  <c r="CD391" i="9"/>
  <c r="BV341" i="9"/>
  <c r="CD393" i="9"/>
  <c r="BS368" i="9"/>
  <c r="BY366" i="9"/>
  <c r="BX341" i="9"/>
  <c r="BW393" i="9"/>
  <c r="BW391" i="9"/>
  <c r="BW392" i="9"/>
  <c r="CA58" i="9"/>
  <c r="CK58" i="9"/>
  <c r="CA307" i="9"/>
  <c r="CK307" i="9"/>
  <c r="CO307" i="9" s="1"/>
  <c r="BW167" i="9"/>
  <c r="BY167" i="9"/>
  <c r="CD167" i="9"/>
  <c r="BZ167" i="9"/>
  <c r="CB167" i="9"/>
  <c r="T39" i="2"/>
  <c r="CD124" i="9"/>
  <c r="BW124" i="9"/>
  <c r="BY124" i="9"/>
  <c r="BZ124" i="9"/>
  <c r="CB124" i="9"/>
  <c r="BZ87" i="9"/>
  <c r="BY87" i="9"/>
  <c r="BW87" i="9"/>
  <c r="CD87" i="9"/>
  <c r="BZ35" i="9"/>
  <c r="BW35" i="9"/>
  <c r="BY35" i="9"/>
  <c r="CD35" i="9"/>
  <c r="BK342" i="9"/>
  <c r="BL367" i="9"/>
  <c r="BN367" i="9"/>
  <c r="BH367" i="9"/>
  <c r="V34" i="2"/>
  <c r="BP392" i="9"/>
  <c r="BQ392" i="9"/>
  <c r="BI342" i="9"/>
  <c r="BI346" i="9" s="1"/>
  <c r="BJ346" i="9" s="1"/>
  <c r="BF367" i="9"/>
  <c r="AW327" i="9"/>
  <c r="AV347" i="9"/>
  <c r="AW347" i="9" s="1"/>
  <c r="BA350" i="9"/>
  <c r="BA349" i="9"/>
  <c r="BA351" i="9"/>
  <c r="BO135" i="9"/>
  <c r="BM98" i="9"/>
  <c r="BL98" i="9"/>
  <c r="BJ98" i="9"/>
  <c r="BQ98" i="9"/>
  <c r="BO98" i="9"/>
  <c r="BM236" i="9"/>
  <c r="BL236" i="9"/>
  <c r="BJ236" i="9"/>
  <c r="BQ236" i="9"/>
  <c r="BO236" i="9"/>
  <c r="BM162" i="9"/>
  <c r="BL162" i="9"/>
  <c r="BJ162" i="9"/>
  <c r="BQ162" i="9"/>
  <c r="BO162" i="9"/>
  <c r="BJ280" i="9"/>
  <c r="BL280" i="9"/>
  <c r="BM280" i="9"/>
  <c r="BQ280" i="9"/>
  <c r="BO280" i="9"/>
  <c r="BJ64" i="9"/>
  <c r="BL64" i="9"/>
  <c r="BQ64" i="9"/>
  <c r="BM64" i="9"/>
  <c r="BJ104" i="9"/>
  <c r="BL104" i="9"/>
  <c r="BQ104" i="9"/>
  <c r="BM104" i="9"/>
  <c r="BZ93" i="9"/>
  <c r="BY93" i="9"/>
  <c r="BW93" i="9"/>
  <c r="CD93" i="9"/>
  <c r="CB93" i="9"/>
  <c r="BM118" i="9"/>
  <c r="BL118" i="9"/>
  <c r="BJ118" i="9"/>
  <c r="BQ118" i="9"/>
  <c r="BM74" i="9"/>
  <c r="BL74" i="9"/>
  <c r="BJ74" i="9"/>
  <c r="BQ74" i="9"/>
  <c r="BO74" i="9"/>
  <c r="BM138" i="9"/>
  <c r="BL138" i="9"/>
  <c r="BJ138" i="9"/>
  <c r="BQ138" i="9"/>
  <c r="BO138" i="9"/>
  <c r="BM53" i="9"/>
  <c r="BJ53" i="9"/>
  <c r="BL53" i="9"/>
  <c r="BQ53" i="9"/>
  <c r="BO53" i="9"/>
  <c r="BJ28" i="9"/>
  <c r="BL28" i="9"/>
  <c r="BQ28" i="9"/>
  <c r="BM28" i="9"/>
  <c r="BJ80" i="9"/>
  <c r="BL80" i="9"/>
  <c r="BQ80" i="9"/>
  <c r="BM80" i="9"/>
  <c r="BO80" i="9"/>
  <c r="BM18" i="9"/>
  <c r="BL18" i="9"/>
  <c r="BJ18" i="9"/>
  <c r="BQ18" i="9"/>
  <c r="BO18" i="9"/>
  <c r="BM34" i="9"/>
  <c r="BL34" i="9"/>
  <c r="BJ34" i="9"/>
  <c r="BQ34" i="9"/>
  <c r="BO34" i="9"/>
  <c r="BM49" i="9"/>
  <c r="BJ49" i="9"/>
  <c r="BL49" i="9"/>
  <c r="BQ49" i="9"/>
  <c r="BO49" i="9"/>
  <c r="BJ36" i="9"/>
  <c r="BL36" i="9"/>
  <c r="BM36" i="9"/>
  <c r="BQ36" i="9"/>
  <c r="BO36" i="9"/>
  <c r="BO170" i="9"/>
  <c r="BM319" i="9"/>
  <c r="BJ319" i="9"/>
  <c r="BL319" i="9"/>
  <c r="BQ319" i="9"/>
  <c r="BM20" i="9"/>
  <c r="BL20" i="9"/>
  <c r="BJ20" i="9"/>
  <c r="BQ20" i="9"/>
  <c r="BO20" i="9"/>
  <c r="CE316" i="9"/>
  <c r="CE315" i="9"/>
  <c r="CE311" i="9"/>
  <c r="CE307" i="9"/>
  <c r="CE303" i="9"/>
  <c r="CE308" i="9"/>
  <c r="CE301" i="9"/>
  <c r="CE297" i="9"/>
  <c r="CE293" i="9"/>
  <c r="CE289" i="9"/>
  <c r="CE285" i="9"/>
  <c r="CE281" i="9"/>
  <c r="CE314" i="9"/>
  <c r="CE306" i="9"/>
  <c r="CE300" i="9"/>
  <c r="CE296" i="9"/>
  <c r="CE292" i="9"/>
  <c r="CE288" i="9"/>
  <c r="CE284" i="9"/>
  <c r="CE280" i="9"/>
  <c r="CE277" i="9"/>
  <c r="CE273" i="9"/>
  <c r="CE269" i="9"/>
  <c r="CE265" i="9"/>
  <c r="CE261" i="9"/>
  <c r="CE257" i="9"/>
  <c r="CE253" i="9"/>
  <c r="CE249" i="9"/>
  <c r="CE245" i="9"/>
  <c r="CE279" i="9"/>
  <c r="CE274" i="9"/>
  <c r="CE270" i="9"/>
  <c r="CE266" i="9"/>
  <c r="CE262" i="9"/>
  <c r="CE258" i="9"/>
  <c r="CE254" i="9"/>
  <c r="CE250" i="9"/>
  <c r="CE246" i="9"/>
  <c r="CE242" i="9"/>
  <c r="CE238" i="9"/>
  <c r="CE234" i="9"/>
  <c r="CE230" i="9"/>
  <c r="CE226" i="9"/>
  <c r="CE222" i="9"/>
  <c r="CE218" i="9"/>
  <c r="CE214" i="9"/>
  <c r="CE239" i="9"/>
  <c r="CE235" i="9"/>
  <c r="CE231" i="9"/>
  <c r="CE227" i="9"/>
  <c r="CE223" i="9"/>
  <c r="CE219" i="9"/>
  <c r="CE215" i="9"/>
  <c r="CE211" i="9"/>
  <c r="CE207" i="9"/>
  <c r="CE203" i="9"/>
  <c r="CE199" i="9"/>
  <c r="CE195" i="9"/>
  <c r="CE191" i="9"/>
  <c r="CE187" i="9"/>
  <c r="CE183" i="9"/>
  <c r="CE179" i="9"/>
  <c r="CE175" i="9"/>
  <c r="CE206" i="9"/>
  <c r="CE198" i="9"/>
  <c r="CE190" i="9"/>
  <c r="CE182" i="9"/>
  <c r="CE174" i="9"/>
  <c r="CE170" i="9"/>
  <c r="CE166" i="9"/>
  <c r="CE162" i="9"/>
  <c r="CE158" i="9"/>
  <c r="CE154" i="9"/>
  <c r="CE150" i="9"/>
  <c r="CE146" i="9"/>
  <c r="CE142" i="9"/>
  <c r="CE138" i="9"/>
  <c r="CE134" i="9"/>
  <c r="CE130" i="9"/>
  <c r="CE126" i="9"/>
  <c r="CE212" i="9"/>
  <c r="CE196" i="9"/>
  <c r="CE180" i="9"/>
  <c r="CE167" i="9"/>
  <c r="CE159" i="9"/>
  <c r="CE151" i="9"/>
  <c r="CE143" i="9"/>
  <c r="CE135" i="9"/>
  <c r="CE127" i="9"/>
  <c r="CE121" i="9"/>
  <c r="CE117" i="9"/>
  <c r="CE113" i="9"/>
  <c r="CE109" i="9"/>
  <c r="CE105" i="9"/>
  <c r="CE101" i="9"/>
  <c r="CE97" i="9"/>
  <c r="CE93" i="9"/>
  <c r="CE89" i="9"/>
  <c r="CE85" i="9"/>
  <c r="CE81" i="9"/>
  <c r="CE77" i="9"/>
  <c r="CE73" i="9"/>
  <c r="CE69" i="9"/>
  <c r="CE65" i="9"/>
  <c r="CE61" i="9"/>
  <c r="CE57" i="9"/>
  <c r="CE53" i="9"/>
  <c r="CE49" i="9"/>
  <c r="CE45" i="9"/>
  <c r="CE41" i="9"/>
  <c r="CE37" i="9"/>
  <c r="CE33" i="9"/>
  <c r="CE29" i="9"/>
  <c r="CE25" i="9"/>
  <c r="CE21" i="9"/>
  <c r="CE208" i="9"/>
  <c r="CE192" i="9"/>
  <c r="CE176" i="9"/>
  <c r="CE169" i="9"/>
  <c r="CE161" i="9"/>
  <c r="CE153" i="9"/>
  <c r="CE145" i="9"/>
  <c r="CE137" i="9"/>
  <c r="CE129" i="9"/>
  <c r="CE122" i="9"/>
  <c r="CE118" i="9"/>
  <c r="CE114" i="9"/>
  <c r="CE110" i="9"/>
  <c r="CE106" i="9"/>
  <c r="CE102" i="9"/>
  <c r="CE98" i="9"/>
  <c r="CE94" i="9"/>
  <c r="CE90" i="9"/>
  <c r="CE86" i="9"/>
  <c r="CE82" i="9"/>
  <c r="CE78" i="9"/>
  <c r="CE74" i="9"/>
  <c r="CE70" i="9"/>
  <c r="CE66" i="9"/>
  <c r="CE62" i="9"/>
  <c r="CE58" i="9"/>
  <c r="CE54" i="9"/>
  <c r="CE50" i="9"/>
  <c r="CE46" i="9"/>
  <c r="CE42" i="9"/>
  <c r="CE38" i="9"/>
  <c r="CE30" i="9"/>
  <c r="CE22" i="9"/>
  <c r="CE16" i="9"/>
  <c r="CE12" i="9"/>
  <c r="CE8" i="9"/>
  <c r="CE36" i="9"/>
  <c r="CE28" i="9"/>
  <c r="CE17" i="9"/>
  <c r="CE11" i="9"/>
  <c r="CE20" i="9"/>
  <c r="CE9" i="9"/>
  <c r="CE318" i="9"/>
  <c r="CE317" i="9"/>
  <c r="CE313" i="9"/>
  <c r="CE309" i="9"/>
  <c r="CE305" i="9"/>
  <c r="CE312" i="9"/>
  <c r="CE304" i="9"/>
  <c r="CE299" i="9"/>
  <c r="CE295" i="9"/>
  <c r="CE291" i="9"/>
  <c r="CE287" i="9"/>
  <c r="CE283" i="9"/>
  <c r="CE319" i="9"/>
  <c r="CE310" i="9"/>
  <c r="CE302" i="9"/>
  <c r="CE298" i="9"/>
  <c r="CE294" i="9"/>
  <c r="CE290" i="9"/>
  <c r="CE286" i="9"/>
  <c r="CE282" i="9"/>
  <c r="CE278" i="9"/>
  <c r="CE275" i="9"/>
  <c r="CE271" i="9"/>
  <c r="CE267" i="9"/>
  <c r="CE263" i="9"/>
  <c r="CE259" i="9"/>
  <c r="CE255" i="9"/>
  <c r="CE251" i="9"/>
  <c r="CE247" i="9"/>
  <c r="CE243" i="9"/>
  <c r="CE276" i="9"/>
  <c r="CE272" i="9"/>
  <c r="CE268" i="9"/>
  <c r="CE264" i="9"/>
  <c r="CE260" i="9"/>
  <c r="CE256" i="9"/>
  <c r="CE252" i="9"/>
  <c r="CE248" i="9"/>
  <c r="CE244" i="9"/>
  <c r="CE240" i="9"/>
  <c r="CE236" i="9"/>
  <c r="CE232" i="9"/>
  <c r="CE228" i="9"/>
  <c r="CE224" i="9"/>
  <c r="CE220" i="9"/>
  <c r="CE216" i="9"/>
  <c r="CE241" i="9"/>
  <c r="CE237" i="9"/>
  <c r="CE233" i="9"/>
  <c r="CE229" i="9"/>
  <c r="CE225" i="9"/>
  <c r="CE221" i="9"/>
  <c r="CE217" i="9"/>
  <c r="CE213" i="9"/>
  <c r="CE209" i="9"/>
  <c r="CE205" i="9"/>
  <c r="CE201" i="9"/>
  <c r="CE197" i="9"/>
  <c r="CE193" i="9"/>
  <c r="CE189" i="9"/>
  <c r="CE185" i="9"/>
  <c r="CE181" i="9"/>
  <c r="CE177" i="9"/>
  <c r="CE210" i="9"/>
  <c r="CE202" i="9"/>
  <c r="CE194" i="9"/>
  <c r="CE186" i="9"/>
  <c r="CE178" i="9"/>
  <c r="CE172" i="9"/>
  <c r="CE168" i="9"/>
  <c r="CE164" i="9"/>
  <c r="CE160" i="9"/>
  <c r="CE156" i="9"/>
  <c r="CE152" i="9"/>
  <c r="CE148" i="9"/>
  <c r="CE144" i="9"/>
  <c r="CE140" i="9"/>
  <c r="CE136" i="9"/>
  <c r="CE132" i="9"/>
  <c r="CE128" i="9"/>
  <c r="CE124" i="9"/>
  <c r="CE204" i="9"/>
  <c r="CE188" i="9"/>
  <c r="CE171" i="9"/>
  <c r="CE163" i="9"/>
  <c r="CE155" i="9"/>
  <c r="CE147" i="9"/>
  <c r="CE139" i="9"/>
  <c r="CE131" i="9"/>
  <c r="CE123" i="9"/>
  <c r="CE119" i="9"/>
  <c r="CE115" i="9"/>
  <c r="CE111" i="9"/>
  <c r="CE107" i="9"/>
  <c r="CE103" i="9"/>
  <c r="CE99" i="9"/>
  <c r="CE95" i="9"/>
  <c r="CE91" i="9"/>
  <c r="CE87" i="9"/>
  <c r="CE83" i="9"/>
  <c r="CE79" i="9"/>
  <c r="CE75" i="9"/>
  <c r="CE71" i="9"/>
  <c r="CE67" i="9"/>
  <c r="CE63" i="9"/>
  <c r="CE59" i="9"/>
  <c r="CE55" i="9"/>
  <c r="CE51" i="9"/>
  <c r="CE47" i="9"/>
  <c r="CE43" i="9"/>
  <c r="CE39" i="9"/>
  <c r="CE35" i="9"/>
  <c r="CE31" i="9"/>
  <c r="CE27" i="9"/>
  <c r="CE23" i="9"/>
  <c r="CE19" i="9"/>
  <c r="CE200" i="9"/>
  <c r="CE184" i="9"/>
  <c r="CE173" i="9"/>
  <c r="CE165" i="9"/>
  <c r="CE157" i="9"/>
  <c r="CE149" i="9"/>
  <c r="CE141" i="9"/>
  <c r="CE133" i="9"/>
  <c r="CE125" i="9"/>
  <c r="CE120" i="9"/>
  <c r="CE116" i="9"/>
  <c r="CE112" i="9"/>
  <c r="CE108" i="9"/>
  <c r="CE104" i="9"/>
  <c r="CE100" i="9"/>
  <c r="CE96" i="9"/>
  <c r="CE92" i="9"/>
  <c r="CE88" i="9"/>
  <c r="CE84" i="9"/>
  <c r="CE80" i="9"/>
  <c r="CE76" i="9"/>
  <c r="CE72" i="9"/>
  <c r="CE68" i="9"/>
  <c r="CE64" i="9"/>
  <c r="CE60" i="9"/>
  <c r="CE56" i="9"/>
  <c r="CE52" i="9"/>
  <c r="CE48" i="9"/>
  <c r="CE44" i="9"/>
  <c r="CE40" i="9"/>
  <c r="CE34" i="9"/>
  <c r="CE26" i="9"/>
  <c r="CE18" i="9"/>
  <c r="CE14" i="9"/>
  <c r="CE10" i="9"/>
  <c r="CE6" i="9"/>
  <c r="CE32" i="9"/>
  <c r="CE24" i="9"/>
  <c r="CE15" i="9"/>
  <c r="CE5" i="9"/>
  <c r="CE13" i="9"/>
  <c r="CE7" i="9"/>
  <c r="DB209" i="9"/>
  <c r="CW209" i="9"/>
  <c r="CY209" i="9"/>
  <c r="DB201" i="9"/>
  <c r="CW201" i="9"/>
  <c r="CY201" i="9"/>
  <c r="DB39" i="9"/>
  <c r="CW39" i="9"/>
  <c r="CY39" i="9"/>
  <c r="CW132" i="9"/>
  <c r="CY132" i="9"/>
  <c r="DB24" i="9"/>
  <c r="CW24" i="9"/>
  <c r="CY24" i="9"/>
  <c r="CV428" i="9"/>
  <c r="CV332" i="9"/>
  <c r="CW219" i="9"/>
  <c r="CY219" i="9"/>
  <c r="CW235" i="9"/>
  <c r="CY235" i="9"/>
  <c r="DB273" i="9"/>
  <c r="CW273" i="9"/>
  <c r="CY273" i="9"/>
  <c r="CZ262" i="9"/>
  <c r="DA262" i="9" s="1"/>
  <c r="CY262" i="9"/>
  <c r="CW262" i="9"/>
  <c r="CW298" i="9"/>
  <c r="CY298" i="9"/>
  <c r="CZ406" i="9"/>
  <c r="CZ410" i="9"/>
  <c r="CZ405" i="9"/>
  <c r="CY4" i="9"/>
  <c r="CS4" i="9"/>
  <c r="CT4" i="9"/>
  <c r="CZ408" i="9"/>
  <c r="CZ404" i="9"/>
  <c r="CZ407" i="9"/>
  <c r="CX322" i="9"/>
  <c r="CU4" i="9"/>
  <c r="CR1" i="9"/>
  <c r="CR4" i="9"/>
  <c r="CV324" i="9"/>
  <c r="CV418" i="9"/>
  <c r="CV423" i="9"/>
  <c r="CV328" i="9"/>
  <c r="DB48" i="9"/>
  <c r="CY48" i="9"/>
  <c r="CW48" i="9"/>
  <c r="DB72" i="9"/>
  <c r="CY72" i="9"/>
  <c r="CW72" i="9"/>
  <c r="DB88" i="9"/>
  <c r="CY88" i="9"/>
  <c r="CW88" i="9"/>
  <c r="CZ132" i="9"/>
  <c r="DA132" i="9" s="1"/>
  <c r="CZ289" i="9"/>
  <c r="DA289" i="9" s="1"/>
  <c r="CY289" i="9"/>
  <c r="CW289" i="9"/>
  <c r="DI5" i="9"/>
  <c r="DI4" i="9"/>
  <c r="DJ4" i="9" s="1"/>
  <c r="DO4" i="9"/>
  <c r="DK4" i="9"/>
  <c r="DI318" i="9"/>
  <c r="DI316" i="9"/>
  <c r="DI314" i="9"/>
  <c r="DI312" i="9"/>
  <c r="DI308" i="9"/>
  <c r="DI307" i="9"/>
  <c r="DI306" i="9"/>
  <c r="DI305" i="9"/>
  <c r="DI304" i="9"/>
  <c r="DI303" i="9"/>
  <c r="DI302" i="9"/>
  <c r="DI301" i="9"/>
  <c r="DI300" i="9"/>
  <c r="DI299" i="9"/>
  <c r="DI298" i="9"/>
  <c r="DI297" i="9"/>
  <c r="DI296" i="9"/>
  <c r="DI295" i="9"/>
  <c r="DI294" i="9"/>
  <c r="DI311" i="9"/>
  <c r="DI277" i="9"/>
  <c r="DI275" i="9"/>
  <c r="DI273" i="9"/>
  <c r="DI271" i="9"/>
  <c r="DI269" i="9"/>
  <c r="DI267" i="9"/>
  <c r="DI265" i="9"/>
  <c r="DI263" i="9"/>
  <c r="DK262" i="9"/>
  <c r="DM262" i="9" s="1"/>
  <c r="DN262" i="9" s="1"/>
  <c r="DI261" i="9"/>
  <c r="DI259" i="9"/>
  <c r="DI257" i="9"/>
  <c r="DI255" i="9"/>
  <c r="DI253" i="9"/>
  <c r="DI310" i="9"/>
  <c r="DK306" i="9"/>
  <c r="DI319" i="9"/>
  <c r="DI317" i="9"/>
  <c r="DI315" i="9"/>
  <c r="DI313" i="9"/>
  <c r="DI309" i="9"/>
  <c r="DI292" i="9"/>
  <c r="DI290" i="9"/>
  <c r="DI288" i="9"/>
  <c r="DI286" i="9"/>
  <c r="DI284" i="9"/>
  <c r="DI282" i="9"/>
  <c r="DI280" i="9"/>
  <c r="DI278" i="9"/>
  <c r="DI276" i="9"/>
  <c r="DI274" i="9"/>
  <c r="DK273" i="9"/>
  <c r="DI272" i="9"/>
  <c r="DI270" i="9"/>
  <c r="DI268" i="9"/>
  <c r="DI266" i="9"/>
  <c r="DI264" i="9"/>
  <c r="DI262" i="9"/>
  <c r="DI260" i="9"/>
  <c r="DI258" i="9"/>
  <c r="DI256" i="9"/>
  <c r="DI254" i="9"/>
  <c r="DI251" i="9"/>
  <c r="DI249" i="9"/>
  <c r="DI247" i="9"/>
  <c r="DI245" i="9"/>
  <c r="DI243" i="9"/>
  <c r="DI241" i="9"/>
  <c r="DI239" i="9"/>
  <c r="DI237" i="9"/>
  <c r="DI235" i="9"/>
  <c r="DI293" i="9"/>
  <c r="DI291" i="9"/>
  <c r="DI289" i="9"/>
  <c r="DI287" i="9"/>
  <c r="DI285" i="9"/>
  <c r="DI283" i="9"/>
  <c r="DI281" i="9"/>
  <c r="DI279" i="9"/>
  <c r="DI233" i="9"/>
  <c r="DI232" i="9"/>
  <c r="DI231" i="9"/>
  <c r="DI230" i="9"/>
  <c r="DI229" i="9"/>
  <c r="DI228" i="9"/>
  <c r="DI227" i="9"/>
  <c r="DI226" i="9"/>
  <c r="DI225" i="9"/>
  <c r="DI224" i="9"/>
  <c r="DI223" i="9"/>
  <c r="DI222" i="9"/>
  <c r="DI221" i="9"/>
  <c r="DI220" i="9"/>
  <c r="DI219" i="9"/>
  <c r="DI218" i="9"/>
  <c r="DI217" i="9"/>
  <c r="DI216" i="9"/>
  <c r="DI215" i="9"/>
  <c r="DI214" i="9"/>
  <c r="DI213" i="9"/>
  <c r="DI212" i="9"/>
  <c r="DI211" i="9"/>
  <c r="DI210" i="9"/>
  <c r="DI209" i="9"/>
  <c r="DI208" i="9"/>
  <c r="DI207" i="9"/>
  <c r="DI206" i="9"/>
  <c r="DI205" i="9"/>
  <c r="DI204" i="9"/>
  <c r="DI203" i="9"/>
  <c r="DI202" i="9"/>
  <c r="DI201" i="9"/>
  <c r="DI200" i="9"/>
  <c r="DI199" i="9"/>
  <c r="DI252" i="9"/>
  <c r="DI250" i="9"/>
  <c r="DI248" i="9"/>
  <c r="DI246" i="9"/>
  <c r="DI244" i="9"/>
  <c r="DI242" i="9"/>
  <c r="DI240" i="9"/>
  <c r="DI238" i="9"/>
  <c r="DI236" i="9"/>
  <c r="DI234" i="9"/>
  <c r="DK223" i="9"/>
  <c r="DK220" i="9"/>
  <c r="DK215" i="9"/>
  <c r="DK209" i="9"/>
  <c r="DQ209" i="9" s="1"/>
  <c r="DK205" i="9"/>
  <c r="DK204" i="9"/>
  <c r="DK201" i="9"/>
  <c r="DI198" i="9"/>
  <c r="DI197" i="9"/>
  <c r="DI196" i="9"/>
  <c r="DI195" i="9"/>
  <c r="DI194" i="9"/>
  <c r="DI193" i="9"/>
  <c r="DI192" i="9"/>
  <c r="DI190" i="9"/>
  <c r="DI188" i="9"/>
  <c r="DI186" i="9"/>
  <c r="DI184" i="9"/>
  <c r="DI182" i="9"/>
  <c r="DI180" i="9"/>
  <c r="DI179" i="9"/>
  <c r="DI178" i="9"/>
  <c r="DI177" i="9"/>
  <c r="DI176" i="9"/>
  <c r="DI175" i="9"/>
  <c r="DI174" i="9"/>
  <c r="DI173" i="9"/>
  <c r="DI172" i="9"/>
  <c r="DI171" i="9"/>
  <c r="DI170" i="9"/>
  <c r="DI169" i="9"/>
  <c r="DI168" i="9"/>
  <c r="DI167" i="9"/>
  <c r="DI166" i="9"/>
  <c r="DI165" i="9"/>
  <c r="DI164" i="9"/>
  <c r="DI163" i="9"/>
  <c r="DI162" i="9"/>
  <c r="DI161" i="9"/>
  <c r="DI160" i="9"/>
  <c r="DI159" i="9"/>
  <c r="DI158" i="9"/>
  <c r="DI157" i="9"/>
  <c r="DI156" i="9"/>
  <c r="DI155" i="9"/>
  <c r="DI154" i="9"/>
  <c r="DI153" i="9"/>
  <c r="DI152" i="9"/>
  <c r="DI151" i="9"/>
  <c r="DI150" i="9"/>
  <c r="DI149" i="9"/>
  <c r="DI148" i="9"/>
  <c r="DI147" i="9"/>
  <c r="DI146" i="9"/>
  <c r="DI145" i="9"/>
  <c r="DI144" i="9"/>
  <c r="DI143" i="9"/>
  <c r="DI142" i="9"/>
  <c r="DI141" i="9"/>
  <c r="DI140" i="9"/>
  <c r="DI139" i="9"/>
  <c r="DI138" i="9"/>
  <c r="DI137" i="9"/>
  <c r="DI136" i="9"/>
  <c r="DI135" i="9"/>
  <c r="DI134" i="9"/>
  <c r="DI133" i="9"/>
  <c r="DI132" i="9"/>
  <c r="DI131" i="9"/>
  <c r="DI130" i="9"/>
  <c r="DI129" i="9"/>
  <c r="DI128" i="9"/>
  <c r="DI127" i="9"/>
  <c r="DI126" i="9"/>
  <c r="DI125" i="9"/>
  <c r="DI124" i="9"/>
  <c r="DI123" i="9"/>
  <c r="DI122" i="9"/>
  <c r="DI121" i="9"/>
  <c r="DI120" i="9"/>
  <c r="DI119" i="9"/>
  <c r="DI118" i="9"/>
  <c r="DI117" i="9"/>
  <c r="DI116" i="9"/>
  <c r="DI115" i="9"/>
  <c r="DI114" i="9"/>
  <c r="DI113" i="9"/>
  <c r="DI112" i="9"/>
  <c r="DI111" i="9"/>
  <c r="DI110" i="9"/>
  <c r="DI109" i="9"/>
  <c r="DI108" i="9"/>
  <c r="DI107" i="9"/>
  <c r="DI106" i="9"/>
  <c r="DI105" i="9"/>
  <c r="DI104" i="9"/>
  <c r="DI103" i="9"/>
  <c r="DI102" i="9"/>
  <c r="DI101" i="9"/>
  <c r="DI100" i="9"/>
  <c r="DI99" i="9"/>
  <c r="DI98" i="9"/>
  <c r="DI97" i="9"/>
  <c r="DI96" i="9"/>
  <c r="DI95" i="9"/>
  <c r="DI94" i="9"/>
  <c r="DI93" i="9"/>
  <c r="DI92" i="9"/>
  <c r="DI91" i="9"/>
  <c r="DI90" i="9"/>
  <c r="DI89" i="9"/>
  <c r="DI88" i="9"/>
  <c r="DI86" i="9"/>
  <c r="DI84" i="9"/>
  <c r="DI83" i="9"/>
  <c r="DI82" i="9"/>
  <c r="DI81" i="9"/>
  <c r="DI80" i="9"/>
  <c r="DI79" i="9"/>
  <c r="DI78" i="9"/>
  <c r="DI77" i="9"/>
  <c r="DI76" i="9"/>
  <c r="DI75" i="9"/>
  <c r="DI74" i="9"/>
  <c r="DI73" i="9"/>
  <c r="DI72" i="9"/>
  <c r="DI71" i="9"/>
  <c r="DI70" i="9"/>
  <c r="DI69" i="9"/>
  <c r="DI68" i="9"/>
  <c r="DI67" i="9"/>
  <c r="DI66" i="9"/>
  <c r="DI65" i="9"/>
  <c r="DI64" i="9"/>
  <c r="DI63" i="9"/>
  <c r="DI62" i="9"/>
  <c r="DI61" i="9"/>
  <c r="DI60" i="9"/>
  <c r="DI59" i="9"/>
  <c r="DI58" i="9"/>
  <c r="DI57" i="9"/>
  <c r="DI56" i="9"/>
  <c r="DI55" i="9"/>
  <c r="DI54" i="9"/>
  <c r="DI53" i="9"/>
  <c r="DI52" i="9"/>
  <c r="DI51" i="9"/>
  <c r="DI50" i="9"/>
  <c r="DI49" i="9"/>
  <c r="DI48" i="9"/>
  <c r="DI47" i="9"/>
  <c r="DI46" i="9"/>
  <c r="DI45" i="9"/>
  <c r="DI44" i="9"/>
  <c r="DI43" i="9"/>
  <c r="DI42" i="9"/>
  <c r="DI41" i="9"/>
  <c r="DI40" i="9"/>
  <c r="DI39" i="9"/>
  <c r="DI38" i="9"/>
  <c r="DI37" i="9"/>
  <c r="DI36" i="9"/>
  <c r="DI35" i="9"/>
  <c r="DI34" i="9"/>
  <c r="DI33" i="9"/>
  <c r="DI32" i="9"/>
  <c r="DI31" i="9"/>
  <c r="DI30" i="9"/>
  <c r="DI29" i="9"/>
  <c r="DI85" i="9"/>
  <c r="DZ4" i="9"/>
  <c r="DN4" i="9"/>
  <c r="DI27" i="9"/>
  <c r="DI25" i="9"/>
  <c r="DK24" i="9"/>
  <c r="DI23" i="9"/>
  <c r="DI191" i="9"/>
  <c r="DI189" i="9"/>
  <c r="DI187" i="9"/>
  <c r="DI185" i="9"/>
  <c r="DI183" i="9"/>
  <c r="DI181" i="9"/>
  <c r="DK126" i="9"/>
  <c r="DQ126" i="9" s="1"/>
  <c r="DK119" i="9"/>
  <c r="DQ119" i="9" s="1"/>
  <c r="DK88" i="9"/>
  <c r="DK72" i="9"/>
  <c r="DM72" i="9" s="1"/>
  <c r="DN72" i="9" s="1"/>
  <c r="DP4" i="9"/>
  <c r="DI28" i="9"/>
  <c r="DI24" i="9"/>
  <c r="DI22" i="9"/>
  <c r="DI20" i="9"/>
  <c r="DI18" i="9"/>
  <c r="DI16" i="9"/>
  <c r="DI14" i="9"/>
  <c r="DI12" i="9"/>
  <c r="DI10" i="9"/>
  <c r="DI8" i="9"/>
  <c r="DI6" i="9"/>
  <c r="DK39" i="9"/>
  <c r="DI87" i="9"/>
  <c r="DI26" i="9"/>
  <c r="DI21" i="9"/>
  <c r="DI19" i="9"/>
  <c r="DI17" i="9"/>
  <c r="DK16" i="9"/>
  <c r="DI15" i="9"/>
  <c r="DI13" i="9"/>
  <c r="DI11" i="9"/>
  <c r="DI9" i="9"/>
  <c r="DI7" i="9"/>
  <c r="DQ4" i="9"/>
  <c r="DQ262" i="9"/>
  <c r="DQ72" i="9"/>
  <c r="DM126" i="9"/>
  <c r="DN126" i="9" s="1"/>
  <c r="DQ215" i="9"/>
  <c r="DQ223" i="9"/>
  <c r="DQ39" i="9"/>
  <c r="DQ201" i="9"/>
  <c r="DQ205" i="9"/>
  <c r="CA38" i="9"/>
  <c r="CK38" i="9"/>
  <c r="CA237" i="9"/>
  <c r="CK237" i="9"/>
  <c r="CA300" i="9"/>
  <c r="CK300" i="9"/>
  <c r="BZ218" i="9"/>
  <c r="BY218" i="9"/>
  <c r="BW218" i="9"/>
  <c r="CD218" i="9"/>
  <c r="BF357" i="9"/>
  <c r="BF359" i="9"/>
  <c r="BF360" i="9"/>
  <c r="BP382" i="9"/>
  <c r="BP384" i="9"/>
  <c r="BP385" i="9"/>
  <c r="BF320" i="9"/>
  <c r="BP320" i="9"/>
  <c r="BH353" i="9"/>
  <c r="BP377" i="9"/>
  <c r="BP376" i="9"/>
  <c r="BP374" i="9"/>
  <c r="BH351" i="9"/>
  <c r="BH349" i="9"/>
  <c r="BH352" i="9"/>
  <c r="BA360" i="9"/>
  <c r="AZ360" i="9" s="1"/>
  <c r="AX360" i="9" s="1"/>
  <c r="BO319" i="9"/>
  <c r="BM279" i="9"/>
  <c r="BJ279" i="9"/>
  <c r="BL279" i="9"/>
  <c r="BQ279" i="9"/>
  <c r="BO279" i="9"/>
  <c r="BJ251" i="9"/>
  <c r="BL251" i="9"/>
  <c r="BM251" i="9"/>
  <c r="BQ251" i="9"/>
  <c r="BJ264" i="9"/>
  <c r="BL264" i="9"/>
  <c r="BM264" i="9"/>
  <c r="BQ264" i="9"/>
  <c r="BM47" i="9"/>
  <c r="BJ47" i="9"/>
  <c r="BL47" i="9"/>
  <c r="BQ47" i="9"/>
  <c r="BM140" i="9"/>
  <c r="BL140" i="9"/>
  <c r="BJ140" i="9"/>
  <c r="BQ140" i="9"/>
  <c r="BO140" i="9"/>
  <c r="BL233" i="9"/>
  <c r="BJ233" i="9"/>
  <c r="BM233" i="9"/>
  <c r="BQ233" i="9"/>
  <c r="BM246" i="9"/>
  <c r="BJ246" i="9"/>
  <c r="BL246" i="9"/>
  <c r="BQ246" i="9"/>
  <c r="BO246" i="9"/>
  <c r="BM177" i="9"/>
  <c r="BL177" i="9"/>
  <c r="BJ177" i="9"/>
  <c r="BQ177" i="9"/>
  <c r="BM19" i="9"/>
  <c r="BJ19" i="9"/>
  <c r="BL19" i="9"/>
  <c r="BQ19" i="9"/>
  <c r="AZ357" i="9"/>
  <c r="AX357" i="9" s="1"/>
  <c r="AW360" i="9" s="1"/>
  <c r="BC394" i="9"/>
  <c r="AX374" i="9"/>
  <c r="AX377" i="9"/>
  <c r="BC397" i="9"/>
  <c r="AS369" i="9"/>
  <c r="DB262" i="9"/>
  <c r="DO262" i="9" s="1"/>
  <c r="BM147" i="9"/>
  <c r="BL147" i="9"/>
  <c r="BJ147" i="9"/>
  <c r="BQ147" i="9"/>
  <c r="BO147" i="9"/>
  <c r="BJ318" i="9"/>
  <c r="BL318" i="9"/>
  <c r="BM318" i="9"/>
  <c r="BQ318" i="9"/>
  <c r="BJ302" i="9"/>
  <c r="BL302" i="9"/>
  <c r="BM302" i="9"/>
  <c r="BQ302" i="9"/>
  <c r="BO302" i="9"/>
  <c r="BO63" i="9"/>
  <c r="BZ242" i="9"/>
  <c r="BY242" i="9"/>
  <c r="BW242" i="9"/>
  <c r="CD242" i="9"/>
  <c r="BY142" i="9"/>
  <c r="BW142" i="9"/>
  <c r="BZ142" i="9"/>
  <c r="CD142" i="9"/>
  <c r="CB142" i="9"/>
  <c r="BW95" i="9"/>
  <c r="BY95" i="9"/>
  <c r="CD95" i="9"/>
  <c r="BZ95" i="9"/>
  <c r="CB95" i="9"/>
  <c r="R13" i="2"/>
  <c r="AV325" i="9"/>
  <c r="AX325" i="9"/>
  <c r="P39" i="2"/>
  <c r="P46" i="2"/>
  <c r="R46" i="2" s="1"/>
  <c r="BA363" i="9"/>
  <c r="AZ363" i="9" s="1"/>
  <c r="AX363" i="9" s="1"/>
  <c r="BA362" i="9"/>
  <c r="BA364" i="9"/>
  <c r="AZ364" i="9" s="1"/>
  <c r="AX364" i="9" s="1"/>
  <c r="BA361" i="9"/>
  <c r="BA356" i="9"/>
  <c r="AZ356" i="9" s="1"/>
  <c r="AX356" i="9" s="1"/>
  <c r="BA355" i="9"/>
  <c r="BA354" i="9"/>
  <c r="AX380" i="9"/>
  <c r="DB211" i="9"/>
  <c r="BO165" i="9"/>
  <c r="BM152" i="9"/>
  <c r="BL152" i="9"/>
  <c r="BJ152" i="9"/>
  <c r="BQ152" i="9"/>
  <c r="BO152" i="9"/>
  <c r="BM144" i="9"/>
  <c r="BL144" i="9"/>
  <c r="BJ144" i="9"/>
  <c r="BQ144" i="9"/>
  <c r="BO144" i="9"/>
  <c r="BM214" i="9"/>
  <c r="BL214" i="9"/>
  <c r="BJ214" i="9"/>
  <c r="BQ214" i="9"/>
  <c r="BM212" i="9"/>
  <c r="BL212" i="9"/>
  <c r="BJ212" i="9"/>
  <c r="BQ212" i="9"/>
  <c r="BO212" i="9"/>
  <c r="BO265" i="9"/>
  <c r="BO227" i="9"/>
  <c r="BL227" i="9"/>
  <c r="BJ227" i="9"/>
  <c r="BQ227" i="9"/>
  <c r="BM227" i="9"/>
  <c r="BM145" i="9"/>
  <c r="BJ145" i="9"/>
  <c r="BL145" i="9"/>
  <c r="BQ145" i="9"/>
  <c r="BO145" i="9"/>
  <c r="BO113" i="9"/>
  <c r="BX425" i="9"/>
  <c r="X19" i="2" s="1"/>
  <c r="BV330" i="9" s="1"/>
  <c r="BW330" i="9" s="1"/>
  <c r="BV446" i="9"/>
  <c r="CC14" i="9"/>
  <c r="BT14" i="9"/>
  <c r="BU14" i="9" s="1"/>
  <c r="BS14" i="9"/>
  <c r="CC10" i="9"/>
  <c r="BT10" i="9"/>
  <c r="BU10" i="9" s="1"/>
  <c r="BS10" i="9"/>
  <c r="CC23" i="9"/>
  <c r="BT23" i="9"/>
  <c r="BU23" i="9" s="1"/>
  <c r="BS23" i="9"/>
  <c r="BT7" i="9"/>
  <c r="BU7" i="9" s="1"/>
  <c r="BS7" i="9"/>
  <c r="CC7" i="9"/>
  <c r="BT15" i="9"/>
  <c r="BU15" i="9" s="1"/>
  <c r="CC15" i="9"/>
  <c r="BS15" i="9"/>
  <c r="CC29" i="9"/>
  <c r="BT29" i="9"/>
  <c r="BU29" i="9" s="1"/>
  <c r="BS29" i="9"/>
  <c r="CC41" i="9"/>
  <c r="BT41" i="9"/>
  <c r="BU41" i="9" s="1"/>
  <c r="BS41" i="9"/>
  <c r="CC49" i="9"/>
  <c r="BT49" i="9"/>
  <c r="BU49" i="9" s="1"/>
  <c r="BS49" i="9"/>
  <c r="CC57" i="9"/>
  <c r="BT57" i="9"/>
  <c r="BU57" i="9" s="1"/>
  <c r="BS57" i="9"/>
  <c r="CC65" i="9"/>
  <c r="BT65" i="9"/>
  <c r="BU65" i="9" s="1"/>
  <c r="BS65" i="9"/>
  <c r="CC73" i="9"/>
  <c r="BT73" i="9"/>
  <c r="BU73" i="9" s="1"/>
  <c r="BS73" i="9"/>
  <c r="CC81" i="9"/>
  <c r="BT81" i="9"/>
  <c r="BU81" i="9" s="1"/>
  <c r="BS81" i="9"/>
  <c r="CC89" i="9"/>
  <c r="BT89" i="9"/>
  <c r="BU89" i="9" s="1"/>
  <c r="BS89" i="9"/>
  <c r="CC97" i="9"/>
  <c r="BT97" i="9"/>
  <c r="BU97" i="9" s="1"/>
  <c r="BS97" i="9"/>
  <c r="CC105" i="9"/>
  <c r="BT105" i="9"/>
  <c r="BU105" i="9" s="1"/>
  <c r="BS105" i="9"/>
  <c r="CC113" i="9"/>
  <c r="BT113" i="9"/>
  <c r="BU113" i="9" s="1"/>
  <c r="BS113" i="9"/>
  <c r="CC121" i="9"/>
  <c r="BT121" i="9"/>
  <c r="BU121" i="9" s="1"/>
  <c r="BS121" i="9"/>
  <c r="CC132" i="9"/>
  <c r="BT132" i="9"/>
  <c r="BU132" i="9" s="1"/>
  <c r="BS132" i="9"/>
  <c r="CC148" i="9"/>
  <c r="BT148" i="9"/>
  <c r="BU148" i="9" s="1"/>
  <c r="BS148" i="9"/>
  <c r="CC164" i="9"/>
  <c r="BT164" i="9"/>
  <c r="BU164" i="9" s="1"/>
  <c r="BS164" i="9"/>
  <c r="CC187" i="9"/>
  <c r="BT187" i="9"/>
  <c r="BU187" i="9" s="1"/>
  <c r="BS187" i="9"/>
  <c r="BT20" i="9"/>
  <c r="BU20" i="9" s="1"/>
  <c r="BS20" i="9"/>
  <c r="CC20" i="9"/>
  <c r="BT28" i="9"/>
  <c r="BU28" i="9" s="1"/>
  <c r="BS28" i="9"/>
  <c r="CC28" i="9"/>
  <c r="BT36" i="9"/>
  <c r="BU36" i="9" s="1"/>
  <c r="BS36" i="9"/>
  <c r="CC36" i="9"/>
  <c r="BT44" i="9"/>
  <c r="BU44" i="9" s="1"/>
  <c r="BS44" i="9"/>
  <c r="CC44" i="9"/>
  <c r="BT52" i="9"/>
  <c r="BU52" i="9" s="1"/>
  <c r="BS52" i="9"/>
  <c r="CC52" i="9"/>
  <c r="BT60" i="9"/>
  <c r="BU60" i="9" s="1"/>
  <c r="BS60" i="9"/>
  <c r="CC60" i="9"/>
  <c r="BT68" i="9"/>
  <c r="BU68" i="9" s="1"/>
  <c r="BS68" i="9"/>
  <c r="CC68" i="9"/>
  <c r="BT76" i="9"/>
  <c r="BU76" i="9" s="1"/>
  <c r="BS76" i="9"/>
  <c r="CC76" i="9"/>
  <c r="BT84" i="9"/>
  <c r="BU84" i="9" s="1"/>
  <c r="BS84" i="9"/>
  <c r="CC84" i="9"/>
  <c r="BT92" i="9"/>
  <c r="BU92" i="9" s="1"/>
  <c r="BS92" i="9"/>
  <c r="CC92" i="9"/>
  <c r="BT100" i="9"/>
  <c r="BU100" i="9" s="1"/>
  <c r="BS100" i="9"/>
  <c r="CC100" i="9"/>
  <c r="BT108" i="9"/>
  <c r="BU108" i="9" s="1"/>
  <c r="BS108" i="9"/>
  <c r="CC108" i="9"/>
  <c r="BT116" i="9"/>
  <c r="BU116" i="9" s="1"/>
  <c r="BS116" i="9"/>
  <c r="CC116" i="9"/>
  <c r="CC126" i="9"/>
  <c r="BT126" i="9"/>
  <c r="BU126" i="9" s="1"/>
  <c r="BS126" i="9"/>
  <c r="CC142" i="9"/>
  <c r="BT142" i="9"/>
  <c r="BU142" i="9" s="1"/>
  <c r="BS142" i="9"/>
  <c r="CC158" i="9"/>
  <c r="BT158" i="9"/>
  <c r="BU158" i="9" s="1"/>
  <c r="BS158" i="9"/>
  <c r="BT174" i="9"/>
  <c r="BU174" i="9" s="1"/>
  <c r="CC174" i="9"/>
  <c r="BS174" i="9"/>
  <c r="CC199" i="9"/>
  <c r="BT199" i="9"/>
  <c r="BU199" i="9" s="1"/>
  <c r="BS199" i="9"/>
  <c r="BT129" i="9"/>
  <c r="BU129" i="9" s="1"/>
  <c r="BS129" i="9"/>
  <c r="CC129" i="9"/>
  <c r="BT137" i="9"/>
  <c r="BU137" i="9" s="1"/>
  <c r="BS137" i="9"/>
  <c r="CC137" i="9"/>
  <c r="BT145" i="9"/>
  <c r="BU145" i="9" s="1"/>
  <c r="BS145" i="9"/>
  <c r="CC145" i="9"/>
  <c r="BT153" i="9"/>
  <c r="BU153" i="9" s="1"/>
  <c r="BS153" i="9"/>
  <c r="CC153" i="9"/>
  <c r="BT161" i="9"/>
  <c r="BU161" i="9" s="1"/>
  <c r="BS161" i="9"/>
  <c r="CC161" i="9"/>
  <c r="BT169" i="9"/>
  <c r="BU169" i="9" s="1"/>
  <c r="BS169" i="9"/>
  <c r="CC169" i="9"/>
  <c r="CC181" i="9"/>
  <c r="BT181" i="9"/>
  <c r="BU181" i="9" s="1"/>
  <c r="BS181" i="9"/>
  <c r="CC197" i="9"/>
  <c r="BT197" i="9"/>
  <c r="BU197" i="9" s="1"/>
  <c r="BS197" i="9"/>
  <c r="CC213" i="9"/>
  <c r="BT213" i="9"/>
  <c r="BU213" i="9" s="1"/>
  <c r="BS213" i="9"/>
  <c r="BT182" i="9"/>
  <c r="BU182" i="9" s="1"/>
  <c r="CC182" i="9"/>
  <c r="BS182" i="9"/>
  <c r="BT190" i="9"/>
  <c r="BU190" i="9" s="1"/>
  <c r="CC190" i="9"/>
  <c r="BS190" i="9"/>
  <c r="BT198" i="9"/>
  <c r="BU198" i="9" s="1"/>
  <c r="CC198" i="9"/>
  <c r="BS198" i="9"/>
  <c r="BT206" i="9"/>
  <c r="BU206" i="9" s="1"/>
  <c r="CC206" i="9"/>
  <c r="BS206" i="9"/>
  <c r="CC214" i="9"/>
  <c r="BT214" i="9"/>
  <c r="BU214" i="9" s="1"/>
  <c r="BS214" i="9"/>
  <c r="CC222" i="9"/>
  <c r="BT222" i="9"/>
  <c r="BU222" i="9" s="1"/>
  <c r="BS222" i="9"/>
  <c r="CC230" i="9"/>
  <c r="BT230" i="9"/>
  <c r="BU230" i="9" s="1"/>
  <c r="BS230" i="9"/>
  <c r="CC238" i="9"/>
  <c r="BT238" i="9"/>
  <c r="BU238" i="9" s="1"/>
  <c r="BS238" i="9"/>
  <c r="BT215" i="9"/>
  <c r="BU215" i="9" s="1"/>
  <c r="BS215" i="9"/>
  <c r="CC215" i="9"/>
  <c r="BT223" i="9"/>
  <c r="BU223" i="9" s="1"/>
  <c r="BS223" i="9"/>
  <c r="CC223" i="9"/>
  <c r="BT231" i="9"/>
  <c r="BU231" i="9" s="1"/>
  <c r="BS231" i="9"/>
  <c r="CC231" i="9"/>
  <c r="BT239" i="9"/>
  <c r="BU239" i="9" s="1"/>
  <c r="BS239" i="9"/>
  <c r="CC239" i="9"/>
  <c r="CC249" i="9"/>
  <c r="BT249" i="9"/>
  <c r="BU249" i="9" s="1"/>
  <c r="BS249" i="9"/>
  <c r="CC257" i="9"/>
  <c r="BT257" i="9"/>
  <c r="BU257" i="9" s="1"/>
  <c r="BS257" i="9"/>
  <c r="CC265" i="9"/>
  <c r="BT265" i="9"/>
  <c r="BU265" i="9" s="1"/>
  <c r="BS265" i="9"/>
  <c r="CC273" i="9"/>
  <c r="BT273" i="9"/>
  <c r="BU273" i="9" s="1"/>
  <c r="BS273" i="9"/>
  <c r="BT246" i="9"/>
  <c r="BU246" i="9" s="1"/>
  <c r="BS246" i="9"/>
  <c r="CC246" i="9"/>
  <c r="BT254" i="9"/>
  <c r="BU254" i="9" s="1"/>
  <c r="BS254" i="9"/>
  <c r="CC254" i="9"/>
  <c r="BT262" i="9"/>
  <c r="BU262" i="9" s="1"/>
  <c r="BS262" i="9"/>
  <c r="CC262" i="9"/>
  <c r="BT270" i="9"/>
  <c r="BU270" i="9" s="1"/>
  <c r="BS270" i="9"/>
  <c r="CC270" i="9"/>
  <c r="BT277" i="9"/>
  <c r="BU277" i="9" s="1"/>
  <c r="CC277" i="9"/>
  <c r="BS277" i="9"/>
  <c r="CC285" i="9"/>
  <c r="BT285" i="9"/>
  <c r="BU285" i="9" s="1"/>
  <c r="BS285" i="9"/>
  <c r="CC293" i="9"/>
  <c r="BT293" i="9"/>
  <c r="BU293" i="9" s="1"/>
  <c r="BS293" i="9"/>
  <c r="CC301" i="9"/>
  <c r="BT301" i="9"/>
  <c r="BU301" i="9" s="1"/>
  <c r="BS301" i="9"/>
  <c r="CC313" i="9"/>
  <c r="BT313" i="9"/>
  <c r="BU313" i="9" s="1"/>
  <c r="BS313" i="9"/>
  <c r="BT286" i="9"/>
  <c r="BU286" i="9" s="1"/>
  <c r="BS286" i="9"/>
  <c r="CC286" i="9"/>
  <c r="BT294" i="9"/>
  <c r="BU294" i="9" s="1"/>
  <c r="BS294" i="9"/>
  <c r="CC294" i="9"/>
  <c r="BT302" i="9"/>
  <c r="BU302" i="9" s="1"/>
  <c r="BS302" i="9"/>
  <c r="CC302" i="9"/>
  <c r="CC318" i="9"/>
  <c r="BT318" i="9"/>
  <c r="BU318" i="9" s="1"/>
  <c r="BS318" i="9"/>
  <c r="BT310" i="9"/>
  <c r="BU310" i="9" s="1"/>
  <c r="BS310" i="9"/>
  <c r="CC310" i="9"/>
  <c r="BT317" i="9"/>
  <c r="BU317" i="9" s="1"/>
  <c r="CC317" i="9"/>
  <c r="BS317" i="9"/>
  <c r="CC18" i="9"/>
  <c r="BT18" i="9"/>
  <c r="BU18" i="9" s="1"/>
  <c r="BS18" i="9"/>
  <c r="CC12" i="9"/>
  <c r="BT12" i="9"/>
  <c r="BU12" i="9" s="1"/>
  <c r="BS12" i="9"/>
  <c r="CC31" i="9"/>
  <c r="BT31" i="9"/>
  <c r="BU31" i="9" s="1"/>
  <c r="BS31" i="9"/>
  <c r="CC9" i="9"/>
  <c r="BT9" i="9"/>
  <c r="BU9" i="9" s="1"/>
  <c r="BS9" i="9"/>
  <c r="BS17" i="9"/>
  <c r="BT17" i="9"/>
  <c r="BU17" i="9" s="1"/>
  <c r="CC17" i="9"/>
  <c r="BS33" i="9"/>
  <c r="CC33" i="9"/>
  <c r="BT33" i="9"/>
  <c r="BU33" i="9" s="1"/>
  <c r="BS43" i="9"/>
  <c r="CC43" i="9"/>
  <c r="BT43" i="9"/>
  <c r="BU43" i="9" s="1"/>
  <c r="BS51" i="9"/>
  <c r="CC51" i="9"/>
  <c r="BT51" i="9"/>
  <c r="BU51" i="9" s="1"/>
  <c r="BS59" i="9"/>
  <c r="CC59" i="9"/>
  <c r="BT59" i="9"/>
  <c r="BU59" i="9" s="1"/>
  <c r="BS67" i="9"/>
  <c r="CC67" i="9"/>
  <c r="BT67" i="9"/>
  <c r="BU67" i="9" s="1"/>
  <c r="BS75" i="9"/>
  <c r="CC75" i="9"/>
  <c r="BT75" i="9"/>
  <c r="BU75" i="9" s="1"/>
  <c r="BS83" i="9"/>
  <c r="CC83" i="9"/>
  <c r="BT83" i="9"/>
  <c r="BU83" i="9" s="1"/>
  <c r="BS91" i="9"/>
  <c r="CC91" i="9"/>
  <c r="BT91" i="9"/>
  <c r="BU91" i="9" s="1"/>
  <c r="BS99" i="9"/>
  <c r="CC99" i="9"/>
  <c r="BT99" i="9"/>
  <c r="BU99" i="9" s="1"/>
  <c r="BS107" i="9"/>
  <c r="CC107" i="9"/>
  <c r="BT107" i="9"/>
  <c r="BU107" i="9" s="1"/>
  <c r="BS115" i="9"/>
  <c r="CC115" i="9"/>
  <c r="BT115" i="9"/>
  <c r="BU115" i="9" s="1"/>
  <c r="BS123" i="9"/>
  <c r="CC123" i="9"/>
  <c r="BT123" i="9"/>
  <c r="BU123" i="9" s="1"/>
  <c r="BS136" i="9"/>
  <c r="CC136" i="9"/>
  <c r="BT136" i="9"/>
  <c r="BU136" i="9" s="1"/>
  <c r="BS152" i="9"/>
  <c r="CC152" i="9"/>
  <c r="BT152" i="9"/>
  <c r="BU152" i="9" s="1"/>
  <c r="BS168" i="9"/>
  <c r="CC168" i="9"/>
  <c r="BT168" i="9"/>
  <c r="BU168" i="9" s="1"/>
  <c r="BS195" i="9"/>
  <c r="CC195" i="9"/>
  <c r="BT195" i="9"/>
  <c r="BU195" i="9" s="1"/>
  <c r="BS22" i="9"/>
  <c r="BT22" i="9"/>
  <c r="BU22" i="9" s="1"/>
  <c r="CC22" i="9"/>
  <c r="BS30" i="9"/>
  <c r="BT30" i="9"/>
  <c r="BU30" i="9" s="1"/>
  <c r="CC30" i="9"/>
  <c r="CC38" i="9"/>
  <c r="BT38" i="9"/>
  <c r="BU38" i="9" s="1"/>
  <c r="BS38" i="9"/>
  <c r="CC46" i="9"/>
  <c r="BT46" i="9"/>
  <c r="BU46" i="9" s="1"/>
  <c r="BS46" i="9"/>
  <c r="CC54" i="9"/>
  <c r="BT54" i="9"/>
  <c r="BU54" i="9" s="1"/>
  <c r="BS54" i="9"/>
  <c r="CC62" i="9"/>
  <c r="BT62" i="9"/>
  <c r="BU62" i="9" s="1"/>
  <c r="BS62" i="9"/>
  <c r="CC70" i="9"/>
  <c r="BT70" i="9"/>
  <c r="BU70" i="9" s="1"/>
  <c r="BS70" i="9"/>
  <c r="CC78" i="9"/>
  <c r="BT78" i="9"/>
  <c r="BU78" i="9" s="1"/>
  <c r="BS78" i="9"/>
  <c r="CC86" i="9"/>
  <c r="BT86" i="9"/>
  <c r="BU86" i="9" s="1"/>
  <c r="BS86" i="9"/>
  <c r="CC94" i="9"/>
  <c r="BT94" i="9"/>
  <c r="BU94" i="9" s="1"/>
  <c r="BS94" i="9"/>
  <c r="CC102" i="9"/>
  <c r="BT102" i="9"/>
  <c r="BU102" i="9" s="1"/>
  <c r="BS102" i="9"/>
  <c r="CC110" i="9"/>
  <c r="BT110" i="9"/>
  <c r="BU110" i="9" s="1"/>
  <c r="BS110" i="9"/>
  <c r="CC118" i="9"/>
  <c r="BT118" i="9"/>
  <c r="BU118" i="9" s="1"/>
  <c r="BS118" i="9"/>
  <c r="BS130" i="9"/>
  <c r="CC130" i="9"/>
  <c r="BT130" i="9"/>
  <c r="BU130" i="9" s="1"/>
  <c r="BS146" i="9"/>
  <c r="CC146" i="9"/>
  <c r="BT146" i="9"/>
  <c r="BU146" i="9" s="1"/>
  <c r="BS162" i="9"/>
  <c r="CC162" i="9"/>
  <c r="BT162" i="9"/>
  <c r="BU162" i="9" s="1"/>
  <c r="BS175" i="9"/>
  <c r="CC175" i="9"/>
  <c r="BT175" i="9"/>
  <c r="BU175" i="9" s="1"/>
  <c r="BS207" i="9"/>
  <c r="CC207" i="9"/>
  <c r="BT207" i="9"/>
  <c r="BU207" i="9" s="1"/>
  <c r="BS131" i="9"/>
  <c r="BT131" i="9"/>
  <c r="BU131" i="9" s="1"/>
  <c r="CC131" i="9"/>
  <c r="BS139" i="9"/>
  <c r="BT139" i="9"/>
  <c r="BU139" i="9" s="1"/>
  <c r="CC139" i="9"/>
  <c r="BS147" i="9"/>
  <c r="BT147" i="9"/>
  <c r="BU147" i="9" s="1"/>
  <c r="CC147" i="9"/>
  <c r="BS155" i="9"/>
  <c r="BT155" i="9"/>
  <c r="BU155" i="9" s="1"/>
  <c r="CC155" i="9"/>
  <c r="BS163" i="9"/>
  <c r="BT163" i="9"/>
  <c r="BU163" i="9" s="1"/>
  <c r="CC163" i="9"/>
  <c r="BS171" i="9"/>
  <c r="BT171" i="9"/>
  <c r="BU171" i="9" s="1"/>
  <c r="CC171" i="9"/>
  <c r="BS185" i="9"/>
  <c r="CC185" i="9"/>
  <c r="BT185" i="9"/>
  <c r="BU185" i="9" s="1"/>
  <c r="BS201" i="9"/>
  <c r="CC201" i="9"/>
  <c r="BT201" i="9"/>
  <c r="BU201" i="9" s="1"/>
  <c r="CC176" i="9"/>
  <c r="BT176" i="9"/>
  <c r="BU176" i="9" s="1"/>
  <c r="BS176" i="9"/>
  <c r="CC184" i="9"/>
  <c r="BT184" i="9"/>
  <c r="BU184" i="9" s="1"/>
  <c r="BS184" i="9"/>
  <c r="CC192" i="9"/>
  <c r="BT192" i="9"/>
  <c r="BU192" i="9" s="1"/>
  <c r="BS192" i="9"/>
  <c r="CC200" i="9"/>
  <c r="BT200" i="9"/>
  <c r="BU200" i="9" s="1"/>
  <c r="BS200" i="9"/>
  <c r="CC208" i="9"/>
  <c r="BT208" i="9"/>
  <c r="BU208" i="9" s="1"/>
  <c r="BS208" i="9"/>
  <c r="BS216" i="9"/>
  <c r="CC216" i="9"/>
  <c r="BT216" i="9"/>
  <c r="BU216" i="9" s="1"/>
  <c r="BS224" i="9"/>
  <c r="CC224" i="9"/>
  <c r="BT224" i="9"/>
  <c r="BU224" i="9" s="1"/>
  <c r="BS232" i="9"/>
  <c r="CC232" i="9"/>
  <c r="BT232" i="9"/>
  <c r="BU232" i="9" s="1"/>
  <c r="BS240" i="9"/>
  <c r="CC240" i="9"/>
  <c r="BT240" i="9"/>
  <c r="BU240" i="9" s="1"/>
  <c r="CC217" i="9"/>
  <c r="BT217" i="9"/>
  <c r="BU217" i="9" s="1"/>
  <c r="BS217" i="9"/>
  <c r="CC225" i="9"/>
  <c r="BT225" i="9"/>
  <c r="BU225" i="9" s="1"/>
  <c r="BS225" i="9"/>
  <c r="CC233" i="9"/>
  <c r="BT233" i="9"/>
  <c r="BU233" i="9" s="1"/>
  <c r="BS233" i="9"/>
  <c r="CC241" i="9"/>
  <c r="BT241" i="9"/>
  <c r="BU241" i="9" s="1"/>
  <c r="BS241" i="9"/>
  <c r="BS251" i="9"/>
  <c r="CC251" i="9"/>
  <c r="BT251" i="9"/>
  <c r="BU251" i="9" s="1"/>
  <c r="BS259" i="9"/>
  <c r="CC259" i="9"/>
  <c r="BT259" i="9"/>
  <c r="BU259" i="9" s="1"/>
  <c r="BS267" i="9"/>
  <c r="CC267" i="9"/>
  <c r="BT267" i="9"/>
  <c r="BU267" i="9" s="1"/>
  <c r="BS275" i="9"/>
  <c r="CC275" i="9"/>
  <c r="BT275" i="9"/>
  <c r="BU275" i="9" s="1"/>
  <c r="CC248" i="9"/>
  <c r="BT248" i="9"/>
  <c r="BU248" i="9" s="1"/>
  <c r="BS248" i="9"/>
  <c r="CC256" i="9"/>
  <c r="BT256" i="9"/>
  <c r="BU256" i="9" s="1"/>
  <c r="BS256" i="9"/>
  <c r="CC264" i="9"/>
  <c r="BT264" i="9"/>
  <c r="BU264" i="9" s="1"/>
  <c r="BS264" i="9"/>
  <c r="CC272" i="9"/>
  <c r="BT272" i="9"/>
  <c r="BU272" i="9" s="1"/>
  <c r="BS272" i="9"/>
  <c r="CC279" i="9"/>
  <c r="BT279" i="9"/>
  <c r="BU279" i="9" s="1"/>
  <c r="BS279" i="9"/>
  <c r="BS287" i="9"/>
  <c r="CC287" i="9"/>
  <c r="BT287" i="9"/>
  <c r="BU287" i="9" s="1"/>
  <c r="BS295" i="9"/>
  <c r="CC295" i="9"/>
  <c r="BT295" i="9"/>
  <c r="BU295" i="9" s="1"/>
  <c r="BS303" i="9"/>
  <c r="CC303" i="9"/>
  <c r="BT303" i="9"/>
  <c r="BU303" i="9" s="1"/>
  <c r="CC280" i="9"/>
  <c r="BT280" i="9"/>
  <c r="BU280" i="9" s="1"/>
  <c r="BS280" i="9"/>
  <c r="CC288" i="9"/>
  <c r="BT288" i="9"/>
  <c r="BU288" i="9" s="1"/>
  <c r="BS288" i="9"/>
  <c r="CC296" i="9"/>
  <c r="BT296" i="9"/>
  <c r="BU296" i="9" s="1"/>
  <c r="BS296" i="9"/>
  <c r="BS307" i="9"/>
  <c r="CC307" i="9"/>
  <c r="BT307" i="9"/>
  <c r="BU307" i="9" s="1"/>
  <c r="BS304" i="9"/>
  <c r="BT304" i="9"/>
  <c r="BU304" i="9" s="1"/>
  <c r="CC304" i="9"/>
  <c r="BS312" i="9"/>
  <c r="BT312" i="9"/>
  <c r="BU312" i="9" s="1"/>
  <c r="CC312" i="9"/>
  <c r="CC319" i="9"/>
  <c r="BT319" i="9"/>
  <c r="BU319" i="9" s="1"/>
  <c r="BS319" i="9"/>
  <c r="CA243" i="9"/>
  <c r="CK243" i="9"/>
  <c r="CA303" i="9"/>
  <c r="CK303" i="9"/>
  <c r="BZ210" i="9"/>
  <c r="BY210" i="9"/>
  <c r="BW210" i="9"/>
  <c r="CD210" i="9"/>
  <c r="BZ103" i="9"/>
  <c r="BW103" i="9"/>
  <c r="BY103" i="9"/>
  <c r="CD103" i="9"/>
  <c r="CB87" i="9"/>
  <c r="AX445" i="9"/>
  <c r="BJ248" i="9"/>
  <c r="BL248" i="9"/>
  <c r="BM248" i="9"/>
  <c r="BQ248" i="9"/>
  <c r="BO248" i="9"/>
  <c r="BJ14" i="9"/>
  <c r="BL14" i="9"/>
  <c r="BQ14" i="9"/>
  <c r="BM14" i="9"/>
  <c r="BO14" i="9"/>
  <c r="BJ272" i="9"/>
  <c r="BL272" i="9"/>
  <c r="BM272" i="9"/>
  <c r="BQ272" i="9"/>
  <c r="BO272" i="9"/>
  <c r="BM313" i="9"/>
  <c r="BJ313" i="9"/>
  <c r="BL313" i="9"/>
  <c r="BQ313" i="9"/>
  <c r="BO313" i="9"/>
  <c r="AY371" i="9"/>
  <c r="AY350" i="9"/>
  <c r="BD375" i="9"/>
  <c r="BD396" i="9"/>
  <c r="AX413" i="9"/>
  <c r="AW413" i="9" s="1"/>
  <c r="AV449" i="9"/>
  <c r="AY347" i="9"/>
  <c r="BO214" i="9"/>
  <c r="BM5" i="9"/>
  <c r="BJ5" i="9"/>
  <c r="BL5" i="9"/>
  <c r="BK404" i="9"/>
  <c r="BK320" i="9"/>
  <c r="BQ5" i="9"/>
  <c r="BO5" i="9"/>
  <c r="BA320" i="9"/>
  <c r="AX414" i="9" s="1"/>
  <c r="BM185" i="9"/>
  <c r="BL185" i="9"/>
  <c r="BJ185" i="9"/>
  <c r="BQ185" i="9"/>
  <c r="BO185" i="9"/>
  <c r="BM161" i="9"/>
  <c r="BJ161" i="9"/>
  <c r="BL161" i="9"/>
  <c r="BQ161" i="9"/>
  <c r="BO161" i="9"/>
  <c r="AX389" i="9"/>
  <c r="AW380" i="9"/>
  <c r="AW381" i="9"/>
  <c r="AW379" i="9"/>
  <c r="AS371" i="9"/>
  <c r="BO33" i="9"/>
  <c r="BM82" i="9"/>
  <c r="BL82" i="9"/>
  <c r="BJ82" i="9"/>
  <c r="BQ82" i="9"/>
  <c r="BO82" i="9"/>
  <c r="BJ96" i="9"/>
  <c r="BL96" i="9"/>
  <c r="BQ96" i="9"/>
  <c r="BM96" i="9"/>
  <c r="BO96" i="9"/>
  <c r="BM281" i="9"/>
  <c r="BJ281" i="9"/>
  <c r="BL281" i="9"/>
  <c r="BQ281" i="9"/>
  <c r="BO281" i="9"/>
  <c r="BJ116" i="9"/>
  <c r="BL116" i="9"/>
  <c r="BQ116" i="9"/>
  <c r="BM116" i="9"/>
  <c r="BO116" i="9"/>
  <c r="BM254" i="9"/>
  <c r="BJ254" i="9"/>
  <c r="BL254" i="9"/>
  <c r="BQ254" i="9"/>
  <c r="BO254" i="9"/>
  <c r="BM114" i="9"/>
  <c r="BL114" i="9"/>
  <c r="BJ114" i="9"/>
  <c r="BQ114" i="9"/>
  <c r="BM51" i="9"/>
  <c r="BJ51" i="9"/>
  <c r="BL51" i="9"/>
  <c r="BK328" i="9"/>
  <c r="BQ51" i="9"/>
  <c r="BM50" i="9"/>
  <c r="BL50" i="9"/>
  <c r="BJ50" i="9"/>
  <c r="BQ50" i="9"/>
  <c r="BJ316" i="9"/>
  <c r="BL316" i="9"/>
  <c r="BM316" i="9"/>
  <c r="BQ316" i="9"/>
  <c r="BO316" i="9"/>
  <c r="BJ56" i="9"/>
  <c r="BL56" i="9"/>
  <c r="BQ56" i="9"/>
  <c r="BM56" i="9"/>
  <c r="BM43" i="9"/>
  <c r="BJ43" i="9"/>
  <c r="BL43" i="9"/>
  <c r="BQ43" i="9"/>
  <c r="BO43" i="9"/>
  <c r="BO318" i="9"/>
  <c r="BM191" i="9"/>
  <c r="BL191" i="9"/>
  <c r="BJ191" i="9"/>
  <c r="BQ191" i="9"/>
  <c r="BM234" i="9"/>
  <c r="BL234" i="9"/>
  <c r="BJ234" i="9"/>
  <c r="BQ234" i="9"/>
  <c r="BO234" i="9"/>
  <c r="BM78" i="9"/>
  <c r="BL78" i="9"/>
  <c r="BJ78" i="9"/>
  <c r="BQ78" i="9"/>
  <c r="BJ263" i="9"/>
  <c r="BL263" i="9"/>
  <c r="BQ263" i="9"/>
  <c r="BM263" i="9"/>
  <c r="BO263" i="9"/>
  <c r="BJ52" i="9"/>
  <c r="BL52" i="9"/>
  <c r="BM52" i="9"/>
  <c r="BQ52" i="9"/>
  <c r="BM106" i="9"/>
  <c r="BL106" i="9"/>
  <c r="BJ106" i="9"/>
  <c r="BQ106" i="9"/>
  <c r="BO106" i="9"/>
  <c r="BM130" i="9"/>
  <c r="BL130" i="9"/>
  <c r="BJ130" i="9"/>
  <c r="BQ130" i="9"/>
  <c r="BO130" i="9"/>
  <c r="BO25" i="9"/>
  <c r="BO68" i="9"/>
  <c r="BM146" i="9"/>
  <c r="BL146" i="9"/>
  <c r="BJ146" i="9"/>
  <c r="BQ146" i="9"/>
  <c r="BO146" i="9"/>
  <c r="CA186" i="9"/>
  <c r="CK186" i="9"/>
  <c r="CI434" i="9"/>
  <c r="CI429" i="9"/>
  <c r="CK429" i="9" s="1"/>
  <c r="CI420" i="9"/>
  <c r="CI344" i="9"/>
  <c r="CK411" i="9" s="1"/>
  <c r="CJ411" i="9" s="1"/>
  <c r="CA70" i="9"/>
  <c r="CK70" i="9"/>
  <c r="BZ73" i="9"/>
  <c r="BY73" i="9"/>
  <c r="BW73" i="9"/>
  <c r="CD73" i="9"/>
  <c r="CB73" i="9"/>
  <c r="BZ283" i="9"/>
  <c r="BY283" i="9"/>
  <c r="BW283" i="9"/>
  <c r="CD283" i="9"/>
  <c r="CB218" i="9"/>
  <c r="BZ85" i="9"/>
  <c r="BY85" i="9"/>
  <c r="BW85" i="9"/>
  <c r="CD85" i="9"/>
  <c r="CB85" i="9"/>
  <c r="BF364" i="9"/>
  <c r="BF363" i="9"/>
  <c r="BF361" i="9"/>
  <c r="BF356" i="9"/>
  <c r="BF355" i="9"/>
  <c r="BP380" i="9"/>
  <c r="BP381" i="9"/>
  <c r="R19" i="2"/>
  <c r="AV329" i="9"/>
  <c r="AW329" i="9" s="1"/>
  <c r="AX329" i="9"/>
  <c r="AY329" i="9" s="1"/>
  <c r="AY328" i="9" s="1"/>
  <c r="BO114" i="9"/>
  <c r="AM369" i="9"/>
  <c r="AK349" i="9"/>
  <c r="AK369" i="9" s="1"/>
  <c r="BO251" i="9"/>
  <c r="BM111" i="9"/>
  <c r="BJ111" i="9"/>
  <c r="BL111" i="9"/>
  <c r="BQ111" i="9"/>
  <c r="BO111" i="9"/>
  <c r="BM94" i="9"/>
  <c r="BL94" i="9"/>
  <c r="BJ94" i="9"/>
  <c r="BQ94" i="9"/>
  <c r="BO264" i="9"/>
  <c r="BO47" i="9"/>
  <c r="BJ108" i="9"/>
  <c r="BL108" i="9"/>
  <c r="BM108" i="9"/>
  <c r="BQ108" i="9"/>
  <c r="BO108" i="9"/>
  <c r="BJ76" i="9"/>
  <c r="BL76" i="9"/>
  <c r="BM76" i="9"/>
  <c r="BQ76" i="9"/>
  <c r="BO76" i="9"/>
  <c r="BJ123" i="9"/>
  <c r="BL123" i="9"/>
  <c r="BM123" i="9"/>
  <c r="BQ123" i="9"/>
  <c r="BO123" i="9"/>
  <c r="BM294" i="9"/>
  <c r="BJ294" i="9"/>
  <c r="BL294" i="9"/>
  <c r="BQ294" i="9"/>
  <c r="BO294" i="9"/>
  <c r="BJ270" i="9"/>
  <c r="BL270" i="9"/>
  <c r="BQ270" i="9"/>
  <c r="BM270" i="9"/>
  <c r="BM129" i="9"/>
  <c r="BJ129" i="9"/>
  <c r="BL129" i="9"/>
  <c r="BQ129" i="9"/>
  <c r="BO129" i="9"/>
  <c r="BM131" i="9"/>
  <c r="BJ131" i="9"/>
  <c r="BL131" i="9"/>
  <c r="BQ131" i="9"/>
  <c r="BO131" i="9"/>
  <c r="AX382" i="9"/>
  <c r="AX385" i="9"/>
  <c r="AU369" i="9"/>
  <c r="BX420" i="9"/>
  <c r="X13" i="2" s="1"/>
  <c r="BM122" i="9"/>
  <c r="BL122" i="9"/>
  <c r="BJ122" i="9"/>
  <c r="BQ122" i="9"/>
  <c r="BO122" i="9"/>
  <c r="BM159" i="9"/>
  <c r="BJ159" i="9"/>
  <c r="BL159" i="9"/>
  <c r="BQ159" i="9"/>
  <c r="BO159" i="9"/>
  <c r="BM169" i="9"/>
  <c r="BL169" i="9"/>
  <c r="BJ169" i="9"/>
  <c r="BQ169" i="9"/>
  <c r="BK332" i="9"/>
  <c r="BK335" i="9"/>
  <c r="BK334" i="9"/>
  <c r="BL334" i="9" s="1"/>
  <c r="BM83" i="9"/>
  <c r="BJ83" i="9"/>
  <c r="BL83" i="9"/>
  <c r="BQ83" i="9"/>
  <c r="BO83" i="9"/>
  <c r="DO205" i="9"/>
  <c r="BM7" i="9"/>
  <c r="BJ7" i="9"/>
  <c r="BL7" i="9"/>
  <c r="BQ7" i="9"/>
  <c r="BZ216" i="9"/>
  <c r="BY216" i="9"/>
  <c r="BW216" i="9"/>
  <c r="CD216" i="9"/>
  <c r="CB216" i="9"/>
  <c r="AW330" i="9"/>
  <c r="AV346" i="9"/>
  <c r="AW346" i="9" s="1"/>
  <c r="AU358" i="9"/>
  <c r="R24" i="2"/>
  <c r="AV333" i="9"/>
  <c r="AW333" i="9" s="1"/>
  <c r="AW332" i="9" s="1"/>
  <c r="AX333" i="9"/>
  <c r="AY333" i="9" s="1"/>
  <c r="BO17" i="9"/>
  <c r="BJ213" i="9"/>
  <c r="BL213" i="9"/>
  <c r="BQ213" i="9"/>
  <c r="BM213" i="9"/>
  <c r="BM172" i="9"/>
  <c r="BJ172" i="9"/>
  <c r="BL172" i="9"/>
  <c r="BQ172" i="9"/>
  <c r="BM44" i="9"/>
  <c r="BJ44" i="9"/>
  <c r="BL44" i="9"/>
  <c r="BQ44" i="9"/>
  <c r="BM13" i="9"/>
  <c r="BJ13" i="9"/>
  <c r="BL13" i="9"/>
  <c r="BQ13" i="9"/>
  <c r="BM21" i="9"/>
  <c r="BJ21" i="9"/>
  <c r="BL21" i="9"/>
  <c r="BQ21" i="9"/>
  <c r="BO21" i="9"/>
  <c r="BM29" i="9"/>
  <c r="BJ29" i="9"/>
  <c r="BL29" i="9"/>
  <c r="BQ29" i="9"/>
  <c r="BM110" i="9"/>
  <c r="BL110" i="9"/>
  <c r="BJ110" i="9"/>
  <c r="BQ110" i="9"/>
  <c r="DO16" i="9"/>
  <c r="BM196" i="9"/>
  <c r="BJ196" i="9"/>
  <c r="BL196" i="9"/>
  <c r="BQ196" i="9"/>
  <c r="BM156" i="9"/>
  <c r="BL156" i="9"/>
  <c r="BJ156" i="9"/>
  <c r="BQ156" i="9"/>
  <c r="BO156" i="9"/>
  <c r="BM128" i="9"/>
  <c r="BL128" i="9"/>
  <c r="BJ128" i="9"/>
  <c r="BQ128" i="9"/>
  <c r="BM192" i="9"/>
  <c r="BJ192" i="9"/>
  <c r="BL192" i="9"/>
  <c r="BQ192" i="9"/>
  <c r="BO110" i="9"/>
  <c r="BJ203" i="9"/>
  <c r="BL203" i="9"/>
  <c r="BM203" i="9"/>
  <c r="BQ203" i="9"/>
  <c r="BO203" i="9"/>
  <c r="BO276" i="9"/>
  <c r="BJ276" i="9"/>
  <c r="BL276" i="9"/>
  <c r="BQ276" i="9"/>
  <c r="BM276" i="9"/>
  <c r="BJ310" i="9"/>
  <c r="BL310" i="9"/>
  <c r="BQ310" i="9"/>
  <c r="BM310" i="9"/>
  <c r="BM99" i="9"/>
  <c r="BJ99" i="9"/>
  <c r="BL99" i="9"/>
  <c r="BQ99" i="9"/>
  <c r="BO99" i="9"/>
  <c r="BM90" i="9"/>
  <c r="BL90" i="9"/>
  <c r="BJ90" i="9"/>
  <c r="BQ90" i="9"/>
  <c r="BO90" i="9"/>
  <c r="BM224" i="9"/>
  <c r="BL224" i="9"/>
  <c r="BJ224" i="9"/>
  <c r="BQ224" i="9"/>
  <c r="BO224" i="9"/>
  <c r="BM164" i="9"/>
  <c r="BL164" i="9"/>
  <c r="BJ164" i="9"/>
  <c r="BQ164" i="9"/>
  <c r="BM241" i="9"/>
  <c r="BJ241" i="9"/>
  <c r="BL241" i="9"/>
  <c r="BQ241" i="9"/>
  <c r="BO241" i="9"/>
  <c r="BM105" i="9"/>
  <c r="BJ105" i="9"/>
  <c r="BL105" i="9"/>
  <c r="BQ105" i="9"/>
  <c r="BO105" i="9"/>
  <c r="BM154" i="9"/>
  <c r="BL154" i="9"/>
  <c r="BJ154" i="9"/>
  <c r="BQ154" i="9"/>
  <c r="BO154" i="9"/>
  <c r="BX418" i="9"/>
  <c r="BX426" i="9"/>
  <c r="Y19" i="2" s="1"/>
  <c r="BV331" i="9" s="1"/>
  <c r="BW331" i="9" s="1"/>
  <c r="BV447" i="9"/>
  <c r="CA40" i="9"/>
  <c r="CK40" i="9"/>
  <c r="CA180" i="9"/>
  <c r="CK180" i="9"/>
  <c r="CA8" i="9"/>
  <c r="CK8" i="9"/>
  <c r="W13" i="2"/>
  <c r="X34" i="2"/>
  <c r="W24" i="2"/>
  <c r="BU366" i="9"/>
  <c r="CA366" i="9"/>
  <c r="BV343" i="9"/>
  <c r="CC393" i="9"/>
  <c r="BX393" i="9" s="1"/>
  <c r="CA368" i="9"/>
  <c r="BS366" i="9"/>
  <c r="CC391" i="9"/>
  <c r="BX391" i="9" s="1"/>
  <c r="BY368" i="9"/>
  <c r="BX343" i="9"/>
  <c r="BW367" i="9"/>
  <c r="BW368" i="9"/>
  <c r="BW366" i="9"/>
  <c r="BW365" i="9" s="1"/>
  <c r="CO58" i="9"/>
  <c r="CA168" i="9"/>
  <c r="CK168" i="9"/>
  <c r="CA253" i="9"/>
  <c r="CK253" i="9"/>
  <c r="BZ275" i="9"/>
  <c r="BW275" i="9"/>
  <c r="BY275" i="9"/>
  <c r="CD275" i="9"/>
  <c r="BZ199" i="9"/>
  <c r="BW199" i="9"/>
  <c r="BY199" i="9"/>
  <c r="CD199" i="9"/>
  <c r="BW143" i="9"/>
  <c r="BY143" i="9"/>
  <c r="CD143" i="9"/>
  <c r="BZ143" i="9"/>
  <c r="BZ59" i="9"/>
  <c r="BY59" i="9"/>
  <c r="BW59" i="9"/>
  <c r="CD59" i="9"/>
  <c r="BJ365" i="9"/>
  <c r="BA352" i="9"/>
  <c r="BM288" i="9"/>
  <c r="BJ288" i="9"/>
  <c r="BL288" i="9"/>
  <c r="BQ288" i="9"/>
  <c r="BM202" i="9"/>
  <c r="BL202" i="9"/>
  <c r="BJ202" i="9"/>
  <c r="BQ202" i="9"/>
  <c r="BO202" i="9"/>
  <c r="BL10" i="9"/>
  <c r="BJ10" i="9"/>
  <c r="BQ10" i="9"/>
  <c r="BM10" i="9"/>
  <c r="BO10" i="9"/>
  <c r="BM57" i="9"/>
  <c r="BJ57" i="9"/>
  <c r="BL57" i="9"/>
  <c r="BQ57" i="9"/>
  <c r="BO57" i="9"/>
  <c r="BM42" i="9"/>
  <c r="BL42" i="9"/>
  <c r="BJ42" i="9"/>
  <c r="BQ42" i="9"/>
  <c r="BK326" i="9"/>
  <c r="BO42" i="9"/>
  <c r="BK324" i="9"/>
  <c r="BK327" i="9"/>
  <c r="AV451" i="9"/>
  <c r="BM182" i="9"/>
  <c r="BJ182" i="9"/>
  <c r="BL182" i="9"/>
  <c r="BQ182" i="9"/>
  <c r="BO182" i="9"/>
  <c r="BM190" i="9"/>
  <c r="BJ190" i="9"/>
  <c r="BL190" i="9"/>
  <c r="BQ190" i="9"/>
  <c r="BO190" i="9"/>
  <c r="AX405" i="9"/>
  <c r="AX408" i="9"/>
  <c r="BM304" i="9"/>
  <c r="BJ304" i="9"/>
  <c r="BL304" i="9"/>
  <c r="BQ304" i="9"/>
  <c r="BO304" i="9"/>
  <c r="BM297" i="9"/>
  <c r="BJ297" i="9"/>
  <c r="BL297" i="9"/>
  <c r="BQ297" i="9"/>
  <c r="BM81" i="9"/>
  <c r="BJ81" i="9"/>
  <c r="BL81" i="9"/>
  <c r="BQ81" i="9"/>
  <c r="BO81" i="9"/>
  <c r="BM230" i="9"/>
  <c r="BL230" i="9"/>
  <c r="BJ230" i="9"/>
  <c r="BQ230" i="9"/>
  <c r="BO230" i="9"/>
  <c r="BZ271" i="9"/>
  <c r="BW271" i="9"/>
  <c r="BY271" i="9"/>
  <c r="CD271" i="9"/>
  <c r="BW27" i="9"/>
  <c r="BY27" i="9"/>
  <c r="CD27" i="9"/>
  <c r="BZ27" i="9"/>
  <c r="BY292" i="9"/>
  <c r="BW292" i="9"/>
  <c r="BZ292" i="9"/>
  <c r="CD292" i="9"/>
  <c r="BM86" i="9"/>
  <c r="BL86" i="9"/>
  <c r="BJ86" i="9"/>
  <c r="BQ86" i="9"/>
  <c r="BJ314" i="9"/>
  <c r="BL314" i="9"/>
  <c r="BQ314" i="9"/>
  <c r="BM314" i="9"/>
  <c r="BO247" i="9"/>
  <c r="BJ247" i="9"/>
  <c r="BL247" i="9"/>
  <c r="BQ247" i="9"/>
  <c r="BM247" i="9"/>
  <c r="BL231" i="9"/>
  <c r="BJ231" i="9"/>
  <c r="BQ231" i="9"/>
  <c r="BM231" i="9"/>
  <c r="BO231" i="9"/>
  <c r="BO239" i="9"/>
  <c r="BJ239" i="9"/>
  <c r="BL239" i="9"/>
  <c r="BM239" i="9"/>
  <c r="BQ239" i="9"/>
  <c r="BJ207" i="9"/>
  <c r="BL207" i="9"/>
  <c r="BM207" i="9"/>
  <c r="BQ207" i="9"/>
  <c r="BO207" i="9"/>
  <c r="BM97" i="9"/>
  <c r="BJ97" i="9"/>
  <c r="BL97" i="9"/>
  <c r="BQ97" i="9"/>
  <c r="BO97" i="9"/>
  <c r="BM296" i="9"/>
  <c r="BJ296" i="9"/>
  <c r="BL296" i="9"/>
  <c r="BQ296" i="9"/>
  <c r="BO296" i="9"/>
  <c r="BO244" i="9"/>
  <c r="BJ244" i="9"/>
  <c r="BL244" i="9"/>
  <c r="BM244" i="9"/>
  <c r="BQ244" i="9"/>
  <c r="BM228" i="9"/>
  <c r="BL228" i="9"/>
  <c r="BJ228" i="9"/>
  <c r="BQ228" i="9"/>
  <c r="BM115" i="9"/>
  <c r="BJ115" i="9"/>
  <c r="BL115" i="9"/>
  <c r="BQ115" i="9"/>
  <c r="BJ22" i="9"/>
  <c r="BL22" i="9"/>
  <c r="BM22" i="9"/>
  <c r="BQ22" i="9"/>
  <c r="BO22" i="9"/>
  <c r="BO173" i="9"/>
  <c r="BO169" i="9"/>
  <c r="BM150" i="9"/>
  <c r="BL150" i="9"/>
  <c r="BJ150" i="9"/>
  <c r="BQ150" i="9"/>
  <c r="BO150" i="9"/>
  <c r="BO100" i="9"/>
  <c r="BM12" i="9"/>
  <c r="BL12" i="9"/>
  <c r="BJ12" i="9"/>
  <c r="BQ12" i="9"/>
  <c r="BM208" i="9"/>
  <c r="BL208" i="9"/>
  <c r="BJ208" i="9"/>
  <c r="BQ208" i="9"/>
  <c r="BO208" i="9"/>
  <c r="CA198" i="9"/>
  <c r="CK198" i="9"/>
  <c r="CM267" i="9"/>
  <c r="CL267" i="9"/>
  <c r="CJ267" i="9"/>
  <c r="CO267" i="9"/>
  <c r="CQ267" i="9"/>
  <c r="CI440" i="9"/>
  <c r="CK441" i="9" s="1"/>
  <c r="AC34" i="2" s="1"/>
  <c r="CP393" i="9" s="1"/>
  <c r="CI441" i="9"/>
  <c r="CK390" i="9"/>
  <c r="CI439" i="9"/>
  <c r="CK440" i="9" s="1"/>
  <c r="CN368" i="9"/>
  <c r="CK365" i="9"/>
  <c r="DD201" i="9"/>
  <c r="DD209" i="9"/>
  <c r="CY126" i="9"/>
  <c r="CW126" i="9"/>
  <c r="CY16" i="9"/>
  <c r="CW16" i="9"/>
  <c r="CW205" i="9"/>
  <c r="CY205" i="9"/>
  <c r="DD273" i="9"/>
  <c r="DD298" i="9"/>
  <c r="DD132" i="9"/>
  <c r="DD289" i="9"/>
  <c r="CZ48" i="9"/>
  <c r="DA48" i="9" s="1"/>
  <c r="CV320" i="9"/>
  <c r="CX410" i="9" s="1"/>
  <c r="CX45" i="9"/>
  <c r="DB45" i="9" s="1"/>
  <c r="DB119" i="9"/>
  <c r="DO119" i="9" s="1"/>
  <c r="CW119" i="9"/>
  <c r="CY119" i="9"/>
  <c r="CW136" i="9"/>
  <c r="CY136" i="9"/>
  <c r="CZ211" i="9"/>
  <c r="DA211" i="9" s="1"/>
  <c r="CY211" i="9"/>
  <c r="CW211" i="9"/>
  <c r="DB204" i="9"/>
  <c r="DO204" i="9" s="1"/>
  <c r="CY204" i="9"/>
  <c r="CW204" i="9"/>
  <c r="DB220" i="9"/>
  <c r="DO220" i="9" s="1"/>
  <c r="CW220" i="9"/>
  <c r="CY220" i="9"/>
  <c r="CW215" i="9"/>
  <c r="CY215" i="9"/>
  <c r="CW223" i="9"/>
  <c r="CY223" i="9"/>
  <c r="CX256" i="9"/>
  <c r="CX260" i="9"/>
  <c r="CX268" i="9"/>
  <c r="CX62" i="9"/>
  <c r="CZ136" i="9"/>
  <c r="DA136" i="9" s="1"/>
  <c r="CV336" i="9"/>
  <c r="CV433" i="9"/>
  <c r="CZ219" i="9"/>
  <c r="DA219" i="9" s="1"/>
  <c r="CZ235" i="9"/>
  <c r="DA235" i="9" s="1"/>
  <c r="CX287" i="9"/>
  <c r="CX295" i="9"/>
  <c r="CZ298" i="9"/>
  <c r="DA298" i="9" s="1"/>
  <c r="DB306" i="9"/>
  <c r="DO306" i="9" s="1"/>
  <c r="CY306" i="9"/>
  <c r="CW306" i="9"/>
  <c r="DB126" i="9"/>
  <c r="DO126" i="9" s="1"/>
  <c r="CO38" i="9"/>
  <c r="CO300" i="9"/>
  <c r="CD197" i="9"/>
  <c r="BW197" i="9"/>
  <c r="BY197" i="9"/>
  <c r="BZ197" i="9"/>
  <c r="CB197" i="9"/>
  <c r="BW163" i="9"/>
  <c r="BY163" i="9"/>
  <c r="BZ163" i="9"/>
  <c r="CD163" i="9"/>
  <c r="CB163" i="9"/>
  <c r="BZ107" i="9"/>
  <c r="BW107" i="9"/>
  <c r="BY107" i="9"/>
  <c r="CD107" i="9"/>
  <c r="BW11" i="9"/>
  <c r="BY11" i="9"/>
  <c r="CD11" i="9"/>
  <c r="BZ11" i="9"/>
  <c r="CB11" i="9"/>
  <c r="BW311" i="9"/>
  <c r="BY311" i="9"/>
  <c r="BZ311" i="9"/>
  <c r="CD311" i="9"/>
  <c r="BY112" i="9"/>
  <c r="BW112" i="9"/>
  <c r="BZ112" i="9"/>
  <c r="CD112" i="9"/>
  <c r="CB112" i="9"/>
  <c r="BZ101" i="9"/>
  <c r="BW101" i="9"/>
  <c r="BY101" i="9"/>
  <c r="CD101" i="9"/>
  <c r="BH357" i="9"/>
  <c r="BH360" i="9"/>
  <c r="BH359" i="9"/>
  <c r="BG320" i="9"/>
  <c r="BH5" i="9"/>
  <c r="BH320" i="9" s="1"/>
  <c r="BF353" i="9"/>
  <c r="BP378" i="9"/>
  <c r="BF352" i="9"/>
  <c r="BF372" i="9" s="1"/>
  <c r="BF351" i="9"/>
  <c r="BF371" i="9" s="1"/>
  <c r="BF349" i="9"/>
  <c r="BF369" i="9" s="1"/>
  <c r="BO104" i="9"/>
  <c r="BO228" i="9"/>
  <c r="BM174" i="9"/>
  <c r="BJ174" i="9"/>
  <c r="BL174" i="9"/>
  <c r="BQ174" i="9"/>
  <c r="BO174" i="9"/>
  <c r="BM181" i="9"/>
  <c r="BL181" i="9"/>
  <c r="BJ181" i="9"/>
  <c r="BQ181" i="9"/>
  <c r="BO181" i="9"/>
  <c r="BM193" i="9"/>
  <c r="BL193" i="9"/>
  <c r="BJ193" i="9"/>
  <c r="BQ193" i="9"/>
  <c r="BO193" i="9"/>
  <c r="BM55" i="9"/>
  <c r="BJ55" i="9"/>
  <c r="BL55" i="9"/>
  <c r="BQ55" i="9"/>
  <c r="BO55" i="9"/>
  <c r="BO128" i="9"/>
  <c r="BM46" i="9"/>
  <c r="BL46" i="9"/>
  <c r="BJ46" i="9"/>
  <c r="BQ46" i="9"/>
  <c r="BO46" i="9"/>
  <c r="BM120" i="9"/>
  <c r="BL120" i="9"/>
  <c r="BJ120" i="9"/>
  <c r="BQ120" i="9"/>
  <c r="BM277" i="9"/>
  <c r="BJ277" i="9"/>
  <c r="BL277" i="9"/>
  <c r="BQ277" i="9"/>
  <c r="BM137" i="9"/>
  <c r="BJ137" i="9"/>
  <c r="BL137" i="9"/>
  <c r="BQ137" i="9"/>
  <c r="BO137" i="9"/>
  <c r="BM261" i="9"/>
  <c r="BJ261" i="9"/>
  <c r="BL261" i="9"/>
  <c r="BQ261" i="9"/>
  <c r="BM109" i="9"/>
  <c r="BJ109" i="9"/>
  <c r="BL109" i="9"/>
  <c r="BQ109" i="9"/>
  <c r="BO109" i="9"/>
  <c r="AS358" i="9"/>
  <c r="BC375" i="9"/>
  <c r="BC396" i="9"/>
  <c r="AX376" i="9"/>
  <c r="BO288" i="9"/>
  <c r="DB132" i="9"/>
  <c r="AS350" i="9"/>
  <c r="BO64" i="9"/>
  <c r="BO225" i="9"/>
  <c r="DB136" i="9"/>
  <c r="BL221" i="9"/>
  <c r="BJ221" i="9"/>
  <c r="BM221" i="9"/>
  <c r="BQ221" i="9"/>
  <c r="BD394" i="9"/>
  <c r="BM121" i="9"/>
  <c r="BJ121" i="9"/>
  <c r="BL121" i="9"/>
  <c r="BQ121" i="9"/>
  <c r="BM175" i="9"/>
  <c r="BL175" i="9"/>
  <c r="BJ175" i="9"/>
  <c r="BQ175" i="9"/>
  <c r="BM151" i="9"/>
  <c r="BJ151" i="9"/>
  <c r="BL151" i="9"/>
  <c r="BQ151" i="9"/>
  <c r="BM127" i="9"/>
  <c r="BJ127" i="9"/>
  <c r="BL127" i="9"/>
  <c r="BQ127" i="9"/>
  <c r="BO127" i="9"/>
  <c r="BM250" i="9"/>
  <c r="BJ250" i="9"/>
  <c r="BL250" i="9"/>
  <c r="BQ250" i="9"/>
  <c r="BO250" i="9"/>
  <c r="BM206" i="9"/>
  <c r="BL206" i="9"/>
  <c r="BJ206" i="9"/>
  <c r="BQ206" i="9"/>
  <c r="BO206" i="9"/>
  <c r="BM312" i="9"/>
  <c r="BJ312" i="9"/>
  <c r="BL312" i="9"/>
  <c r="BQ312" i="9"/>
  <c r="BO312" i="9"/>
  <c r="BM188" i="9"/>
  <c r="BJ188" i="9"/>
  <c r="BL188" i="9"/>
  <c r="BQ188" i="9"/>
  <c r="BO188" i="9"/>
  <c r="BM23" i="9"/>
  <c r="BJ23" i="9"/>
  <c r="BL23" i="9"/>
  <c r="BQ23" i="9"/>
  <c r="BM284" i="9"/>
  <c r="BJ284" i="9"/>
  <c r="BL284" i="9"/>
  <c r="BQ284" i="9"/>
  <c r="BO284" i="9"/>
  <c r="BM176" i="9"/>
  <c r="BJ176" i="9"/>
  <c r="BL176" i="9"/>
  <c r="BQ176" i="9"/>
  <c r="BM141" i="9"/>
  <c r="BJ141" i="9"/>
  <c r="BL141" i="9"/>
  <c r="BQ141" i="9"/>
  <c r="CB258" i="9"/>
  <c r="BZ61" i="9"/>
  <c r="BY61" i="9"/>
  <c r="BW61" i="9"/>
  <c r="CD61" i="9"/>
  <c r="BM148" i="9"/>
  <c r="BL148" i="9"/>
  <c r="BJ148" i="9"/>
  <c r="BQ148" i="9"/>
  <c r="BO213" i="9"/>
  <c r="BL217" i="9"/>
  <c r="BJ217" i="9"/>
  <c r="BM217" i="9"/>
  <c r="BQ217" i="9"/>
  <c r="BK336" i="9"/>
  <c r="BK338" i="9"/>
  <c r="BM153" i="9"/>
  <c r="BJ153" i="9"/>
  <c r="BL153" i="9"/>
  <c r="BQ153" i="9"/>
  <c r="BM189" i="9"/>
  <c r="BL189" i="9"/>
  <c r="BJ189" i="9"/>
  <c r="BQ189" i="9"/>
  <c r="BO189" i="9"/>
  <c r="BJ278" i="9"/>
  <c r="BL278" i="9"/>
  <c r="BQ278" i="9"/>
  <c r="BM278" i="9"/>
  <c r="BM232" i="9"/>
  <c r="BL232" i="9"/>
  <c r="BJ232" i="9"/>
  <c r="BQ232" i="9"/>
  <c r="BO232" i="9"/>
  <c r="BM171" i="9"/>
  <c r="BL171" i="9"/>
  <c r="BJ171" i="9"/>
  <c r="BQ171" i="9"/>
  <c r="BM139" i="9"/>
  <c r="BJ139" i="9"/>
  <c r="BL139" i="9"/>
  <c r="BQ139" i="9"/>
  <c r="BO139" i="9"/>
  <c r="BM30" i="9"/>
  <c r="BL30" i="9"/>
  <c r="BJ30" i="9"/>
  <c r="BQ30" i="9"/>
  <c r="BM75" i="9"/>
  <c r="BJ75" i="9"/>
  <c r="BL75" i="9"/>
  <c r="BQ75" i="9"/>
  <c r="BM257" i="9"/>
  <c r="BJ257" i="9"/>
  <c r="BL257" i="9"/>
  <c r="BQ257" i="9"/>
  <c r="BM26" i="9"/>
  <c r="BL26" i="9"/>
  <c r="BJ26" i="9"/>
  <c r="BQ26" i="9"/>
  <c r="BM41" i="9"/>
  <c r="BJ41" i="9"/>
  <c r="BL41" i="9"/>
  <c r="BQ41" i="9"/>
  <c r="BM71" i="9"/>
  <c r="BJ71" i="9"/>
  <c r="BL71" i="9"/>
  <c r="BK331" i="9"/>
  <c r="BL331" i="9" s="1"/>
  <c r="BK330" i="9"/>
  <c r="BQ71" i="9"/>
  <c r="BO259" i="9"/>
  <c r="BJ259" i="9"/>
  <c r="BL259" i="9"/>
  <c r="BM259" i="9"/>
  <c r="BQ259" i="9"/>
  <c r="BJ274" i="9"/>
  <c r="BL274" i="9"/>
  <c r="BM274" i="9"/>
  <c r="BQ274" i="9"/>
  <c r="BO274" i="9"/>
  <c r="BM305" i="9"/>
  <c r="BJ305" i="9"/>
  <c r="BL305" i="9"/>
  <c r="BQ305" i="9"/>
  <c r="BJ60" i="9"/>
  <c r="BL60" i="9"/>
  <c r="BM60" i="9"/>
  <c r="BQ60" i="9"/>
  <c r="BO60" i="9"/>
  <c r="BM301" i="9"/>
  <c r="BJ301" i="9"/>
  <c r="BL301" i="9"/>
  <c r="BQ301" i="9"/>
  <c r="BO41" i="9"/>
  <c r="BO44" i="9"/>
  <c r="BM222" i="9"/>
  <c r="BL222" i="9"/>
  <c r="BJ222" i="9"/>
  <c r="BQ222" i="9"/>
  <c r="BO222" i="9"/>
  <c r="AJ386" i="9"/>
  <c r="BO9" i="9"/>
  <c r="BO286" i="9"/>
  <c r="BM291" i="9"/>
  <c r="BJ291" i="9"/>
  <c r="BL291" i="9"/>
  <c r="BQ291" i="9"/>
  <c r="BM245" i="9"/>
  <c r="BJ245" i="9"/>
  <c r="BL245" i="9"/>
  <c r="BQ245" i="9"/>
  <c r="BO245" i="9"/>
  <c r="BO317" i="9"/>
  <c r="BO84" i="9"/>
  <c r="BM54" i="9"/>
  <c r="BL54" i="9"/>
  <c r="BJ54" i="9"/>
  <c r="BQ54" i="9"/>
  <c r="BX424" i="9"/>
  <c r="CA32" i="9"/>
  <c r="CK32" i="9"/>
  <c r="BS27" i="9"/>
  <c r="CC27" i="9"/>
  <c r="BT27" i="9"/>
  <c r="BU27" i="9" s="1"/>
  <c r="BS16" i="9"/>
  <c r="CC16" i="9"/>
  <c r="BT16" i="9"/>
  <c r="BU16" i="9" s="1"/>
  <c r="BS35" i="9"/>
  <c r="CC35" i="9"/>
  <c r="BT35" i="9"/>
  <c r="BU35" i="9" s="1"/>
  <c r="CC11" i="9"/>
  <c r="BT11" i="9"/>
  <c r="BU11" i="9" s="1"/>
  <c r="BS11" i="9"/>
  <c r="BS21" i="9"/>
  <c r="CC21" i="9"/>
  <c r="BT21" i="9"/>
  <c r="BU21" i="9" s="1"/>
  <c r="BS37" i="9"/>
  <c r="CC37" i="9"/>
  <c r="BT37" i="9"/>
  <c r="BU37" i="9" s="1"/>
  <c r="BS45" i="9"/>
  <c r="CC45" i="9"/>
  <c r="BT45" i="9"/>
  <c r="BU45" i="9" s="1"/>
  <c r="BS53" i="9"/>
  <c r="CC53" i="9"/>
  <c r="BT53" i="9"/>
  <c r="BU53" i="9" s="1"/>
  <c r="BS61" i="9"/>
  <c r="CC61" i="9"/>
  <c r="BT61" i="9"/>
  <c r="BU61" i="9" s="1"/>
  <c r="BS69" i="9"/>
  <c r="CC69" i="9"/>
  <c r="BT69" i="9"/>
  <c r="BU69" i="9" s="1"/>
  <c r="BS77" i="9"/>
  <c r="CC77" i="9"/>
  <c r="BT77" i="9"/>
  <c r="BU77" i="9" s="1"/>
  <c r="BS85" i="9"/>
  <c r="CC85" i="9"/>
  <c r="BT85" i="9"/>
  <c r="BU85" i="9" s="1"/>
  <c r="BS93" i="9"/>
  <c r="CC93" i="9"/>
  <c r="BT93" i="9"/>
  <c r="BU93" i="9" s="1"/>
  <c r="BS101" i="9"/>
  <c r="CC101" i="9"/>
  <c r="BT101" i="9"/>
  <c r="BU101" i="9" s="1"/>
  <c r="BS109" i="9"/>
  <c r="CC109" i="9"/>
  <c r="BT109" i="9"/>
  <c r="BU109" i="9" s="1"/>
  <c r="BS117" i="9"/>
  <c r="CC117" i="9"/>
  <c r="BT117" i="9"/>
  <c r="BU117" i="9" s="1"/>
  <c r="BS124" i="9"/>
  <c r="CC124" i="9"/>
  <c r="BT124" i="9"/>
  <c r="BU124" i="9" s="1"/>
  <c r="BS140" i="9"/>
  <c r="CC140" i="9"/>
  <c r="BT140" i="9"/>
  <c r="BU140" i="9" s="1"/>
  <c r="BS156" i="9"/>
  <c r="CC156" i="9"/>
  <c r="BT156" i="9"/>
  <c r="BU156" i="9" s="1"/>
  <c r="BS172" i="9"/>
  <c r="CC172" i="9"/>
  <c r="BT172" i="9"/>
  <c r="BU172" i="9" s="1"/>
  <c r="BS203" i="9"/>
  <c r="CC203" i="9"/>
  <c r="BT203" i="9"/>
  <c r="BU203" i="9" s="1"/>
  <c r="CC24" i="9"/>
  <c r="BT24" i="9"/>
  <c r="BU24" i="9" s="1"/>
  <c r="BS24" i="9"/>
  <c r="CC32" i="9"/>
  <c r="BT32" i="9"/>
  <c r="BU32" i="9" s="1"/>
  <c r="BS32" i="9"/>
  <c r="CC40" i="9"/>
  <c r="BT40" i="9"/>
  <c r="BU40" i="9" s="1"/>
  <c r="BS40" i="9"/>
  <c r="CC48" i="9"/>
  <c r="BT48" i="9"/>
  <c r="BU48" i="9" s="1"/>
  <c r="BS48" i="9"/>
  <c r="CC56" i="9"/>
  <c r="BT56" i="9"/>
  <c r="BU56" i="9" s="1"/>
  <c r="BS56" i="9"/>
  <c r="CC64" i="9"/>
  <c r="BT64" i="9"/>
  <c r="BU64" i="9" s="1"/>
  <c r="BS64" i="9"/>
  <c r="CC72" i="9"/>
  <c r="BT72" i="9"/>
  <c r="BU72" i="9" s="1"/>
  <c r="BS72" i="9"/>
  <c r="CC80" i="9"/>
  <c r="BT80" i="9"/>
  <c r="BU80" i="9" s="1"/>
  <c r="BS80" i="9"/>
  <c r="CC88" i="9"/>
  <c r="BT88" i="9"/>
  <c r="BU88" i="9" s="1"/>
  <c r="BS88" i="9"/>
  <c r="CC96" i="9"/>
  <c r="BT96" i="9"/>
  <c r="BU96" i="9" s="1"/>
  <c r="BS96" i="9"/>
  <c r="CC104" i="9"/>
  <c r="BT104" i="9"/>
  <c r="BU104" i="9" s="1"/>
  <c r="BS104" i="9"/>
  <c r="CC112" i="9"/>
  <c r="BT112" i="9"/>
  <c r="BU112" i="9" s="1"/>
  <c r="BS112" i="9"/>
  <c r="CC120" i="9"/>
  <c r="BT120" i="9"/>
  <c r="BU120" i="9" s="1"/>
  <c r="BS120" i="9"/>
  <c r="BS134" i="9"/>
  <c r="CC134" i="9"/>
  <c r="BT134" i="9"/>
  <c r="BU134" i="9" s="1"/>
  <c r="BS150" i="9"/>
  <c r="CC150" i="9"/>
  <c r="BT150" i="9"/>
  <c r="BU150" i="9" s="1"/>
  <c r="BS166" i="9"/>
  <c r="CC166" i="9"/>
  <c r="BT166" i="9"/>
  <c r="BU166" i="9" s="1"/>
  <c r="BS183" i="9"/>
  <c r="CC183" i="9"/>
  <c r="BT183" i="9"/>
  <c r="BU183" i="9" s="1"/>
  <c r="CC125" i="9"/>
  <c r="BT125" i="9"/>
  <c r="BU125" i="9" s="1"/>
  <c r="BS125" i="9"/>
  <c r="CC133" i="9"/>
  <c r="BT133" i="9"/>
  <c r="BU133" i="9" s="1"/>
  <c r="BS133" i="9"/>
  <c r="CC141" i="9"/>
  <c r="BT141" i="9"/>
  <c r="BU141" i="9" s="1"/>
  <c r="BS141" i="9"/>
  <c r="CC149" i="9"/>
  <c r="BT149" i="9"/>
  <c r="BU149" i="9" s="1"/>
  <c r="BS149" i="9"/>
  <c r="CC157" i="9"/>
  <c r="BT157" i="9"/>
  <c r="BU157" i="9" s="1"/>
  <c r="BS157" i="9"/>
  <c r="CC165" i="9"/>
  <c r="BT165" i="9"/>
  <c r="BU165" i="9" s="1"/>
  <c r="BS165" i="9"/>
  <c r="CC173" i="9"/>
  <c r="BT173" i="9"/>
  <c r="BU173" i="9" s="1"/>
  <c r="BS173" i="9"/>
  <c r="BS189" i="9"/>
  <c r="CC189" i="9"/>
  <c r="BT189" i="9"/>
  <c r="BU189" i="9" s="1"/>
  <c r="BS205" i="9"/>
  <c r="CC205" i="9"/>
  <c r="BT205" i="9"/>
  <c r="BU205" i="9" s="1"/>
  <c r="BS178" i="9"/>
  <c r="BT178" i="9"/>
  <c r="BU178" i="9" s="1"/>
  <c r="CC178" i="9"/>
  <c r="BS186" i="9"/>
  <c r="BT186" i="9"/>
  <c r="BU186" i="9" s="1"/>
  <c r="CC186" i="9"/>
  <c r="BS194" i="9"/>
  <c r="BT194" i="9"/>
  <c r="BU194" i="9" s="1"/>
  <c r="CC194" i="9"/>
  <c r="BS202" i="9"/>
  <c r="BT202" i="9"/>
  <c r="BU202" i="9" s="1"/>
  <c r="CC202" i="9"/>
  <c r="BS210" i="9"/>
  <c r="BT210" i="9"/>
  <c r="BU210" i="9" s="1"/>
  <c r="CC210" i="9"/>
  <c r="BS218" i="9"/>
  <c r="CC218" i="9"/>
  <c r="BT218" i="9"/>
  <c r="BU218" i="9" s="1"/>
  <c r="BS226" i="9"/>
  <c r="CC226" i="9"/>
  <c r="BT226" i="9"/>
  <c r="BU226" i="9" s="1"/>
  <c r="BS234" i="9"/>
  <c r="CC234" i="9"/>
  <c r="BT234" i="9"/>
  <c r="BU234" i="9" s="1"/>
  <c r="BS242" i="9"/>
  <c r="CC242" i="9"/>
  <c r="BT242" i="9"/>
  <c r="BU242" i="9" s="1"/>
  <c r="CC219" i="9"/>
  <c r="BT219" i="9"/>
  <c r="BU219" i="9" s="1"/>
  <c r="BS219" i="9"/>
  <c r="CC227" i="9"/>
  <c r="BT227" i="9"/>
  <c r="BU227" i="9" s="1"/>
  <c r="BS227" i="9"/>
  <c r="CC235" i="9"/>
  <c r="BT235" i="9"/>
  <c r="BU235" i="9" s="1"/>
  <c r="BS235" i="9"/>
  <c r="BS243" i="9"/>
  <c r="CC243" i="9"/>
  <c r="BT243" i="9"/>
  <c r="BU243" i="9" s="1"/>
  <c r="BS253" i="9"/>
  <c r="CC253" i="9"/>
  <c r="BT253" i="9"/>
  <c r="BU253" i="9" s="1"/>
  <c r="BS261" i="9"/>
  <c r="CC261" i="9"/>
  <c r="BT261" i="9"/>
  <c r="BU261" i="9" s="1"/>
  <c r="BS269" i="9"/>
  <c r="CC269" i="9"/>
  <c r="BT269" i="9"/>
  <c r="BU269" i="9" s="1"/>
  <c r="BS278" i="9"/>
  <c r="CC278" i="9"/>
  <c r="BT278" i="9"/>
  <c r="BU278" i="9" s="1"/>
  <c r="CC250" i="9"/>
  <c r="BT250" i="9"/>
  <c r="BU250" i="9" s="1"/>
  <c r="BS250" i="9"/>
  <c r="CC258" i="9"/>
  <c r="BT258" i="9"/>
  <c r="BU258" i="9" s="1"/>
  <c r="BS258" i="9"/>
  <c r="CC266" i="9"/>
  <c r="BT266" i="9"/>
  <c r="BU266" i="9" s="1"/>
  <c r="BS266" i="9"/>
  <c r="CC274" i="9"/>
  <c r="BT274" i="9"/>
  <c r="BU274" i="9" s="1"/>
  <c r="BS274" i="9"/>
  <c r="BS281" i="9"/>
  <c r="CC281" i="9"/>
  <c r="BT281" i="9"/>
  <c r="BU281" i="9" s="1"/>
  <c r="BS289" i="9"/>
  <c r="CC289" i="9"/>
  <c r="BT289" i="9"/>
  <c r="BU289" i="9" s="1"/>
  <c r="BS297" i="9"/>
  <c r="CC297" i="9"/>
  <c r="BT297" i="9"/>
  <c r="BU297" i="9" s="1"/>
  <c r="BS305" i="9"/>
  <c r="CC305" i="9"/>
  <c r="BT305" i="9"/>
  <c r="BU305" i="9" s="1"/>
  <c r="CC282" i="9"/>
  <c r="BT282" i="9"/>
  <c r="BU282" i="9" s="1"/>
  <c r="BS282" i="9"/>
  <c r="CC290" i="9"/>
  <c r="BT290" i="9"/>
  <c r="BU290" i="9" s="1"/>
  <c r="BS290" i="9"/>
  <c r="CC298" i="9"/>
  <c r="BT298" i="9"/>
  <c r="BU298" i="9" s="1"/>
  <c r="BS298" i="9"/>
  <c r="BS311" i="9"/>
  <c r="CC311" i="9"/>
  <c r="BT311" i="9"/>
  <c r="BU311" i="9" s="1"/>
  <c r="CC306" i="9"/>
  <c r="BT306" i="9"/>
  <c r="BU306" i="9" s="1"/>
  <c r="BS306" i="9"/>
  <c r="CC314" i="9"/>
  <c r="BT314" i="9"/>
  <c r="BU314" i="9" s="1"/>
  <c r="BS314" i="9"/>
  <c r="BS8" i="9"/>
  <c r="CC8" i="9"/>
  <c r="BT8" i="9"/>
  <c r="BU8" i="9" s="1"/>
  <c r="BS6" i="9"/>
  <c r="CC6" i="9"/>
  <c r="BT6" i="9"/>
  <c r="BU6" i="9" s="1"/>
  <c r="BS19" i="9"/>
  <c r="CC19" i="9"/>
  <c r="BT19" i="9"/>
  <c r="BU19" i="9" s="1"/>
  <c r="BT5" i="9"/>
  <c r="CC5" i="9"/>
  <c r="BR320" i="9"/>
  <c r="BS5" i="9"/>
  <c r="BT13" i="9"/>
  <c r="BU13" i="9" s="1"/>
  <c r="BS13" i="9"/>
  <c r="CC13" i="9"/>
  <c r="CC25" i="9"/>
  <c r="BT25" i="9"/>
  <c r="BU25" i="9" s="1"/>
  <c r="BS25" i="9"/>
  <c r="CC39" i="9"/>
  <c r="BT39" i="9"/>
  <c r="BU39" i="9" s="1"/>
  <c r="BS39" i="9"/>
  <c r="CC47" i="9"/>
  <c r="BT47" i="9"/>
  <c r="BU47" i="9" s="1"/>
  <c r="BS47" i="9"/>
  <c r="CC55" i="9"/>
  <c r="BT55" i="9"/>
  <c r="BU55" i="9" s="1"/>
  <c r="BS55" i="9"/>
  <c r="CC63" i="9"/>
  <c r="BT63" i="9"/>
  <c r="BU63" i="9" s="1"/>
  <c r="BS63" i="9"/>
  <c r="CC71" i="9"/>
  <c r="BT71" i="9"/>
  <c r="BU71" i="9" s="1"/>
  <c r="BS71" i="9"/>
  <c r="CC79" i="9"/>
  <c r="BT79" i="9"/>
  <c r="BU79" i="9" s="1"/>
  <c r="BS79" i="9"/>
  <c r="CC87" i="9"/>
  <c r="BT87" i="9"/>
  <c r="BU87" i="9" s="1"/>
  <c r="BS87" i="9"/>
  <c r="CC95" i="9"/>
  <c r="BT95" i="9"/>
  <c r="BU95" i="9" s="1"/>
  <c r="BS95" i="9"/>
  <c r="CC103" i="9"/>
  <c r="BT103" i="9"/>
  <c r="BU103" i="9" s="1"/>
  <c r="BS103" i="9"/>
  <c r="CC111" i="9"/>
  <c r="BT111" i="9"/>
  <c r="BU111" i="9" s="1"/>
  <c r="BS111" i="9"/>
  <c r="CC119" i="9"/>
  <c r="BT119" i="9"/>
  <c r="BU119" i="9" s="1"/>
  <c r="BS119" i="9"/>
  <c r="CC128" i="9"/>
  <c r="BT128" i="9"/>
  <c r="BU128" i="9" s="1"/>
  <c r="BS128" i="9"/>
  <c r="CC144" i="9"/>
  <c r="BT144" i="9"/>
  <c r="BU144" i="9" s="1"/>
  <c r="BS144" i="9"/>
  <c r="CC160" i="9"/>
  <c r="BT160" i="9"/>
  <c r="BU160" i="9" s="1"/>
  <c r="BS160" i="9"/>
  <c r="CC179" i="9"/>
  <c r="BT179" i="9"/>
  <c r="BU179" i="9" s="1"/>
  <c r="BS179" i="9"/>
  <c r="CC211" i="9"/>
  <c r="BT211" i="9"/>
  <c r="BU211" i="9" s="1"/>
  <c r="BS211" i="9"/>
  <c r="BT26" i="9"/>
  <c r="BU26" i="9" s="1"/>
  <c r="CC26" i="9"/>
  <c r="BS26" i="9"/>
  <c r="BT34" i="9"/>
  <c r="BU34" i="9" s="1"/>
  <c r="CC34" i="9"/>
  <c r="BS34" i="9"/>
  <c r="BT42" i="9"/>
  <c r="BU42" i="9" s="1"/>
  <c r="BS42" i="9"/>
  <c r="CC42" i="9"/>
  <c r="BT50" i="9"/>
  <c r="BU50" i="9" s="1"/>
  <c r="BS50" i="9"/>
  <c r="CC50" i="9"/>
  <c r="BT58" i="9"/>
  <c r="BU58" i="9" s="1"/>
  <c r="BS58" i="9"/>
  <c r="CC58" i="9"/>
  <c r="BT66" i="9"/>
  <c r="BU66" i="9" s="1"/>
  <c r="BS66" i="9"/>
  <c r="CC66" i="9"/>
  <c r="BT74" i="9"/>
  <c r="BU74" i="9" s="1"/>
  <c r="BS74" i="9"/>
  <c r="CC74" i="9"/>
  <c r="BT82" i="9"/>
  <c r="BU82" i="9" s="1"/>
  <c r="BS82" i="9"/>
  <c r="CC82" i="9"/>
  <c r="BT90" i="9"/>
  <c r="BU90" i="9" s="1"/>
  <c r="BS90" i="9"/>
  <c r="CC90" i="9"/>
  <c r="BT98" i="9"/>
  <c r="BU98" i="9" s="1"/>
  <c r="BS98" i="9"/>
  <c r="CC98" i="9"/>
  <c r="BT106" i="9"/>
  <c r="BU106" i="9" s="1"/>
  <c r="BS106" i="9"/>
  <c r="CC106" i="9"/>
  <c r="BT114" i="9"/>
  <c r="BU114" i="9" s="1"/>
  <c r="BS114" i="9"/>
  <c r="CC114" i="9"/>
  <c r="BT122" i="9"/>
  <c r="BU122" i="9" s="1"/>
  <c r="BS122" i="9"/>
  <c r="CC122" i="9"/>
  <c r="CC138" i="9"/>
  <c r="BT138" i="9"/>
  <c r="BU138" i="9" s="1"/>
  <c r="BS138" i="9"/>
  <c r="CC154" i="9"/>
  <c r="BT154" i="9"/>
  <c r="BU154" i="9" s="1"/>
  <c r="BS154" i="9"/>
  <c r="CC170" i="9"/>
  <c r="BT170" i="9"/>
  <c r="BU170" i="9" s="1"/>
  <c r="BS170" i="9"/>
  <c r="CC191" i="9"/>
  <c r="BT191" i="9"/>
  <c r="BU191" i="9" s="1"/>
  <c r="BS191" i="9"/>
  <c r="BT127" i="9"/>
  <c r="BU127" i="9" s="1"/>
  <c r="CC127" i="9"/>
  <c r="BS127" i="9"/>
  <c r="BT135" i="9"/>
  <c r="BU135" i="9" s="1"/>
  <c r="CC135" i="9"/>
  <c r="BS135" i="9"/>
  <c r="BT143" i="9"/>
  <c r="BU143" i="9" s="1"/>
  <c r="CC143" i="9"/>
  <c r="BS143" i="9"/>
  <c r="BT151" i="9"/>
  <c r="BU151" i="9" s="1"/>
  <c r="CC151" i="9"/>
  <c r="BS151" i="9"/>
  <c r="BT159" i="9"/>
  <c r="BU159" i="9" s="1"/>
  <c r="CC159" i="9"/>
  <c r="BS159" i="9"/>
  <c r="BT167" i="9"/>
  <c r="BU167" i="9" s="1"/>
  <c r="CC167" i="9"/>
  <c r="BS167" i="9"/>
  <c r="CC177" i="9"/>
  <c r="BT177" i="9"/>
  <c r="BU177" i="9" s="1"/>
  <c r="BS177" i="9"/>
  <c r="CC193" i="9"/>
  <c r="BT193" i="9"/>
  <c r="BU193" i="9" s="1"/>
  <c r="BS193" i="9"/>
  <c r="CC209" i="9"/>
  <c r="BT209" i="9"/>
  <c r="BU209" i="9" s="1"/>
  <c r="BS209" i="9"/>
  <c r="BT180" i="9"/>
  <c r="BU180" i="9" s="1"/>
  <c r="BS180" i="9"/>
  <c r="CC180" i="9"/>
  <c r="BT188" i="9"/>
  <c r="BU188" i="9" s="1"/>
  <c r="BS188" i="9"/>
  <c r="CC188" i="9"/>
  <c r="BT196" i="9"/>
  <c r="BU196" i="9" s="1"/>
  <c r="BS196" i="9"/>
  <c r="CC196" i="9"/>
  <c r="BT204" i="9"/>
  <c r="BU204" i="9" s="1"/>
  <c r="BS204" i="9"/>
  <c r="CC204" i="9"/>
  <c r="BT212" i="9"/>
  <c r="BU212" i="9" s="1"/>
  <c r="BS212" i="9"/>
  <c r="CC212" i="9"/>
  <c r="CC220" i="9"/>
  <c r="BT220" i="9"/>
  <c r="BU220" i="9" s="1"/>
  <c r="BS220" i="9"/>
  <c r="CC228" i="9"/>
  <c r="BT228" i="9"/>
  <c r="BU228" i="9" s="1"/>
  <c r="BS228" i="9"/>
  <c r="CC236" i="9"/>
  <c r="BT236" i="9"/>
  <c r="BU236" i="9" s="1"/>
  <c r="BS236" i="9"/>
  <c r="CC245" i="9"/>
  <c r="BT245" i="9"/>
  <c r="BU245" i="9" s="1"/>
  <c r="BS245" i="9"/>
  <c r="BT221" i="9"/>
  <c r="BU221" i="9" s="1"/>
  <c r="BS221" i="9"/>
  <c r="CC221" i="9"/>
  <c r="BT229" i="9"/>
  <c r="BU229" i="9" s="1"/>
  <c r="BS229" i="9"/>
  <c r="CC229" i="9"/>
  <c r="BT237" i="9"/>
  <c r="BU237" i="9" s="1"/>
  <c r="BS237" i="9"/>
  <c r="CC237" i="9"/>
  <c r="CC247" i="9"/>
  <c r="BT247" i="9"/>
  <c r="BU247" i="9" s="1"/>
  <c r="BS247" i="9"/>
  <c r="CC255" i="9"/>
  <c r="BT255" i="9"/>
  <c r="BU255" i="9" s="1"/>
  <c r="BS255" i="9"/>
  <c r="CC263" i="9"/>
  <c r="BT263" i="9"/>
  <c r="BU263" i="9" s="1"/>
  <c r="BS263" i="9"/>
  <c r="CC271" i="9"/>
  <c r="BT271" i="9"/>
  <c r="BU271" i="9" s="1"/>
  <c r="BS271" i="9"/>
  <c r="BT244" i="9"/>
  <c r="BU244" i="9" s="1"/>
  <c r="CC244" i="9"/>
  <c r="BS244" i="9"/>
  <c r="BT252" i="9"/>
  <c r="BU252" i="9" s="1"/>
  <c r="BS252" i="9"/>
  <c r="CC252" i="9"/>
  <c r="BT260" i="9"/>
  <c r="BU260" i="9" s="1"/>
  <c r="BS260" i="9"/>
  <c r="CC260" i="9"/>
  <c r="BT268" i="9"/>
  <c r="BU268" i="9" s="1"/>
  <c r="BS268" i="9"/>
  <c r="CC268" i="9"/>
  <c r="BT276" i="9"/>
  <c r="BU276" i="9" s="1"/>
  <c r="BS276" i="9"/>
  <c r="CC276" i="9"/>
  <c r="CC283" i="9"/>
  <c r="BT283" i="9"/>
  <c r="BU283" i="9" s="1"/>
  <c r="BS283" i="9"/>
  <c r="CC291" i="9"/>
  <c r="BT291" i="9"/>
  <c r="BU291" i="9" s="1"/>
  <c r="BS291" i="9"/>
  <c r="CC299" i="9"/>
  <c r="BT299" i="9"/>
  <c r="BU299" i="9" s="1"/>
  <c r="BS299" i="9"/>
  <c r="CC309" i="9"/>
  <c r="BT309" i="9"/>
  <c r="BU309" i="9" s="1"/>
  <c r="BS309" i="9"/>
  <c r="BT284" i="9"/>
  <c r="BU284" i="9" s="1"/>
  <c r="BS284" i="9"/>
  <c r="CC284" i="9"/>
  <c r="BT292" i="9"/>
  <c r="BU292" i="9" s="1"/>
  <c r="BS292" i="9"/>
  <c r="CC292" i="9"/>
  <c r="BT300" i="9"/>
  <c r="BU300" i="9" s="1"/>
  <c r="BS300" i="9"/>
  <c r="CC300" i="9"/>
  <c r="CC315" i="9"/>
  <c r="BT315" i="9"/>
  <c r="BU315" i="9" s="1"/>
  <c r="BS315" i="9"/>
  <c r="BT308" i="9"/>
  <c r="BU308" i="9" s="1"/>
  <c r="CC308" i="9"/>
  <c r="BS308" i="9"/>
  <c r="CC316" i="9"/>
  <c r="BT316" i="9"/>
  <c r="BU316" i="9" s="1"/>
  <c r="BS316" i="9"/>
  <c r="CO243" i="9"/>
  <c r="CA269" i="9"/>
  <c r="CK269" i="9"/>
  <c r="CB275" i="9"/>
  <c r="CD187" i="9"/>
  <c r="BW187" i="9"/>
  <c r="BY187" i="9"/>
  <c r="BZ187" i="9"/>
  <c r="BW155" i="9"/>
  <c r="BY155" i="9"/>
  <c r="BZ155" i="9"/>
  <c r="CD155" i="9"/>
  <c r="CB155" i="9"/>
  <c r="BZ91" i="9"/>
  <c r="BY91" i="9"/>
  <c r="BW91" i="9"/>
  <c r="CD91" i="9"/>
  <c r="CB59" i="9"/>
  <c r="BZ69" i="9"/>
  <c r="BY69" i="9"/>
  <c r="BW69" i="9"/>
  <c r="CD69" i="9"/>
  <c r="CB35" i="9"/>
  <c r="DB235" i="9"/>
  <c r="R39" i="2"/>
  <c r="BO164" i="9"/>
  <c r="AY369" i="9"/>
  <c r="BD397" i="9"/>
  <c r="BO75" i="9"/>
  <c r="BO301" i="9"/>
  <c r="BO29" i="9"/>
  <c r="BO172" i="9"/>
  <c r="AX386" i="9"/>
  <c r="AS372" i="9"/>
  <c r="BM66" i="9"/>
  <c r="BL66" i="9"/>
  <c r="BJ66" i="9"/>
  <c r="BQ66" i="9"/>
  <c r="BO66" i="9"/>
  <c r="BM194" i="9"/>
  <c r="BJ194" i="9"/>
  <c r="BL194" i="9"/>
  <c r="BQ194" i="9"/>
  <c r="BO194" i="9"/>
  <c r="BM226" i="9"/>
  <c r="BL226" i="9"/>
  <c r="BJ226" i="9"/>
  <c r="BQ226" i="9"/>
  <c r="BO226" i="9"/>
  <c r="BM89" i="9"/>
  <c r="BJ89" i="9"/>
  <c r="BL89" i="9"/>
  <c r="BQ89" i="9"/>
  <c r="BO89" i="9"/>
  <c r="BZ65" i="9"/>
  <c r="BY65" i="9"/>
  <c r="BW65" i="9"/>
  <c r="CD65" i="9"/>
  <c r="CB65" i="9"/>
  <c r="BW266" i="9"/>
  <c r="BY266" i="9"/>
  <c r="BZ266" i="9"/>
  <c r="CD266" i="9"/>
  <c r="BO51" i="9"/>
  <c r="BO118" i="9"/>
  <c r="BM102" i="9"/>
  <c r="BL102" i="9"/>
  <c r="BJ102" i="9"/>
  <c r="BQ102" i="9"/>
  <c r="BM134" i="9"/>
  <c r="BL134" i="9"/>
  <c r="BJ134" i="9"/>
  <c r="BQ134" i="9"/>
  <c r="BO134" i="9"/>
  <c r="BM290" i="9"/>
  <c r="BJ290" i="9"/>
  <c r="BL290" i="9"/>
  <c r="BQ290" i="9"/>
  <c r="BM160" i="9"/>
  <c r="BL160" i="9"/>
  <c r="BJ160" i="9"/>
  <c r="BQ160" i="9"/>
  <c r="BO160" i="9"/>
  <c r="BM299" i="9"/>
  <c r="BJ299" i="9"/>
  <c r="BL299" i="9"/>
  <c r="BQ299" i="9"/>
  <c r="BO299" i="9"/>
  <c r="BM15" i="9"/>
  <c r="BJ15" i="9"/>
  <c r="BL15" i="9"/>
  <c r="BQ15" i="9"/>
  <c r="BO15" i="9"/>
  <c r="BM282" i="9"/>
  <c r="BJ282" i="9"/>
  <c r="BL282" i="9"/>
  <c r="BQ282" i="9"/>
  <c r="BM309" i="9"/>
  <c r="BJ309" i="9"/>
  <c r="BL309" i="9"/>
  <c r="BQ309" i="9"/>
  <c r="BO28" i="9"/>
  <c r="CB27" i="9"/>
  <c r="BO13" i="9"/>
  <c r="BM67" i="9"/>
  <c r="BJ67" i="9"/>
  <c r="BL67" i="9"/>
  <c r="BQ67" i="9"/>
  <c r="BO67" i="9"/>
  <c r="BA353" i="9"/>
  <c r="BB356" i="9" s="1"/>
  <c r="BO78" i="9"/>
  <c r="BM166" i="9"/>
  <c r="BL166" i="9"/>
  <c r="BJ166" i="9"/>
  <c r="BQ166" i="9"/>
  <c r="BO166" i="9"/>
  <c r="BJ240" i="9"/>
  <c r="BL240" i="9"/>
  <c r="BQ240" i="9"/>
  <c r="BM240" i="9"/>
  <c r="BO255" i="9"/>
  <c r="BO12" i="9"/>
  <c r="BJ252" i="9"/>
  <c r="BL252" i="9"/>
  <c r="BQ252" i="9"/>
  <c r="BM252" i="9"/>
  <c r="CA6" i="9"/>
  <c r="CK6" i="9"/>
  <c r="CM293" i="9"/>
  <c r="CJ293" i="9"/>
  <c r="CL293" i="9"/>
  <c r="CO293" i="9"/>
  <c r="CQ293" i="9"/>
  <c r="CM285" i="9"/>
  <c r="CJ285" i="9"/>
  <c r="CL285" i="9"/>
  <c r="CO285" i="9"/>
  <c r="CQ285" i="9"/>
  <c r="CM249" i="9"/>
  <c r="CJ249" i="9"/>
  <c r="CL249" i="9"/>
  <c r="CO249" i="9"/>
  <c r="CQ249" i="9"/>
  <c r="CI435" i="9"/>
  <c r="CK434" i="9"/>
  <c r="CI430" i="9"/>
  <c r="CI431" i="9"/>
  <c r="CI443" i="9"/>
  <c r="CI445" i="9" s="1"/>
  <c r="CI419" i="9"/>
  <c r="CK420" i="9" s="1"/>
  <c r="AB13" i="2" s="1"/>
  <c r="CI326" i="9" s="1"/>
  <c r="CA158" i="9"/>
  <c r="CK158" i="9"/>
  <c r="BZ308" i="9"/>
  <c r="BY308" i="9"/>
  <c r="BW308" i="9"/>
  <c r="CD308" i="9"/>
  <c r="CD179" i="9"/>
  <c r="BW179" i="9"/>
  <c r="BY179" i="9"/>
  <c r="BZ179" i="9"/>
  <c r="BY149" i="9"/>
  <c r="BW149" i="9"/>
  <c r="BZ149" i="9"/>
  <c r="CD149" i="9"/>
  <c r="CB107" i="9"/>
  <c r="CB311" i="9"/>
  <c r="BY133" i="9"/>
  <c r="BW133" i="9"/>
  <c r="BZ133" i="9"/>
  <c r="CD133" i="9"/>
  <c r="CB101" i="9"/>
  <c r="BZ31" i="9"/>
  <c r="BY31" i="9"/>
  <c r="BW31" i="9"/>
  <c r="CD31" i="9"/>
  <c r="CB31" i="9"/>
  <c r="BP386" i="9"/>
  <c r="BP389" i="9"/>
  <c r="BP388" i="9"/>
  <c r="BH364" i="9"/>
  <c r="BH363" i="9"/>
  <c r="BH361" i="9"/>
  <c r="BH356" i="9"/>
  <c r="BH355" i="9"/>
  <c r="DB219" i="9"/>
  <c r="BO23" i="9"/>
  <c r="BL229" i="9"/>
  <c r="BJ229" i="9"/>
  <c r="BM229" i="9"/>
  <c r="BQ229" i="9"/>
  <c r="BM117" i="9"/>
  <c r="BJ117" i="9"/>
  <c r="BL117" i="9"/>
  <c r="BQ117" i="9"/>
  <c r="BO117" i="9"/>
  <c r="BO191" i="9"/>
  <c r="BM157" i="9"/>
  <c r="BJ157" i="9"/>
  <c r="BL157" i="9"/>
  <c r="BQ157" i="9"/>
  <c r="BO233" i="9"/>
  <c r="BM125" i="9"/>
  <c r="BJ125" i="9"/>
  <c r="BL125" i="9"/>
  <c r="BQ125" i="9"/>
  <c r="BO177" i="9"/>
  <c r="BO19" i="9"/>
  <c r="AX384" i="9"/>
  <c r="BC383" i="9"/>
  <c r="AX383" i="9" s="1"/>
  <c r="AU371" i="9"/>
  <c r="AU350" i="9"/>
  <c r="AK394" i="9"/>
  <c r="AJ376" i="9"/>
  <c r="AJ377" i="9"/>
  <c r="AJ375" i="9"/>
  <c r="AM367" i="9"/>
  <c r="AK367" i="9" s="1"/>
  <c r="AK335" i="9"/>
  <c r="AL335" i="9" s="1"/>
  <c r="AQ385" i="9"/>
  <c r="AN360" i="9"/>
  <c r="AL360" i="9"/>
  <c r="AI335" i="9"/>
  <c r="AJ335" i="9" s="1"/>
  <c r="AF360" i="9"/>
  <c r="AH360" i="9"/>
  <c r="AP385" i="9"/>
  <c r="AK385" i="9" s="1"/>
  <c r="AN363" i="9"/>
  <c r="AK338" i="9"/>
  <c r="AL338" i="9" s="1"/>
  <c r="AQ388" i="9"/>
  <c r="AL363" i="9"/>
  <c r="AI338" i="9"/>
  <c r="AJ338" i="9" s="1"/>
  <c r="AP388" i="9"/>
  <c r="AH363" i="9"/>
  <c r="AF363" i="9"/>
  <c r="AN358" i="9"/>
  <c r="AK333" i="9"/>
  <c r="AL333" i="9" s="1"/>
  <c r="AI333" i="9"/>
  <c r="AJ333" i="9" s="1"/>
  <c r="AQ383" i="9"/>
  <c r="AL358" i="9"/>
  <c r="AF358" i="9"/>
  <c r="AP383" i="9"/>
  <c r="AH358" i="9"/>
  <c r="AQ381" i="9"/>
  <c r="AL356" i="9"/>
  <c r="AN356" i="9"/>
  <c r="AK331" i="9"/>
  <c r="AL331" i="9" s="1"/>
  <c r="AI331" i="9"/>
  <c r="AJ331" i="9" s="1"/>
  <c r="AH356" i="9"/>
  <c r="AP381" i="9"/>
  <c r="AK381" i="9" s="1"/>
  <c r="AF356" i="9"/>
  <c r="AL351" i="9"/>
  <c r="AI326" i="9"/>
  <c r="AQ376" i="9"/>
  <c r="AN351" i="9"/>
  <c r="AK326" i="9"/>
  <c r="AP376" i="9"/>
  <c r="AH351" i="9"/>
  <c r="AF351" i="9"/>
  <c r="AQ387" i="9"/>
  <c r="AL362" i="9"/>
  <c r="AI337" i="9"/>
  <c r="AJ337" i="9" s="1"/>
  <c r="AJ336" i="9" s="1"/>
  <c r="AN362" i="9"/>
  <c r="AK337" i="9"/>
  <c r="AL337" i="9" s="1"/>
  <c r="AP387" i="9"/>
  <c r="AH362" i="9"/>
  <c r="AF362" i="9"/>
  <c r="AN355" i="9"/>
  <c r="AK330" i="9"/>
  <c r="AL330" i="9" s="1"/>
  <c r="AQ380" i="9"/>
  <c r="AL355" i="9"/>
  <c r="AI330" i="9"/>
  <c r="AJ330" i="9" s="1"/>
  <c r="AF355" i="9"/>
  <c r="AP380" i="9"/>
  <c r="AK380" i="9" s="1"/>
  <c r="AH355" i="9"/>
  <c r="AQ384" i="9"/>
  <c r="AL359" i="9"/>
  <c r="AI334" i="9"/>
  <c r="AJ334" i="9" s="1"/>
  <c r="AN359" i="9"/>
  <c r="AK334" i="9"/>
  <c r="AL334" i="9" s="1"/>
  <c r="AH359" i="9"/>
  <c r="AP384" i="9"/>
  <c r="AK384" i="9" s="1"/>
  <c r="AF359" i="9"/>
  <c r="AQ375" i="9"/>
  <c r="AN350" i="9"/>
  <c r="AK325" i="9"/>
  <c r="AI325" i="9"/>
  <c r="AL350" i="9"/>
  <c r="AP375" i="9"/>
  <c r="AF350" i="9"/>
  <c r="AH350" i="9"/>
  <c r="AN352" i="9"/>
  <c r="AK327" i="9"/>
  <c r="AQ377" i="9"/>
  <c r="AQ397" i="9" s="1"/>
  <c r="AL352" i="9"/>
  <c r="AL372" i="9" s="1"/>
  <c r="AI327" i="9"/>
  <c r="AF352" i="9"/>
  <c r="AF372" i="9" s="1"/>
  <c r="AH352" i="9"/>
  <c r="AP377" i="9"/>
  <c r="AK393" i="9"/>
  <c r="AM368" i="9"/>
  <c r="AK368" i="9" s="1"/>
  <c r="K39" i="2"/>
  <c r="K46" i="2"/>
  <c r="L39" i="2"/>
  <c r="L46" i="2"/>
  <c r="D11" i="17"/>
  <c r="BP167" i="14"/>
  <c r="BK159" i="14"/>
  <c r="BK167" i="14" s="1"/>
  <c r="BX133" i="14"/>
  <c r="CC159" i="14"/>
  <c r="AM154" i="14"/>
  <c r="AK146" i="14"/>
  <c r="CD159" i="14"/>
  <c r="CD167" i="14" s="1"/>
  <c r="BU146" i="14"/>
  <c r="CA146" i="14"/>
  <c r="BK141" i="14"/>
  <c r="BL133" i="14"/>
  <c r="AX191" i="14"/>
  <c r="AX195" i="14" s="1"/>
  <c r="AW195" i="14" s="1"/>
  <c r="AY141" i="14"/>
  <c r="AW141" i="14"/>
  <c r="AK191" i="14"/>
  <c r="AK195" i="14" s="1"/>
  <c r="AJ195" i="14" s="1"/>
  <c r="AJ141" i="14"/>
  <c r="AL141" i="14"/>
  <c r="BS146" i="14"/>
  <c r="BN154" i="14"/>
  <c r="BM146" i="14"/>
  <c r="AX146" i="14"/>
  <c r="AZ154" i="14"/>
  <c r="BV159" i="14"/>
  <c r="BV167" i="14" s="1"/>
  <c r="BY146" i="14"/>
  <c r="BY154" i="14" s="1"/>
  <c r="AP56" i="13"/>
  <c r="AO39" i="13"/>
  <c r="AO75" i="13"/>
  <c r="AO36" i="13"/>
  <c r="AO61" i="13"/>
  <c r="AO74" i="13"/>
  <c r="AP20" i="13"/>
  <c r="AO20" i="13"/>
  <c r="AO43" i="13"/>
  <c r="AO83" i="13"/>
  <c r="AO40" i="13"/>
  <c r="AO69" i="13"/>
  <c r="AO78" i="13"/>
  <c r="AP17" i="13"/>
  <c r="AP69" i="13"/>
  <c r="AP38" i="13"/>
  <c r="AP82" i="13"/>
  <c r="AP60" i="13"/>
  <c r="AP77" i="13"/>
  <c r="AP42" i="13"/>
  <c r="AP55" i="13"/>
  <c r="AP44" i="13"/>
  <c r="AP57" i="13"/>
  <c r="AP41" i="13"/>
  <c r="AP74" i="13"/>
  <c r="AP75" i="13"/>
  <c r="AP48" i="13"/>
  <c r="AP61" i="13"/>
  <c r="AP34" i="13"/>
  <c r="AP78" i="13"/>
  <c r="AP83" i="13"/>
  <c r="AN41" i="13"/>
  <c r="AN74" i="13"/>
  <c r="AN75" i="13"/>
  <c r="AN43" i="13"/>
  <c r="AN68" i="13"/>
  <c r="AN81" i="13"/>
  <c r="AN34" i="13"/>
  <c r="AN78" i="13"/>
  <c r="AN83" i="13"/>
  <c r="AN47" i="13"/>
  <c r="AN76" i="13"/>
  <c r="AN85" i="13"/>
  <c r="AN15" i="13"/>
  <c r="AN54" i="13"/>
  <c r="AN67" i="13"/>
  <c r="AN35" i="13"/>
  <c r="AN56" i="13"/>
  <c r="AN69" i="13"/>
  <c r="AN33" i="13"/>
  <c r="AN70" i="13"/>
  <c r="AN71" i="13"/>
  <c r="AN39" i="13"/>
  <c r="AN60" i="13"/>
  <c r="AN77" i="13"/>
  <c r="AO31" i="13"/>
  <c r="AO67" i="13"/>
  <c r="AO84" i="13"/>
  <c r="AO49" i="13"/>
  <c r="AO54" i="13"/>
  <c r="AO15" i="13"/>
  <c r="AO35" i="13"/>
  <c r="AO71" i="13"/>
  <c r="AO17" i="13"/>
  <c r="AO57" i="13"/>
  <c r="AO70" i="13"/>
  <c r="AP16" i="13"/>
  <c r="AO16" i="13"/>
  <c r="AO42" i="13"/>
  <c r="AO59" i="13"/>
  <c r="AO68" i="13"/>
  <c r="AO33" i="13"/>
  <c r="AO85" i="13"/>
  <c r="AP39" i="13"/>
  <c r="AO46" i="13"/>
  <c r="AO63" i="13"/>
  <c r="AO76" i="13"/>
  <c r="AO41" i="13"/>
  <c r="AO50" i="13"/>
  <c r="AP47" i="13"/>
  <c r="AP84" i="13"/>
  <c r="AP15" i="13"/>
  <c r="AP54" i="13"/>
  <c r="AP67" i="13"/>
  <c r="AP40" i="13"/>
  <c r="AP49" i="13"/>
  <c r="AP33" i="13"/>
  <c r="AP70" i="13"/>
  <c r="AP71" i="13"/>
  <c r="AP43" i="13"/>
  <c r="AP68" i="13"/>
  <c r="AP81" i="13"/>
  <c r="AP46" i="13"/>
  <c r="AP59" i="13"/>
  <c r="AP76" i="13"/>
  <c r="AP85" i="13"/>
  <c r="AP50" i="13"/>
  <c r="AP63" i="13"/>
  <c r="AN46" i="13"/>
  <c r="AN59" i="13"/>
  <c r="AN17" i="13"/>
  <c r="AN44" i="13"/>
  <c r="AN57" i="13"/>
  <c r="AN50" i="13"/>
  <c r="AN63" i="13"/>
  <c r="AN31" i="13"/>
  <c r="AN48" i="13"/>
  <c r="AN61" i="13"/>
  <c r="AN38" i="13"/>
  <c r="AN82" i="13"/>
  <c r="AN16" i="13"/>
  <c r="AN36" i="13"/>
  <c r="AN84" i="13"/>
  <c r="AN42" i="13"/>
  <c r="AN55" i="13"/>
  <c r="AN20" i="13"/>
  <c r="AN40" i="13"/>
  <c r="AN49" i="13"/>
  <c r="AO34" i="13"/>
  <c r="AO47" i="13"/>
  <c r="AO56" i="13"/>
  <c r="AO44" i="13"/>
  <c r="AO77" i="13"/>
  <c r="AO82" i="13"/>
  <c r="AP31" i="13"/>
  <c r="AO38" i="13"/>
  <c r="AO55" i="13"/>
  <c r="AO60" i="13"/>
  <c r="AO48" i="13"/>
  <c r="AO81" i="13"/>
  <c r="AP35" i="13"/>
  <c r="AP36" i="13"/>
  <c r="H6" i="17"/>
  <c r="H5" i="17"/>
  <c r="W415" i="9"/>
  <c r="P107" i="13"/>
  <c r="W341" i="9"/>
  <c r="G69" i="10"/>
  <c r="D25" i="10"/>
  <c r="D31" i="10" s="1"/>
  <c r="E65" i="10"/>
  <c r="P113" i="13"/>
  <c r="P112" i="13"/>
  <c r="F23" i="10"/>
  <c r="F25" i="10" s="1"/>
  <c r="F31" i="10" s="1"/>
  <c r="I110" i="13"/>
  <c r="P106" i="13"/>
  <c r="E24" i="10"/>
  <c r="P111" i="13"/>
  <c r="E23" i="10"/>
  <c r="C25" i="10"/>
  <c r="V455" i="9"/>
  <c r="CQ315" i="9" l="1"/>
  <c r="CJ315" i="9"/>
  <c r="CL315" i="9"/>
  <c r="CO315" i="9"/>
  <c r="CM315" i="9"/>
  <c r="AH372" i="9"/>
  <c r="AL336" i="9"/>
  <c r="BL338" i="9"/>
  <c r="DK132" i="9"/>
  <c r="DQ132" i="9" s="1"/>
  <c r="BI347" i="9"/>
  <c r="BJ347" i="9" s="1"/>
  <c r="AK383" i="9"/>
  <c r="AJ374" i="9"/>
  <c r="CK419" i="9"/>
  <c r="CK426" i="9"/>
  <c r="AC19" i="2" s="1"/>
  <c r="CI331" i="9" s="1"/>
  <c r="CJ331" i="9" s="1"/>
  <c r="CI447" i="9"/>
  <c r="BL335" i="9"/>
  <c r="BX447" i="9"/>
  <c r="BW390" i="9"/>
  <c r="BM366" i="9"/>
  <c r="BK366" i="9" s="1"/>
  <c r="AN354" i="9"/>
  <c r="AP379" i="9"/>
  <c r="AQ379" i="9"/>
  <c r="AQ395" i="9" s="1"/>
  <c r="AI329" i="9"/>
  <c r="AJ329" i="9" s="1"/>
  <c r="AJ328" i="9" s="1"/>
  <c r="AK329" i="9"/>
  <c r="AL329" i="9" s="1"/>
  <c r="AL328" i="9" s="1"/>
  <c r="AH354" i="9"/>
  <c r="AL354" i="9"/>
  <c r="AL370" i="9" s="1"/>
  <c r="AF354" i="9"/>
  <c r="AF370" i="9" s="1"/>
  <c r="BC387" i="9"/>
  <c r="AS362" i="9"/>
  <c r="AS370" i="9" s="1"/>
  <c r="AV337" i="9"/>
  <c r="AW337" i="9" s="1"/>
  <c r="AW336" i="9" s="1"/>
  <c r="AY362" i="9"/>
  <c r="AY370" i="9" s="1"/>
  <c r="AU362" i="9"/>
  <c r="AU370" i="9" s="1"/>
  <c r="R29" i="2"/>
  <c r="AX337" i="9"/>
  <c r="AY337" i="9" s="1"/>
  <c r="AY336" i="9" s="1"/>
  <c r="BD387" i="9"/>
  <c r="BD395" i="9" s="1"/>
  <c r="AX392" i="9"/>
  <c r="AY334" i="9"/>
  <c r="AY332" i="9" s="1"/>
  <c r="AX346" i="9"/>
  <c r="AI8" i="2"/>
  <c r="AG7" i="2"/>
  <c r="AF6" i="2"/>
  <c r="AE5" i="2"/>
  <c r="BK433" i="9"/>
  <c r="S29" i="2"/>
  <c r="S19" i="2"/>
  <c r="BK423" i="9"/>
  <c r="BK446" i="9"/>
  <c r="AX397" i="9"/>
  <c r="BK391" i="9"/>
  <c r="AZ367" i="9"/>
  <c r="AX367" i="9" s="1"/>
  <c r="BX435" i="9"/>
  <c r="X29" i="2" s="1"/>
  <c r="BV338" i="9" s="1"/>
  <c r="BW338" i="9" s="1"/>
  <c r="BX434" i="9"/>
  <c r="CI424" i="9"/>
  <c r="AA34" i="2"/>
  <c r="BK428" i="9"/>
  <c r="S24" i="2"/>
  <c r="CI421" i="9"/>
  <c r="CK421" i="9" s="1"/>
  <c r="BK418" i="9"/>
  <c r="S13" i="2"/>
  <c r="BX430" i="9"/>
  <c r="CJ326" i="9"/>
  <c r="BN157" i="9"/>
  <c r="BX157" i="9"/>
  <c r="BN117" i="9"/>
  <c r="BX117" i="9"/>
  <c r="BN229" i="9"/>
  <c r="BX229" i="9"/>
  <c r="CA31" i="9"/>
  <c r="CK31" i="9"/>
  <c r="CA179" i="9"/>
  <c r="CK179" i="9"/>
  <c r="CO158" i="9"/>
  <c r="CJ158" i="9"/>
  <c r="CL158" i="9"/>
  <c r="CQ158" i="9"/>
  <c r="CM158" i="9"/>
  <c r="AA13" i="2"/>
  <c r="CN249" i="9"/>
  <c r="CX249" i="9"/>
  <c r="CN293" i="9"/>
  <c r="CX293" i="9"/>
  <c r="BN67" i="9"/>
  <c r="BX67" i="9"/>
  <c r="BN15" i="9"/>
  <c r="BX15" i="9"/>
  <c r="BN160" i="9"/>
  <c r="BX160" i="9"/>
  <c r="BN290" i="9"/>
  <c r="BX290" i="9"/>
  <c r="CA65" i="9"/>
  <c r="CK65" i="9"/>
  <c r="BN226" i="9"/>
  <c r="BX226" i="9"/>
  <c r="BN66" i="9"/>
  <c r="BX66" i="9"/>
  <c r="AW389" i="9"/>
  <c r="AW387" i="9"/>
  <c r="AW388" i="9"/>
  <c r="CA69" i="9"/>
  <c r="CK69" i="9"/>
  <c r="CA155" i="9"/>
  <c r="CK155" i="9"/>
  <c r="CM269" i="9"/>
  <c r="CJ269" i="9"/>
  <c r="CL269" i="9"/>
  <c r="CQ269" i="9"/>
  <c r="CO269" i="9"/>
  <c r="BS355" i="9"/>
  <c r="BS356" i="9"/>
  <c r="CC381" i="9"/>
  <c r="CC380" i="9"/>
  <c r="BT320" i="9"/>
  <c r="BU5" i="9"/>
  <c r="BU320" i="9" s="1"/>
  <c r="BS349" i="9"/>
  <c r="BS350" i="9"/>
  <c r="BS352" i="9"/>
  <c r="BS351" i="9"/>
  <c r="CC376" i="9"/>
  <c r="CC374" i="9"/>
  <c r="CC377" i="9"/>
  <c r="CC375" i="9"/>
  <c r="CQ32" i="9"/>
  <c r="CL32" i="9"/>
  <c r="CJ32" i="9"/>
  <c r="CM32" i="9"/>
  <c r="BX423" i="9"/>
  <c r="W19" i="2"/>
  <c r="BN54" i="9"/>
  <c r="BX54" i="9"/>
  <c r="BN60" i="9"/>
  <c r="BX60" i="9"/>
  <c r="BN305" i="9"/>
  <c r="BX305" i="9"/>
  <c r="BN139" i="9"/>
  <c r="BX139" i="9"/>
  <c r="BN171" i="9"/>
  <c r="BX171" i="9"/>
  <c r="BN278" i="9"/>
  <c r="BX278" i="9"/>
  <c r="BN189" i="9"/>
  <c r="BX189" i="9"/>
  <c r="BN153" i="9"/>
  <c r="BX153" i="9"/>
  <c r="BQ386" i="9"/>
  <c r="BQ389" i="9"/>
  <c r="BK389" i="9" s="1"/>
  <c r="BQ387" i="9"/>
  <c r="BQ388" i="9"/>
  <c r="BN148" i="9"/>
  <c r="BX148" i="9"/>
  <c r="CA61" i="9"/>
  <c r="CK61" i="9"/>
  <c r="BN284" i="9"/>
  <c r="BX284" i="9"/>
  <c r="BN23" i="9"/>
  <c r="BX23" i="9"/>
  <c r="BN312" i="9"/>
  <c r="BX312" i="9"/>
  <c r="BN250" i="9"/>
  <c r="BX250" i="9"/>
  <c r="BN221" i="9"/>
  <c r="BX221" i="9"/>
  <c r="BN137" i="9"/>
  <c r="BX137" i="9"/>
  <c r="BN277" i="9"/>
  <c r="BX277" i="9"/>
  <c r="BN46" i="9"/>
  <c r="BX46" i="9"/>
  <c r="BN193" i="9"/>
  <c r="BX193" i="9"/>
  <c r="BN174" i="9"/>
  <c r="BX174" i="9"/>
  <c r="CA101" i="9"/>
  <c r="CK101" i="9"/>
  <c r="CA311" i="9"/>
  <c r="CK311" i="9"/>
  <c r="CO311" i="9" s="1"/>
  <c r="CA11" i="9"/>
  <c r="CK11" i="9"/>
  <c r="CA163" i="9"/>
  <c r="CK163" i="9"/>
  <c r="CA197" i="9"/>
  <c r="CK197" i="9"/>
  <c r="DB295" i="9"/>
  <c r="CW295" i="9"/>
  <c r="CY295" i="9"/>
  <c r="CZ295" i="9"/>
  <c r="DD295" i="9"/>
  <c r="CZ62" i="9"/>
  <c r="CW62" i="9"/>
  <c r="CY62" i="9"/>
  <c r="DB62" i="9"/>
  <c r="DD62" i="9"/>
  <c r="DB260" i="9"/>
  <c r="CW260" i="9"/>
  <c r="CY260" i="9"/>
  <c r="CZ260" i="9"/>
  <c r="DD260" i="9"/>
  <c r="CK438" i="9"/>
  <c r="AB34" i="2"/>
  <c r="CJ392" i="9"/>
  <c r="CJ393" i="9"/>
  <c r="CJ391" i="9"/>
  <c r="CQ198" i="9"/>
  <c r="CL198" i="9"/>
  <c r="CJ198" i="9"/>
  <c r="CM198" i="9"/>
  <c r="CO198" i="9"/>
  <c r="BN22" i="9"/>
  <c r="BX22" i="9"/>
  <c r="BN115" i="9"/>
  <c r="BX115" i="9"/>
  <c r="BN228" i="9"/>
  <c r="BX228" i="9"/>
  <c r="BN244" i="9"/>
  <c r="BX244" i="9"/>
  <c r="BN296" i="9"/>
  <c r="BX296" i="9"/>
  <c r="BN207" i="9"/>
  <c r="BX207" i="9"/>
  <c r="BN239" i="9"/>
  <c r="BX239" i="9"/>
  <c r="BN314" i="9"/>
  <c r="BX314" i="9"/>
  <c r="BN86" i="9"/>
  <c r="BX86" i="9"/>
  <c r="CA292" i="9"/>
  <c r="CK292" i="9"/>
  <c r="CA271" i="9"/>
  <c r="CK271" i="9"/>
  <c r="BN81" i="9"/>
  <c r="BX81" i="9"/>
  <c r="BN297" i="9"/>
  <c r="BX297" i="9"/>
  <c r="BN182" i="9"/>
  <c r="BX182" i="9"/>
  <c r="BK344" i="9"/>
  <c r="BL327" i="9"/>
  <c r="BQ376" i="9"/>
  <c r="BQ375" i="9"/>
  <c r="BQ374" i="9"/>
  <c r="BQ377" i="9"/>
  <c r="BL352" i="9"/>
  <c r="BL350" i="9"/>
  <c r="BL349" i="9"/>
  <c r="BL351" i="9"/>
  <c r="BN57" i="9"/>
  <c r="BX57" i="9"/>
  <c r="BN10" i="9"/>
  <c r="BX10" i="9"/>
  <c r="BJ320" i="9"/>
  <c r="BK406" i="9" s="1"/>
  <c r="BK405" i="9" s="1"/>
  <c r="BN202" i="9"/>
  <c r="BX202" i="9"/>
  <c r="BN288" i="9"/>
  <c r="BX288" i="9"/>
  <c r="CB288" i="9" s="1"/>
  <c r="CA59" i="9"/>
  <c r="CK59" i="9"/>
  <c r="CA143" i="9"/>
  <c r="CK143" i="9"/>
  <c r="CA199" i="9"/>
  <c r="CK199" i="9"/>
  <c r="CA275" i="9"/>
  <c r="CK275" i="9"/>
  <c r="BZ366" i="9"/>
  <c r="BX366" i="9" s="1"/>
  <c r="BV333" i="9"/>
  <c r="BW333" i="9" s="1"/>
  <c r="Z13" i="2"/>
  <c r="BV325" i="9"/>
  <c r="BN154" i="9"/>
  <c r="BX154" i="9"/>
  <c r="BN241" i="9"/>
  <c r="BX241" i="9"/>
  <c r="BN164" i="9"/>
  <c r="BX164" i="9"/>
  <c r="BN90" i="9"/>
  <c r="BX90" i="9"/>
  <c r="BN310" i="9"/>
  <c r="BX310" i="9"/>
  <c r="BN276" i="9"/>
  <c r="BX276" i="9"/>
  <c r="CB276" i="9" s="1"/>
  <c r="BN156" i="9"/>
  <c r="BX156" i="9"/>
  <c r="BN196" i="9"/>
  <c r="BX196" i="9"/>
  <c r="BN21" i="9"/>
  <c r="BX21" i="9"/>
  <c r="BN13" i="9"/>
  <c r="BX13" i="9"/>
  <c r="BN44" i="9"/>
  <c r="BX44" i="9"/>
  <c r="BN213" i="9"/>
  <c r="BX213" i="9"/>
  <c r="BQ385" i="9"/>
  <c r="BQ384" i="9"/>
  <c r="BQ383" i="9"/>
  <c r="BL359" i="9"/>
  <c r="BL358" i="9"/>
  <c r="BL357" i="9"/>
  <c r="BL360" i="9"/>
  <c r="BN159" i="9"/>
  <c r="BX159" i="9"/>
  <c r="AW384" i="9"/>
  <c r="AW385" i="9"/>
  <c r="AW383" i="9"/>
  <c r="BN129" i="9"/>
  <c r="BX129" i="9"/>
  <c r="BN123" i="9"/>
  <c r="BX123" i="9"/>
  <c r="BN108" i="9"/>
  <c r="BX108" i="9"/>
  <c r="BN94" i="9"/>
  <c r="BX94" i="9"/>
  <c r="CA283" i="9"/>
  <c r="CK283" i="9"/>
  <c r="CM70" i="9"/>
  <c r="CJ70" i="9"/>
  <c r="CL70" i="9"/>
  <c r="CQ70" i="9"/>
  <c r="AA24" i="2"/>
  <c r="CK435" i="9"/>
  <c r="AB29" i="2" s="1"/>
  <c r="CI338" i="9" s="1"/>
  <c r="CJ338" i="9" s="1"/>
  <c r="CJ186" i="9"/>
  <c r="CL186" i="9"/>
  <c r="CQ186" i="9"/>
  <c r="CM186" i="9"/>
  <c r="CO186" i="9"/>
  <c r="BN146" i="9"/>
  <c r="BX146" i="9"/>
  <c r="BN106" i="9"/>
  <c r="BX106" i="9"/>
  <c r="BN52" i="9"/>
  <c r="BX52" i="9"/>
  <c r="BN263" i="9"/>
  <c r="BX263" i="9"/>
  <c r="BN234" i="9"/>
  <c r="BX234" i="9"/>
  <c r="BN191" i="9"/>
  <c r="BX191" i="9"/>
  <c r="BN43" i="9"/>
  <c r="BX43" i="9"/>
  <c r="BN51" i="9"/>
  <c r="BX51" i="9"/>
  <c r="BN114" i="9"/>
  <c r="BX114" i="9"/>
  <c r="BN161" i="9"/>
  <c r="BX161" i="9"/>
  <c r="BQ320" i="9"/>
  <c r="BN313" i="9"/>
  <c r="BX313" i="9"/>
  <c r="CM303" i="9"/>
  <c r="CJ303" i="9"/>
  <c r="CL303" i="9"/>
  <c r="CQ303" i="9"/>
  <c r="CO303" i="9"/>
  <c r="BU360" i="9"/>
  <c r="BU357" i="9"/>
  <c r="BU358" i="9"/>
  <c r="BS357" i="9"/>
  <c r="BS360" i="9"/>
  <c r="BS358" i="9"/>
  <c r="BU353" i="9"/>
  <c r="BS353" i="9"/>
  <c r="CC389" i="9"/>
  <c r="CC386" i="9"/>
  <c r="CC388" i="9"/>
  <c r="BU361" i="9"/>
  <c r="BU364" i="9"/>
  <c r="BU363" i="9"/>
  <c r="X39" i="2"/>
  <c r="X46" i="2"/>
  <c r="BX446" i="9"/>
  <c r="BN227" i="9"/>
  <c r="BX227" i="9"/>
  <c r="CB227" i="9"/>
  <c r="BN212" i="9"/>
  <c r="BX212" i="9"/>
  <c r="BN214" i="9"/>
  <c r="BX214" i="9"/>
  <c r="BN152" i="9"/>
  <c r="BX152" i="9"/>
  <c r="BB355" i="9"/>
  <c r="AZ355" i="9"/>
  <c r="AX355" i="9" s="1"/>
  <c r="BB364" i="9"/>
  <c r="BB362" i="9"/>
  <c r="BB363" i="9"/>
  <c r="AZ361" i="9"/>
  <c r="AX361" i="9" s="1"/>
  <c r="AV345" i="9"/>
  <c r="AW345" i="9" s="1"/>
  <c r="AW344" i="9" s="1"/>
  <c r="AW325" i="9"/>
  <c r="AW324" i="9" s="1"/>
  <c r="BN147" i="9"/>
  <c r="BX147" i="9"/>
  <c r="AW377" i="9"/>
  <c r="AW375" i="9"/>
  <c r="AW376" i="9"/>
  <c r="AX394" i="9"/>
  <c r="BN19" i="9"/>
  <c r="BX19" i="9"/>
  <c r="CB19" i="9" s="1"/>
  <c r="BN246" i="9"/>
  <c r="BX246" i="9"/>
  <c r="BN233" i="9"/>
  <c r="BX233" i="9"/>
  <c r="BN140" i="9"/>
  <c r="BX140" i="9"/>
  <c r="BN264" i="9"/>
  <c r="BX264" i="9"/>
  <c r="BN279" i="9"/>
  <c r="BX279" i="9"/>
  <c r="BH372" i="9"/>
  <c r="BP396" i="9"/>
  <c r="BK376" i="9"/>
  <c r="BK384" i="9"/>
  <c r="CM38" i="9"/>
  <c r="CJ38" i="9"/>
  <c r="CL38" i="9"/>
  <c r="CQ38" i="9"/>
  <c r="DI324" i="9"/>
  <c r="DI418" i="9"/>
  <c r="DJ16" i="9"/>
  <c r="DL16" i="9"/>
  <c r="DM39" i="9"/>
  <c r="DN39" i="9" s="1"/>
  <c r="DJ39" i="9"/>
  <c r="DL39" i="9"/>
  <c r="DM88" i="9"/>
  <c r="DN88" i="9" s="1"/>
  <c r="DL88" i="9"/>
  <c r="DJ88" i="9"/>
  <c r="DJ126" i="9"/>
  <c r="DL126" i="9"/>
  <c r="DM132" i="9"/>
  <c r="DN132" i="9" s="1"/>
  <c r="DJ132" i="9"/>
  <c r="DL132" i="9"/>
  <c r="DK136" i="9"/>
  <c r="DJ24" i="9"/>
  <c r="DL24" i="9"/>
  <c r="DV318" i="9"/>
  <c r="DV317" i="9"/>
  <c r="DV314" i="9"/>
  <c r="DV313" i="9"/>
  <c r="DV292" i="9"/>
  <c r="DV291" i="9"/>
  <c r="DV288" i="9"/>
  <c r="DV287" i="9"/>
  <c r="DV284" i="9"/>
  <c r="DV283" i="9"/>
  <c r="DV280" i="9"/>
  <c r="DV279" i="9"/>
  <c r="DV278" i="9"/>
  <c r="DV277" i="9"/>
  <c r="DV276" i="9"/>
  <c r="DV275" i="9"/>
  <c r="DV274" i="9"/>
  <c r="DV273" i="9"/>
  <c r="DV272" i="9"/>
  <c r="DV271" i="9"/>
  <c r="DV270" i="9"/>
  <c r="DV269" i="9"/>
  <c r="DV268" i="9"/>
  <c r="DV267" i="9"/>
  <c r="DV266" i="9"/>
  <c r="DV265" i="9"/>
  <c r="DV264" i="9"/>
  <c r="DV263" i="9"/>
  <c r="DV262" i="9"/>
  <c r="DV261" i="9"/>
  <c r="DV260" i="9"/>
  <c r="DV259" i="9"/>
  <c r="DV258" i="9"/>
  <c r="DV257" i="9"/>
  <c r="DV256" i="9"/>
  <c r="DV255" i="9"/>
  <c r="DV254" i="9"/>
  <c r="DV253" i="9"/>
  <c r="DV252" i="9"/>
  <c r="DV251" i="9"/>
  <c r="DV250" i="9"/>
  <c r="DV249" i="9"/>
  <c r="DV248" i="9"/>
  <c r="DV246" i="9"/>
  <c r="DV244" i="9"/>
  <c r="DV242" i="9"/>
  <c r="DV240" i="9"/>
  <c r="DV238" i="9"/>
  <c r="DV236" i="9"/>
  <c r="DV234" i="9"/>
  <c r="DV233" i="9"/>
  <c r="DV232" i="9"/>
  <c r="DV231" i="9"/>
  <c r="DV230" i="9"/>
  <c r="DV229" i="9"/>
  <c r="DV228" i="9"/>
  <c r="DV227" i="9"/>
  <c r="DV226" i="9"/>
  <c r="DV225" i="9"/>
  <c r="DV224" i="9"/>
  <c r="DV223" i="9"/>
  <c r="DV222" i="9"/>
  <c r="DV221" i="9"/>
  <c r="DV220" i="9"/>
  <c r="DV219" i="9"/>
  <c r="DV218" i="9"/>
  <c r="DV217" i="9"/>
  <c r="DV216" i="9"/>
  <c r="DV215" i="9"/>
  <c r="DV214" i="9"/>
  <c r="DV213" i="9"/>
  <c r="DV212" i="9"/>
  <c r="DV211" i="9"/>
  <c r="DV210" i="9"/>
  <c r="DV209" i="9"/>
  <c r="DV208" i="9"/>
  <c r="DV207" i="9"/>
  <c r="DV206" i="9"/>
  <c r="DV205" i="9"/>
  <c r="DV204" i="9"/>
  <c r="DV203" i="9"/>
  <c r="DV202" i="9"/>
  <c r="DV201" i="9"/>
  <c r="DV200" i="9"/>
  <c r="DV199" i="9"/>
  <c r="DV198" i="9"/>
  <c r="DV197" i="9"/>
  <c r="DV196" i="9"/>
  <c r="DV195" i="9"/>
  <c r="DV194" i="9"/>
  <c r="DV193" i="9"/>
  <c r="DV192" i="9"/>
  <c r="DV191" i="9"/>
  <c r="DV190" i="9"/>
  <c r="DV189" i="9"/>
  <c r="DV183" i="9"/>
  <c r="DV182" i="9"/>
  <c r="DV181" i="9"/>
  <c r="DV180" i="9"/>
  <c r="DV176" i="9"/>
  <c r="DV175" i="9"/>
  <c r="DV174" i="9"/>
  <c r="DV173" i="9"/>
  <c r="DV168" i="9"/>
  <c r="DV167" i="9"/>
  <c r="DV166" i="9"/>
  <c r="DV161" i="9"/>
  <c r="DV160" i="9"/>
  <c r="DV159" i="9"/>
  <c r="DV158" i="9"/>
  <c r="DV153" i="9"/>
  <c r="DV152" i="9"/>
  <c r="DV151" i="9"/>
  <c r="DV150" i="9"/>
  <c r="DV145" i="9"/>
  <c r="DV144" i="9"/>
  <c r="DV143" i="9"/>
  <c r="DV142" i="9"/>
  <c r="DV137" i="9"/>
  <c r="DV136" i="9"/>
  <c r="DV135" i="9"/>
  <c r="DV134" i="9"/>
  <c r="DX132" i="9"/>
  <c r="DV130" i="9"/>
  <c r="DV129" i="9"/>
  <c r="DV128" i="9"/>
  <c r="DV127" i="9"/>
  <c r="DV122" i="9"/>
  <c r="DV121" i="9"/>
  <c r="DV120" i="9"/>
  <c r="DV119" i="9"/>
  <c r="DV115" i="9"/>
  <c r="DV114" i="9"/>
  <c r="DV113" i="9"/>
  <c r="DV112" i="9"/>
  <c r="DV106" i="9"/>
  <c r="DV105" i="9"/>
  <c r="DV104" i="9"/>
  <c r="DV103" i="9"/>
  <c r="DV98" i="9"/>
  <c r="DV97" i="9"/>
  <c r="DV96" i="9"/>
  <c r="DV95" i="9"/>
  <c r="DV89" i="9"/>
  <c r="DV88" i="9"/>
  <c r="DV87" i="9"/>
  <c r="DV86" i="9"/>
  <c r="DV85" i="9"/>
  <c r="DV84" i="9"/>
  <c r="DV83" i="9"/>
  <c r="DV82" i="9"/>
  <c r="DV76" i="9"/>
  <c r="DV75" i="9"/>
  <c r="DV74" i="9"/>
  <c r="DV73" i="9"/>
  <c r="DV68" i="9"/>
  <c r="DV67" i="9"/>
  <c r="DV66" i="9"/>
  <c r="DV65" i="9"/>
  <c r="DV61" i="9"/>
  <c r="DV60" i="9"/>
  <c r="DV59" i="9"/>
  <c r="DV58" i="9"/>
  <c r="DV57" i="9"/>
  <c r="DV52" i="9"/>
  <c r="DV51" i="9"/>
  <c r="DV50" i="9"/>
  <c r="DV49" i="9"/>
  <c r="DV44" i="9"/>
  <c r="DV43" i="9"/>
  <c r="DV42" i="9"/>
  <c r="DV41" i="9"/>
  <c r="DX39" i="9"/>
  <c r="ED39" i="9" s="1"/>
  <c r="DV36" i="9"/>
  <c r="DV35" i="9"/>
  <c r="DV34" i="9"/>
  <c r="DV33" i="9"/>
  <c r="DV5" i="9"/>
  <c r="EB4" i="9"/>
  <c r="DV4" i="9"/>
  <c r="DW4" i="9" s="1"/>
  <c r="EA4" i="9"/>
  <c r="DV319" i="9"/>
  <c r="DV316" i="9"/>
  <c r="DV315" i="9"/>
  <c r="DV312" i="9"/>
  <c r="DV311" i="9"/>
  <c r="DV310" i="9"/>
  <c r="DV309" i="9"/>
  <c r="DV308" i="9"/>
  <c r="DV307" i="9"/>
  <c r="DV306" i="9"/>
  <c r="DV305" i="9"/>
  <c r="DV304" i="9"/>
  <c r="DV303" i="9"/>
  <c r="DV302" i="9"/>
  <c r="DV301" i="9"/>
  <c r="DV300" i="9"/>
  <c r="DV299" i="9"/>
  <c r="DV298" i="9"/>
  <c r="DV297" i="9"/>
  <c r="DV296" i="9"/>
  <c r="DV295" i="9"/>
  <c r="DV294" i="9"/>
  <c r="DV293" i="9"/>
  <c r="DV290" i="9"/>
  <c r="DV289" i="9"/>
  <c r="DV286" i="9"/>
  <c r="DV285" i="9"/>
  <c r="DV282" i="9"/>
  <c r="DV281" i="9"/>
  <c r="DX262" i="9"/>
  <c r="ED262" i="9" s="1"/>
  <c r="DV247" i="9"/>
  <c r="DV245" i="9"/>
  <c r="DV243" i="9"/>
  <c r="DV241" i="9"/>
  <c r="DV239" i="9"/>
  <c r="DV237" i="9"/>
  <c r="DV235" i="9"/>
  <c r="DV188" i="9"/>
  <c r="DV187" i="9"/>
  <c r="DV186" i="9"/>
  <c r="DV185" i="9"/>
  <c r="DV184" i="9"/>
  <c r="DV179" i="9"/>
  <c r="DV178" i="9"/>
  <c r="DV177" i="9"/>
  <c r="DV172" i="9"/>
  <c r="DV171" i="9"/>
  <c r="DV170" i="9"/>
  <c r="DV169" i="9"/>
  <c r="DV165" i="9"/>
  <c r="DV164" i="9"/>
  <c r="DV163" i="9"/>
  <c r="DV162" i="9"/>
  <c r="DV157" i="9"/>
  <c r="DV156" i="9"/>
  <c r="DV155" i="9"/>
  <c r="DV154" i="9"/>
  <c r="DV149" i="9"/>
  <c r="DV148" i="9"/>
  <c r="DV147" i="9"/>
  <c r="DV146" i="9"/>
  <c r="DV141" i="9"/>
  <c r="DV140" i="9"/>
  <c r="DV139" i="9"/>
  <c r="DV138" i="9"/>
  <c r="DV133" i="9"/>
  <c r="DV132" i="9"/>
  <c r="DV131" i="9"/>
  <c r="DV126" i="9"/>
  <c r="DV125" i="9"/>
  <c r="DV124" i="9"/>
  <c r="DV123" i="9"/>
  <c r="DV118" i="9"/>
  <c r="DV117" i="9"/>
  <c r="DV116" i="9"/>
  <c r="DV111" i="9"/>
  <c r="DV110" i="9"/>
  <c r="DV109" i="9"/>
  <c r="DV108" i="9"/>
  <c r="DV107" i="9"/>
  <c r="DV102" i="9"/>
  <c r="DV101" i="9"/>
  <c r="DV100" i="9"/>
  <c r="DV99" i="9"/>
  <c r="DV94" i="9"/>
  <c r="DV93" i="9"/>
  <c r="DV92" i="9"/>
  <c r="DV91" i="9"/>
  <c r="DV90" i="9"/>
  <c r="DV81" i="9"/>
  <c r="DV80" i="9"/>
  <c r="DV79" i="9"/>
  <c r="DV78" i="9"/>
  <c r="DV77" i="9"/>
  <c r="DV72" i="9"/>
  <c r="DV71" i="9"/>
  <c r="DV70" i="9"/>
  <c r="DV69" i="9"/>
  <c r="DV64" i="9"/>
  <c r="DV63" i="9"/>
  <c r="DV62" i="9"/>
  <c r="DV56" i="9"/>
  <c r="DV55" i="9"/>
  <c r="DV54" i="9"/>
  <c r="DV53" i="9"/>
  <c r="DV48" i="9"/>
  <c r="DV47" i="9"/>
  <c r="DV46" i="9"/>
  <c r="DV45" i="9"/>
  <c r="DV40" i="9"/>
  <c r="DV39" i="9"/>
  <c r="DV38" i="9"/>
  <c r="DV37" i="9"/>
  <c r="DV32" i="9"/>
  <c r="DV31" i="9"/>
  <c r="DV30" i="9"/>
  <c r="DV29" i="9"/>
  <c r="DV28" i="9"/>
  <c r="DV27" i="9"/>
  <c r="DV26" i="9"/>
  <c r="DV25" i="9"/>
  <c r="DV24" i="9"/>
  <c r="DV23" i="9"/>
  <c r="DV22" i="9"/>
  <c r="DV21" i="9"/>
  <c r="DV20" i="9"/>
  <c r="DV19" i="9"/>
  <c r="DV18" i="9"/>
  <c r="DV17" i="9"/>
  <c r="DV16" i="9"/>
  <c r="DV15" i="9"/>
  <c r="DV14" i="9"/>
  <c r="DV13" i="9"/>
  <c r="DV12" i="9"/>
  <c r="DV11" i="9"/>
  <c r="DV10" i="9"/>
  <c r="DV9" i="9"/>
  <c r="DV8" i="9"/>
  <c r="DV7" i="9"/>
  <c r="DV6" i="9"/>
  <c r="ED4" i="9"/>
  <c r="DX4" i="9"/>
  <c r="EC4" i="9"/>
  <c r="DZ39" i="9"/>
  <c r="EA39" i="9" s="1"/>
  <c r="DX72" i="9"/>
  <c r="DX126" i="9"/>
  <c r="EB126" i="9" s="1"/>
  <c r="ED132" i="9"/>
  <c r="DZ132" i="9"/>
  <c r="EA132" i="9" s="1"/>
  <c r="DZ72" i="9"/>
  <c r="EA72" i="9" s="1"/>
  <c r="ED126" i="9"/>
  <c r="ED72" i="9"/>
  <c r="DI328" i="9"/>
  <c r="DI423" i="9"/>
  <c r="DM204" i="9"/>
  <c r="DN204" i="9" s="1"/>
  <c r="DJ204" i="9"/>
  <c r="DL204" i="9"/>
  <c r="DM220" i="9"/>
  <c r="DN220" i="9" s="1"/>
  <c r="DL220" i="9"/>
  <c r="DJ220" i="9"/>
  <c r="DI336" i="9"/>
  <c r="DI433" i="9"/>
  <c r="DL273" i="9"/>
  <c r="DJ273" i="9"/>
  <c r="DK298" i="9"/>
  <c r="DM306" i="9"/>
  <c r="DN306" i="9" s="1"/>
  <c r="DL306" i="9"/>
  <c r="DJ306" i="9"/>
  <c r="DM273" i="9"/>
  <c r="DN273" i="9" s="1"/>
  <c r="DE1" i="9"/>
  <c r="DG4" i="9"/>
  <c r="DM410" i="9"/>
  <c r="DM407" i="9"/>
  <c r="DM405" i="9"/>
  <c r="DK322" i="9"/>
  <c r="DH4" i="9"/>
  <c r="DE4" i="9"/>
  <c r="DM408" i="9"/>
  <c r="DM406" i="9"/>
  <c r="DM404" i="9"/>
  <c r="DL4" i="9"/>
  <c r="DF4" i="9"/>
  <c r="DO88" i="9"/>
  <c r="CV443" i="9"/>
  <c r="CV344" i="9"/>
  <c r="CX411" i="9" s="1"/>
  <c r="CW411" i="9" s="1"/>
  <c r="CV439" i="9"/>
  <c r="CX440" i="9" s="1"/>
  <c r="AF34" i="2" s="1"/>
  <c r="CU367" i="9" s="1"/>
  <c r="CX365" i="9"/>
  <c r="CV441" i="9"/>
  <c r="CV440" i="9"/>
  <c r="CX441" i="9" s="1"/>
  <c r="CX390" i="9"/>
  <c r="AG34" i="2"/>
  <c r="DC393" i="9" s="1"/>
  <c r="AE34" i="2"/>
  <c r="CS366" i="9" s="1"/>
  <c r="CV431" i="9"/>
  <c r="DO24" i="9"/>
  <c r="DO201" i="9"/>
  <c r="CP7" i="9"/>
  <c r="CG7" i="9"/>
  <c r="CH7" i="9" s="1"/>
  <c r="CF7" i="9"/>
  <c r="CE320" i="9"/>
  <c r="CF5" i="9"/>
  <c r="CP5" i="9"/>
  <c r="CG5" i="9"/>
  <c r="CF24" i="9"/>
  <c r="CP24" i="9"/>
  <c r="CG24" i="9"/>
  <c r="CH24" i="9" s="1"/>
  <c r="CP6" i="9"/>
  <c r="CG6" i="9"/>
  <c r="CH6" i="9" s="1"/>
  <c r="CF6" i="9"/>
  <c r="CP14" i="9"/>
  <c r="CG14" i="9"/>
  <c r="CH14" i="9" s="1"/>
  <c r="CF14" i="9"/>
  <c r="CF26" i="9"/>
  <c r="CP26" i="9"/>
  <c r="CG26" i="9"/>
  <c r="CH26" i="9" s="1"/>
  <c r="CF40" i="9"/>
  <c r="CP40" i="9"/>
  <c r="CG40" i="9"/>
  <c r="CH40" i="9" s="1"/>
  <c r="CF48" i="9"/>
  <c r="CP48" i="9"/>
  <c r="CG48" i="9"/>
  <c r="CH48" i="9" s="1"/>
  <c r="CF56" i="9"/>
  <c r="CP56" i="9"/>
  <c r="CG56" i="9"/>
  <c r="CH56" i="9" s="1"/>
  <c r="CF64" i="9"/>
  <c r="CP64" i="9"/>
  <c r="CG64" i="9"/>
  <c r="CH64" i="9" s="1"/>
  <c r="CF72" i="9"/>
  <c r="CP72" i="9"/>
  <c r="CG72" i="9"/>
  <c r="CH72" i="9" s="1"/>
  <c r="CF80" i="9"/>
  <c r="CP80" i="9"/>
  <c r="CG80" i="9"/>
  <c r="CH80" i="9" s="1"/>
  <c r="CF88" i="9"/>
  <c r="CP88" i="9"/>
  <c r="CG88" i="9"/>
  <c r="CH88" i="9" s="1"/>
  <c r="CF96" i="9"/>
  <c r="CP96" i="9"/>
  <c r="CG96" i="9"/>
  <c r="CH96" i="9" s="1"/>
  <c r="CF104" i="9"/>
  <c r="CP104" i="9"/>
  <c r="CG104" i="9"/>
  <c r="CH104" i="9" s="1"/>
  <c r="CF112" i="9"/>
  <c r="CP112" i="9"/>
  <c r="CG112" i="9"/>
  <c r="CH112" i="9" s="1"/>
  <c r="CF120" i="9"/>
  <c r="CP120" i="9"/>
  <c r="CG120" i="9"/>
  <c r="CH120" i="9" s="1"/>
  <c r="CF133" i="9"/>
  <c r="CP133" i="9"/>
  <c r="CG133" i="9"/>
  <c r="CH133" i="9" s="1"/>
  <c r="CF149" i="9"/>
  <c r="CP149" i="9"/>
  <c r="CG149" i="9"/>
  <c r="CH149" i="9" s="1"/>
  <c r="CF165" i="9"/>
  <c r="CP165" i="9"/>
  <c r="CG165" i="9"/>
  <c r="CH165" i="9" s="1"/>
  <c r="CF184" i="9"/>
  <c r="CP184" i="9"/>
  <c r="CG184" i="9"/>
  <c r="CH184" i="9" s="1"/>
  <c r="CF19" i="9"/>
  <c r="CG19" i="9"/>
  <c r="CH19" i="9" s="1"/>
  <c r="CP19" i="9"/>
  <c r="CF27" i="9"/>
  <c r="CG27" i="9"/>
  <c r="CH27" i="9" s="1"/>
  <c r="CP27" i="9"/>
  <c r="CF35" i="9"/>
  <c r="CG35" i="9"/>
  <c r="CH35" i="9" s="1"/>
  <c r="CP35" i="9"/>
  <c r="CP43" i="9"/>
  <c r="CG43" i="9"/>
  <c r="CH43" i="9" s="1"/>
  <c r="CF43" i="9"/>
  <c r="CP51" i="9"/>
  <c r="CG51" i="9"/>
  <c r="CH51" i="9" s="1"/>
  <c r="CF51" i="9"/>
  <c r="CP59" i="9"/>
  <c r="CG59" i="9"/>
  <c r="CH59" i="9" s="1"/>
  <c r="CF59" i="9"/>
  <c r="CP67" i="9"/>
  <c r="CG67" i="9"/>
  <c r="CH67" i="9" s="1"/>
  <c r="CF67" i="9"/>
  <c r="CP75" i="9"/>
  <c r="CG75" i="9"/>
  <c r="CH75" i="9" s="1"/>
  <c r="CF75" i="9"/>
  <c r="CP83" i="9"/>
  <c r="CG83" i="9"/>
  <c r="CH83" i="9" s="1"/>
  <c r="CF83" i="9"/>
  <c r="CP91" i="9"/>
  <c r="CG91" i="9"/>
  <c r="CH91" i="9" s="1"/>
  <c r="CF91" i="9"/>
  <c r="CP99" i="9"/>
  <c r="CG99" i="9"/>
  <c r="CH99" i="9" s="1"/>
  <c r="CF99" i="9"/>
  <c r="CP107" i="9"/>
  <c r="CG107" i="9"/>
  <c r="CH107" i="9" s="1"/>
  <c r="CF107" i="9"/>
  <c r="CP115" i="9"/>
  <c r="CG115" i="9"/>
  <c r="CH115" i="9" s="1"/>
  <c r="CF115" i="9"/>
  <c r="CG123" i="9"/>
  <c r="CH123" i="9" s="1"/>
  <c r="CP123" i="9"/>
  <c r="CF123" i="9"/>
  <c r="CF139" i="9"/>
  <c r="CP139" i="9"/>
  <c r="CG139" i="9"/>
  <c r="CH139" i="9" s="1"/>
  <c r="CF155" i="9"/>
  <c r="CP155" i="9"/>
  <c r="CG155" i="9"/>
  <c r="CH155" i="9" s="1"/>
  <c r="CF171" i="9"/>
  <c r="CP171" i="9"/>
  <c r="CG171" i="9"/>
  <c r="CH171" i="9" s="1"/>
  <c r="CF204" i="9"/>
  <c r="CP204" i="9"/>
  <c r="CG204" i="9"/>
  <c r="CH204" i="9" s="1"/>
  <c r="CF128" i="9"/>
  <c r="CG128" i="9"/>
  <c r="CH128" i="9" s="1"/>
  <c r="CP128" i="9"/>
  <c r="CF136" i="9"/>
  <c r="CG136" i="9"/>
  <c r="CH136" i="9" s="1"/>
  <c r="CP136" i="9"/>
  <c r="CF144" i="9"/>
  <c r="CG144" i="9"/>
  <c r="CH144" i="9" s="1"/>
  <c r="CP144" i="9"/>
  <c r="CF152" i="9"/>
  <c r="CG152" i="9"/>
  <c r="CH152" i="9" s="1"/>
  <c r="CP152" i="9"/>
  <c r="CF160" i="9"/>
  <c r="CG160" i="9"/>
  <c r="CH160" i="9" s="1"/>
  <c r="CP160" i="9"/>
  <c r="CF168" i="9"/>
  <c r="CG168" i="9"/>
  <c r="CH168" i="9" s="1"/>
  <c r="CP168" i="9"/>
  <c r="CF178" i="9"/>
  <c r="CP178" i="9"/>
  <c r="CG178" i="9"/>
  <c r="CH178" i="9" s="1"/>
  <c r="CF194" i="9"/>
  <c r="CP194" i="9"/>
  <c r="CG194" i="9"/>
  <c r="CH194" i="9" s="1"/>
  <c r="CF210" i="9"/>
  <c r="CP210" i="9"/>
  <c r="CG210" i="9"/>
  <c r="CH210" i="9" s="1"/>
  <c r="CP181" i="9"/>
  <c r="CG181" i="9"/>
  <c r="CH181" i="9" s="1"/>
  <c r="CF181" i="9"/>
  <c r="CP189" i="9"/>
  <c r="CG189" i="9"/>
  <c r="CH189" i="9" s="1"/>
  <c r="CF189" i="9"/>
  <c r="CP197" i="9"/>
  <c r="CG197" i="9"/>
  <c r="CH197" i="9" s="1"/>
  <c r="CF197" i="9"/>
  <c r="CP205" i="9"/>
  <c r="CG205" i="9"/>
  <c r="CH205" i="9" s="1"/>
  <c r="CF205" i="9"/>
  <c r="CF213" i="9"/>
  <c r="CP213" i="9"/>
  <c r="CG213" i="9"/>
  <c r="CH213" i="9" s="1"/>
  <c r="CF221" i="9"/>
  <c r="CP221" i="9"/>
  <c r="CG221" i="9"/>
  <c r="CH221" i="9" s="1"/>
  <c r="CF229" i="9"/>
  <c r="CP229" i="9"/>
  <c r="CG229" i="9"/>
  <c r="CH229" i="9" s="1"/>
  <c r="CF237" i="9"/>
  <c r="CP237" i="9"/>
  <c r="CG237" i="9"/>
  <c r="CH237" i="9" s="1"/>
  <c r="CP216" i="9"/>
  <c r="CG216" i="9"/>
  <c r="CH216" i="9" s="1"/>
  <c r="CF216" i="9"/>
  <c r="CP224" i="9"/>
  <c r="CG224" i="9"/>
  <c r="CH224" i="9" s="1"/>
  <c r="CF224" i="9"/>
  <c r="CP232" i="9"/>
  <c r="CG232" i="9"/>
  <c r="CH232" i="9" s="1"/>
  <c r="CF232" i="9"/>
  <c r="CP240" i="9"/>
  <c r="CG240" i="9"/>
  <c r="CH240" i="9" s="1"/>
  <c r="CF240" i="9"/>
  <c r="CF248" i="9"/>
  <c r="CP248" i="9"/>
  <c r="CG248" i="9"/>
  <c r="CH248" i="9" s="1"/>
  <c r="CF256" i="9"/>
  <c r="CP256" i="9"/>
  <c r="CG256" i="9"/>
  <c r="CH256" i="9" s="1"/>
  <c r="CF264" i="9"/>
  <c r="CP264" i="9"/>
  <c r="CG264" i="9"/>
  <c r="CH264" i="9" s="1"/>
  <c r="CF272" i="9"/>
  <c r="CP272" i="9"/>
  <c r="CG272" i="9"/>
  <c r="CH272" i="9" s="1"/>
  <c r="CP243" i="9"/>
  <c r="CG243" i="9"/>
  <c r="CH243" i="9" s="1"/>
  <c r="CF243" i="9"/>
  <c r="CP251" i="9"/>
  <c r="CG251" i="9"/>
  <c r="CH251" i="9" s="1"/>
  <c r="CF251" i="9"/>
  <c r="CP259" i="9"/>
  <c r="CG259" i="9"/>
  <c r="CH259" i="9" s="1"/>
  <c r="CF259" i="9"/>
  <c r="CP267" i="9"/>
  <c r="CG267" i="9"/>
  <c r="CH267" i="9" s="1"/>
  <c r="CF267" i="9"/>
  <c r="CP275" i="9"/>
  <c r="CG275" i="9"/>
  <c r="CH275" i="9" s="1"/>
  <c r="CF275" i="9"/>
  <c r="CF282" i="9"/>
  <c r="CP282" i="9"/>
  <c r="CG282" i="9"/>
  <c r="CH282" i="9" s="1"/>
  <c r="CF290" i="9"/>
  <c r="CP290" i="9"/>
  <c r="CG290" i="9"/>
  <c r="CH290" i="9" s="1"/>
  <c r="CF298" i="9"/>
  <c r="CP298" i="9"/>
  <c r="CG298" i="9"/>
  <c r="CH298" i="9" s="1"/>
  <c r="CF310" i="9"/>
  <c r="CP310" i="9"/>
  <c r="CG310" i="9"/>
  <c r="CH310" i="9" s="1"/>
  <c r="CP283" i="9"/>
  <c r="CG283" i="9"/>
  <c r="CH283" i="9" s="1"/>
  <c r="CF283" i="9"/>
  <c r="CP291" i="9"/>
  <c r="CG291" i="9"/>
  <c r="CH291" i="9" s="1"/>
  <c r="CF291" i="9"/>
  <c r="CP299" i="9"/>
  <c r="CG299" i="9"/>
  <c r="CH299" i="9" s="1"/>
  <c r="CF299" i="9"/>
  <c r="CF312" i="9"/>
  <c r="CP312" i="9"/>
  <c r="CG312" i="9"/>
  <c r="CH312" i="9" s="1"/>
  <c r="CF309" i="9"/>
  <c r="CG309" i="9"/>
  <c r="CH309" i="9" s="1"/>
  <c r="CP309" i="9"/>
  <c r="CF317" i="9"/>
  <c r="CP317" i="9"/>
  <c r="CG317" i="9"/>
  <c r="CH317" i="9" s="1"/>
  <c r="CF9" i="9"/>
  <c r="CP9" i="9"/>
  <c r="CG9" i="9"/>
  <c r="CH9" i="9" s="1"/>
  <c r="CF11" i="9"/>
  <c r="CP11" i="9"/>
  <c r="CG11" i="9"/>
  <c r="CH11" i="9" s="1"/>
  <c r="CF28" i="9"/>
  <c r="CP28" i="9"/>
  <c r="CG28" i="9"/>
  <c r="CH28" i="9" s="1"/>
  <c r="CP8" i="9"/>
  <c r="CG8" i="9"/>
  <c r="CH8" i="9" s="1"/>
  <c r="CF8" i="9"/>
  <c r="CP16" i="9"/>
  <c r="CG16" i="9"/>
  <c r="CH16" i="9" s="1"/>
  <c r="CF16" i="9"/>
  <c r="CF30" i="9"/>
  <c r="CP30" i="9"/>
  <c r="CG30" i="9"/>
  <c r="CH30" i="9" s="1"/>
  <c r="CF42" i="9"/>
  <c r="CP42" i="9"/>
  <c r="CG42" i="9"/>
  <c r="CH42" i="9" s="1"/>
  <c r="CF50" i="9"/>
  <c r="CP50" i="9"/>
  <c r="CG50" i="9"/>
  <c r="CH50" i="9" s="1"/>
  <c r="CF58" i="9"/>
  <c r="CP58" i="9"/>
  <c r="CG58" i="9"/>
  <c r="CH58" i="9" s="1"/>
  <c r="CF66" i="9"/>
  <c r="CP66" i="9"/>
  <c r="CG66" i="9"/>
  <c r="CH66" i="9" s="1"/>
  <c r="CF74" i="9"/>
  <c r="CP74" i="9"/>
  <c r="CG74" i="9"/>
  <c r="CH74" i="9" s="1"/>
  <c r="CF82" i="9"/>
  <c r="CP82" i="9"/>
  <c r="CG82" i="9"/>
  <c r="CH82" i="9" s="1"/>
  <c r="CF90" i="9"/>
  <c r="CP90" i="9"/>
  <c r="CG90" i="9"/>
  <c r="CH90" i="9" s="1"/>
  <c r="CF98" i="9"/>
  <c r="CP98" i="9"/>
  <c r="CG98" i="9"/>
  <c r="CH98" i="9" s="1"/>
  <c r="CF106" i="9"/>
  <c r="CP106" i="9"/>
  <c r="CG106" i="9"/>
  <c r="CH106" i="9" s="1"/>
  <c r="CF114" i="9"/>
  <c r="CP114" i="9"/>
  <c r="CG114" i="9"/>
  <c r="CH114" i="9" s="1"/>
  <c r="CF122" i="9"/>
  <c r="CP122" i="9"/>
  <c r="CG122" i="9"/>
  <c r="CH122" i="9" s="1"/>
  <c r="CF137" i="9"/>
  <c r="CP137" i="9"/>
  <c r="CG137" i="9"/>
  <c r="CH137" i="9" s="1"/>
  <c r="CF153" i="9"/>
  <c r="CP153" i="9"/>
  <c r="CG153" i="9"/>
  <c r="CH153" i="9" s="1"/>
  <c r="CF169" i="9"/>
  <c r="CP169" i="9"/>
  <c r="CG169" i="9"/>
  <c r="CH169" i="9" s="1"/>
  <c r="CF192" i="9"/>
  <c r="CP192" i="9"/>
  <c r="CG192" i="9"/>
  <c r="CH192" i="9" s="1"/>
  <c r="CP21" i="9"/>
  <c r="CG21" i="9"/>
  <c r="CH21" i="9" s="1"/>
  <c r="CF21" i="9"/>
  <c r="CP29" i="9"/>
  <c r="CG29" i="9"/>
  <c r="CH29" i="9" s="1"/>
  <c r="CF29" i="9"/>
  <c r="CP37" i="9"/>
  <c r="CG37" i="9"/>
  <c r="CH37" i="9" s="1"/>
  <c r="CF37" i="9"/>
  <c r="CP45" i="9"/>
  <c r="CG45" i="9"/>
  <c r="CH45" i="9" s="1"/>
  <c r="CF45" i="9"/>
  <c r="CP53" i="9"/>
  <c r="CG53" i="9"/>
  <c r="CH53" i="9" s="1"/>
  <c r="CF53" i="9"/>
  <c r="CP61" i="9"/>
  <c r="CG61" i="9"/>
  <c r="CH61" i="9" s="1"/>
  <c r="CF61" i="9"/>
  <c r="CP69" i="9"/>
  <c r="CG69" i="9"/>
  <c r="CH69" i="9" s="1"/>
  <c r="CF69" i="9"/>
  <c r="CP77" i="9"/>
  <c r="CG77" i="9"/>
  <c r="CH77" i="9" s="1"/>
  <c r="CF77" i="9"/>
  <c r="CP85" i="9"/>
  <c r="CG85" i="9"/>
  <c r="CH85" i="9" s="1"/>
  <c r="CF85" i="9"/>
  <c r="CP93" i="9"/>
  <c r="CG93" i="9"/>
  <c r="CH93" i="9" s="1"/>
  <c r="CF93" i="9"/>
  <c r="CP101" i="9"/>
  <c r="CG101" i="9"/>
  <c r="CH101" i="9" s="1"/>
  <c r="CF101" i="9"/>
  <c r="CP109" i="9"/>
  <c r="CG109" i="9"/>
  <c r="CH109" i="9" s="1"/>
  <c r="CF109" i="9"/>
  <c r="CP117" i="9"/>
  <c r="CG117" i="9"/>
  <c r="CH117" i="9" s="1"/>
  <c r="CF117" i="9"/>
  <c r="CF127" i="9"/>
  <c r="CP127" i="9"/>
  <c r="CG127" i="9"/>
  <c r="CH127" i="9" s="1"/>
  <c r="CF143" i="9"/>
  <c r="CP143" i="9"/>
  <c r="CG143" i="9"/>
  <c r="CH143" i="9" s="1"/>
  <c r="CF159" i="9"/>
  <c r="CP159" i="9"/>
  <c r="CG159" i="9"/>
  <c r="CH159" i="9" s="1"/>
  <c r="CF180" i="9"/>
  <c r="CP180" i="9"/>
  <c r="CG180" i="9"/>
  <c r="CH180" i="9" s="1"/>
  <c r="CF212" i="9"/>
  <c r="CP212" i="9"/>
  <c r="CG212" i="9"/>
  <c r="CH212" i="9" s="1"/>
  <c r="CP130" i="9"/>
  <c r="CG130" i="9"/>
  <c r="CH130" i="9" s="1"/>
  <c r="CF130" i="9"/>
  <c r="CP138" i="9"/>
  <c r="CG138" i="9"/>
  <c r="CH138" i="9" s="1"/>
  <c r="CF138" i="9"/>
  <c r="CP146" i="9"/>
  <c r="CG146" i="9"/>
  <c r="CH146" i="9" s="1"/>
  <c r="CF146" i="9"/>
  <c r="CP154" i="9"/>
  <c r="CG154" i="9"/>
  <c r="CH154" i="9" s="1"/>
  <c r="CF154" i="9"/>
  <c r="CP162" i="9"/>
  <c r="CG162" i="9"/>
  <c r="CH162" i="9" s="1"/>
  <c r="CF162" i="9"/>
  <c r="CP170" i="9"/>
  <c r="CG170" i="9"/>
  <c r="CH170" i="9" s="1"/>
  <c r="CF170" i="9"/>
  <c r="CF182" i="9"/>
  <c r="CP182" i="9"/>
  <c r="CG182" i="9"/>
  <c r="CH182" i="9" s="1"/>
  <c r="CF198" i="9"/>
  <c r="CP198" i="9"/>
  <c r="CG198" i="9"/>
  <c r="CH198" i="9" s="1"/>
  <c r="CF175" i="9"/>
  <c r="CG175" i="9"/>
  <c r="CH175" i="9" s="1"/>
  <c r="CP175" i="9"/>
  <c r="CF183" i="9"/>
  <c r="CG183" i="9"/>
  <c r="CH183" i="9" s="1"/>
  <c r="CP183" i="9"/>
  <c r="CF191" i="9"/>
  <c r="CG191" i="9"/>
  <c r="CH191" i="9" s="1"/>
  <c r="CP191" i="9"/>
  <c r="CF199" i="9"/>
  <c r="CG199" i="9"/>
  <c r="CH199" i="9" s="1"/>
  <c r="CP199" i="9"/>
  <c r="CF207" i="9"/>
  <c r="CG207" i="9"/>
  <c r="CH207" i="9" s="1"/>
  <c r="CP207" i="9"/>
  <c r="CF215" i="9"/>
  <c r="CP215" i="9"/>
  <c r="CG215" i="9"/>
  <c r="CH215" i="9" s="1"/>
  <c r="CF223" i="9"/>
  <c r="CP223" i="9"/>
  <c r="CG223" i="9"/>
  <c r="CH223" i="9" s="1"/>
  <c r="CF231" i="9"/>
  <c r="CP231" i="9"/>
  <c r="CG231" i="9"/>
  <c r="CH231" i="9" s="1"/>
  <c r="CF239" i="9"/>
  <c r="CP239" i="9"/>
  <c r="CG239" i="9"/>
  <c r="CH239" i="9" s="1"/>
  <c r="CP218" i="9"/>
  <c r="CG218" i="9"/>
  <c r="CH218" i="9" s="1"/>
  <c r="CF218" i="9"/>
  <c r="CP226" i="9"/>
  <c r="CG226" i="9"/>
  <c r="CH226" i="9" s="1"/>
  <c r="CF226" i="9"/>
  <c r="CP234" i="9"/>
  <c r="CG234" i="9"/>
  <c r="CH234" i="9" s="1"/>
  <c r="CF234" i="9"/>
  <c r="CP242" i="9"/>
  <c r="CG242" i="9"/>
  <c r="CH242" i="9" s="1"/>
  <c r="CF242" i="9"/>
  <c r="CF250" i="9"/>
  <c r="CP250" i="9"/>
  <c r="CG250" i="9"/>
  <c r="CH250" i="9" s="1"/>
  <c r="CF258" i="9"/>
  <c r="CP258" i="9"/>
  <c r="CG258" i="9"/>
  <c r="CH258" i="9" s="1"/>
  <c r="CF266" i="9"/>
  <c r="CP266" i="9"/>
  <c r="CG266" i="9"/>
  <c r="CH266" i="9" s="1"/>
  <c r="CF274" i="9"/>
  <c r="CP274" i="9"/>
  <c r="CG274" i="9"/>
  <c r="CH274" i="9" s="1"/>
  <c r="CP245" i="9"/>
  <c r="CG245" i="9"/>
  <c r="CH245" i="9" s="1"/>
  <c r="CF245" i="9"/>
  <c r="CP253" i="9"/>
  <c r="CG253" i="9"/>
  <c r="CH253" i="9" s="1"/>
  <c r="CF253" i="9"/>
  <c r="CP261" i="9"/>
  <c r="CG261" i="9"/>
  <c r="CH261" i="9" s="1"/>
  <c r="CF261" i="9"/>
  <c r="CP269" i="9"/>
  <c r="CG269" i="9"/>
  <c r="CH269" i="9" s="1"/>
  <c r="CF269" i="9"/>
  <c r="CF277" i="9"/>
  <c r="CP277" i="9"/>
  <c r="CG277" i="9"/>
  <c r="CH277" i="9" s="1"/>
  <c r="CF284" i="9"/>
  <c r="CP284" i="9"/>
  <c r="CG284" i="9"/>
  <c r="CH284" i="9" s="1"/>
  <c r="CF292" i="9"/>
  <c r="CP292" i="9"/>
  <c r="CG292" i="9"/>
  <c r="CH292" i="9" s="1"/>
  <c r="CF300" i="9"/>
  <c r="CP300" i="9"/>
  <c r="CG300" i="9"/>
  <c r="CH300" i="9" s="1"/>
  <c r="CF314" i="9"/>
  <c r="CP314" i="9"/>
  <c r="CG314" i="9"/>
  <c r="CH314" i="9" s="1"/>
  <c r="CP285" i="9"/>
  <c r="CG285" i="9"/>
  <c r="CH285" i="9" s="1"/>
  <c r="CF285" i="9"/>
  <c r="CP293" i="9"/>
  <c r="CG293" i="9"/>
  <c r="CH293" i="9" s="1"/>
  <c r="CF293" i="9"/>
  <c r="CP301" i="9"/>
  <c r="CG301" i="9"/>
  <c r="CH301" i="9" s="1"/>
  <c r="CF301" i="9"/>
  <c r="CP303" i="9"/>
  <c r="CG303" i="9"/>
  <c r="CH303" i="9" s="1"/>
  <c r="CF303" i="9"/>
  <c r="CP311" i="9"/>
  <c r="CG311" i="9"/>
  <c r="CH311" i="9" s="1"/>
  <c r="CF311" i="9"/>
  <c r="CP316" i="9"/>
  <c r="CG316" i="9"/>
  <c r="CH316" i="9" s="1"/>
  <c r="CF316" i="9"/>
  <c r="BN20" i="9"/>
  <c r="BX20" i="9"/>
  <c r="BN49" i="9"/>
  <c r="BX49" i="9"/>
  <c r="BN18" i="9"/>
  <c r="BX18" i="9"/>
  <c r="BN28" i="9"/>
  <c r="BX28" i="9"/>
  <c r="BN138" i="9"/>
  <c r="BX138" i="9"/>
  <c r="CA93" i="9"/>
  <c r="CK93" i="9"/>
  <c r="BN162" i="9"/>
  <c r="BX162" i="9"/>
  <c r="BN98" i="9"/>
  <c r="BX98" i="9"/>
  <c r="BA371" i="9"/>
  <c r="AZ351" i="9"/>
  <c r="AZ350" i="9"/>
  <c r="BA370" i="9"/>
  <c r="BK392" i="9"/>
  <c r="CA167" i="9"/>
  <c r="CK167" i="9"/>
  <c r="CM58" i="9"/>
  <c r="CJ58" i="9"/>
  <c r="CL58" i="9"/>
  <c r="CQ58" i="9"/>
  <c r="BN113" i="9"/>
  <c r="BX113" i="9"/>
  <c r="BN225" i="9"/>
  <c r="BX225" i="9"/>
  <c r="BN317" i="9"/>
  <c r="BX317" i="9"/>
  <c r="BN165" i="9"/>
  <c r="BX165" i="9"/>
  <c r="BN68" i="9"/>
  <c r="BX68" i="9"/>
  <c r="BN84" i="9"/>
  <c r="BX84" i="9"/>
  <c r="CB84" i="9" s="1"/>
  <c r="BN255" i="9"/>
  <c r="BX255" i="9"/>
  <c r="BN238" i="9"/>
  <c r="BX238" i="9"/>
  <c r="BN170" i="9"/>
  <c r="BX170" i="9"/>
  <c r="BN135" i="9"/>
  <c r="BX135" i="9"/>
  <c r="BN37" i="9"/>
  <c r="BX37" i="9"/>
  <c r="BN33" i="9"/>
  <c r="BX33" i="9"/>
  <c r="BN25" i="9"/>
  <c r="BX25" i="9"/>
  <c r="BN17" i="9"/>
  <c r="BX17" i="9"/>
  <c r="BN9" i="9"/>
  <c r="BX9" i="9"/>
  <c r="CB9" i="9" s="1"/>
  <c r="BN195" i="9"/>
  <c r="BX195" i="9"/>
  <c r="BN286" i="9"/>
  <c r="BX286" i="9"/>
  <c r="CB286" i="9" s="1"/>
  <c r="BN173" i="9"/>
  <c r="BX173" i="9"/>
  <c r="BB358" i="9"/>
  <c r="AZ358" i="9"/>
  <c r="AX358" i="9" s="1"/>
  <c r="AW358" i="9" s="1"/>
  <c r="BN178" i="9"/>
  <c r="BX178" i="9"/>
  <c r="BN184" i="9"/>
  <c r="BX184" i="9"/>
  <c r="BV347" i="9"/>
  <c r="BW347" i="9" s="1"/>
  <c r="AH370" i="9"/>
  <c r="AK388" i="9"/>
  <c r="AJ396" i="9"/>
  <c r="AJ397" i="9"/>
  <c r="AJ395" i="9"/>
  <c r="BN125" i="9"/>
  <c r="BX125" i="9"/>
  <c r="CB191" i="9"/>
  <c r="CB23" i="9"/>
  <c r="BK388" i="9"/>
  <c r="BK386" i="9"/>
  <c r="CO101" i="9"/>
  <c r="CA133" i="9"/>
  <c r="CK133" i="9"/>
  <c r="CA149" i="9"/>
  <c r="CK149" i="9"/>
  <c r="CA308" i="9"/>
  <c r="CK308" i="9"/>
  <c r="CK431" i="9"/>
  <c r="AC24" i="2" s="1"/>
  <c r="CK433" i="9"/>
  <c r="AA29" i="2"/>
  <c r="CN285" i="9"/>
  <c r="CX285" i="9"/>
  <c r="DB285" i="9" s="1"/>
  <c r="DB293" i="9"/>
  <c r="CL6" i="9"/>
  <c r="CJ6" i="9"/>
  <c r="CM6" i="9"/>
  <c r="CQ6" i="9"/>
  <c r="BN252" i="9"/>
  <c r="BX252" i="9"/>
  <c r="BN240" i="9"/>
  <c r="BX240" i="9"/>
  <c r="BN166" i="9"/>
  <c r="BX166" i="9"/>
  <c r="CB13" i="9"/>
  <c r="CB28" i="9"/>
  <c r="BN309" i="9"/>
  <c r="BX309" i="9"/>
  <c r="BN282" i="9"/>
  <c r="BX282" i="9"/>
  <c r="BN299" i="9"/>
  <c r="BX299" i="9"/>
  <c r="BN134" i="9"/>
  <c r="BX134" i="9"/>
  <c r="BN102" i="9"/>
  <c r="BX102" i="9"/>
  <c r="CB51" i="9"/>
  <c r="CA266" i="9"/>
  <c r="CK266" i="9"/>
  <c r="BN89" i="9"/>
  <c r="BX89" i="9"/>
  <c r="BN194" i="9"/>
  <c r="BX194" i="9"/>
  <c r="AZ353" i="9"/>
  <c r="AX353" i="9" s="1"/>
  <c r="CB164" i="9"/>
  <c r="CO59" i="9"/>
  <c r="CA91" i="9"/>
  <c r="CK91" i="9"/>
  <c r="CA187" i="9"/>
  <c r="CK187" i="9"/>
  <c r="CO275" i="9"/>
  <c r="BU355" i="9"/>
  <c r="BU354" i="9"/>
  <c r="BU356" i="9"/>
  <c r="BS320" i="9"/>
  <c r="CC320" i="9"/>
  <c r="BU349" i="9"/>
  <c r="BU369" i="9" s="1"/>
  <c r="BU350" i="9"/>
  <c r="BU352" i="9"/>
  <c r="BU351" i="9"/>
  <c r="BN245" i="9"/>
  <c r="BX245" i="9"/>
  <c r="BN291" i="9"/>
  <c r="BX291" i="9"/>
  <c r="BN222" i="9"/>
  <c r="BX222" i="9"/>
  <c r="BN301" i="9"/>
  <c r="BX301" i="9"/>
  <c r="BN274" i="9"/>
  <c r="BX274" i="9"/>
  <c r="BN259" i="9"/>
  <c r="BX259" i="9"/>
  <c r="BQ380" i="9"/>
  <c r="BQ381" i="9"/>
  <c r="BQ379" i="9"/>
  <c r="BL356" i="9"/>
  <c r="BL355" i="9"/>
  <c r="BL354" i="9"/>
  <c r="BN71" i="9"/>
  <c r="BX71" i="9"/>
  <c r="BN41" i="9"/>
  <c r="BX41" i="9"/>
  <c r="CB41" i="9" s="1"/>
  <c r="BN26" i="9"/>
  <c r="BX26" i="9"/>
  <c r="BN257" i="9"/>
  <c r="BX257" i="9"/>
  <c r="BN75" i="9"/>
  <c r="BX75" i="9"/>
  <c r="BN30" i="9"/>
  <c r="BX30" i="9"/>
  <c r="BN232" i="9"/>
  <c r="BX232" i="9"/>
  <c r="BN217" i="9"/>
  <c r="BX217" i="9"/>
  <c r="BL364" i="9"/>
  <c r="BL363" i="9"/>
  <c r="BL361" i="9"/>
  <c r="BL362" i="9"/>
  <c r="BN141" i="9"/>
  <c r="BX141" i="9"/>
  <c r="BN176" i="9"/>
  <c r="BX176" i="9"/>
  <c r="BN188" i="9"/>
  <c r="BX188" i="9"/>
  <c r="BN206" i="9"/>
  <c r="BX206" i="9"/>
  <c r="BN127" i="9"/>
  <c r="BX127" i="9"/>
  <c r="BN151" i="9"/>
  <c r="BX151" i="9"/>
  <c r="BN175" i="9"/>
  <c r="BX175" i="9"/>
  <c r="BN121" i="9"/>
  <c r="BX121" i="9"/>
  <c r="DO136" i="9"/>
  <c r="AX396" i="9"/>
  <c r="H17" i="10" s="1"/>
  <c r="AX375" i="9"/>
  <c r="BC395" i="9"/>
  <c r="BN109" i="9"/>
  <c r="BX109" i="9"/>
  <c r="BN261" i="9"/>
  <c r="BX261" i="9"/>
  <c r="BN120" i="9"/>
  <c r="BX120" i="9"/>
  <c r="BN55" i="9"/>
  <c r="BX55" i="9"/>
  <c r="BN181" i="9"/>
  <c r="BX181" i="9"/>
  <c r="CB228" i="9"/>
  <c r="CA112" i="9"/>
  <c r="CK112" i="9"/>
  <c r="CO11" i="9"/>
  <c r="CA107" i="9"/>
  <c r="CK107" i="9"/>
  <c r="CO197" i="9"/>
  <c r="DB287" i="9"/>
  <c r="CW287" i="9"/>
  <c r="CY287" i="9"/>
  <c r="DD287" i="9"/>
  <c r="CZ287" i="9"/>
  <c r="DB268" i="9"/>
  <c r="CW268" i="9"/>
  <c r="CY268" i="9"/>
  <c r="CZ268" i="9"/>
  <c r="DD268" i="9"/>
  <c r="DB256" i="9"/>
  <c r="CW256" i="9"/>
  <c r="CY256" i="9"/>
  <c r="DD256" i="9"/>
  <c r="CZ256" i="9"/>
  <c r="CZ45" i="9"/>
  <c r="CY45" i="9"/>
  <c r="CW45" i="9"/>
  <c r="DD45" i="9"/>
  <c r="CJ368" i="9"/>
  <c r="CJ366" i="9"/>
  <c r="CJ367" i="9"/>
  <c r="CK343" i="9"/>
  <c r="CL368" i="9"/>
  <c r="CQ393" i="9"/>
  <c r="CK393" i="9" s="1"/>
  <c r="CH368" i="9"/>
  <c r="CI343" i="9"/>
  <c r="CF368" i="9"/>
  <c r="CM368" i="9" s="1"/>
  <c r="CK368" i="9" s="1"/>
  <c r="CN267" i="9"/>
  <c r="CX267" i="9"/>
  <c r="BN208" i="9"/>
  <c r="BX208" i="9"/>
  <c r="BN12" i="9"/>
  <c r="BX12" i="9"/>
  <c r="BN150" i="9"/>
  <c r="BX150" i="9"/>
  <c r="CB173" i="9"/>
  <c r="CB244" i="9"/>
  <c r="BN97" i="9"/>
  <c r="BX97" i="9"/>
  <c r="CB239" i="9"/>
  <c r="BN231" i="9"/>
  <c r="BX231" i="9"/>
  <c r="BN247" i="9"/>
  <c r="BX247" i="9"/>
  <c r="CB247" i="9" s="1"/>
  <c r="CA27" i="9"/>
  <c r="CK27" i="9"/>
  <c r="CO27" i="9" s="1"/>
  <c r="BN230" i="9"/>
  <c r="BX230" i="9"/>
  <c r="BN304" i="9"/>
  <c r="BX304" i="9"/>
  <c r="BN190" i="9"/>
  <c r="BX190" i="9"/>
  <c r="BK347" i="9"/>
  <c r="BI450" i="9" s="1"/>
  <c r="BL326" i="9"/>
  <c r="BK346" i="9"/>
  <c r="BN42" i="9"/>
  <c r="BX42" i="9"/>
  <c r="BO320" i="9"/>
  <c r="CB10" i="9"/>
  <c r="BQ382" i="9"/>
  <c r="BK382" i="9" s="1"/>
  <c r="BL320" i="9"/>
  <c r="AZ352" i="9"/>
  <c r="BA372" i="9"/>
  <c r="CM253" i="9"/>
  <c r="CJ253" i="9"/>
  <c r="CL253" i="9"/>
  <c r="CQ253" i="9"/>
  <c r="CM168" i="9"/>
  <c r="CJ168" i="9"/>
  <c r="CL168" i="9"/>
  <c r="CQ168" i="9"/>
  <c r="CO168" i="9"/>
  <c r="BZ368" i="9"/>
  <c r="BX368" i="9" s="1"/>
  <c r="CC392" i="9"/>
  <c r="BX342" i="9"/>
  <c r="CA367" i="9"/>
  <c r="BU367" i="9"/>
  <c r="BV342" i="9"/>
  <c r="BY367" i="9"/>
  <c r="CD392" i="9"/>
  <c r="BX392" i="9" s="1"/>
  <c r="BS367" i="9"/>
  <c r="CJ8" i="9"/>
  <c r="CL8" i="9"/>
  <c r="CM8" i="9"/>
  <c r="CQ8" i="9"/>
  <c r="CO8" i="9"/>
  <c r="CQ180" i="9"/>
  <c r="CL180" i="9"/>
  <c r="CJ180" i="9"/>
  <c r="CM180" i="9"/>
  <c r="CO180" i="9"/>
  <c r="CM40" i="9"/>
  <c r="CL40" i="9"/>
  <c r="CJ40" i="9"/>
  <c r="CQ40" i="9"/>
  <c r="CO40" i="9"/>
  <c r="BN105" i="9"/>
  <c r="BX105" i="9"/>
  <c r="BN224" i="9"/>
  <c r="BX224" i="9"/>
  <c r="BN99" i="9"/>
  <c r="BX99" i="9"/>
  <c r="BN203" i="9"/>
  <c r="BX203" i="9"/>
  <c r="BN192" i="9"/>
  <c r="BX192" i="9"/>
  <c r="BN128" i="9"/>
  <c r="BX128" i="9"/>
  <c r="BN110" i="9"/>
  <c r="BX110" i="9"/>
  <c r="CB110" i="9" s="1"/>
  <c r="BN29" i="9"/>
  <c r="BX29" i="9"/>
  <c r="CB29" i="9" s="1"/>
  <c r="BN172" i="9"/>
  <c r="BX172" i="9"/>
  <c r="CB172" i="9" s="1"/>
  <c r="CA216" i="9"/>
  <c r="CK216" i="9"/>
  <c r="BN7" i="9"/>
  <c r="BX7" i="9"/>
  <c r="BN83" i="9"/>
  <c r="BX83" i="9"/>
  <c r="BN169" i="9"/>
  <c r="BX169" i="9"/>
  <c r="BN122" i="9"/>
  <c r="BX122" i="9"/>
  <c r="BV326" i="9"/>
  <c r="BN131" i="9"/>
  <c r="BX131" i="9"/>
  <c r="BN270" i="9"/>
  <c r="BX270" i="9"/>
  <c r="BN294" i="9"/>
  <c r="BX294" i="9"/>
  <c r="BN76" i="9"/>
  <c r="BX76" i="9"/>
  <c r="BN111" i="9"/>
  <c r="BX111" i="9"/>
  <c r="AK399" i="9"/>
  <c r="CB114" i="9"/>
  <c r="AW328" i="9"/>
  <c r="BK381" i="9"/>
  <c r="BK380" i="9"/>
  <c r="CA85" i="9"/>
  <c r="CK85" i="9"/>
  <c r="CA73" i="9"/>
  <c r="CK73" i="9"/>
  <c r="CK430" i="9"/>
  <c r="AB24" i="2" s="1"/>
  <c r="CI334" i="9" s="1"/>
  <c r="CJ334" i="9" s="1"/>
  <c r="CO6" i="9"/>
  <c r="CB68" i="9"/>
  <c r="BN130" i="9"/>
  <c r="BX130" i="9"/>
  <c r="BQ378" i="9"/>
  <c r="BK378" i="9" s="1"/>
  <c r="BL353" i="9"/>
  <c r="CB263" i="9"/>
  <c r="BN78" i="9"/>
  <c r="BX78" i="9"/>
  <c r="CB78" i="9" s="1"/>
  <c r="BN56" i="9"/>
  <c r="BX56" i="9"/>
  <c r="BN316" i="9"/>
  <c r="BX316" i="9"/>
  <c r="BN50" i="9"/>
  <c r="BX50" i="9"/>
  <c r="BL330" i="9"/>
  <c r="BN254" i="9"/>
  <c r="BX254" i="9"/>
  <c r="BN116" i="9"/>
  <c r="BX116" i="9"/>
  <c r="BN281" i="9"/>
  <c r="BX281" i="9"/>
  <c r="BN96" i="9"/>
  <c r="BX96" i="9"/>
  <c r="BN82" i="9"/>
  <c r="BX82" i="9"/>
  <c r="AW378" i="9"/>
  <c r="BN185" i="9"/>
  <c r="BX185" i="9"/>
  <c r="BK412" i="9"/>
  <c r="BK407" i="9"/>
  <c r="BK408" i="9" s="1"/>
  <c r="BN5" i="9"/>
  <c r="BM320" i="9"/>
  <c r="BX5" i="9"/>
  <c r="CB5" i="9" s="1"/>
  <c r="BN272" i="9"/>
  <c r="BX272" i="9"/>
  <c r="BN14" i="9"/>
  <c r="BX14" i="9"/>
  <c r="BN248" i="9"/>
  <c r="BX248" i="9"/>
  <c r="CA103" i="9"/>
  <c r="CK103" i="9"/>
  <c r="CA210" i="9"/>
  <c r="CK210" i="9"/>
  <c r="CJ243" i="9"/>
  <c r="CL243" i="9"/>
  <c r="CM243" i="9"/>
  <c r="CQ243" i="9"/>
  <c r="CC383" i="9"/>
  <c r="CC382" i="9"/>
  <c r="CC385" i="9"/>
  <c r="CC378" i="9"/>
  <c r="BS364" i="9"/>
  <c r="BS361" i="9"/>
  <c r="BS363" i="9"/>
  <c r="CO32" i="9"/>
  <c r="CB113" i="9"/>
  <c r="BN145" i="9"/>
  <c r="BX145" i="9"/>
  <c r="BN144" i="9"/>
  <c r="BX144" i="9"/>
  <c r="CB165" i="9"/>
  <c r="BB354" i="9"/>
  <c r="BB353" i="9" s="1"/>
  <c r="AZ354" i="9"/>
  <c r="AX354" i="9" s="1"/>
  <c r="AX345" i="9"/>
  <c r="AY325" i="9"/>
  <c r="AY324" i="9" s="1"/>
  <c r="CA95" i="9"/>
  <c r="CK95" i="9"/>
  <c r="CA142" i="9"/>
  <c r="CK142" i="9"/>
  <c r="CA242" i="9"/>
  <c r="CK242" i="9"/>
  <c r="BN302" i="9"/>
  <c r="BX302" i="9"/>
  <c r="BN318" i="9"/>
  <c r="BX318" i="9"/>
  <c r="CB318" i="9" s="1"/>
  <c r="EB262" i="9"/>
  <c r="BN177" i="9"/>
  <c r="BX177" i="9"/>
  <c r="BN47" i="9"/>
  <c r="BX47" i="9"/>
  <c r="BN251" i="9"/>
  <c r="BX251" i="9"/>
  <c r="BH369" i="9"/>
  <c r="BH371" i="9"/>
  <c r="BK374" i="9"/>
  <c r="BP394" i="9"/>
  <c r="BP397" i="9"/>
  <c r="BK377" i="9"/>
  <c r="BK385" i="9"/>
  <c r="CA218" i="9"/>
  <c r="CK218" i="9"/>
  <c r="CL300" i="9"/>
  <c r="CJ300" i="9"/>
  <c r="CQ300" i="9"/>
  <c r="CM300" i="9"/>
  <c r="CM237" i="9"/>
  <c r="CL237" i="9"/>
  <c r="CJ237" i="9"/>
  <c r="CQ237" i="9"/>
  <c r="CO237" i="9"/>
  <c r="DQ204" i="9"/>
  <c r="DQ88" i="9"/>
  <c r="DQ306" i="9"/>
  <c r="DQ220" i="9"/>
  <c r="DQ273" i="9"/>
  <c r="DQ24" i="9"/>
  <c r="DQ16" i="9"/>
  <c r="DM24" i="9"/>
  <c r="DN24" i="9" s="1"/>
  <c r="DI320" i="9"/>
  <c r="DK410" i="9" s="1"/>
  <c r="DM16" i="9"/>
  <c r="DN16" i="9" s="1"/>
  <c r="DK48" i="9"/>
  <c r="DJ72" i="9"/>
  <c r="DL72" i="9"/>
  <c r="DM119" i="9"/>
  <c r="DN119" i="9" s="1"/>
  <c r="DJ119" i="9"/>
  <c r="DL119" i="9"/>
  <c r="DI332" i="9"/>
  <c r="DI428" i="9"/>
  <c r="DM201" i="9"/>
  <c r="DN201" i="9" s="1"/>
  <c r="DJ201" i="9"/>
  <c r="DL201" i="9"/>
  <c r="DM205" i="9"/>
  <c r="DN205" i="9" s="1"/>
  <c r="DJ205" i="9"/>
  <c r="DL205" i="9"/>
  <c r="DM209" i="9"/>
  <c r="DN209" i="9" s="1"/>
  <c r="DJ209" i="9"/>
  <c r="DL209" i="9"/>
  <c r="DK211" i="9"/>
  <c r="DM215" i="9"/>
  <c r="DN215" i="9" s="1"/>
  <c r="DL215" i="9"/>
  <c r="DJ215" i="9"/>
  <c r="DK219" i="9"/>
  <c r="DM223" i="9"/>
  <c r="DN223" i="9" s="1"/>
  <c r="DL223" i="9"/>
  <c r="DJ223" i="9"/>
  <c r="DK235" i="9"/>
  <c r="DL262" i="9"/>
  <c r="DJ262" i="9"/>
  <c r="DK289" i="9"/>
  <c r="DO72" i="9"/>
  <c r="EB72" i="9" s="1"/>
  <c r="CR319" i="9"/>
  <c r="CR318" i="9"/>
  <c r="CR312" i="9"/>
  <c r="CR308" i="9"/>
  <c r="CR304" i="9"/>
  <c r="CR309" i="9"/>
  <c r="CR302" i="9"/>
  <c r="CR298" i="9"/>
  <c r="CR294" i="9"/>
  <c r="CR290" i="9"/>
  <c r="CR286" i="9"/>
  <c r="CR282" i="9"/>
  <c r="CR316" i="9"/>
  <c r="CR311" i="9"/>
  <c r="CR303" i="9"/>
  <c r="CR299" i="9"/>
  <c r="CR295" i="9"/>
  <c r="CR291" i="9"/>
  <c r="CR287" i="9"/>
  <c r="CR283" i="9"/>
  <c r="CR279" i="9"/>
  <c r="CR278" i="9"/>
  <c r="CR272" i="9"/>
  <c r="CR268" i="9"/>
  <c r="CR264" i="9"/>
  <c r="CR260" i="9"/>
  <c r="CR256" i="9"/>
  <c r="CR252" i="9"/>
  <c r="CR248" i="9"/>
  <c r="CR244" i="9"/>
  <c r="CR275" i="9"/>
  <c r="CR271" i="9"/>
  <c r="CR267" i="9"/>
  <c r="CR263" i="9"/>
  <c r="CR259" i="9"/>
  <c r="CR255" i="9"/>
  <c r="CR251" i="9"/>
  <c r="CR247" i="9"/>
  <c r="CR241" i="9"/>
  <c r="CR237" i="9"/>
  <c r="CR233" i="9"/>
  <c r="CR229" i="9"/>
  <c r="CR225" i="9"/>
  <c r="CR221" i="9"/>
  <c r="CR217" i="9"/>
  <c r="CR213" i="9"/>
  <c r="CR242" i="9"/>
  <c r="CR238" i="9"/>
  <c r="CR234" i="9"/>
  <c r="CR230" i="9"/>
  <c r="CR226" i="9"/>
  <c r="CR222" i="9"/>
  <c r="CR218" i="9"/>
  <c r="CR214" i="9"/>
  <c r="CR210" i="9"/>
  <c r="CR206" i="9"/>
  <c r="CR202" i="9"/>
  <c r="CR198" i="9"/>
  <c r="CR194" i="9"/>
  <c r="CR190" i="9"/>
  <c r="CR186" i="9"/>
  <c r="CR182" i="9"/>
  <c r="CR178" i="9"/>
  <c r="CR174" i="9"/>
  <c r="CR207" i="9"/>
  <c r="CR199" i="9"/>
  <c r="CR191" i="9"/>
  <c r="CR183" i="9"/>
  <c r="CR175" i="9"/>
  <c r="CR171" i="9"/>
  <c r="CR167" i="9"/>
  <c r="CR163" i="9"/>
  <c r="CR159" i="9"/>
  <c r="CR155" i="9"/>
  <c r="CR151" i="9"/>
  <c r="CR147" i="9"/>
  <c r="CR143" i="9"/>
  <c r="CR139" i="9"/>
  <c r="CR135" i="9"/>
  <c r="CR131" i="9"/>
  <c r="CR127" i="9"/>
  <c r="CR123" i="9"/>
  <c r="CR201" i="9"/>
  <c r="CR185" i="9"/>
  <c r="CR172" i="9"/>
  <c r="CR164" i="9"/>
  <c r="CR156" i="9"/>
  <c r="CR148" i="9"/>
  <c r="CR140" i="9"/>
  <c r="CR132" i="9"/>
  <c r="CR124" i="9"/>
  <c r="CR120" i="9"/>
  <c r="CR116" i="9"/>
  <c r="CR112" i="9"/>
  <c r="CR108" i="9"/>
  <c r="CR104" i="9"/>
  <c r="CR100" i="9"/>
  <c r="CR96" i="9"/>
  <c r="CR92" i="9"/>
  <c r="CR88" i="9"/>
  <c r="CR84" i="9"/>
  <c r="CR80" i="9"/>
  <c r="CR76" i="9"/>
  <c r="CR72" i="9"/>
  <c r="CR68" i="9"/>
  <c r="CR64" i="9"/>
  <c r="CR60" i="9"/>
  <c r="CR56" i="9"/>
  <c r="CR52" i="9"/>
  <c r="CR48" i="9"/>
  <c r="CR44" i="9"/>
  <c r="CR40" i="9"/>
  <c r="CR36" i="9"/>
  <c r="CR32" i="9"/>
  <c r="CR28" i="9"/>
  <c r="CR24" i="9"/>
  <c r="CR20" i="9"/>
  <c r="CR205" i="9"/>
  <c r="CR189" i="9"/>
  <c r="CR170" i="9"/>
  <c r="CR162" i="9"/>
  <c r="CR154" i="9"/>
  <c r="CR146" i="9"/>
  <c r="CR138" i="9"/>
  <c r="CR130" i="9"/>
  <c r="CR121" i="9"/>
  <c r="CR117" i="9"/>
  <c r="CR113" i="9"/>
  <c r="CR109" i="9"/>
  <c r="CR105" i="9"/>
  <c r="CR101" i="9"/>
  <c r="CR97" i="9"/>
  <c r="CR93" i="9"/>
  <c r="CR89" i="9"/>
  <c r="CR85" i="9"/>
  <c r="CR81" i="9"/>
  <c r="CR77" i="9"/>
  <c r="CR73" i="9"/>
  <c r="CR69" i="9"/>
  <c r="CR65" i="9"/>
  <c r="CR61" i="9"/>
  <c r="CR57" i="9"/>
  <c r="CR53" i="9"/>
  <c r="CR49" i="9"/>
  <c r="CR45" i="9"/>
  <c r="CR41" i="9"/>
  <c r="CR37" i="9"/>
  <c r="CR31" i="9"/>
  <c r="CR23" i="9"/>
  <c r="CR17" i="9"/>
  <c r="CR13" i="9"/>
  <c r="CR9" i="9"/>
  <c r="CR5" i="9"/>
  <c r="CR29" i="9"/>
  <c r="CR21" i="9"/>
  <c r="CR16" i="9"/>
  <c r="CR12" i="9"/>
  <c r="CR6" i="9"/>
  <c r="CR317" i="9"/>
  <c r="CR314" i="9"/>
  <c r="CR310" i="9"/>
  <c r="CR306" i="9"/>
  <c r="CR313" i="9"/>
  <c r="CR305" i="9"/>
  <c r="CR300" i="9"/>
  <c r="CR296" i="9"/>
  <c r="CR292" i="9"/>
  <c r="CR288" i="9"/>
  <c r="CR284" i="9"/>
  <c r="CR280" i="9"/>
  <c r="CR315" i="9"/>
  <c r="CR307" i="9"/>
  <c r="CR301" i="9"/>
  <c r="CR297" i="9"/>
  <c r="CR293" i="9"/>
  <c r="CR289" i="9"/>
  <c r="CR285" i="9"/>
  <c r="CR281" i="9"/>
  <c r="CR277" i="9"/>
  <c r="CR274" i="9"/>
  <c r="CR270" i="9"/>
  <c r="CR266" i="9"/>
  <c r="CR262" i="9"/>
  <c r="CR258" i="9"/>
  <c r="CR254" i="9"/>
  <c r="CR250" i="9"/>
  <c r="CR246" i="9"/>
  <c r="CR276" i="9"/>
  <c r="CR273" i="9"/>
  <c r="CR269" i="9"/>
  <c r="CR265" i="9"/>
  <c r="CR261" i="9"/>
  <c r="CR257" i="9"/>
  <c r="CR253" i="9"/>
  <c r="CR249" i="9"/>
  <c r="CR245" i="9"/>
  <c r="CR239" i="9"/>
  <c r="CR235" i="9"/>
  <c r="CR231" i="9"/>
  <c r="CR227" i="9"/>
  <c r="CR223" i="9"/>
  <c r="CR219" i="9"/>
  <c r="CR215" i="9"/>
  <c r="CR243" i="9"/>
  <c r="CR240" i="9"/>
  <c r="CR236" i="9"/>
  <c r="CR232" i="9"/>
  <c r="CR228" i="9"/>
  <c r="CR224" i="9"/>
  <c r="CR220" i="9"/>
  <c r="CR216" i="9"/>
  <c r="CR212" i="9"/>
  <c r="CR208" i="9"/>
  <c r="CR204" i="9"/>
  <c r="CR200" i="9"/>
  <c r="CR196" i="9"/>
  <c r="CR192" i="9"/>
  <c r="CR188" i="9"/>
  <c r="CR184" i="9"/>
  <c r="CR180" i="9"/>
  <c r="CR176" i="9"/>
  <c r="CR211" i="9"/>
  <c r="CR203" i="9"/>
  <c r="CR195" i="9"/>
  <c r="CR187" i="9"/>
  <c r="CR179" i="9"/>
  <c r="CR173" i="9"/>
  <c r="CR169" i="9"/>
  <c r="CR165" i="9"/>
  <c r="CR161" i="9"/>
  <c r="CR157" i="9"/>
  <c r="CR153" i="9"/>
  <c r="CR149" i="9"/>
  <c r="CR145" i="9"/>
  <c r="CR141" i="9"/>
  <c r="CR137" i="9"/>
  <c r="CR133" i="9"/>
  <c r="CR129" i="9"/>
  <c r="CR125" i="9"/>
  <c r="CR209" i="9"/>
  <c r="CR193" i="9"/>
  <c r="CR177" i="9"/>
  <c r="CR168" i="9"/>
  <c r="CR160" i="9"/>
  <c r="CR152" i="9"/>
  <c r="CR144" i="9"/>
  <c r="CR136" i="9"/>
  <c r="CR128" i="9"/>
  <c r="CR122" i="9"/>
  <c r="CR118" i="9"/>
  <c r="CR114" i="9"/>
  <c r="CR110" i="9"/>
  <c r="CR106" i="9"/>
  <c r="CR102" i="9"/>
  <c r="CR98" i="9"/>
  <c r="CR94" i="9"/>
  <c r="CR90" i="9"/>
  <c r="CR86" i="9"/>
  <c r="CR82" i="9"/>
  <c r="CR78" i="9"/>
  <c r="CR74" i="9"/>
  <c r="CR70" i="9"/>
  <c r="CR66" i="9"/>
  <c r="CR62" i="9"/>
  <c r="CR58" i="9"/>
  <c r="CR54" i="9"/>
  <c r="CR50" i="9"/>
  <c r="CR46" i="9"/>
  <c r="CR42" i="9"/>
  <c r="CR38" i="9"/>
  <c r="CR34" i="9"/>
  <c r="CR30" i="9"/>
  <c r="CR26" i="9"/>
  <c r="CR22" i="9"/>
  <c r="CR18" i="9"/>
  <c r="CR197" i="9"/>
  <c r="CR181" i="9"/>
  <c r="CR166" i="9"/>
  <c r="CR158" i="9"/>
  <c r="CR150" i="9"/>
  <c r="CR142" i="9"/>
  <c r="CR134" i="9"/>
  <c r="CR126" i="9"/>
  <c r="CR119" i="9"/>
  <c r="CR115" i="9"/>
  <c r="CR111" i="9"/>
  <c r="CR107" i="9"/>
  <c r="CR103" i="9"/>
  <c r="CR99" i="9"/>
  <c r="CR95" i="9"/>
  <c r="CR91" i="9"/>
  <c r="CR87" i="9"/>
  <c r="CR83" i="9"/>
  <c r="CR79" i="9"/>
  <c r="CR75" i="9"/>
  <c r="CR71" i="9"/>
  <c r="CR67" i="9"/>
  <c r="CR63" i="9"/>
  <c r="CR59" i="9"/>
  <c r="CR55" i="9"/>
  <c r="CR51" i="9"/>
  <c r="CR47" i="9"/>
  <c r="CR43" i="9"/>
  <c r="CR39" i="9"/>
  <c r="CR35" i="9"/>
  <c r="CR27" i="9"/>
  <c r="CR19" i="9"/>
  <c r="CR15" i="9"/>
  <c r="CR11" i="9"/>
  <c r="CR7" i="9"/>
  <c r="CR33" i="9"/>
  <c r="CR25" i="9"/>
  <c r="CR10" i="9"/>
  <c r="CR14" i="9"/>
  <c r="CR8" i="9"/>
  <c r="DO273" i="9"/>
  <c r="CV429" i="9"/>
  <c r="CV430" i="9"/>
  <c r="CX431" i="9" s="1"/>
  <c r="AG24" i="2" s="1"/>
  <c r="CV335" i="9" s="1"/>
  <c r="CW335" i="9" s="1"/>
  <c r="CX429" i="9"/>
  <c r="DO39" i="9"/>
  <c r="EB39" i="9" s="1"/>
  <c r="DO209" i="9"/>
  <c r="CF13" i="9"/>
  <c r="CP13" i="9"/>
  <c r="CG13" i="9"/>
  <c r="CH13" i="9" s="1"/>
  <c r="CP15" i="9"/>
  <c r="CG15" i="9"/>
  <c r="CH15" i="9" s="1"/>
  <c r="CF15" i="9"/>
  <c r="CP32" i="9"/>
  <c r="CG32" i="9"/>
  <c r="CH32" i="9" s="1"/>
  <c r="CF32" i="9"/>
  <c r="CG10" i="9"/>
  <c r="CH10" i="9" s="1"/>
  <c r="CF10" i="9"/>
  <c r="CP10" i="9"/>
  <c r="CP18" i="9"/>
  <c r="CF18" i="9"/>
  <c r="CG18" i="9"/>
  <c r="CH18" i="9" s="1"/>
  <c r="CP34" i="9"/>
  <c r="CG34" i="9"/>
  <c r="CH34" i="9" s="1"/>
  <c r="CF34" i="9"/>
  <c r="CP44" i="9"/>
  <c r="CG44" i="9"/>
  <c r="CH44" i="9" s="1"/>
  <c r="CF44" i="9"/>
  <c r="CP52" i="9"/>
  <c r="CG52" i="9"/>
  <c r="CH52" i="9" s="1"/>
  <c r="CF52" i="9"/>
  <c r="CP60" i="9"/>
  <c r="CG60" i="9"/>
  <c r="CH60" i="9" s="1"/>
  <c r="CF60" i="9"/>
  <c r="CP68" i="9"/>
  <c r="CG68" i="9"/>
  <c r="CH68" i="9" s="1"/>
  <c r="CF68" i="9"/>
  <c r="CP76" i="9"/>
  <c r="CG76" i="9"/>
  <c r="CH76" i="9" s="1"/>
  <c r="CF76" i="9"/>
  <c r="CP84" i="9"/>
  <c r="CG84" i="9"/>
  <c r="CH84" i="9" s="1"/>
  <c r="CF84" i="9"/>
  <c r="CP92" i="9"/>
  <c r="CG92" i="9"/>
  <c r="CH92" i="9" s="1"/>
  <c r="CF92" i="9"/>
  <c r="CP100" i="9"/>
  <c r="CG100" i="9"/>
  <c r="CH100" i="9" s="1"/>
  <c r="CF100" i="9"/>
  <c r="CP108" i="9"/>
  <c r="CG108" i="9"/>
  <c r="CH108" i="9" s="1"/>
  <c r="CF108" i="9"/>
  <c r="CP116" i="9"/>
  <c r="CG116" i="9"/>
  <c r="CH116" i="9" s="1"/>
  <c r="CF116" i="9"/>
  <c r="CP125" i="9"/>
  <c r="CG125" i="9"/>
  <c r="CH125" i="9" s="1"/>
  <c r="CF125" i="9"/>
  <c r="CP141" i="9"/>
  <c r="CG141" i="9"/>
  <c r="CH141" i="9" s="1"/>
  <c r="CF141" i="9"/>
  <c r="CP157" i="9"/>
  <c r="CG157" i="9"/>
  <c r="CH157" i="9" s="1"/>
  <c r="CF157" i="9"/>
  <c r="CP173" i="9"/>
  <c r="CG173" i="9"/>
  <c r="CH173" i="9" s="1"/>
  <c r="CF173" i="9"/>
  <c r="CP200" i="9"/>
  <c r="CG200" i="9"/>
  <c r="CH200" i="9" s="1"/>
  <c r="CF200" i="9"/>
  <c r="CG23" i="9"/>
  <c r="CH23" i="9" s="1"/>
  <c r="CP23" i="9"/>
  <c r="CF23" i="9"/>
  <c r="CG31" i="9"/>
  <c r="CH31" i="9" s="1"/>
  <c r="CP31" i="9"/>
  <c r="CF31" i="9"/>
  <c r="CG39" i="9"/>
  <c r="CH39" i="9" s="1"/>
  <c r="CF39" i="9"/>
  <c r="CP39" i="9"/>
  <c r="CG47" i="9"/>
  <c r="CH47" i="9" s="1"/>
  <c r="CF47" i="9"/>
  <c r="CP47" i="9"/>
  <c r="CG55" i="9"/>
  <c r="CH55" i="9" s="1"/>
  <c r="CF55" i="9"/>
  <c r="CP55" i="9"/>
  <c r="CG63" i="9"/>
  <c r="CH63" i="9" s="1"/>
  <c r="CF63" i="9"/>
  <c r="CP63" i="9"/>
  <c r="CG71" i="9"/>
  <c r="CH71" i="9" s="1"/>
  <c r="CF71" i="9"/>
  <c r="CP71" i="9"/>
  <c r="CG79" i="9"/>
  <c r="CH79" i="9" s="1"/>
  <c r="CF79" i="9"/>
  <c r="CP79" i="9"/>
  <c r="CG87" i="9"/>
  <c r="CH87" i="9" s="1"/>
  <c r="CF87" i="9"/>
  <c r="CP87" i="9"/>
  <c r="CG95" i="9"/>
  <c r="CH95" i="9" s="1"/>
  <c r="CF95" i="9"/>
  <c r="CP95" i="9"/>
  <c r="CG103" i="9"/>
  <c r="CH103" i="9" s="1"/>
  <c r="CF103" i="9"/>
  <c r="CP103" i="9"/>
  <c r="CG111" i="9"/>
  <c r="CH111" i="9" s="1"/>
  <c r="CF111" i="9"/>
  <c r="CP111" i="9"/>
  <c r="CG119" i="9"/>
  <c r="CH119" i="9" s="1"/>
  <c r="CF119" i="9"/>
  <c r="CP119" i="9"/>
  <c r="CP131" i="9"/>
  <c r="CG131" i="9"/>
  <c r="CH131" i="9" s="1"/>
  <c r="CF131" i="9"/>
  <c r="CP147" i="9"/>
  <c r="CG147" i="9"/>
  <c r="CH147" i="9" s="1"/>
  <c r="CF147" i="9"/>
  <c r="CP163" i="9"/>
  <c r="CG163" i="9"/>
  <c r="CH163" i="9" s="1"/>
  <c r="CF163" i="9"/>
  <c r="CP188" i="9"/>
  <c r="CG188" i="9"/>
  <c r="CH188" i="9" s="1"/>
  <c r="CF188" i="9"/>
  <c r="CG124" i="9"/>
  <c r="CH124" i="9" s="1"/>
  <c r="CP124" i="9"/>
  <c r="CF124" i="9"/>
  <c r="CG132" i="9"/>
  <c r="CH132" i="9" s="1"/>
  <c r="CP132" i="9"/>
  <c r="CF132" i="9"/>
  <c r="CG140" i="9"/>
  <c r="CH140" i="9" s="1"/>
  <c r="CP140" i="9"/>
  <c r="CF140" i="9"/>
  <c r="CG148" i="9"/>
  <c r="CH148" i="9" s="1"/>
  <c r="CP148" i="9"/>
  <c r="CF148" i="9"/>
  <c r="CG156" i="9"/>
  <c r="CH156" i="9" s="1"/>
  <c r="CP156" i="9"/>
  <c r="CF156" i="9"/>
  <c r="CG164" i="9"/>
  <c r="CH164" i="9" s="1"/>
  <c r="CP164" i="9"/>
  <c r="CF164" i="9"/>
  <c r="CG172" i="9"/>
  <c r="CH172" i="9" s="1"/>
  <c r="CP172" i="9"/>
  <c r="CF172" i="9"/>
  <c r="CP186" i="9"/>
  <c r="CG186" i="9"/>
  <c r="CH186" i="9" s="1"/>
  <c r="CF186" i="9"/>
  <c r="CP202" i="9"/>
  <c r="CG202" i="9"/>
  <c r="CH202" i="9" s="1"/>
  <c r="CF202" i="9"/>
  <c r="CG177" i="9"/>
  <c r="CH177" i="9" s="1"/>
  <c r="CF177" i="9"/>
  <c r="CP177" i="9"/>
  <c r="CG185" i="9"/>
  <c r="CH185" i="9" s="1"/>
  <c r="CF185" i="9"/>
  <c r="CP185" i="9"/>
  <c r="CG193" i="9"/>
  <c r="CH193" i="9" s="1"/>
  <c r="CF193" i="9"/>
  <c r="CP193" i="9"/>
  <c r="CG201" i="9"/>
  <c r="CH201" i="9" s="1"/>
  <c r="CF201" i="9"/>
  <c r="CP201" i="9"/>
  <c r="CG209" i="9"/>
  <c r="CH209" i="9" s="1"/>
  <c r="CF209" i="9"/>
  <c r="CP209" i="9"/>
  <c r="CP217" i="9"/>
  <c r="CG217" i="9"/>
  <c r="CH217" i="9" s="1"/>
  <c r="CF217" i="9"/>
  <c r="CP225" i="9"/>
  <c r="CG225" i="9"/>
  <c r="CH225" i="9" s="1"/>
  <c r="CF225" i="9"/>
  <c r="CP233" i="9"/>
  <c r="CG233" i="9"/>
  <c r="CH233" i="9" s="1"/>
  <c r="CF233" i="9"/>
  <c r="CP241" i="9"/>
  <c r="CG241" i="9"/>
  <c r="CH241" i="9" s="1"/>
  <c r="CF241" i="9"/>
  <c r="CG220" i="9"/>
  <c r="CH220" i="9" s="1"/>
  <c r="CF220" i="9"/>
  <c r="CP220" i="9"/>
  <c r="CG228" i="9"/>
  <c r="CH228" i="9" s="1"/>
  <c r="CF228" i="9"/>
  <c r="CP228" i="9"/>
  <c r="CG236" i="9"/>
  <c r="CH236" i="9" s="1"/>
  <c r="CF236" i="9"/>
  <c r="CP236" i="9"/>
  <c r="CP244" i="9"/>
  <c r="CG244" i="9"/>
  <c r="CH244" i="9" s="1"/>
  <c r="CF244" i="9"/>
  <c r="CP252" i="9"/>
  <c r="CG252" i="9"/>
  <c r="CH252" i="9" s="1"/>
  <c r="CF252" i="9"/>
  <c r="CP260" i="9"/>
  <c r="CG260" i="9"/>
  <c r="CH260" i="9" s="1"/>
  <c r="CF260" i="9"/>
  <c r="CP268" i="9"/>
  <c r="CG268" i="9"/>
  <c r="CH268" i="9" s="1"/>
  <c r="CF268" i="9"/>
  <c r="CP276" i="9"/>
  <c r="CG276" i="9"/>
  <c r="CH276" i="9" s="1"/>
  <c r="CF276" i="9"/>
  <c r="CG247" i="9"/>
  <c r="CH247" i="9" s="1"/>
  <c r="CF247" i="9"/>
  <c r="CP247" i="9"/>
  <c r="CG255" i="9"/>
  <c r="CH255" i="9" s="1"/>
  <c r="CF255" i="9"/>
  <c r="CP255" i="9"/>
  <c r="CG263" i="9"/>
  <c r="CH263" i="9" s="1"/>
  <c r="CF263" i="9"/>
  <c r="CP263" i="9"/>
  <c r="CG271" i="9"/>
  <c r="CH271" i="9" s="1"/>
  <c r="CF271" i="9"/>
  <c r="CP271" i="9"/>
  <c r="CG278" i="9"/>
  <c r="CH278" i="9" s="1"/>
  <c r="CP278" i="9"/>
  <c r="CF278" i="9"/>
  <c r="CP286" i="9"/>
  <c r="CG286" i="9"/>
  <c r="CH286" i="9" s="1"/>
  <c r="CF286" i="9"/>
  <c r="CP294" i="9"/>
  <c r="CG294" i="9"/>
  <c r="CH294" i="9" s="1"/>
  <c r="CF294" i="9"/>
  <c r="CP302" i="9"/>
  <c r="CG302" i="9"/>
  <c r="CH302" i="9" s="1"/>
  <c r="CF302" i="9"/>
  <c r="CP319" i="9"/>
  <c r="CG319" i="9"/>
  <c r="CH319" i="9" s="1"/>
  <c r="CF319" i="9"/>
  <c r="CG287" i="9"/>
  <c r="CH287" i="9" s="1"/>
  <c r="CF287" i="9"/>
  <c r="CP287" i="9"/>
  <c r="CG295" i="9"/>
  <c r="CH295" i="9" s="1"/>
  <c r="CF295" i="9"/>
  <c r="CP295" i="9"/>
  <c r="CP304" i="9"/>
  <c r="CG304" i="9"/>
  <c r="CH304" i="9" s="1"/>
  <c r="CF304" i="9"/>
  <c r="CG305" i="9"/>
  <c r="CH305" i="9" s="1"/>
  <c r="CP305" i="9"/>
  <c r="CF305" i="9"/>
  <c r="CG313" i="9"/>
  <c r="CH313" i="9" s="1"/>
  <c r="CP313" i="9"/>
  <c r="CF313" i="9"/>
  <c r="CG318" i="9"/>
  <c r="CH318" i="9" s="1"/>
  <c r="CP318" i="9"/>
  <c r="CF318" i="9"/>
  <c r="CP20" i="9"/>
  <c r="CG20" i="9"/>
  <c r="CH20" i="9" s="1"/>
  <c r="CF20" i="9"/>
  <c r="CP17" i="9"/>
  <c r="CG17" i="9"/>
  <c r="CH17" i="9" s="1"/>
  <c r="CF17" i="9"/>
  <c r="CP36" i="9"/>
  <c r="CG36" i="9"/>
  <c r="CH36" i="9" s="1"/>
  <c r="CF36" i="9"/>
  <c r="CG12" i="9"/>
  <c r="CH12" i="9" s="1"/>
  <c r="CF12" i="9"/>
  <c r="CP12" i="9"/>
  <c r="CP22" i="9"/>
  <c r="CG22" i="9"/>
  <c r="CH22" i="9" s="1"/>
  <c r="CF22" i="9"/>
  <c r="CP38" i="9"/>
  <c r="CG38" i="9"/>
  <c r="CH38" i="9" s="1"/>
  <c r="CF38" i="9"/>
  <c r="CP46" i="9"/>
  <c r="CG46" i="9"/>
  <c r="CH46" i="9" s="1"/>
  <c r="CF46" i="9"/>
  <c r="CP54" i="9"/>
  <c r="CG54" i="9"/>
  <c r="CH54" i="9" s="1"/>
  <c r="CF54" i="9"/>
  <c r="CP62" i="9"/>
  <c r="CG62" i="9"/>
  <c r="CH62" i="9" s="1"/>
  <c r="CF62" i="9"/>
  <c r="CP70" i="9"/>
  <c r="CG70" i="9"/>
  <c r="CH70" i="9" s="1"/>
  <c r="CF70" i="9"/>
  <c r="CP78" i="9"/>
  <c r="CG78" i="9"/>
  <c r="CH78" i="9" s="1"/>
  <c r="CF78" i="9"/>
  <c r="CP86" i="9"/>
  <c r="CG86" i="9"/>
  <c r="CH86" i="9" s="1"/>
  <c r="CF86" i="9"/>
  <c r="CP94" i="9"/>
  <c r="CG94" i="9"/>
  <c r="CH94" i="9" s="1"/>
  <c r="CF94" i="9"/>
  <c r="CP102" i="9"/>
  <c r="CG102" i="9"/>
  <c r="CH102" i="9" s="1"/>
  <c r="CF102" i="9"/>
  <c r="CP110" i="9"/>
  <c r="CG110" i="9"/>
  <c r="CH110" i="9" s="1"/>
  <c r="CF110" i="9"/>
  <c r="CP118" i="9"/>
  <c r="CG118" i="9"/>
  <c r="CH118" i="9" s="1"/>
  <c r="CF118" i="9"/>
  <c r="CP129" i="9"/>
  <c r="CG129" i="9"/>
  <c r="CH129" i="9" s="1"/>
  <c r="CF129" i="9"/>
  <c r="CP145" i="9"/>
  <c r="CG145" i="9"/>
  <c r="CH145" i="9" s="1"/>
  <c r="CF145" i="9"/>
  <c r="CP161" i="9"/>
  <c r="CG161" i="9"/>
  <c r="CH161" i="9" s="1"/>
  <c r="CF161" i="9"/>
  <c r="CP176" i="9"/>
  <c r="CG176" i="9"/>
  <c r="CH176" i="9" s="1"/>
  <c r="CF176" i="9"/>
  <c r="CP208" i="9"/>
  <c r="CG208" i="9"/>
  <c r="CH208" i="9" s="1"/>
  <c r="CF208" i="9"/>
  <c r="CG25" i="9"/>
  <c r="CH25" i="9" s="1"/>
  <c r="CF25" i="9"/>
  <c r="CP25" i="9"/>
  <c r="CG33" i="9"/>
  <c r="CH33" i="9" s="1"/>
  <c r="CF33" i="9"/>
  <c r="CP33" i="9"/>
  <c r="CG41" i="9"/>
  <c r="CH41" i="9" s="1"/>
  <c r="CF41" i="9"/>
  <c r="CP41" i="9"/>
  <c r="CG49" i="9"/>
  <c r="CH49" i="9" s="1"/>
  <c r="CF49" i="9"/>
  <c r="CP49" i="9"/>
  <c r="CG57" i="9"/>
  <c r="CH57" i="9" s="1"/>
  <c r="CF57" i="9"/>
  <c r="CP57" i="9"/>
  <c r="CG65" i="9"/>
  <c r="CH65" i="9" s="1"/>
  <c r="CF65" i="9"/>
  <c r="CP65" i="9"/>
  <c r="CG73" i="9"/>
  <c r="CH73" i="9" s="1"/>
  <c r="CF73" i="9"/>
  <c r="CP73" i="9"/>
  <c r="CG81" i="9"/>
  <c r="CH81" i="9" s="1"/>
  <c r="CF81" i="9"/>
  <c r="CP81" i="9"/>
  <c r="CG89" i="9"/>
  <c r="CH89" i="9" s="1"/>
  <c r="CF89" i="9"/>
  <c r="CP89" i="9"/>
  <c r="CG97" i="9"/>
  <c r="CH97" i="9" s="1"/>
  <c r="CF97" i="9"/>
  <c r="CP97" i="9"/>
  <c r="CG105" i="9"/>
  <c r="CH105" i="9" s="1"/>
  <c r="CF105" i="9"/>
  <c r="CP105" i="9"/>
  <c r="CG113" i="9"/>
  <c r="CH113" i="9" s="1"/>
  <c r="CF113" i="9"/>
  <c r="CP113" i="9"/>
  <c r="CG121" i="9"/>
  <c r="CH121" i="9" s="1"/>
  <c r="CF121" i="9"/>
  <c r="CP121" i="9"/>
  <c r="CP135" i="9"/>
  <c r="CG135" i="9"/>
  <c r="CH135" i="9" s="1"/>
  <c r="CF135" i="9"/>
  <c r="CP151" i="9"/>
  <c r="CG151" i="9"/>
  <c r="CH151" i="9" s="1"/>
  <c r="CF151" i="9"/>
  <c r="CP167" i="9"/>
  <c r="CG167" i="9"/>
  <c r="CH167" i="9" s="1"/>
  <c r="CF167" i="9"/>
  <c r="CP196" i="9"/>
  <c r="CG196" i="9"/>
  <c r="CH196" i="9" s="1"/>
  <c r="CF196" i="9"/>
  <c r="CG126" i="9"/>
  <c r="CH126" i="9" s="1"/>
  <c r="CF126" i="9"/>
  <c r="CP126" i="9"/>
  <c r="CG134" i="9"/>
  <c r="CH134" i="9" s="1"/>
  <c r="CF134" i="9"/>
  <c r="CP134" i="9"/>
  <c r="CG142" i="9"/>
  <c r="CH142" i="9" s="1"/>
  <c r="CF142" i="9"/>
  <c r="CP142" i="9"/>
  <c r="CG150" i="9"/>
  <c r="CH150" i="9" s="1"/>
  <c r="CF150" i="9"/>
  <c r="CP150" i="9"/>
  <c r="CG158" i="9"/>
  <c r="CH158" i="9" s="1"/>
  <c r="CF158" i="9"/>
  <c r="CP158" i="9"/>
  <c r="CG166" i="9"/>
  <c r="CH166" i="9" s="1"/>
  <c r="CF166" i="9"/>
  <c r="CP166" i="9"/>
  <c r="CP174" i="9"/>
  <c r="CG174" i="9"/>
  <c r="CH174" i="9" s="1"/>
  <c r="CF174" i="9"/>
  <c r="CP190" i="9"/>
  <c r="CG190" i="9"/>
  <c r="CH190" i="9" s="1"/>
  <c r="CF190" i="9"/>
  <c r="CP206" i="9"/>
  <c r="CG206" i="9"/>
  <c r="CH206" i="9" s="1"/>
  <c r="CF206" i="9"/>
  <c r="CG179" i="9"/>
  <c r="CH179" i="9" s="1"/>
  <c r="CP179" i="9"/>
  <c r="CF179" i="9"/>
  <c r="CG187" i="9"/>
  <c r="CH187" i="9" s="1"/>
  <c r="CP187" i="9"/>
  <c r="CF187" i="9"/>
  <c r="CG195" i="9"/>
  <c r="CH195" i="9" s="1"/>
  <c r="CP195" i="9"/>
  <c r="CF195" i="9"/>
  <c r="CG203" i="9"/>
  <c r="CH203" i="9" s="1"/>
  <c r="CP203" i="9"/>
  <c r="CF203" i="9"/>
  <c r="CG211" i="9"/>
  <c r="CH211" i="9" s="1"/>
  <c r="CP211" i="9"/>
  <c r="CF211" i="9"/>
  <c r="CP219" i="9"/>
  <c r="CG219" i="9"/>
  <c r="CH219" i="9" s="1"/>
  <c r="CF219" i="9"/>
  <c r="CP227" i="9"/>
  <c r="CG227" i="9"/>
  <c r="CH227" i="9" s="1"/>
  <c r="CF227" i="9"/>
  <c r="CP235" i="9"/>
  <c r="CG235" i="9"/>
  <c r="CH235" i="9" s="1"/>
  <c r="CF235" i="9"/>
  <c r="CG214" i="9"/>
  <c r="CH214" i="9" s="1"/>
  <c r="CF214" i="9"/>
  <c r="CP214" i="9"/>
  <c r="CG222" i="9"/>
  <c r="CH222" i="9" s="1"/>
  <c r="CF222" i="9"/>
  <c r="CP222" i="9"/>
  <c r="CG230" i="9"/>
  <c r="CH230" i="9" s="1"/>
  <c r="CF230" i="9"/>
  <c r="CP230" i="9"/>
  <c r="CG238" i="9"/>
  <c r="CH238" i="9" s="1"/>
  <c r="CF238" i="9"/>
  <c r="CP238" i="9"/>
  <c r="CP246" i="9"/>
  <c r="CG246" i="9"/>
  <c r="CH246" i="9" s="1"/>
  <c r="CF246" i="9"/>
  <c r="CP254" i="9"/>
  <c r="CG254" i="9"/>
  <c r="CH254" i="9" s="1"/>
  <c r="CF254" i="9"/>
  <c r="CP262" i="9"/>
  <c r="CG262" i="9"/>
  <c r="CH262" i="9" s="1"/>
  <c r="CF262" i="9"/>
  <c r="CP270" i="9"/>
  <c r="CG270" i="9"/>
  <c r="CH270" i="9" s="1"/>
  <c r="CF270" i="9"/>
  <c r="CP279" i="9"/>
  <c r="CG279" i="9"/>
  <c r="CH279" i="9" s="1"/>
  <c r="CF279" i="9"/>
  <c r="CG249" i="9"/>
  <c r="CH249" i="9" s="1"/>
  <c r="CF249" i="9"/>
  <c r="CP249" i="9"/>
  <c r="CG257" i="9"/>
  <c r="CH257" i="9" s="1"/>
  <c r="CF257" i="9"/>
  <c r="CP257" i="9"/>
  <c r="CG265" i="9"/>
  <c r="CH265" i="9" s="1"/>
  <c r="CF265" i="9"/>
  <c r="CP265" i="9"/>
  <c r="CG273" i="9"/>
  <c r="CH273" i="9" s="1"/>
  <c r="CF273" i="9"/>
  <c r="CP273" i="9"/>
  <c r="CP280" i="9"/>
  <c r="CG280" i="9"/>
  <c r="CH280" i="9" s="1"/>
  <c r="CF280" i="9"/>
  <c r="CP288" i="9"/>
  <c r="CG288" i="9"/>
  <c r="CH288" i="9" s="1"/>
  <c r="CF288" i="9"/>
  <c r="CP296" i="9"/>
  <c r="CG296" i="9"/>
  <c r="CH296" i="9" s="1"/>
  <c r="CF296" i="9"/>
  <c r="CP306" i="9"/>
  <c r="CG306" i="9"/>
  <c r="CH306" i="9" s="1"/>
  <c r="CF306" i="9"/>
  <c r="CG281" i="9"/>
  <c r="CH281" i="9" s="1"/>
  <c r="CF281" i="9"/>
  <c r="CP281" i="9"/>
  <c r="CG289" i="9"/>
  <c r="CH289" i="9" s="1"/>
  <c r="CF289" i="9"/>
  <c r="CP289" i="9"/>
  <c r="CG297" i="9"/>
  <c r="CH297" i="9" s="1"/>
  <c r="CF297" i="9"/>
  <c r="CP297" i="9"/>
  <c r="CP308" i="9"/>
  <c r="CG308" i="9"/>
  <c r="CH308" i="9" s="1"/>
  <c r="CF308" i="9"/>
  <c r="CG307" i="9"/>
  <c r="CH307" i="9" s="1"/>
  <c r="CF307" i="9"/>
  <c r="CP307" i="9"/>
  <c r="CG315" i="9"/>
  <c r="CH315" i="9" s="1"/>
  <c r="CF315" i="9"/>
  <c r="CP315" i="9"/>
  <c r="BN319" i="9"/>
  <c r="BX319" i="9"/>
  <c r="BN36" i="9"/>
  <c r="BX36" i="9"/>
  <c r="BN34" i="9"/>
  <c r="BX34" i="9"/>
  <c r="DO215" i="9"/>
  <c r="BN80" i="9"/>
  <c r="BX80" i="9"/>
  <c r="CB80" i="9" s="1"/>
  <c r="BN53" i="9"/>
  <c r="BX53" i="9"/>
  <c r="BN74" i="9"/>
  <c r="BX74" i="9"/>
  <c r="BN118" i="9"/>
  <c r="BX118" i="9"/>
  <c r="BN104" i="9"/>
  <c r="BX104" i="9"/>
  <c r="BN64" i="9"/>
  <c r="BX64" i="9"/>
  <c r="BN280" i="9"/>
  <c r="BX280" i="9"/>
  <c r="BN236" i="9"/>
  <c r="BX236" i="9"/>
  <c r="CO70" i="9"/>
  <c r="BB352" i="9"/>
  <c r="BA369" i="9"/>
  <c r="BB372" i="9" s="1"/>
  <c r="AZ349" i="9"/>
  <c r="BB351" i="9"/>
  <c r="BB350" i="9"/>
  <c r="BM367" i="9"/>
  <c r="BK367" i="9" s="1"/>
  <c r="CA35" i="9"/>
  <c r="CK35" i="9"/>
  <c r="CA87" i="9"/>
  <c r="CK87" i="9"/>
  <c r="CA124" i="9"/>
  <c r="CK124" i="9"/>
  <c r="CO167" i="9"/>
  <c r="CL307" i="9"/>
  <c r="CJ307" i="9"/>
  <c r="CM307" i="9"/>
  <c r="CQ307" i="9"/>
  <c r="CO253" i="9"/>
  <c r="Z34" i="2"/>
  <c r="BN92" i="9"/>
  <c r="BX92" i="9"/>
  <c r="BN100" i="9"/>
  <c r="BX100" i="9"/>
  <c r="BN183" i="9"/>
  <c r="BX183" i="9"/>
  <c r="DO223" i="9"/>
  <c r="CA77" i="9"/>
  <c r="CK77" i="9"/>
  <c r="CA258" i="9"/>
  <c r="CK258" i="9"/>
  <c r="BN200" i="9"/>
  <c r="BX200" i="9"/>
  <c r="BN79" i="9"/>
  <c r="BX79" i="9"/>
  <c r="BN63" i="9"/>
  <c r="BX63" i="9"/>
  <c r="BN265" i="9"/>
  <c r="BX265" i="9"/>
  <c r="AW359" i="9"/>
  <c r="BB360" i="9"/>
  <c r="BB359" i="9"/>
  <c r="AK387" i="9"/>
  <c r="AP397" i="9"/>
  <c r="AK377" i="9"/>
  <c r="AK397" i="9" s="1"/>
  <c r="AK347" i="9"/>
  <c r="AL327" i="9"/>
  <c r="AP395" i="9"/>
  <c r="AK375" i="9"/>
  <c r="AI345" i="9"/>
  <c r="AJ345" i="9" s="1"/>
  <c r="AJ325" i="9"/>
  <c r="AN370" i="9"/>
  <c r="AO370" i="9" s="1"/>
  <c r="AM350" i="9"/>
  <c r="AO350" i="9"/>
  <c r="AM359" i="9"/>
  <c r="AK359" i="9" s="1"/>
  <c r="AJ359" i="9" s="1"/>
  <c r="AO359" i="9"/>
  <c r="AM362" i="9"/>
  <c r="AK362" i="9" s="1"/>
  <c r="AJ362" i="9" s="1"/>
  <c r="AO362" i="9"/>
  <c r="AF371" i="9"/>
  <c r="AP396" i="9"/>
  <c r="AK376" i="9"/>
  <c r="AK396" i="9" s="1"/>
  <c r="F17" i="10" s="1"/>
  <c r="AN371" i="9"/>
  <c r="AO371" i="9" s="1"/>
  <c r="AM351" i="9"/>
  <c r="AO351" i="9"/>
  <c r="AI346" i="9"/>
  <c r="AJ346" i="9" s="1"/>
  <c r="AJ326" i="9"/>
  <c r="AL332" i="9"/>
  <c r="AI347" i="9"/>
  <c r="AJ347" i="9" s="1"/>
  <c r="AJ327" i="9"/>
  <c r="AN372" i="9"/>
  <c r="AO372" i="9" s="1"/>
  <c r="AM352" i="9"/>
  <c r="AO352" i="9"/>
  <c r="AK345" i="9"/>
  <c r="AL325" i="9"/>
  <c r="AM355" i="9"/>
  <c r="AK355" i="9" s="1"/>
  <c r="AJ355" i="9" s="1"/>
  <c r="AO355" i="9"/>
  <c r="AH371" i="9"/>
  <c r="AK346" i="9"/>
  <c r="AL326" i="9"/>
  <c r="AQ396" i="9"/>
  <c r="AL371" i="9"/>
  <c r="AM356" i="9"/>
  <c r="AK356" i="9" s="1"/>
  <c r="AJ356" i="9" s="1"/>
  <c r="AO356" i="9"/>
  <c r="AJ332" i="9"/>
  <c r="AM358" i="9"/>
  <c r="AK358" i="9" s="1"/>
  <c r="AJ358" i="9" s="1"/>
  <c r="AO358" i="9"/>
  <c r="AM363" i="9"/>
  <c r="AK363" i="9" s="1"/>
  <c r="AJ363" i="9" s="1"/>
  <c r="AO363" i="9"/>
  <c r="AM360" i="9"/>
  <c r="AK360" i="9" s="1"/>
  <c r="AJ360" i="9" s="1"/>
  <c r="AO360" i="9"/>
  <c r="E69" i="10"/>
  <c r="D8" i="17"/>
  <c r="D9" i="17"/>
  <c r="D6" i="17"/>
  <c r="D5" i="17"/>
  <c r="E11" i="17"/>
  <c r="BK146" i="14"/>
  <c r="BM154" i="14"/>
  <c r="AW191" i="14"/>
  <c r="BK191" i="14"/>
  <c r="BK195" i="14" s="1"/>
  <c r="BJ195" i="14" s="1"/>
  <c r="BJ141" i="14"/>
  <c r="BL141" i="14"/>
  <c r="CQ159" i="14"/>
  <c r="CQ167" i="14" s="1"/>
  <c r="AK154" i="14"/>
  <c r="AJ146" i="14"/>
  <c r="CK133" i="14"/>
  <c r="CC167" i="14"/>
  <c r="BX159" i="14"/>
  <c r="BX167" i="14" s="1"/>
  <c r="CN146" i="14"/>
  <c r="CL146" i="14"/>
  <c r="CL154" i="14" s="1"/>
  <c r="CI159" i="14"/>
  <c r="CI167" i="14" s="1"/>
  <c r="CP159" i="14"/>
  <c r="AX154" i="14"/>
  <c r="AW146" i="14"/>
  <c r="AJ191" i="14"/>
  <c r="CA154" i="14"/>
  <c r="BZ146" i="14"/>
  <c r="CH146" i="14"/>
  <c r="CF146" i="14"/>
  <c r="BX141" i="14"/>
  <c r="BY133" i="14"/>
  <c r="P105" i="13"/>
  <c r="AV16" i="13"/>
  <c r="AW54" i="13"/>
  <c r="AV85" i="13"/>
  <c r="AV42" i="13"/>
  <c r="AV84" i="13"/>
  <c r="AU44" i="13"/>
  <c r="AU70" i="13"/>
  <c r="AU39" i="13"/>
  <c r="AW38" i="13"/>
  <c r="AW15" i="13"/>
  <c r="AW49" i="13"/>
  <c r="AV54" i="13"/>
  <c r="AV39" i="13"/>
  <c r="AU76" i="13"/>
  <c r="AU33" i="13"/>
  <c r="AU63" i="13"/>
  <c r="AW50" i="13"/>
  <c r="AW31" i="13"/>
  <c r="AW69" i="13"/>
  <c r="AV78" i="13"/>
  <c r="AV55" i="13"/>
  <c r="AV20" i="13"/>
  <c r="AU69" i="13"/>
  <c r="AU34" i="13"/>
  <c r="AW74" i="13"/>
  <c r="AW43" i="13"/>
  <c r="AW85" i="13"/>
  <c r="AV41" i="13"/>
  <c r="AV67" i="13"/>
  <c r="AV40" i="13"/>
  <c r="AU77" i="13"/>
  <c r="AU38" i="13"/>
  <c r="AU15" i="13"/>
  <c r="AW59" i="13"/>
  <c r="AW44" i="13"/>
  <c r="AV70" i="13"/>
  <c r="AV43" i="13"/>
  <c r="AU68" i="13"/>
  <c r="AU17" i="13"/>
  <c r="AU59" i="13"/>
  <c r="AW71" i="13"/>
  <c r="AW60" i="13"/>
  <c r="AV81" i="13"/>
  <c r="AV38" i="13"/>
  <c r="AV76" i="13"/>
  <c r="AU48" i="13"/>
  <c r="AU74" i="13"/>
  <c r="AU43" i="13"/>
  <c r="AW34" i="13"/>
  <c r="AW84" i="13"/>
  <c r="AW41" i="13"/>
  <c r="AV50" i="13"/>
  <c r="AV35" i="13"/>
  <c r="AU84" i="13"/>
  <c r="AU41" i="13"/>
  <c r="AU67" i="13"/>
  <c r="AW46" i="13"/>
  <c r="AW20" i="13"/>
  <c r="AW61" i="13"/>
  <c r="AV74" i="13"/>
  <c r="AV47" i="13"/>
  <c r="AU49" i="13"/>
  <c r="AU71" i="13"/>
  <c r="AW70" i="13"/>
  <c r="AW39" i="13"/>
  <c r="AW81" i="13"/>
  <c r="AV33" i="13"/>
  <c r="AV63" i="13"/>
  <c r="AV36" i="13"/>
  <c r="AU57" i="13"/>
  <c r="AU75" i="13"/>
  <c r="AW82" i="13"/>
  <c r="AW55" i="13"/>
  <c r="AW40" i="13"/>
  <c r="AV57" i="13"/>
  <c r="AV75" i="13"/>
  <c r="AV48" i="13"/>
  <c r="AU85" i="13"/>
  <c r="AU46" i="13"/>
  <c r="AU20" i="13"/>
  <c r="AW67" i="13"/>
  <c r="AW56" i="13"/>
  <c r="AV77" i="13"/>
  <c r="AV34" i="13"/>
  <c r="AV68" i="13"/>
  <c r="AU56" i="13"/>
  <c r="AU78" i="13"/>
  <c r="AU47" i="13"/>
  <c r="AW83" i="13"/>
  <c r="AW76" i="13"/>
  <c r="AW33" i="13"/>
  <c r="AV46" i="13"/>
  <c r="AV31" i="13"/>
  <c r="AU60" i="13"/>
  <c r="AU82" i="13"/>
  <c r="AU55" i="13"/>
  <c r="AW42" i="13"/>
  <c r="AW16" i="13"/>
  <c r="AW57" i="13"/>
  <c r="AV83" i="13"/>
  <c r="AV56" i="13"/>
  <c r="AU81" i="13"/>
  <c r="AU42" i="13"/>
  <c r="AU16" i="13"/>
  <c r="AW35" i="13"/>
  <c r="AW77" i="13"/>
  <c r="AV82" i="13"/>
  <c r="AV59" i="13"/>
  <c r="AV17" i="13"/>
  <c r="AU61" i="13"/>
  <c r="AU83" i="13"/>
  <c r="AW78" i="13"/>
  <c r="AW47" i="13"/>
  <c r="AW36" i="13"/>
  <c r="AV49" i="13"/>
  <c r="AV71" i="13"/>
  <c r="AV44" i="13"/>
  <c r="AU36" i="13"/>
  <c r="AU50" i="13"/>
  <c r="AU31" i="13"/>
  <c r="AW63" i="13"/>
  <c r="AW48" i="13"/>
  <c r="AV69" i="13"/>
  <c r="AV15" i="13"/>
  <c r="AV60" i="13"/>
  <c r="AU40" i="13"/>
  <c r="AU54" i="13"/>
  <c r="AU35" i="13"/>
  <c r="AW75" i="13"/>
  <c r="AW68" i="13"/>
  <c r="AW17" i="13"/>
  <c r="AV61" i="13"/>
  <c r="H7" i="17"/>
  <c r="I5" i="17"/>
  <c r="E25" i="10"/>
  <c r="E31" i="10" s="1"/>
  <c r="E9" i="17"/>
  <c r="E10" i="17" s="1"/>
  <c r="W342" i="9"/>
  <c r="C43" i="10"/>
  <c r="C31" i="10"/>
  <c r="P110" i="13"/>
  <c r="Y132" i="12"/>
  <c r="W144" i="12"/>
  <c r="W132" i="12"/>
  <c r="CN315" i="9" l="1"/>
  <c r="CX315" i="9"/>
  <c r="DX88" i="9"/>
  <c r="ED88" i="9" s="1"/>
  <c r="DO132" i="9"/>
  <c r="EB132" i="9" s="1"/>
  <c r="AW374" i="9"/>
  <c r="CJ390" i="9"/>
  <c r="AW386" i="9"/>
  <c r="AK379" i="9"/>
  <c r="AK395" i="9" s="1"/>
  <c r="E17" i="10" s="1"/>
  <c r="AC13" i="2"/>
  <c r="CI327" i="9" s="1"/>
  <c r="CJ327" i="9" s="1"/>
  <c r="CK418" i="9"/>
  <c r="BI325" i="9"/>
  <c r="BF350" i="9"/>
  <c r="V13" i="2"/>
  <c r="BP375" i="9"/>
  <c r="BH350" i="9"/>
  <c r="BK325" i="9"/>
  <c r="CI446" i="9"/>
  <c r="CK424" i="9"/>
  <c r="CK425" i="9"/>
  <c r="AB19" i="2" s="1"/>
  <c r="CI330" i="9" s="1"/>
  <c r="CJ330" i="9" s="1"/>
  <c r="S39" i="2"/>
  <c r="V39" i="2" s="1"/>
  <c r="S46" i="2"/>
  <c r="V46" i="2" s="1"/>
  <c r="BK445" i="9"/>
  <c r="V19" i="2"/>
  <c r="BH354" i="9"/>
  <c r="BF354" i="9"/>
  <c r="BP379" i="9"/>
  <c r="BK329" i="9"/>
  <c r="BL329" i="9" s="1"/>
  <c r="BI329" i="9"/>
  <c r="BJ329" i="9" s="1"/>
  <c r="BJ328" i="9" s="1"/>
  <c r="CV420" i="9"/>
  <c r="CV425" i="9"/>
  <c r="CV435" i="9"/>
  <c r="AJ6" i="2"/>
  <c r="DI430" i="9" s="1"/>
  <c r="AM8" i="2"/>
  <c r="AK7" i="2"/>
  <c r="DI431" i="9" s="1"/>
  <c r="AI5" i="2"/>
  <c r="AZ362" i="9"/>
  <c r="AX362" i="9" s="1"/>
  <c r="BB349" i="9"/>
  <c r="CX430" i="9"/>
  <c r="AF24" i="2" s="1"/>
  <c r="CV334" i="9" s="1"/>
  <c r="CW334" i="9" s="1"/>
  <c r="BL328" i="9"/>
  <c r="BK379" i="9"/>
  <c r="BU372" i="9"/>
  <c r="DZ262" i="9"/>
  <c r="EA262" i="9" s="1"/>
  <c r="DZ88" i="9"/>
  <c r="EA88" i="9" s="1"/>
  <c r="AW382" i="9"/>
  <c r="X24" i="2"/>
  <c r="BX428" i="9"/>
  <c r="BI333" i="9"/>
  <c r="BJ333" i="9" s="1"/>
  <c r="BJ332" i="9" s="1"/>
  <c r="V24" i="2"/>
  <c r="BF358" i="9"/>
  <c r="BP383" i="9"/>
  <c r="BK383" i="9" s="1"/>
  <c r="BK333" i="9"/>
  <c r="BL333" i="9" s="1"/>
  <c r="BL332" i="9" s="1"/>
  <c r="BH358" i="9"/>
  <c r="CQ391" i="9"/>
  <c r="CF366" i="9"/>
  <c r="CP391" i="9"/>
  <c r="CK391" i="9" s="1"/>
  <c r="CL366" i="9"/>
  <c r="CH366" i="9"/>
  <c r="CN366" i="9"/>
  <c r="CI341" i="9"/>
  <c r="CK341" i="9"/>
  <c r="BX433" i="9"/>
  <c r="W29" i="2"/>
  <c r="BI337" i="9"/>
  <c r="BJ337" i="9" s="1"/>
  <c r="BJ336" i="9" s="1"/>
  <c r="V29" i="2"/>
  <c r="BF362" i="9"/>
  <c r="BK337" i="9"/>
  <c r="BL337" i="9" s="1"/>
  <c r="BL336" i="9" s="1"/>
  <c r="BH362" i="9"/>
  <c r="BP387" i="9"/>
  <c r="BK387" i="9" s="1"/>
  <c r="CV419" i="9"/>
  <c r="CV434" i="9"/>
  <c r="CV424" i="9"/>
  <c r="CV421" i="9"/>
  <c r="CV426" i="9"/>
  <c r="CV444" i="9" s="1"/>
  <c r="CV445" i="9" s="1"/>
  <c r="H9" i="10"/>
  <c r="AV453" i="9"/>
  <c r="AY346" i="9"/>
  <c r="AX387" i="9"/>
  <c r="AX395" i="9" s="1"/>
  <c r="G17" i="10" s="1"/>
  <c r="AO354" i="9"/>
  <c r="AM354" i="9"/>
  <c r="AK354" i="9" s="1"/>
  <c r="AJ354" i="9" s="1"/>
  <c r="BJ384" i="9"/>
  <c r="BJ383" i="9"/>
  <c r="BJ382" i="9" s="1"/>
  <c r="BJ385" i="9"/>
  <c r="BJ381" i="9"/>
  <c r="BJ379" i="9"/>
  <c r="BJ380" i="9"/>
  <c r="BZ63" i="9"/>
  <c r="BY63" i="9"/>
  <c r="BW63" i="9"/>
  <c r="CD63" i="9"/>
  <c r="CM258" i="9"/>
  <c r="CJ258" i="9"/>
  <c r="CL258" i="9"/>
  <c r="CQ258" i="9"/>
  <c r="BZ183" i="9"/>
  <c r="BW183" i="9"/>
  <c r="BY183" i="9"/>
  <c r="CD183" i="9"/>
  <c r="AX349" i="9"/>
  <c r="AZ369" i="9"/>
  <c r="BY64" i="9"/>
  <c r="BW64" i="9"/>
  <c r="BZ64" i="9"/>
  <c r="CD64" i="9"/>
  <c r="BY74" i="9"/>
  <c r="BW74" i="9"/>
  <c r="CD74" i="9"/>
  <c r="BZ74" i="9"/>
  <c r="CB74" i="9"/>
  <c r="BZ200" i="9"/>
  <c r="BW200" i="9"/>
  <c r="BY200" i="9"/>
  <c r="CD200" i="9"/>
  <c r="CB200" i="9"/>
  <c r="BY100" i="9"/>
  <c r="BW100" i="9"/>
  <c r="BZ100" i="9"/>
  <c r="CD100" i="9"/>
  <c r="BY92" i="9"/>
  <c r="BW92" i="9"/>
  <c r="BZ92" i="9"/>
  <c r="CD92" i="9"/>
  <c r="CB92" i="9"/>
  <c r="CN307" i="9"/>
  <c r="CX307" i="9"/>
  <c r="CM124" i="9"/>
  <c r="CJ124" i="9"/>
  <c r="CL124" i="9"/>
  <c r="CQ124" i="9"/>
  <c r="CL87" i="9"/>
  <c r="CJ87" i="9"/>
  <c r="CQ87" i="9"/>
  <c r="CM87" i="9"/>
  <c r="CJ35" i="9"/>
  <c r="CL35" i="9"/>
  <c r="CM35" i="9"/>
  <c r="CQ35" i="9"/>
  <c r="BY280" i="9"/>
  <c r="BW280" i="9"/>
  <c r="BZ280" i="9"/>
  <c r="CD280" i="9"/>
  <c r="CB280" i="9"/>
  <c r="BZ53" i="9"/>
  <c r="BY53" i="9"/>
  <c r="BW53" i="9"/>
  <c r="CD53" i="9"/>
  <c r="CB53" i="9"/>
  <c r="BW34" i="9"/>
  <c r="BY34" i="9"/>
  <c r="CD34" i="9"/>
  <c r="BZ34" i="9"/>
  <c r="CB34" i="9"/>
  <c r="BZ319" i="9"/>
  <c r="BY319" i="9"/>
  <c r="BW319" i="9"/>
  <c r="CD319" i="9"/>
  <c r="CF356" i="9"/>
  <c r="CF355" i="9"/>
  <c r="CS14" i="9"/>
  <c r="DC14" i="9"/>
  <c r="CT14" i="9"/>
  <c r="CU14" i="9" s="1"/>
  <c r="CS25" i="9"/>
  <c r="DC25" i="9"/>
  <c r="CT25" i="9"/>
  <c r="CU25" i="9" s="1"/>
  <c r="DC7" i="9"/>
  <c r="CT7" i="9"/>
  <c r="CU7" i="9" s="1"/>
  <c r="CS7" i="9"/>
  <c r="DC15" i="9"/>
  <c r="CT15" i="9"/>
  <c r="CU15" i="9" s="1"/>
  <c r="CS15" i="9"/>
  <c r="CS27" i="9"/>
  <c r="DC27" i="9"/>
  <c r="CT27" i="9"/>
  <c r="CU27" i="9" s="1"/>
  <c r="CS39" i="9"/>
  <c r="DC39" i="9"/>
  <c r="CT39" i="9"/>
  <c r="CU39" i="9" s="1"/>
  <c r="CS47" i="9"/>
  <c r="DC47" i="9"/>
  <c r="CT47" i="9"/>
  <c r="CU47" i="9" s="1"/>
  <c r="CS55" i="9"/>
  <c r="DC55" i="9"/>
  <c r="CT55" i="9"/>
  <c r="CU55" i="9" s="1"/>
  <c r="CS63" i="9"/>
  <c r="DC63" i="9"/>
  <c r="CT63" i="9"/>
  <c r="CU63" i="9" s="1"/>
  <c r="CS71" i="9"/>
  <c r="DC71" i="9"/>
  <c r="CT71" i="9"/>
  <c r="CU71" i="9" s="1"/>
  <c r="CS79" i="9"/>
  <c r="DC79" i="9"/>
  <c r="CT79" i="9"/>
  <c r="CU79" i="9" s="1"/>
  <c r="CS87" i="9"/>
  <c r="DC87" i="9"/>
  <c r="CT87" i="9"/>
  <c r="CU87" i="9" s="1"/>
  <c r="CS95" i="9"/>
  <c r="DC95" i="9"/>
  <c r="CT95" i="9"/>
  <c r="CU95" i="9" s="1"/>
  <c r="CS103" i="9"/>
  <c r="DC103" i="9"/>
  <c r="CT103" i="9"/>
  <c r="CU103" i="9" s="1"/>
  <c r="CS111" i="9"/>
  <c r="DC111" i="9"/>
  <c r="CT111" i="9"/>
  <c r="CU111" i="9" s="1"/>
  <c r="CS119" i="9"/>
  <c r="DC119" i="9"/>
  <c r="CT119" i="9"/>
  <c r="CU119" i="9" s="1"/>
  <c r="CS134" i="9"/>
  <c r="DC134" i="9"/>
  <c r="CT134" i="9"/>
  <c r="CU134" i="9" s="1"/>
  <c r="CS150" i="9"/>
  <c r="DC150" i="9"/>
  <c r="CT150" i="9"/>
  <c r="CU150" i="9" s="1"/>
  <c r="CS166" i="9"/>
  <c r="DC166" i="9"/>
  <c r="CT166" i="9"/>
  <c r="CU166" i="9" s="1"/>
  <c r="CS197" i="9"/>
  <c r="DC197" i="9"/>
  <c r="CT197" i="9"/>
  <c r="CU197" i="9" s="1"/>
  <c r="DC22" i="9"/>
  <c r="CT22" i="9"/>
  <c r="CU22" i="9" s="1"/>
  <c r="CS22" i="9"/>
  <c r="DC30" i="9"/>
  <c r="CT30" i="9"/>
  <c r="CU30" i="9" s="1"/>
  <c r="CS30" i="9"/>
  <c r="DC38" i="9"/>
  <c r="CT38" i="9"/>
  <c r="CU38" i="9" s="1"/>
  <c r="CS38" i="9"/>
  <c r="DC46" i="9"/>
  <c r="CT46" i="9"/>
  <c r="CU46" i="9" s="1"/>
  <c r="CS46" i="9"/>
  <c r="DC54" i="9"/>
  <c r="CT54" i="9"/>
  <c r="CU54" i="9" s="1"/>
  <c r="CS54" i="9"/>
  <c r="DC62" i="9"/>
  <c r="CT62" i="9"/>
  <c r="CU62" i="9" s="1"/>
  <c r="CS62" i="9"/>
  <c r="DC70" i="9"/>
  <c r="CT70" i="9"/>
  <c r="CU70" i="9" s="1"/>
  <c r="CS70" i="9"/>
  <c r="DC78" i="9"/>
  <c r="CT78" i="9"/>
  <c r="CU78" i="9" s="1"/>
  <c r="CS78" i="9"/>
  <c r="DC86" i="9"/>
  <c r="CT86" i="9"/>
  <c r="CU86" i="9" s="1"/>
  <c r="CS86" i="9"/>
  <c r="DC94" i="9"/>
  <c r="CT94" i="9"/>
  <c r="CU94" i="9" s="1"/>
  <c r="CS94" i="9"/>
  <c r="DC102" i="9"/>
  <c r="CT102" i="9"/>
  <c r="CU102" i="9" s="1"/>
  <c r="CS102" i="9"/>
  <c r="DC110" i="9"/>
  <c r="CT110" i="9"/>
  <c r="CU110" i="9" s="1"/>
  <c r="CS110" i="9"/>
  <c r="DC118" i="9"/>
  <c r="CT118" i="9"/>
  <c r="CU118" i="9" s="1"/>
  <c r="CS118" i="9"/>
  <c r="CS128" i="9"/>
  <c r="DC128" i="9"/>
  <c r="CT128" i="9"/>
  <c r="CU128" i="9" s="1"/>
  <c r="CS144" i="9"/>
  <c r="DC144" i="9"/>
  <c r="CT144" i="9"/>
  <c r="CU144" i="9" s="1"/>
  <c r="CS160" i="9"/>
  <c r="DC160" i="9"/>
  <c r="CT160" i="9"/>
  <c r="CU160" i="9" s="1"/>
  <c r="CS177" i="9"/>
  <c r="DC177" i="9"/>
  <c r="CT177" i="9"/>
  <c r="CU177" i="9" s="1"/>
  <c r="CS209" i="9"/>
  <c r="DC209" i="9"/>
  <c r="CT209" i="9"/>
  <c r="CU209" i="9" s="1"/>
  <c r="CS129" i="9"/>
  <c r="CT129" i="9"/>
  <c r="CU129" i="9" s="1"/>
  <c r="DC129" i="9"/>
  <c r="CS137" i="9"/>
  <c r="CT137" i="9"/>
  <c r="CU137" i="9" s="1"/>
  <c r="DC137" i="9"/>
  <c r="CS145" i="9"/>
  <c r="CT145" i="9"/>
  <c r="CU145" i="9" s="1"/>
  <c r="DC145" i="9"/>
  <c r="CS153" i="9"/>
  <c r="CT153" i="9"/>
  <c r="CU153" i="9" s="1"/>
  <c r="DC153" i="9"/>
  <c r="CS161" i="9"/>
  <c r="CT161" i="9"/>
  <c r="CU161" i="9" s="1"/>
  <c r="DC161" i="9"/>
  <c r="CS169" i="9"/>
  <c r="CT169" i="9"/>
  <c r="CU169" i="9" s="1"/>
  <c r="DC169" i="9"/>
  <c r="CS179" i="9"/>
  <c r="DC179" i="9"/>
  <c r="CT179" i="9"/>
  <c r="CU179" i="9" s="1"/>
  <c r="CS195" i="9"/>
  <c r="DC195" i="9"/>
  <c r="CT195" i="9"/>
  <c r="CU195" i="9" s="1"/>
  <c r="CS211" i="9"/>
  <c r="DC211" i="9"/>
  <c r="CT211" i="9"/>
  <c r="CU211" i="9" s="1"/>
  <c r="CS180" i="9"/>
  <c r="CT180" i="9"/>
  <c r="CU180" i="9" s="1"/>
  <c r="DC180" i="9"/>
  <c r="CS188" i="9"/>
  <c r="CT188" i="9"/>
  <c r="CU188" i="9" s="1"/>
  <c r="DC188" i="9"/>
  <c r="CS196" i="9"/>
  <c r="CT196" i="9"/>
  <c r="CU196" i="9" s="1"/>
  <c r="DC196" i="9"/>
  <c r="CS204" i="9"/>
  <c r="CT204" i="9"/>
  <c r="CU204" i="9" s="1"/>
  <c r="DC204" i="9"/>
  <c r="CS212" i="9"/>
  <c r="CT212" i="9"/>
  <c r="CU212" i="9" s="1"/>
  <c r="DC212" i="9"/>
  <c r="CS220" i="9"/>
  <c r="DC220" i="9"/>
  <c r="CT220" i="9"/>
  <c r="CU220" i="9" s="1"/>
  <c r="CS228" i="9"/>
  <c r="DC228" i="9"/>
  <c r="CT228" i="9"/>
  <c r="CU228" i="9" s="1"/>
  <c r="CS236" i="9"/>
  <c r="DC236" i="9"/>
  <c r="CT236" i="9"/>
  <c r="CU236" i="9" s="1"/>
  <c r="CS243" i="9"/>
  <c r="DC243" i="9"/>
  <c r="CT243" i="9"/>
  <c r="CU243" i="9" s="1"/>
  <c r="DC219" i="9"/>
  <c r="CT219" i="9"/>
  <c r="CU219" i="9" s="1"/>
  <c r="CS219" i="9"/>
  <c r="DC227" i="9"/>
  <c r="CT227" i="9"/>
  <c r="CU227" i="9" s="1"/>
  <c r="CS227" i="9"/>
  <c r="DC235" i="9"/>
  <c r="CT235" i="9"/>
  <c r="CU235" i="9" s="1"/>
  <c r="CS235" i="9"/>
  <c r="CS245" i="9"/>
  <c r="DC245" i="9"/>
  <c r="CT245" i="9"/>
  <c r="CU245" i="9" s="1"/>
  <c r="CS253" i="9"/>
  <c r="DC253" i="9"/>
  <c r="CT253" i="9"/>
  <c r="CU253" i="9" s="1"/>
  <c r="CS261" i="9"/>
  <c r="DC261" i="9"/>
  <c r="CT261" i="9"/>
  <c r="CU261" i="9" s="1"/>
  <c r="CS269" i="9"/>
  <c r="DC269" i="9"/>
  <c r="CT269" i="9"/>
  <c r="CU269" i="9" s="1"/>
  <c r="CS276" i="9"/>
  <c r="DC276" i="9"/>
  <c r="CT276" i="9"/>
  <c r="CU276" i="9" s="1"/>
  <c r="DC250" i="9"/>
  <c r="CT250" i="9"/>
  <c r="CU250" i="9" s="1"/>
  <c r="CS250" i="9"/>
  <c r="DC258" i="9"/>
  <c r="CT258" i="9"/>
  <c r="CU258" i="9" s="1"/>
  <c r="CS258" i="9"/>
  <c r="DC266" i="9"/>
  <c r="CT266" i="9"/>
  <c r="CU266" i="9" s="1"/>
  <c r="CS266" i="9"/>
  <c r="DC274" i="9"/>
  <c r="CT274" i="9"/>
  <c r="CU274" i="9" s="1"/>
  <c r="CS274" i="9"/>
  <c r="CS281" i="9"/>
  <c r="DC281" i="9"/>
  <c r="CT281" i="9"/>
  <c r="CU281" i="9" s="1"/>
  <c r="CS289" i="9"/>
  <c r="DC289" i="9"/>
  <c r="CT289" i="9"/>
  <c r="CU289" i="9" s="1"/>
  <c r="CS297" i="9"/>
  <c r="DC297" i="9"/>
  <c r="CT297" i="9"/>
  <c r="CU297" i="9" s="1"/>
  <c r="CS307" i="9"/>
  <c r="DC307" i="9"/>
  <c r="CT307" i="9"/>
  <c r="CU307" i="9" s="1"/>
  <c r="DC280" i="9"/>
  <c r="CT280" i="9"/>
  <c r="CU280" i="9" s="1"/>
  <c r="CS280" i="9"/>
  <c r="DC288" i="9"/>
  <c r="CT288" i="9"/>
  <c r="CU288" i="9" s="1"/>
  <c r="CS288" i="9"/>
  <c r="DC296" i="9"/>
  <c r="CT296" i="9"/>
  <c r="CU296" i="9" s="1"/>
  <c r="CS296" i="9"/>
  <c r="CS305" i="9"/>
  <c r="DC305" i="9"/>
  <c r="CT305" i="9"/>
  <c r="CU305" i="9" s="1"/>
  <c r="CS306" i="9"/>
  <c r="CT306" i="9"/>
  <c r="CU306" i="9" s="1"/>
  <c r="DC306" i="9"/>
  <c r="CS314" i="9"/>
  <c r="CT314" i="9"/>
  <c r="CU314" i="9" s="1"/>
  <c r="DC314" i="9"/>
  <c r="DC6" i="9"/>
  <c r="CT6" i="9"/>
  <c r="CU6" i="9" s="1"/>
  <c r="CS6" i="9"/>
  <c r="DC16" i="9"/>
  <c r="CT16" i="9"/>
  <c r="CU16" i="9" s="1"/>
  <c r="CS16" i="9"/>
  <c r="DC29" i="9"/>
  <c r="CT29" i="9"/>
  <c r="CU29" i="9" s="1"/>
  <c r="CS29" i="9"/>
  <c r="CS9" i="9"/>
  <c r="CT9" i="9"/>
  <c r="CU9" i="9" s="1"/>
  <c r="DC9" i="9"/>
  <c r="DC17" i="9"/>
  <c r="CT17" i="9"/>
  <c r="CU17" i="9" s="1"/>
  <c r="CS17" i="9"/>
  <c r="CS31" i="9"/>
  <c r="DC31" i="9"/>
  <c r="CT31" i="9"/>
  <c r="CU31" i="9" s="1"/>
  <c r="CS41" i="9"/>
  <c r="DC41" i="9"/>
  <c r="CT41" i="9"/>
  <c r="CU41" i="9" s="1"/>
  <c r="CS49" i="9"/>
  <c r="DC49" i="9"/>
  <c r="CT49" i="9"/>
  <c r="CU49" i="9" s="1"/>
  <c r="CS57" i="9"/>
  <c r="DC57" i="9"/>
  <c r="CT57" i="9"/>
  <c r="CU57" i="9" s="1"/>
  <c r="CS65" i="9"/>
  <c r="DC65" i="9"/>
  <c r="CT65" i="9"/>
  <c r="CU65" i="9" s="1"/>
  <c r="CS73" i="9"/>
  <c r="DC73" i="9"/>
  <c r="CT73" i="9"/>
  <c r="CU73" i="9" s="1"/>
  <c r="CS81" i="9"/>
  <c r="DC81" i="9"/>
  <c r="CT81" i="9"/>
  <c r="CU81" i="9" s="1"/>
  <c r="CS89" i="9"/>
  <c r="DC89" i="9"/>
  <c r="CT89" i="9"/>
  <c r="CU89" i="9" s="1"/>
  <c r="CS97" i="9"/>
  <c r="DC97" i="9"/>
  <c r="CT97" i="9"/>
  <c r="CU97" i="9" s="1"/>
  <c r="CS105" i="9"/>
  <c r="DC105" i="9"/>
  <c r="CT105" i="9"/>
  <c r="CU105" i="9" s="1"/>
  <c r="CS113" i="9"/>
  <c r="DC113" i="9"/>
  <c r="CT113" i="9"/>
  <c r="CU113" i="9" s="1"/>
  <c r="CS121" i="9"/>
  <c r="DC121" i="9"/>
  <c r="CT121" i="9"/>
  <c r="CU121" i="9" s="1"/>
  <c r="CS138" i="9"/>
  <c r="DC138" i="9"/>
  <c r="CT138" i="9"/>
  <c r="CU138" i="9" s="1"/>
  <c r="CS154" i="9"/>
  <c r="DC154" i="9"/>
  <c r="CT154" i="9"/>
  <c r="CU154" i="9" s="1"/>
  <c r="CS170" i="9"/>
  <c r="DC170" i="9"/>
  <c r="CT170" i="9"/>
  <c r="CU170" i="9" s="1"/>
  <c r="CS205" i="9"/>
  <c r="DC205" i="9"/>
  <c r="CT205" i="9"/>
  <c r="CU205" i="9" s="1"/>
  <c r="CS24" i="9"/>
  <c r="CT24" i="9"/>
  <c r="CU24" i="9" s="1"/>
  <c r="DC24" i="9"/>
  <c r="CS32" i="9"/>
  <c r="CT32" i="9"/>
  <c r="CU32" i="9" s="1"/>
  <c r="DC32" i="9"/>
  <c r="DC40" i="9"/>
  <c r="CT40" i="9"/>
  <c r="CU40" i="9" s="1"/>
  <c r="CS40" i="9"/>
  <c r="DC48" i="9"/>
  <c r="CT48" i="9"/>
  <c r="CU48" i="9" s="1"/>
  <c r="CS48" i="9"/>
  <c r="DC56" i="9"/>
  <c r="CT56" i="9"/>
  <c r="CU56" i="9" s="1"/>
  <c r="CS56" i="9"/>
  <c r="DC64" i="9"/>
  <c r="CT64" i="9"/>
  <c r="CU64" i="9" s="1"/>
  <c r="CS64" i="9"/>
  <c r="DC72" i="9"/>
  <c r="CT72" i="9"/>
  <c r="CU72" i="9" s="1"/>
  <c r="CS72" i="9"/>
  <c r="DC80" i="9"/>
  <c r="CT80" i="9"/>
  <c r="CU80" i="9" s="1"/>
  <c r="CS80" i="9"/>
  <c r="DC88" i="9"/>
  <c r="CT88" i="9"/>
  <c r="CU88" i="9" s="1"/>
  <c r="CS88" i="9"/>
  <c r="DC96" i="9"/>
  <c r="CT96" i="9"/>
  <c r="CU96" i="9" s="1"/>
  <c r="CS96" i="9"/>
  <c r="DC104" i="9"/>
  <c r="CT104" i="9"/>
  <c r="CU104" i="9" s="1"/>
  <c r="CS104" i="9"/>
  <c r="DC112" i="9"/>
  <c r="CT112" i="9"/>
  <c r="CU112" i="9" s="1"/>
  <c r="CS112" i="9"/>
  <c r="DC120" i="9"/>
  <c r="CT120" i="9"/>
  <c r="CU120" i="9" s="1"/>
  <c r="CS120" i="9"/>
  <c r="CS132" i="9"/>
  <c r="DC132" i="9"/>
  <c r="CT132" i="9"/>
  <c r="CU132" i="9" s="1"/>
  <c r="CS148" i="9"/>
  <c r="DC148" i="9"/>
  <c r="CT148" i="9"/>
  <c r="CU148" i="9" s="1"/>
  <c r="CS164" i="9"/>
  <c r="DC164" i="9"/>
  <c r="CT164" i="9"/>
  <c r="CU164" i="9" s="1"/>
  <c r="CS185" i="9"/>
  <c r="DC185" i="9"/>
  <c r="CT185" i="9"/>
  <c r="CU185" i="9" s="1"/>
  <c r="DC123" i="9"/>
  <c r="CT123" i="9"/>
  <c r="CU123" i="9" s="1"/>
  <c r="CS123" i="9"/>
  <c r="DC131" i="9"/>
  <c r="CT131" i="9"/>
  <c r="CU131" i="9" s="1"/>
  <c r="CS131" i="9"/>
  <c r="DC139" i="9"/>
  <c r="CT139" i="9"/>
  <c r="CU139" i="9" s="1"/>
  <c r="CS139" i="9"/>
  <c r="DC147" i="9"/>
  <c r="CT147" i="9"/>
  <c r="CU147" i="9" s="1"/>
  <c r="CS147" i="9"/>
  <c r="DC155" i="9"/>
  <c r="CT155" i="9"/>
  <c r="CU155" i="9" s="1"/>
  <c r="CS155" i="9"/>
  <c r="DC163" i="9"/>
  <c r="CT163" i="9"/>
  <c r="CU163" i="9" s="1"/>
  <c r="CS163" i="9"/>
  <c r="DC171" i="9"/>
  <c r="CT171" i="9"/>
  <c r="CU171" i="9" s="1"/>
  <c r="CS171" i="9"/>
  <c r="CS183" i="9"/>
  <c r="DC183" i="9"/>
  <c r="CT183" i="9"/>
  <c r="CU183" i="9" s="1"/>
  <c r="CS199" i="9"/>
  <c r="DC199" i="9"/>
  <c r="CT199" i="9"/>
  <c r="CU199" i="9" s="1"/>
  <c r="DC174" i="9"/>
  <c r="CT174" i="9"/>
  <c r="CU174" i="9" s="1"/>
  <c r="CS174" i="9"/>
  <c r="DC182" i="9"/>
  <c r="CT182" i="9"/>
  <c r="CU182" i="9" s="1"/>
  <c r="CS182" i="9"/>
  <c r="DC190" i="9"/>
  <c r="CT190" i="9"/>
  <c r="CU190" i="9" s="1"/>
  <c r="CS190" i="9"/>
  <c r="DC198" i="9"/>
  <c r="CT198" i="9"/>
  <c r="CU198" i="9" s="1"/>
  <c r="CS198" i="9"/>
  <c r="DC206" i="9"/>
  <c r="CT206" i="9"/>
  <c r="CU206" i="9" s="1"/>
  <c r="CS206" i="9"/>
  <c r="CS214" i="9"/>
  <c r="DC214" i="9"/>
  <c r="CT214" i="9"/>
  <c r="CU214" i="9" s="1"/>
  <c r="CS222" i="9"/>
  <c r="DC222" i="9"/>
  <c r="CT222" i="9"/>
  <c r="CU222" i="9" s="1"/>
  <c r="CS230" i="9"/>
  <c r="DC230" i="9"/>
  <c r="CT230" i="9"/>
  <c r="CU230" i="9" s="1"/>
  <c r="CS238" i="9"/>
  <c r="DC238" i="9"/>
  <c r="CT238" i="9"/>
  <c r="CU238" i="9" s="1"/>
  <c r="DC213" i="9"/>
  <c r="CT213" i="9"/>
  <c r="CU213" i="9" s="1"/>
  <c r="CS213" i="9"/>
  <c r="DC221" i="9"/>
  <c r="CT221" i="9"/>
  <c r="CU221" i="9" s="1"/>
  <c r="CS221" i="9"/>
  <c r="DC229" i="9"/>
  <c r="CT229" i="9"/>
  <c r="CU229" i="9" s="1"/>
  <c r="CS229" i="9"/>
  <c r="DC237" i="9"/>
  <c r="CT237" i="9"/>
  <c r="CU237" i="9" s="1"/>
  <c r="CS237" i="9"/>
  <c r="CS247" i="9"/>
  <c r="DC247" i="9"/>
  <c r="CT247" i="9"/>
  <c r="CU247" i="9" s="1"/>
  <c r="CS255" i="9"/>
  <c r="DC255" i="9"/>
  <c r="CT255" i="9"/>
  <c r="CU255" i="9" s="1"/>
  <c r="CS263" i="9"/>
  <c r="DC263" i="9"/>
  <c r="CT263" i="9"/>
  <c r="CU263" i="9" s="1"/>
  <c r="CS271" i="9"/>
  <c r="DC271" i="9"/>
  <c r="CT271" i="9"/>
  <c r="CU271" i="9" s="1"/>
  <c r="DC244" i="9"/>
  <c r="CT244" i="9"/>
  <c r="CU244" i="9" s="1"/>
  <c r="CS244" i="9"/>
  <c r="DC252" i="9"/>
  <c r="CT252" i="9"/>
  <c r="CU252" i="9" s="1"/>
  <c r="CS252" i="9"/>
  <c r="DC260" i="9"/>
  <c r="CT260" i="9"/>
  <c r="CU260" i="9" s="1"/>
  <c r="CS260" i="9"/>
  <c r="DC268" i="9"/>
  <c r="CT268" i="9"/>
  <c r="CU268" i="9" s="1"/>
  <c r="CS268" i="9"/>
  <c r="CS278" i="9"/>
  <c r="DC278" i="9"/>
  <c r="CT278" i="9"/>
  <c r="CU278" i="9" s="1"/>
  <c r="CS283" i="9"/>
  <c r="DC283" i="9"/>
  <c r="CT283" i="9"/>
  <c r="CU283" i="9" s="1"/>
  <c r="CS291" i="9"/>
  <c r="DC291" i="9"/>
  <c r="CT291" i="9"/>
  <c r="CU291" i="9" s="1"/>
  <c r="CS299" i="9"/>
  <c r="DC299" i="9"/>
  <c r="CT299" i="9"/>
  <c r="CU299" i="9" s="1"/>
  <c r="CS311" i="9"/>
  <c r="DC311" i="9"/>
  <c r="CT311" i="9"/>
  <c r="CU311" i="9" s="1"/>
  <c r="DC282" i="9"/>
  <c r="CT282" i="9"/>
  <c r="CU282" i="9" s="1"/>
  <c r="CS282" i="9"/>
  <c r="DC290" i="9"/>
  <c r="CT290" i="9"/>
  <c r="CU290" i="9" s="1"/>
  <c r="CS290" i="9"/>
  <c r="DC298" i="9"/>
  <c r="CT298" i="9"/>
  <c r="CU298" i="9" s="1"/>
  <c r="CS298" i="9"/>
  <c r="CS309" i="9"/>
  <c r="DC309" i="9"/>
  <c r="CT309" i="9"/>
  <c r="CU309" i="9" s="1"/>
  <c r="DC308" i="9"/>
  <c r="CT308" i="9"/>
  <c r="CU308" i="9" s="1"/>
  <c r="CS308" i="9"/>
  <c r="CS318" i="9"/>
  <c r="DC318" i="9"/>
  <c r="CT318" i="9"/>
  <c r="CU318" i="9" s="1"/>
  <c r="DL289" i="9"/>
  <c r="DJ289" i="9"/>
  <c r="DO289" i="9"/>
  <c r="DQ289" i="9"/>
  <c r="DM289" i="9"/>
  <c r="DM211" i="9"/>
  <c r="DJ211" i="9"/>
  <c r="DL211" i="9"/>
  <c r="DQ211" i="9"/>
  <c r="CN237" i="9"/>
  <c r="CX237" i="9"/>
  <c r="BK397" i="9"/>
  <c r="BZ251" i="9"/>
  <c r="BW251" i="9"/>
  <c r="BY251" i="9"/>
  <c r="CD251" i="9"/>
  <c r="BZ47" i="9"/>
  <c r="BW47" i="9"/>
  <c r="BY47" i="9"/>
  <c r="CD47" i="9"/>
  <c r="CD177" i="9"/>
  <c r="BY177" i="9"/>
  <c r="BW177" i="9"/>
  <c r="BZ177" i="9"/>
  <c r="CL242" i="9"/>
  <c r="CJ242" i="9"/>
  <c r="CM242" i="9"/>
  <c r="CQ242" i="9"/>
  <c r="CO242" i="9"/>
  <c r="CJ142" i="9"/>
  <c r="CL142" i="9"/>
  <c r="CQ142" i="9"/>
  <c r="CM142" i="9"/>
  <c r="CO142" i="9"/>
  <c r="AV452" i="9"/>
  <c r="G9" i="10"/>
  <c r="AY345" i="9"/>
  <c r="AY344" i="9" s="1"/>
  <c r="CD144" i="9"/>
  <c r="BW144" i="9"/>
  <c r="BY144" i="9"/>
  <c r="BZ144" i="9"/>
  <c r="CB144" i="9"/>
  <c r="BY145" i="9"/>
  <c r="BW145" i="9"/>
  <c r="BZ145" i="9"/>
  <c r="CD145" i="9"/>
  <c r="CB145" i="9"/>
  <c r="CJ210" i="9"/>
  <c r="CL210" i="9"/>
  <c r="CM210" i="9"/>
  <c r="CQ210" i="9"/>
  <c r="CO210" i="9"/>
  <c r="CL103" i="9"/>
  <c r="CJ103" i="9"/>
  <c r="CQ103" i="9"/>
  <c r="CM103" i="9"/>
  <c r="CO103" i="9"/>
  <c r="CO87" i="9"/>
  <c r="CD14" i="9"/>
  <c r="BW14" i="9"/>
  <c r="BY14" i="9"/>
  <c r="BZ14" i="9"/>
  <c r="BW272" i="9"/>
  <c r="BY272" i="9"/>
  <c r="BZ272" i="9"/>
  <c r="CD272" i="9"/>
  <c r="CB272" i="9"/>
  <c r="BY96" i="9"/>
  <c r="BW96" i="9"/>
  <c r="BZ96" i="9"/>
  <c r="CD96" i="9"/>
  <c r="BZ281" i="9"/>
  <c r="BY281" i="9"/>
  <c r="BW281" i="9"/>
  <c r="CD281" i="9"/>
  <c r="CB281" i="9"/>
  <c r="BY56" i="9"/>
  <c r="BW56" i="9"/>
  <c r="BZ56" i="9"/>
  <c r="CD56" i="9"/>
  <c r="CB56" i="9"/>
  <c r="CD130" i="9"/>
  <c r="BY130" i="9"/>
  <c r="BW130" i="9"/>
  <c r="BZ130" i="9"/>
  <c r="CB130" i="9"/>
  <c r="CJ73" i="9"/>
  <c r="CL73" i="9"/>
  <c r="CM73" i="9"/>
  <c r="CQ73" i="9"/>
  <c r="CO73" i="9"/>
  <c r="BZ111" i="9"/>
  <c r="BW111" i="9"/>
  <c r="BY111" i="9"/>
  <c r="CD111" i="9"/>
  <c r="CB111" i="9"/>
  <c r="BY76" i="9"/>
  <c r="BW76" i="9"/>
  <c r="BZ76" i="9"/>
  <c r="CD76" i="9"/>
  <c r="CB76" i="9"/>
  <c r="BW270" i="9"/>
  <c r="BY270" i="9"/>
  <c r="BZ270" i="9"/>
  <c r="CD270" i="9"/>
  <c r="CB270" i="9"/>
  <c r="BW131" i="9"/>
  <c r="BY131" i="9"/>
  <c r="BZ131" i="9"/>
  <c r="CD131" i="9"/>
  <c r="CB131" i="9"/>
  <c r="BY169" i="9"/>
  <c r="BW169" i="9"/>
  <c r="BZ169" i="9"/>
  <c r="CD169" i="9"/>
  <c r="BX333" i="9"/>
  <c r="BX332" i="9"/>
  <c r="BX334" i="9"/>
  <c r="BX335" i="9"/>
  <c r="BY335" i="9" s="1"/>
  <c r="BZ83" i="9"/>
  <c r="BY83" i="9"/>
  <c r="BW83" i="9"/>
  <c r="CD83" i="9"/>
  <c r="CB83" i="9"/>
  <c r="CD128" i="9"/>
  <c r="BW128" i="9"/>
  <c r="BY128" i="9"/>
  <c r="BZ128" i="9"/>
  <c r="BZ192" i="9"/>
  <c r="BW192" i="9"/>
  <c r="BY192" i="9"/>
  <c r="CD192" i="9"/>
  <c r="CB192" i="9"/>
  <c r="BW99" i="9"/>
  <c r="BY99" i="9"/>
  <c r="CD99" i="9"/>
  <c r="BZ99" i="9"/>
  <c r="CB99" i="9"/>
  <c r="BW105" i="9"/>
  <c r="BY105" i="9"/>
  <c r="BZ105" i="9"/>
  <c r="CD105" i="9"/>
  <c r="CB105" i="9"/>
  <c r="BZ367" i="9"/>
  <c r="BX367" i="9" s="1"/>
  <c r="BY42" i="9"/>
  <c r="BW42" i="9"/>
  <c r="CD42" i="9"/>
  <c r="BZ42" i="9"/>
  <c r="BX327" i="9"/>
  <c r="BX324" i="9"/>
  <c r="BX326" i="9"/>
  <c r="BX325" i="9"/>
  <c r="BI453" i="9"/>
  <c r="J9" i="10"/>
  <c r="CB42" i="9"/>
  <c r="BZ190" i="9"/>
  <c r="BY190" i="9"/>
  <c r="BW190" i="9"/>
  <c r="CD190" i="9"/>
  <c r="CB190" i="9"/>
  <c r="BZ230" i="9"/>
  <c r="BY230" i="9"/>
  <c r="BW230" i="9"/>
  <c r="CD230" i="9"/>
  <c r="CB230" i="9"/>
  <c r="BZ247" i="9"/>
  <c r="BW247" i="9"/>
  <c r="BY247" i="9"/>
  <c r="CD247" i="9"/>
  <c r="BY231" i="9"/>
  <c r="BW231" i="9"/>
  <c r="BZ231" i="9"/>
  <c r="CD231" i="9"/>
  <c r="BW150" i="9"/>
  <c r="BY150" i="9"/>
  <c r="CD150" i="9"/>
  <c r="BZ150" i="9"/>
  <c r="CB150" i="9"/>
  <c r="CZ267" i="9"/>
  <c r="CY267" i="9"/>
  <c r="CW267" i="9"/>
  <c r="DD267" i="9"/>
  <c r="CJ365" i="9"/>
  <c r="DA287" i="9"/>
  <c r="DK287" i="9"/>
  <c r="CM112" i="9"/>
  <c r="CL112" i="9"/>
  <c r="CJ112" i="9"/>
  <c r="CQ112" i="9"/>
  <c r="CO112" i="9"/>
  <c r="BZ55" i="9"/>
  <c r="BY55" i="9"/>
  <c r="BW55" i="9"/>
  <c r="CD55" i="9"/>
  <c r="CB55" i="9"/>
  <c r="BY120" i="9"/>
  <c r="BW120" i="9"/>
  <c r="BZ120" i="9"/>
  <c r="CD120" i="9"/>
  <c r="CB120" i="9"/>
  <c r="BZ261" i="9"/>
  <c r="BW261" i="9"/>
  <c r="BY261" i="9"/>
  <c r="CD261" i="9"/>
  <c r="CB261" i="9"/>
  <c r="BW109" i="9"/>
  <c r="BY109" i="9"/>
  <c r="CD109" i="9"/>
  <c r="BZ109" i="9"/>
  <c r="CB109" i="9"/>
  <c r="BZ206" i="9"/>
  <c r="BY206" i="9"/>
  <c r="BW206" i="9"/>
  <c r="CD206" i="9"/>
  <c r="CB206" i="9"/>
  <c r="BZ176" i="9"/>
  <c r="BW176" i="9"/>
  <c r="BY176" i="9"/>
  <c r="CD176" i="9"/>
  <c r="CB176" i="9"/>
  <c r="BY141" i="9"/>
  <c r="BW141" i="9"/>
  <c r="BZ141" i="9"/>
  <c r="CD141" i="9"/>
  <c r="CB141" i="9"/>
  <c r="CO258" i="9"/>
  <c r="BN361" i="9"/>
  <c r="BN364" i="9"/>
  <c r="BM364" i="9" s="1"/>
  <c r="BK364" i="9" s="1"/>
  <c r="BN362" i="9"/>
  <c r="BN363" i="9"/>
  <c r="BM363" i="9" s="1"/>
  <c r="BK363" i="9" s="1"/>
  <c r="BZ232" i="9"/>
  <c r="BY232" i="9"/>
  <c r="BW232" i="9"/>
  <c r="CD232" i="9"/>
  <c r="CB232" i="9"/>
  <c r="BN356" i="9"/>
  <c r="BN355" i="9"/>
  <c r="BN354" i="9"/>
  <c r="BZ301" i="9"/>
  <c r="BY301" i="9"/>
  <c r="BW301" i="9"/>
  <c r="CD301" i="9"/>
  <c r="CM187" i="9"/>
  <c r="CJ187" i="9"/>
  <c r="CL187" i="9"/>
  <c r="CQ187" i="9"/>
  <c r="CO187" i="9"/>
  <c r="CL91" i="9"/>
  <c r="CJ91" i="9"/>
  <c r="CM91" i="9"/>
  <c r="CQ91" i="9"/>
  <c r="CO91" i="9"/>
  <c r="BZ89" i="9"/>
  <c r="BY89" i="9"/>
  <c r="BW89" i="9"/>
  <c r="CD89" i="9"/>
  <c r="CB89" i="9"/>
  <c r="BY102" i="9"/>
  <c r="BW102" i="9"/>
  <c r="BZ102" i="9"/>
  <c r="CD102" i="9"/>
  <c r="CB102" i="9"/>
  <c r="BW134" i="9"/>
  <c r="BY134" i="9"/>
  <c r="BZ134" i="9"/>
  <c r="CD134" i="9"/>
  <c r="CB134" i="9"/>
  <c r="BY282" i="9"/>
  <c r="BW282" i="9"/>
  <c r="CD282" i="9"/>
  <c r="BZ282" i="9"/>
  <c r="CB282" i="9"/>
  <c r="BW309" i="9"/>
  <c r="BY309" i="9"/>
  <c r="BZ309" i="9"/>
  <c r="CD309" i="9"/>
  <c r="CB309" i="9"/>
  <c r="CD166" i="9"/>
  <c r="BY166" i="9"/>
  <c r="BW166" i="9"/>
  <c r="BZ166" i="9"/>
  <c r="CB166" i="9"/>
  <c r="BW252" i="9"/>
  <c r="BY252" i="9"/>
  <c r="CD252" i="9"/>
  <c r="BZ252" i="9"/>
  <c r="CB252" i="9"/>
  <c r="CQ133" i="9"/>
  <c r="CL133" i="9"/>
  <c r="CJ133" i="9"/>
  <c r="CM133" i="9"/>
  <c r="CO133" i="9"/>
  <c r="AJ394" i="9"/>
  <c r="BZ184" i="9"/>
  <c r="BW184" i="9"/>
  <c r="BY184" i="9"/>
  <c r="CD184" i="9"/>
  <c r="BZ178" i="9"/>
  <c r="BY178" i="9"/>
  <c r="BW178" i="9"/>
  <c r="CD178" i="9"/>
  <c r="CB178" i="9"/>
  <c r="BB357" i="9"/>
  <c r="BY9" i="9"/>
  <c r="BW9" i="9"/>
  <c r="CD9" i="9"/>
  <c r="BZ9" i="9"/>
  <c r="BY17" i="9"/>
  <c r="BW17" i="9"/>
  <c r="CD17" i="9"/>
  <c r="BZ17" i="9"/>
  <c r="BY25" i="9"/>
  <c r="BW25" i="9"/>
  <c r="CD25" i="9"/>
  <c r="BZ25" i="9"/>
  <c r="BW33" i="9"/>
  <c r="BY33" i="9"/>
  <c r="CD33" i="9"/>
  <c r="BZ33" i="9"/>
  <c r="BY37" i="9"/>
  <c r="BW37" i="9"/>
  <c r="CD37" i="9"/>
  <c r="BZ37" i="9"/>
  <c r="CB37" i="9"/>
  <c r="BZ255" i="9"/>
  <c r="BW255" i="9"/>
  <c r="BY255" i="9"/>
  <c r="CD255" i="9"/>
  <c r="BY84" i="9"/>
  <c r="BW84" i="9"/>
  <c r="BZ84" i="9"/>
  <c r="CD84" i="9"/>
  <c r="BY68" i="9"/>
  <c r="BW68" i="9"/>
  <c r="BZ68" i="9"/>
  <c r="CD68" i="9"/>
  <c r="BY165" i="9"/>
  <c r="BW165" i="9"/>
  <c r="BZ165" i="9"/>
  <c r="CD165" i="9"/>
  <c r="CB184" i="9"/>
  <c r="CN58" i="9"/>
  <c r="CX58" i="9"/>
  <c r="AX350" i="9"/>
  <c r="AX370" i="9" s="1"/>
  <c r="AZ370" i="9"/>
  <c r="BB371" i="9"/>
  <c r="BY98" i="9"/>
  <c r="BW98" i="9"/>
  <c r="CD98" i="9"/>
  <c r="BZ98" i="9"/>
  <c r="CB98" i="9"/>
  <c r="CJ93" i="9"/>
  <c r="CL93" i="9"/>
  <c r="CM93" i="9"/>
  <c r="CQ93" i="9"/>
  <c r="CO93" i="9"/>
  <c r="BY28" i="9"/>
  <c r="BW28" i="9"/>
  <c r="BZ28" i="9"/>
  <c r="CD28" i="9"/>
  <c r="BZ49" i="9"/>
  <c r="BW49" i="9"/>
  <c r="BY49" i="9"/>
  <c r="CD49" i="9"/>
  <c r="CB49" i="9"/>
  <c r="BY20" i="9"/>
  <c r="BW20" i="9"/>
  <c r="BZ20" i="9"/>
  <c r="CD20" i="9"/>
  <c r="CB20" i="9"/>
  <c r="CP386" i="9"/>
  <c r="CP388" i="9"/>
  <c r="CP389" i="9"/>
  <c r="CP387" i="9"/>
  <c r="CH352" i="9"/>
  <c r="CH349" i="9"/>
  <c r="CH351" i="9"/>
  <c r="CH350" i="9"/>
  <c r="CF352" i="9"/>
  <c r="CF351" i="9"/>
  <c r="CF349" i="9"/>
  <c r="CF350" i="9"/>
  <c r="CP384" i="9"/>
  <c r="CP382" i="9"/>
  <c r="CP385" i="9"/>
  <c r="CP383" i="9"/>
  <c r="CF357" i="9"/>
  <c r="CF360" i="9"/>
  <c r="CF359" i="9"/>
  <c r="CF358" i="9"/>
  <c r="CH353" i="9"/>
  <c r="CP320" i="9"/>
  <c r="DD393" i="9"/>
  <c r="CX393" i="9" s="1"/>
  <c r="CY367" i="9"/>
  <c r="CX341" i="9"/>
  <c r="CU366" i="9"/>
  <c r="CS367" i="9"/>
  <c r="CV341" i="9"/>
  <c r="DD391" i="9"/>
  <c r="CY366" i="9"/>
  <c r="CU368" i="9"/>
  <c r="DA368" i="9"/>
  <c r="CW392" i="9"/>
  <c r="CW393" i="9"/>
  <c r="CW391" i="9"/>
  <c r="CW390" i="9" s="1"/>
  <c r="CX438" i="9"/>
  <c r="DE316" i="9"/>
  <c r="DE312" i="9"/>
  <c r="DE308" i="9"/>
  <c r="DE306" i="9"/>
  <c r="DE304" i="9"/>
  <c r="DE302" i="9"/>
  <c r="DE300" i="9"/>
  <c r="DE298" i="9"/>
  <c r="DE296" i="9"/>
  <c r="DE319" i="9"/>
  <c r="DE315" i="9"/>
  <c r="DE311" i="9"/>
  <c r="DE294" i="9"/>
  <c r="DE290" i="9"/>
  <c r="DE286" i="9"/>
  <c r="DE282" i="9"/>
  <c r="DE278" i="9"/>
  <c r="DE276" i="9"/>
  <c r="DE274" i="9"/>
  <c r="DE272" i="9"/>
  <c r="DE270" i="9"/>
  <c r="DE268" i="9"/>
  <c r="DE266" i="9"/>
  <c r="DE318" i="9"/>
  <c r="DE314" i="9"/>
  <c r="DE310" i="9"/>
  <c r="DE307" i="9"/>
  <c r="DE305" i="9"/>
  <c r="DE303" i="9"/>
  <c r="DE301" i="9"/>
  <c r="DE299" i="9"/>
  <c r="DE297" i="9"/>
  <c r="DE295" i="9"/>
  <c r="DE317" i="9"/>
  <c r="DE313" i="9"/>
  <c r="DE309" i="9"/>
  <c r="DE292" i="9"/>
  <c r="DE288" i="9"/>
  <c r="DE284" i="9"/>
  <c r="DE280" i="9"/>
  <c r="DE277" i="9"/>
  <c r="DE275" i="9"/>
  <c r="DE273" i="9"/>
  <c r="DE271" i="9"/>
  <c r="DE269" i="9"/>
  <c r="DE267" i="9"/>
  <c r="DE264" i="9"/>
  <c r="DE262" i="9"/>
  <c r="DE260" i="9"/>
  <c r="DE258" i="9"/>
  <c r="DE256" i="9"/>
  <c r="DE254" i="9"/>
  <c r="DE252" i="9"/>
  <c r="DE250" i="9"/>
  <c r="DE248" i="9"/>
  <c r="DE246" i="9"/>
  <c r="DE244" i="9"/>
  <c r="DE242" i="9"/>
  <c r="DE240" i="9"/>
  <c r="DE238" i="9"/>
  <c r="DE236" i="9"/>
  <c r="DE234" i="9"/>
  <c r="DE291" i="9"/>
  <c r="DE287" i="9"/>
  <c r="DE283" i="9"/>
  <c r="DE279" i="9"/>
  <c r="DE232" i="9"/>
  <c r="DE230" i="9"/>
  <c r="DE228" i="9"/>
  <c r="DE226" i="9"/>
  <c r="DE224" i="9"/>
  <c r="DE222" i="9"/>
  <c r="DE220" i="9"/>
  <c r="DE218" i="9"/>
  <c r="DE216" i="9"/>
  <c r="DE214" i="9"/>
  <c r="DE212" i="9"/>
  <c r="DE210" i="9"/>
  <c r="DE208" i="9"/>
  <c r="DE206" i="9"/>
  <c r="DE204" i="9"/>
  <c r="DE202" i="9"/>
  <c r="DE200" i="9"/>
  <c r="DE198" i="9"/>
  <c r="DE196" i="9"/>
  <c r="DE194" i="9"/>
  <c r="DE192" i="9"/>
  <c r="DE190" i="9"/>
  <c r="DE188" i="9"/>
  <c r="DE186" i="9"/>
  <c r="DE184" i="9"/>
  <c r="DE182" i="9"/>
  <c r="DE180" i="9"/>
  <c r="DE178" i="9"/>
  <c r="DE176" i="9"/>
  <c r="DE174" i="9"/>
  <c r="DE172" i="9"/>
  <c r="DE170" i="9"/>
  <c r="DE168" i="9"/>
  <c r="DE166" i="9"/>
  <c r="DE164" i="9"/>
  <c r="DE162" i="9"/>
  <c r="DE160" i="9"/>
  <c r="DE158" i="9"/>
  <c r="DE156" i="9"/>
  <c r="DE154" i="9"/>
  <c r="DE152" i="9"/>
  <c r="DE150" i="9"/>
  <c r="DE148" i="9"/>
  <c r="DE146" i="9"/>
  <c r="DE144" i="9"/>
  <c r="DE142" i="9"/>
  <c r="DE140" i="9"/>
  <c r="DE138" i="9"/>
  <c r="DE136" i="9"/>
  <c r="DE134" i="9"/>
  <c r="DE132" i="9"/>
  <c r="DE130" i="9"/>
  <c r="DE128" i="9"/>
  <c r="DE126" i="9"/>
  <c r="DE124" i="9"/>
  <c r="DE122" i="9"/>
  <c r="DE120" i="9"/>
  <c r="DE118" i="9"/>
  <c r="DE116" i="9"/>
  <c r="DE114" i="9"/>
  <c r="DE112" i="9"/>
  <c r="DE110" i="9"/>
  <c r="DE108" i="9"/>
  <c r="DE106" i="9"/>
  <c r="DE104" i="9"/>
  <c r="DE102" i="9"/>
  <c r="DE100" i="9"/>
  <c r="DE98" i="9"/>
  <c r="DE96" i="9"/>
  <c r="DE94" i="9"/>
  <c r="DE92" i="9"/>
  <c r="DE90" i="9"/>
  <c r="DE88" i="9"/>
  <c r="DE84" i="9"/>
  <c r="DE82" i="9"/>
  <c r="DE80" i="9"/>
  <c r="DE78" i="9"/>
  <c r="DE76" i="9"/>
  <c r="DE74" i="9"/>
  <c r="DE72" i="9"/>
  <c r="DE70" i="9"/>
  <c r="DE68" i="9"/>
  <c r="DE66" i="9"/>
  <c r="DE64" i="9"/>
  <c r="DE62" i="9"/>
  <c r="DE60" i="9"/>
  <c r="DE58" i="9"/>
  <c r="DE56" i="9"/>
  <c r="DE54" i="9"/>
  <c r="DE52" i="9"/>
  <c r="DE50" i="9"/>
  <c r="DE48" i="9"/>
  <c r="DE46" i="9"/>
  <c r="DE44" i="9"/>
  <c r="DE42" i="9"/>
  <c r="DE40" i="9"/>
  <c r="DE38" i="9"/>
  <c r="DE36" i="9"/>
  <c r="DE34" i="9"/>
  <c r="DE32" i="9"/>
  <c r="DE30" i="9"/>
  <c r="DE87" i="9"/>
  <c r="DE28" i="9"/>
  <c r="DE26" i="9"/>
  <c r="DE24" i="9"/>
  <c r="DE22" i="9"/>
  <c r="DE20" i="9"/>
  <c r="DE18" i="9"/>
  <c r="DE16" i="9"/>
  <c r="DE14" i="9"/>
  <c r="DE12" i="9"/>
  <c r="DE10" i="9"/>
  <c r="DE8" i="9"/>
  <c r="DE6" i="9"/>
  <c r="DE265" i="9"/>
  <c r="DE263" i="9"/>
  <c r="DE261" i="9"/>
  <c r="DE259" i="9"/>
  <c r="DE257" i="9"/>
  <c r="DE255" i="9"/>
  <c r="DE253" i="9"/>
  <c r="DE251" i="9"/>
  <c r="DE249" i="9"/>
  <c r="DE247" i="9"/>
  <c r="DE245" i="9"/>
  <c r="DE243" i="9"/>
  <c r="DE241" i="9"/>
  <c r="DE239" i="9"/>
  <c r="DE237" i="9"/>
  <c r="DE235" i="9"/>
  <c r="DE293" i="9"/>
  <c r="DE289" i="9"/>
  <c r="DE285" i="9"/>
  <c r="DE281" i="9"/>
  <c r="DE233" i="9"/>
  <c r="DE231" i="9"/>
  <c r="DE229" i="9"/>
  <c r="DE227" i="9"/>
  <c r="DE225" i="9"/>
  <c r="DE223" i="9"/>
  <c r="DE221" i="9"/>
  <c r="DE219" i="9"/>
  <c r="DE217" i="9"/>
  <c r="DE215" i="9"/>
  <c r="DE213" i="9"/>
  <c r="DE211" i="9"/>
  <c r="DE209" i="9"/>
  <c r="DE207" i="9"/>
  <c r="DE205" i="9"/>
  <c r="DE203" i="9"/>
  <c r="DE201" i="9"/>
  <c r="DE199" i="9"/>
  <c r="DE197" i="9"/>
  <c r="DE195" i="9"/>
  <c r="DE193" i="9"/>
  <c r="DE191" i="9"/>
  <c r="DE189" i="9"/>
  <c r="DE187" i="9"/>
  <c r="DE185" i="9"/>
  <c r="DE183" i="9"/>
  <c r="DE181" i="9"/>
  <c r="DE179" i="9"/>
  <c r="DE177" i="9"/>
  <c r="DE175" i="9"/>
  <c r="DE173" i="9"/>
  <c r="DE171" i="9"/>
  <c r="DE169" i="9"/>
  <c r="DE167" i="9"/>
  <c r="DE165" i="9"/>
  <c r="DE163" i="9"/>
  <c r="DE161" i="9"/>
  <c r="DE159" i="9"/>
  <c r="DE157" i="9"/>
  <c r="DE155" i="9"/>
  <c r="DE153" i="9"/>
  <c r="DE151" i="9"/>
  <c r="DE149" i="9"/>
  <c r="DE147" i="9"/>
  <c r="DE145" i="9"/>
  <c r="DE143" i="9"/>
  <c r="DE141" i="9"/>
  <c r="DE139" i="9"/>
  <c r="DE137" i="9"/>
  <c r="DE135" i="9"/>
  <c r="DE133" i="9"/>
  <c r="DE131" i="9"/>
  <c r="DE129" i="9"/>
  <c r="DE127" i="9"/>
  <c r="DE125" i="9"/>
  <c r="DE123" i="9"/>
  <c r="DE121" i="9"/>
  <c r="DE119" i="9"/>
  <c r="DE117" i="9"/>
  <c r="DE115" i="9"/>
  <c r="DE113" i="9"/>
  <c r="DE111" i="9"/>
  <c r="DE109" i="9"/>
  <c r="DE107" i="9"/>
  <c r="DE105" i="9"/>
  <c r="DE103" i="9"/>
  <c r="DE101" i="9"/>
  <c r="DE99" i="9"/>
  <c r="DE97" i="9"/>
  <c r="DE95" i="9"/>
  <c r="DE93" i="9"/>
  <c r="DE91" i="9"/>
  <c r="DE89" i="9"/>
  <c r="DE86" i="9"/>
  <c r="DE83" i="9"/>
  <c r="DE81" i="9"/>
  <c r="DE79" i="9"/>
  <c r="DE77" i="9"/>
  <c r="DE75" i="9"/>
  <c r="DE73" i="9"/>
  <c r="DE71" i="9"/>
  <c r="DE69" i="9"/>
  <c r="DE67" i="9"/>
  <c r="DE65" i="9"/>
  <c r="DE63" i="9"/>
  <c r="DE61" i="9"/>
  <c r="DE59" i="9"/>
  <c r="DE57" i="9"/>
  <c r="DE55" i="9"/>
  <c r="DE53" i="9"/>
  <c r="DE51" i="9"/>
  <c r="DE49" i="9"/>
  <c r="DE47" i="9"/>
  <c r="DE45" i="9"/>
  <c r="DE43" i="9"/>
  <c r="DE41" i="9"/>
  <c r="DE39" i="9"/>
  <c r="DE37" i="9"/>
  <c r="DE35" i="9"/>
  <c r="DE33" i="9"/>
  <c r="DE31" i="9"/>
  <c r="DE29" i="9"/>
  <c r="DE85" i="9"/>
  <c r="DE27" i="9"/>
  <c r="DE25" i="9"/>
  <c r="DE23" i="9"/>
  <c r="DE21" i="9"/>
  <c r="DE19" i="9"/>
  <c r="DE17" i="9"/>
  <c r="DE15" i="9"/>
  <c r="DE13" i="9"/>
  <c r="DE11" i="9"/>
  <c r="DE9" i="9"/>
  <c r="DE7" i="9"/>
  <c r="DE5" i="9"/>
  <c r="DK365" i="9"/>
  <c r="DI441" i="9"/>
  <c r="DI439" i="9"/>
  <c r="DK440" i="9" s="1"/>
  <c r="DK390" i="9"/>
  <c r="DI440" i="9"/>
  <c r="DK441" i="9" s="1"/>
  <c r="AK34" i="2" s="1"/>
  <c r="DF368" i="9" s="1"/>
  <c r="DP393" i="9"/>
  <c r="DI343" i="9"/>
  <c r="DN368" i="9"/>
  <c r="DK343" i="9"/>
  <c r="DQ393" i="9"/>
  <c r="DH368" i="9"/>
  <c r="DM298" i="9"/>
  <c r="DL298" i="9"/>
  <c r="DJ298" i="9"/>
  <c r="DQ298" i="9"/>
  <c r="DO298" i="9"/>
  <c r="DI434" i="9"/>
  <c r="DI426" i="9"/>
  <c r="DI444" i="9" s="1"/>
  <c r="DI424" i="9"/>
  <c r="DZ126" i="9"/>
  <c r="EA126" i="9" s="1"/>
  <c r="DY72" i="9"/>
  <c r="DW72" i="9"/>
  <c r="DV418" i="9"/>
  <c r="DV324" i="9"/>
  <c r="DX119" i="9"/>
  <c r="DX204" i="9"/>
  <c r="DX220" i="9"/>
  <c r="DX273" i="9"/>
  <c r="DV320" i="9"/>
  <c r="DX410" i="9" s="1"/>
  <c r="DV428" i="9"/>
  <c r="DV332" i="9"/>
  <c r="DV336" i="9"/>
  <c r="DV433" i="9"/>
  <c r="DI420" i="9"/>
  <c r="DI419" i="9"/>
  <c r="DK420" i="9" s="1"/>
  <c r="AJ13" i="2" s="1"/>
  <c r="DI326" i="9" s="1"/>
  <c r="DI344" i="9"/>
  <c r="DK411" i="9" s="1"/>
  <c r="DJ411" i="9" s="1"/>
  <c r="CN38" i="9"/>
  <c r="CX38" i="9"/>
  <c r="BZ279" i="9"/>
  <c r="BW279" i="9"/>
  <c r="BY279" i="9"/>
  <c r="CD279" i="9"/>
  <c r="CB279" i="9"/>
  <c r="BY233" i="9"/>
  <c r="BW233" i="9"/>
  <c r="CD233" i="9"/>
  <c r="BZ233" i="9"/>
  <c r="BW246" i="9"/>
  <c r="BY246" i="9"/>
  <c r="BZ246" i="9"/>
  <c r="CD246" i="9"/>
  <c r="CB246" i="9"/>
  <c r="CB63" i="9"/>
  <c r="AW363" i="9"/>
  <c r="AW364" i="9"/>
  <c r="AW362" i="9"/>
  <c r="BB361" i="9"/>
  <c r="AW355" i="9"/>
  <c r="DO211" i="9"/>
  <c r="BZ214" i="9"/>
  <c r="BY214" i="9"/>
  <c r="BW214" i="9"/>
  <c r="CD214" i="9"/>
  <c r="BZ212" i="9"/>
  <c r="BW212" i="9"/>
  <c r="BY212" i="9"/>
  <c r="CD212" i="9"/>
  <c r="CB212" i="9"/>
  <c r="BY227" i="9"/>
  <c r="BW227" i="9"/>
  <c r="BZ227" i="9"/>
  <c r="CD227" i="9"/>
  <c r="BX445" i="9"/>
  <c r="W39" i="2"/>
  <c r="Z39" i="2" s="1"/>
  <c r="W46" i="2"/>
  <c r="Z46" i="2" s="1"/>
  <c r="CN303" i="9"/>
  <c r="CX303" i="9"/>
  <c r="BW313" i="9"/>
  <c r="BY313" i="9"/>
  <c r="BZ313" i="9"/>
  <c r="CD313" i="9"/>
  <c r="CB313" i="9"/>
  <c r="BY161" i="9"/>
  <c r="BW161" i="9"/>
  <c r="BZ161" i="9"/>
  <c r="CD161" i="9"/>
  <c r="CB161" i="9"/>
  <c r="CB96" i="9"/>
  <c r="BY114" i="9"/>
  <c r="BW114" i="9"/>
  <c r="CD114" i="9"/>
  <c r="BZ114" i="9"/>
  <c r="BZ51" i="9"/>
  <c r="BY51" i="9"/>
  <c r="BX328" i="9"/>
  <c r="BW51" i="9"/>
  <c r="CD51" i="9"/>
  <c r="BZ43" i="9"/>
  <c r="BW43" i="9"/>
  <c r="BY43" i="9"/>
  <c r="CD43" i="9"/>
  <c r="CB43" i="9"/>
  <c r="BZ263" i="9"/>
  <c r="BW263" i="9"/>
  <c r="BY263" i="9"/>
  <c r="CD263" i="9"/>
  <c r="BY52" i="9"/>
  <c r="BW52" i="9"/>
  <c r="BZ52" i="9"/>
  <c r="CD52" i="9"/>
  <c r="CB52" i="9"/>
  <c r="BY106" i="9"/>
  <c r="BW106" i="9"/>
  <c r="CD106" i="9"/>
  <c r="BZ106" i="9"/>
  <c r="CB106" i="9"/>
  <c r="CD146" i="9"/>
  <c r="BY146" i="9"/>
  <c r="BW146" i="9"/>
  <c r="BZ146" i="9"/>
  <c r="CB146" i="9"/>
  <c r="CN186" i="9"/>
  <c r="CX186" i="9"/>
  <c r="CK428" i="9"/>
  <c r="CN70" i="9"/>
  <c r="CX70" i="9"/>
  <c r="CB251" i="9"/>
  <c r="BY108" i="9"/>
  <c r="BW108" i="9"/>
  <c r="BZ108" i="9"/>
  <c r="CD108" i="9"/>
  <c r="CB108" i="9"/>
  <c r="BY129" i="9"/>
  <c r="BW129" i="9"/>
  <c r="BZ129" i="9"/>
  <c r="CD129" i="9"/>
  <c r="CB129" i="9"/>
  <c r="BW159" i="9"/>
  <c r="BY159" i="9"/>
  <c r="CD159" i="9"/>
  <c r="BZ159" i="9"/>
  <c r="CB159" i="9"/>
  <c r="CB17" i="9"/>
  <c r="BZ196" i="9"/>
  <c r="BW196" i="9"/>
  <c r="BY196" i="9"/>
  <c r="CD196" i="9"/>
  <c r="CB196" i="9"/>
  <c r="CD156" i="9"/>
  <c r="BW156" i="9"/>
  <c r="BY156" i="9"/>
  <c r="BZ156" i="9"/>
  <c r="CB156" i="9"/>
  <c r="BW276" i="9"/>
  <c r="BY276" i="9"/>
  <c r="CD276" i="9"/>
  <c r="BZ276" i="9"/>
  <c r="BZ310" i="9"/>
  <c r="BW310" i="9"/>
  <c r="BY310" i="9"/>
  <c r="CD310" i="9"/>
  <c r="CB310" i="9"/>
  <c r="BY90" i="9"/>
  <c r="BW90" i="9"/>
  <c r="CD90" i="9"/>
  <c r="BZ90" i="9"/>
  <c r="CB90" i="9"/>
  <c r="CD154" i="9"/>
  <c r="BW154" i="9"/>
  <c r="BY154" i="9"/>
  <c r="BZ154" i="9"/>
  <c r="CB154" i="9"/>
  <c r="BL371" i="9"/>
  <c r="BL370" i="9"/>
  <c r="BQ397" i="9"/>
  <c r="BQ395" i="9"/>
  <c r="BZ297" i="9"/>
  <c r="BY297" i="9"/>
  <c r="BW297" i="9"/>
  <c r="CD297" i="9"/>
  <c r="CB297" i="9"/>
  <c r="BZ81" i="9"/>
  <c r="BY81" i="9"/>
  <c r="BW81" i="9"/>
  <c r="CD81" i="9"/>
  <c r="CB81" i="9"/>
  <c r="BY239" i="9"/>
  <c r="BW239" i="9"/>
  <c r="BZ239" i="9"/>
  <c r="CD239" i="9"/>
  <c r="BZ207" i="9"/>
  <c r="BW207" i="9"/>
  <c r="BY207" i="9"/>
  <c r="CD207" i="9"/>
  <c r="CB207" i="9"/>
  <c r="BY244" i="9"/>
  <c r="BW244" i="9"/>
  <c r="CD244" i="9"/>
  <c r="BZ244" i="9"/>
  <c r="BZ228" i="9"/>
  <c r="BY228" i="9"/>
  <c r="BW228" i="9"/>
  <c r="CD228" i="9"/>
  <c r="BZ115" i="9"/>
  <c r="BY115" i="9"/>
  <c r="BW115" i="9"/>
  <c r="CD115" i="9"/>
  <c r="CB115" i="9"/>
  <c r="BW22" i="9"/>
  <c r="BY22" i="9"/>
  <c r="BZ22" i="9"/>
  <c r="CD22" i="9"/>
  <c r="CB22" i="9"/>
  <c r="CB100" i="9"/>
  <c r="CN198" i="9"/>
  <c r="CX198" i="9"/>
  <c r="DB267" i="9"/>
  <c r="CF367" i="9"/>
  <c r="CL367" i="9"/>
  <c r="CI342" i="9"/>
  <c r="CK342" i="9"/>
  <c r="AD34" i="2"/>
  <c r="CP392" i="9"/>
  <c r="CH367" i="9"/>
  <c r="CQ392" i="9"/>
  <c r="CN367" i="9"/>
  <c r="DA260" i="9"/>
  <c r="DK260" i="9"/>
  <c r="DA62" i="9"/>
  <c r="DK62" i="9"/>
  <c r="CJ197" i="9"/>
  <c r="CL197" i="9"/>
  <c r="CQ197" i="9"/>
  <c r="CM197" i="9"/>
  <c r="CQ163" i="9"/>
  <c r="CL163" i="9"/>
  <c r="CJ163" i="9"/>
  <c r="CM163" i="9"/>
  <c r="CO163" i="9"/>
  <c r="BZ174" i="9"/>
  <c r="BY174" i="9"/>
  <c r="BW174" i="9"/>
  <c r="CD174" i="9"/>
  <c r="CB174" i="9"/>
  <c r="BY46" i="9"/>
  <c r="BW46" i="9"/>
  <c r="BZ46" i="9"/>
  <c r="CD46" i="9"/>
  <c r="CB46" i="9"/>
  <c r="BY221" i="9"/>
  <c r="BW221" i="9"/>
  <c r="BZ221" i="9"/>
  <c r="CD221" i="9"/>
  <c r="CB221" i="9"/>
  <c r="BW250" i="9"/>
  <c r="BY250" i="9"/>
  <c r="BZ250" i="9"/>
  <c r="CD250" i="9"/>
  <c r="CB250" i="9"/>
  <c r="BZ23" i="9"/>
  <c r="BY23" i="9"/>
  <c r="BW23" i="9"/>
  <c r="CD23" i="9"/>
  <c r="BY284" i="9"/>
  <c r="BW284" i="9"/>
  <c r="BZ284" i="9"/>
  <c r="CD284" i="9"/>
  <c r="CB284" i="9"/>
  <c r="BY153" i="9"/>
  <c r="BW153" i="9"/>
  <c r="BZ153" i="9"/>
  <c r="CD153" i="9"/>
  <c r="CB153" i="9"/>
  <c r="CD189" i="9"/>
  <c r="BY189" i="9"/>
  <c r="BW189" i="9"/>
  <c r="BZ189" i="9"/>
  <c r="CB189" i="9"/>
  <c r="BW305" i="9"/>
  <c r="BY305" i="9"/>
  <c r="BZ305" i="9"/>
  <c r="CD305" i="9"/>
  <c r="CB305" i="9"/>
  <c r="BY60" i="9"/>
  <c r="BW60" i="9"/>
  <c r="BZ60" i="9"/>
  <c r="CD60" i="9"/>
  <c r="CB60" i="9"/>
  <c r="BY54" i="9"/>
  <c r="BW54" i="9"/>
  <c r="BZ54" i="9"/>
  <c r="CD54" i="9"/>
  <c r="CB54" i="9"/>
  <c r="Z19" i="2"/>
  <c r="BV329" i="9"/>
  <c r="BW329" i="9" s="1"/>
  <c r="BW328" i="9" s="1"/>
  <c r="CN32" i="9"/>
  <c r="CX32" i="9"/>
  <c r="CC394" i="9"/>
  <c r="CC379" i="9"/>
  <c r="CN269" i="9"/>
  <c r="CX269" i="9"/>
  <c r="CJ69" i="9"/>
  <c r="CL69" i="9"/>
  <c r="CM69" i="9"/>
  <c r="CQ69" i="9"/>
  <c r="CO69" i="9"/>
  <c r="CO35" i="9"/>
  <c r="BY66" i="9"/>
  <c r="BW66" i="9"/>
  <c r="CD66" i="9"/>
  <c r="BZ66" i="9"/>
  <c r="CB66" i="9"/>
  <c r="CJ65" i="9"/>
  <c r="CL65" i="9"/>
  <c r="CM65" i="9"/>
  <c r="CQ65" i="9"/>
  <c r="CO65" i="9"/>
  <c r="BY290" i="9"/>
  <c r="BW290" i="9"/>
  <c r="CD290" i="9"/>
  <c r="BZ290" i="9"/>
  <c r="CB290" i="9"/>
  <c r="CD160" i="9"/>
  <c r="BW160" i="9"/>
  <c r="BY160" i="9"/>
  <c r="BZ160" i="9"/>
  <c r="CB160" i="9"/>
  <c r="CZ293" i="9"/>
  <c r="CY293" i="9"/>
  <c r="CW293" i="9"/>
  <c r="DD293" i="9"/>
  <c r="CM179" i="9"/>
  <c r="CJ179" i="9"/>
  <c r="CL179" i="9"/>
  <c r="CQ179" i="9"/>
  <c r="CO179" i="9"/>
  <c r="BY229" i="9"/>
  <c r="BW229" i="9"/>
  <c r="BZ229" i="9"/>
  <c r="CD229" i="9"/>
  <c r="CB229" i="9"/>
  <c r="BY117" i="9"/>
  <c r="BW117" i="9"/>
  <c r="BZ117" i="9"/>
  <c r="CD117" i="9"/>
  <c r="CB117" i="9"/>
  <c r="BZ265" i="9"/>
  <c r="BW265" i="9"/>
  <c r="BY265" i="9"/>
  <c r="CD265" i="9"/>
  <c r="BZ79" i="9"/>
  <c r="BY79" i="9"/>
  <c r="BW79" i="9"/>
  <c r="CD79" i="9"/>
  <c r="CB79" i="9"/>
  <c r="CJ77" i="9"/>
  <c r="CL77" i="9"/>
  <c r="CM77" i="9"/>
  <c r="CQ77" i="9"/>
  <c r="CO77" i="9"/>
  <c r="CB183" i="9"/>
  <c r="BZ236" i="9"/>
  <c r="BY236" i="9"/>
  <c r="BW236" i="9"/>
  <c r="CD236" i="9"/>
  <c r="CB236" i="9"/>
  <c r="BY104" i="9"/>
  <c r="BW104" i="9"/>
  <c r="BZ104" i="9"/>
  <c r="CD104" i="9"/>
  <c r="BY118" i="9"/>
  <c r="BW118" i="9"/>
  <c r="BZ118" i="9"/>
  <c r="CD118" i="9"/>
  <c r="BY80" i="9"/>
  <c r="BW80" i="9"/>
  <c r="BZ80" i="9"/>
  <c r="CD80" i="9"/>
  <c r="BY36" i="9"/>
  <c r="BW36" i="9"/>
  <c r="BZ36" i="9"/>
  <c r="CD36" i="9"/>
  <c r="CB36" i="9"/>
  <c r="CP380" i="9"/>
  <c r="CP381" i="9"/>
  <c r="CH356" i="9"/>
  <c r="CH355" i="9"/>
  <c r="DC8" i="9"/>
  <c r="CT8" i="9"/>
  <c r="CU8" i="9" s="1"/>
  <c r="CS8" i="9"/>
  <c r="DC10" i="9"/>
  <c r="CT10" i="9"/>
  <c r="CU10" i="9" s="1"/>
  <c r="CS10" i="9"/>
  <c r="DC33" i="9"/>
  <c r="CT33" i="9"/>
  <c r="CU33" i="9" s="1"/>
  <c r="CS33" i="9"/>
  <c r="CT11" i="9"/>
  <c r="CU11" i="9" s="1"/>
  <c r="CS11" i="9"/>
  <c r="DC11" i="9"/>
  <c r="DC19" i="9"/>
  <c r="CT19" i="9"/>
  <c r="CU19" i="9" s="1"/>
  <c r="CS19" i="9"/>
  <c r="DC35" i="9"/>
  <c r="CT35" i="9"/>
  <c r="CU35" i="9" s="1"/>
  <c r="CS35" i="9"/>
  <c r="DC43" i="9"/>
  <c r="CT43" i="9"/>
  <c r="CU43" i="9" s="1"/>
  <c r="CS43" i="9"/>
  <c r="DC51" i="9"/>
  <c r="CT51" i="9"/>
  <c r="CU51" i="9" s="1"/>
  <c r="CS51" i="9"/>
  <c r="DC59" i="9"/>
  <c r="CT59" i="9"/>
  <c r="CU59" i="9" s="1"/>
  <c r="CS59" i="9"/>
  <c r="DC67" i="9"/>
  <c r="CT67" i="9"/>
  <c r="CU67" i="9" s="1"/>
  <c r="CS67" i="9"/>
  <c r="DC75" i="9"/>
  <c r="CT75" i="9"/>
  <c r="CU75" i="9" s="1"/>
  <c r="CS75" i="9"/>
  <c r="DC83" i="9"/>
  <c r="CT83" i="9"/>
  <c r="CU83" i="9" s="1"/>
  <c r="CS83" i="9"/>
  <c r="DC91" i="9"/>
  <c r="CT91" i="9"/>
  <c r="CU91" i="9" s="1"/>
  <c r="CS91" i="9"/>
  <c r="DC99" i="9"/>
  <c r="CT99" i="9"/>
  <c r="CU99" i="9" s="1"/>
  <c r="CS99" i="9"/>
  <c r="DC107" i="9"/>
  <c r="CT107" i="9"/>
  <c r="CU107" i="9" s="1"/>
  <c r="CS107" i="9"/>
  <c r="DC115" i="9"/>
  <c r="CT115" i="9"/>
  <c r="CU115" i="9" s="1"/>
  <c r="CS115" i="9"/>
  <c r="DC126" i="9"/>
  <c r="CT126" i="9"/>
  <c r="CU126" i="9" s="1"/>
  <c r="CS126" i="9"/>
  <c r="DC142" i="9"/>
  <c r="CT142" i="9"/>
  <c r="CU142" i="9" s="1"/>
  <c r="CS142" i="9"/>
  <c r="DC158" i="9"/>
  <c r="CT158" i="9"/>
  <c r="CU158" i="9" s="1"/>
  <c r="CS158" i="9"/>
  <c r="DC181" i="9"/>
  <c r="CT181" i="9"/>
  <c r="CU181" i="9" s="1"/>
  <c r="CS181" i="9"/>
  <c r="CT18" i="9"/>
  <c r="CU18" i="9" s="1"/>
  <c r="CS18" i="9"/>
  <c r="DC18" i="9"/>
  <c r="CT26" i="9"/>
  <c r="CU26" i="9" s="1"/>
  <c r="CS26" i="9"/>
  <c r="DC26" i="9"/>
  <c r="CT34" i="9"/>
  <c r="CU34" i="9" s="1"/>
  <c r="CS34" i="9"/>
  <c r="DC34" i="9"/>
  <c r="CT42" i="9"/>
  <c r="CU42" i="9" s="1"/>
  <c r="CS42" i="9"/>
  <c r="DC42" i="9"/>
  <c r="CT50" i="9"/>
  <c r="CU50" i="9" s="1"/>
  <c r="CS50" i="9"/>
  <c r="DC50" i="9"/>
  <c r="CT58" i="9"/>
  <c r="CU58" i="9" s="1"/>
  <c r="CS58" i="9"/>
  <c r="DC58" i="9"/>
  <c r="CT66" i="9"/>
  <c r="CU66" i="9" s="1"/>
  <c r="CS66" i="9"/>
  <c r="DC66" i="9"/>
  <c r="CT74" i="9"/>
  <c r="CU74" i="9" s="1"/>
  <c r="CS74" i="9"/>
  <c r="DC74" i="9"/>
  <c r="CT82" i="9"/>
  <c r="CU82" i="9" s="1"/>
  <c r="CS82" i="9"/>
  <c r="DC82" i="9"/>
  <c r="CT90" i="9"/>
  <c r="CU90" i="9" s="1"/>
  <c r="CS90" i="9"/>
  <c r="DC90" i="9"/>
  <c r="CT98" i="9"/>
  <c r="CU98" i="9" s="1"/>
  <c r="CS98" i="9"/>
  <c r="DC98" i="9"/>
  <c r="CT106" i="9"/>
  <c r="CU106" i="9" s="1"/>
  <c r="CS106" i="9"/>
  <c r="DC106" i="9"/>
  <c r="CT114" i="9"/>
  <c r="CU114" i="9" s="1"/>
  <c r="CS114" i="9"/>
  <c r="DC114" i="9"/>
  <c r="CT122" i="9"/>
  <c r="CU122" i="9" s="1"/>
  <c r="CS122" i="9"/>
  <c r="DC122" i="9"/>
  <c r="DC136" i="9"/>
  <c r="CT136" i="9"/>
  <c r="CU136" i="9" s="1"/>
  <c r="CS136" i="9"/>
  <c r="DC152" i="9"/>
  <c r="CT152" i="9"/>
  <c r="CU152" i="9" s="1"/>
  <c r="CS152" i="9"/>
  <c r="DC168" i="9"/>
  <c r="CT168" i="9"/>
  <c r="CU168" i="9" s="1"/>
  <c r="CS168" i="9"/>
  <c r="DC193" i="9"/>
  <c r="CT193" i="9"/>
  <c r="CU193" i="9" s="1"/>
  <c r="CS193" i="9"/>
  <c r="CT125" i="9"/>
  <c r="CU125" i="9" s="1"/>
  <c r="DC125" i="9"/>
  <c r="CS125" i="9"/>
  <c r="CT133" i="9"/>
  <c r="CU133" i="9" s="1"/>
  <c r="DC133" i="9"/>
  <c r="CS133" i="9"/>
  <c r="CT141" i="9"/>
  <c r="CU141" i="9" s="1"/>
  <c r="DC141" i="9"/>
  <c r="CS141" i="9"/>
  <c r="CT149" i="9"/>
  <c r="CU149" i="9" s="1"/>
  <c r="DC149" i="9"/>
  <c r="CS149" i="9"/>
  <c r="CT157" i="9"/>
  <c r="CU157" i="9" s="1"/>
  <c r="DC157" i="9"/>
  <c r="CS157" i="9"/>
  <c r="CT165" i="9"/>
  <c r="CU165" i="9" s="1"/>
  <c r="DC165" i="9"/>
  <c r="CS165" i="9"/>
  <c r="CT173" i="9"/>
  <c r="CU173" i="9" s="1"/>
  <c r="DC173" i="9"/>
  <c r="CS173" i="9"/>
  <c r="DC187" i="9"/>
  <c r="CT187" i="9"/>
  <c r="CU187" i="9" s="1"/>
  <c r="CS187" i="9"/>
  <c r="DC203" i="9"/>
  <c r="CT203" i="9"/>
  <c r="CU203" i="9" s="1"/>
  <c r="CS203" i="9"/>
  <c r="CT176" i="9"/>
  <c r="CU176" i="9" s="1"/>
  <c r="DC176" i="9"/>
  <c r="CS176" i="9"/>
  <c r="CT184" i="9"/>
  <c r="CU184" i="9" s="1"/>
  <c r="DC184" i="9"/>
  <c r="CS184" i="9"/>
  <c r="CT192" i="9"/>
  <c r="CU192" i="9" s="1"/>
  <c r="DC192" i="9"/>
  <c r="CS192" i="9"/>
  <c r="CT200" i="9"/>
  <c r="CU200" i="9" s="1"/>
  <c r="DC200" i="9"/>
  <c r="CS200" i="9"/>
  <c r="CT208" i="9"/>
  <c r="CU208" i="9" s="1"/>
  <c r="DC208" i="9"/>
  <c r="CS208" i="9"/>
  <c r="DC216" i="9"/>
  <c r="CT216" i="9"/>
  <c r="CU216" i="9" s="1"/>
  <c r="CS216" i="9"/>
  <c r="DC224" i="9"/>
  <c r="CT224" i="9"/>
  <c r="CU224" i="9" s="1"/>
  <c r="CS224" i="9"/>
  <c r="DC232" i="9"/>
  <c r="CT232" i="9"/>
  <c r="CU232" i="9" s="1"/>
  <c r="CS232" i="9"/>
  <c r="DC240" i="9"/>
  <c r="CT240" i="9"/>
  <c r="CU240" i="9" s="1"/>
  <c r="CS240" i="9"/>
  <c r="CT215" i="9"/>
  <c r="CU215" i="9" s="1"/>
  <c r="CS215" i="9"/>
  <c r="DC215" i="9"/>
  <c r="CT223" i="9"/>
  <c r="CU223" i="9" s="1"/>
  <c r="CS223" i="9"/>
  <c r="DC223" i="9"/>
  <c r="CT231" i="9"/>
  <c r="CU231" i="9" s="1"/>
  <c r="CS231" i="9"/>
  <c r="DC231" i="9"/>
  <c r="CT239" i="9"/>
  <c r="CU239" i="9" s="1"/>
  <c r="CS239" i="9"/>
  <c r="DC239" i="9"/>
  <c r="DC249" i="9"/>
  <c r="CT249" i="9"/>
  <c r="CU249" i="9" s="1"/>
  <c r="CS249" i="9"/>
  <c r="DC257" i="9"/>
  <c r="CT257" i="9"/>
  <c r="CU257" i="9" s="1"/>
  <c r="CS257" i="9"/>
  <c r="DC265" i="9"/>
  <c r="CT265" i="9"/>
  <c r="CU265" i="9" s="1"/>
  <c r="CS265" i="9"/>
  <c r="DC273" i="9"/>
  <c r="CT273" i="9"/>
  <c r="CU273" i="9" s="1"/>
  <c r="CS273" i="9"/>
  <c r="CT246" i="9"/>
  <c r="CU246" i="9" s="1"/>
  <c r="CS246" i="9"/>
  <c r="DC246" i="9"/>
  <c r="CT254" i="9"/>
  <c r="CU254" i="9" s="1"/>
  <c r="CS254" i="9"/>
  <c r="DC254" i="9"/>
  <c r="CT262" i="9"/>
  <c r="CU262" i="9" s="1"/>
  <c r="CS262" i="9"/>
  <c r="DC262" i="9"/>
  <c r="CT270" i="9"/>
  <c r="CU270" i="9" s="1"/>
  <c r="CS270" i="9"/>
  <c r="DC270" i="9"/>
  <c r="CT277" i="9"/>
  <c r="CU277" i="9" s="1"/>
  <c r="CS277" i="9"/>
  <c r="DC277" i="9"/>
  <c r="DC285" i="9"/>
  <c r="CT285" i="9"/>
  <c r="CU285" i="9" s="1"/>
  <c r="CS285" i="9"/>
  <c r="DC293" i="9"/>
  <c r="CT293" i="9"/>
  <c r="CU293" i="9" s="1"/>
  <c r="CS293" i="9"/>
  <c r="DC301" i="9"/>
  <c r="CT301" i="9"/>
  <c r="CU301" i="9" s="1"/>
  <c r="CS301" i="9"/>
  <c r="CT315" i="9"/>
  <c r="CU315" i="9" s="1"/>
  <c r="DC315" i="9"/>
  <c r="CS315" i="9"/>
  <c r="CT284" i="9"/>
  <c r="CU284" i="9" s="1"/>
  <c r="CS284" i="9"/>
  <c r="DC284" i="9"/>
  <c r="CT292" i="9"/>
  <c r="CU292" i="9" s="1"/>
  <c r="CS292" i="9"/>
  <c r="DC292" i="9"/>
  <c r="CT300" i="9"/>
  <c r="CU300" i="9" s="1"/>
  <c r="CS300" i="9"/>
  <c r="DC300" i="9"/>
  <c r="DC313" i="9"/>
  <c r="CT313" i="9"/>
  <c r="CU313" i="9" s="1"/>
  <c r="CS313" i="9"/>
  <c r="CT310" i="9"/>
  <c r="CU310" i="9" s="1"/>
  <c r="DC310" i="9"/>
  <c r="CS310" i="9"/>
  <c r="CT317" i="9"/>
  <c r="CU317" i="9" s="1"/>
  <c r="CS317" i="9"/>
  <c r="DC317" i="9"/>
  <c r="CS12" i="9"/>
  <c r="DC12" i="9"/>
  <c r="CT12" i="9"/>
  <c r="CU12" i="9" s="1"/>
  <c r="CS21" i="9"/>
  <c r="DC21" i="9"/>
  <c r="CT21" i="9"/>
  <c r="CU21" i="9" s="1"/>
  <c r="CT5" i="9"/>
  <c r="DC5" i="9"/>
  <c r="CR320" i="9"/>
  <c r="CS5" i="9"/>
  <c r="CT13" i="9"/>
  <c r="CU13" i="9" s="1"/>
  <c r="CS13" i="9"/>
  <c r="DC13" i="9"/>
  <c r="DC23" i="9"/>
  <c r="CT23" i="9"/>
  <c r="CU23" i="9" s="1"/>
  <c r="CS23" i="9"/>
  <c r="DC37" i="9"/>
  <c r="CT37" i="9"/>
  <c r="CU37" i="9" s="1"/>
  <c r="CS37" i="9"/>
  <c r="DC45" i="9"/>
  <c r="CT45" i="9"/>
  <c r="CU45" i="9" s="1"/>
  <c r="CS45" i="9"/>
  <c r="DC53" i="9"/>
  <c r="CT53" i="9"/>
  <c r="CU53" i="9" s="1"/>
  <c r="CS53" i="9"/>
  <c r="DC61" i="9"/>
  <c r="CT61" i="9"/>
  <c r="CU61" i="9" s="1"/>
  <c r="CS61" i="9"/>
  <c r="DC69" i="9"/>
  <c r="CT69" i="9"/>
  <c r="CU69" i="9" s="1"/>
  <c r="CS69" i="9"/>
  <c r="DC77" i="9"/>
  <c r="CT77" i="9"/>
  <c r="CU77" i="9" s="1"/>
  <c r="CS77" i="9"/>
  <c r="DC85" i="9"/>
  <c r="CT85" i="9"/>
  <c r="CU85" i="9" s="1"/>
  <c r="CS85" i="9"/>
  <c r="DC93" i="9"/>
  <c r="CT93" i="9"/>
  <c r="CU93" i="9" s="1"/>
  <c r="CS93" i="9"/>
  <c r="DC101" i="9"/>
  <c r="CT101" i="9"/>
  <c r="CU101" i="9" s="1"/>
  <c r="CS101" i="9"/>
  <c r="DC109" i="9"/>
  <c r="CT109" i="9"/>
  <c r="CU109" i="9" s="1"/>
  <c r="CS109" i="9"/>
  <c r="DC117" i="9"/>
  <c r="CT117" i="9"/>
  <c r="CU117" i="9" s="1"/>
  <c r="CS117" i="9"/>
  <c r="DC130" i="9"/>
  <c r="CT130" i="9"/>
  <c r="CU130" i="9" s="1"/>
  <c r="CS130" i="9"/>
  <c r="DC146" i="9"/>
  <c r="CT146" i="9"/>
  <c r="CU146" i="9" s="1"/>
  <c r="CS146" i="9"/>
  <c r="DC162" i="9"/>
  <c r="CT162" i="9"/>
  <c r="CU162" i="9" s="1"/>
  <c r="CS162" i="9"/>
  <c r="DC189" i="9"/>
  <c r="CT189" i="9"/>
  <c r="CU189" i="9" s="1"/>
  <c r="CS189" i="9"/>
  <c r="CT20" i="9"/>
  <c r="CU20" i="9" s="1"/>
  <c r="DC20" i="9"/>
  <c r="CS20" i="9"/>
  <c r="CT28" i="9"/>
  <c r="CU28" i="9" s="1"/>
  <c r="DC28" i="9"/>
  <c r="CS28" i="9"/>
  <c r="CT36" i="9"/>
  <c r="CU36" i="9" s="1"/>
  <c r="DC36" i="9"/>
  <c r="CS36" i="9"/>
  <c r="CT44" i="9"/>
  <c r="CU44" i="9" s="1"/>
  <c r="CS44" i="9"/>
  <c r="DC44" i="9"/>
  <c r="CT52" i="9"/>
  <c r="CU52" i="9" s="1"/>
  <c r="CS52" i="9"/>
  <c r="DC52" i="9"/>
  <c r="CT60" i="9"/>
  <c r="CU60" i="9" s="1"/>
  <c r="CS60" i="9"/>
  <c r="DC60" i="9"/>
  <c r="CT68" i="9"/>
  <c r="CU68" i="9" s="1"/>
  <c r="CS68" i="9"/>
  <c r="DC68" i="9"/>
  <c r="CT76" i="9"/>
  <c r="CU76" i="9" s="1"/>
  <c r="CS76" i="9"/>
  <c r="DC76" i="9"/>
  <c r="CT84" i="9"/>
  <c r="CU84" i="9" s="1"/>
  <c r="CS84" i="9"/>
  <c r="DC84" i="9"/>
  <c r="CT92" i="9"/>
  <c r="CU92" i="9" s="1"/>
  <c r="CS92" i="9"/>
  <c r="DC92" i="9"/>
  <c r="CT100" i="9"/>
  <c r="CU100" i="9" s="1"/>
  <c r="CS100" i="9"/>
  <c r="DC100" i="9"/>
  <c r="CT108" i="9"/>
  <c r="CU108" i="9" s="1"/>
  <c r="CS108" i="9"/>
  <c r="DC108" i="9"/>
  <c r="CT116" i="9"/>
  <c r="CU116" i="9" s="1"/>
  <c r="CS116" i="9"/>
  <c r="DC116" i="9"/>
  <c r="DC124" i="9"/>
  <c r="CT124" i="9"/>
  <c r="CU124" i="9" s="1"/>
  <c r="CS124" i="9"/>
  <c r="DC140" i="9"/>
  <c r="CT140" i="9"/>
  <c r="CU140" i="9" s="1"/>
  <c r="CS140" i="9"/>
  <c r="DC156" i="9"/>
  <c r="CT156" i="9"/>
  <c r="CU156" i="9" s="1"/>
  <c r="CS156" i="9"/>
  <c r="DC172" i="9"/>
  <c r="CT172" i="9"/>
  <c r="CU172" i="9" s="1"/>
  <c r="CS172" i="9"/>
  <c r="DC201" i="9"/>
  <c r="CT201" i="9"/>
  <c r="CU201" i="9" s="1"/>
  <c r="CS201" i="9"/>
  <c r="CT127" i="9"/>
  <c r="CU127" i="9" s="1"/>
  <c r="CS127" i="9"/>
  <c r="DC127" i="9"/>
  <c r="CT135" i="9"/>
  <c r="CU135" i="9" s="1"/>
  <c r="CS135" i="9"/>
  <c r="DC135" i="9"/>
  <c r="CT143" i="9"/>
  <c r="CU143" i="9" s="1"/>
  <c r="CS143" i="9"/>
  <c r="DC143" i="9"/>
  <c r="CT151" i="9"/>
  <c r="CU151" i="9" s="1"/>
  <c r="CS151" i="9"/>
  <c r="DC151" i="9"/>
  <c r="CT159" i="9"/>
  <c r="CU159" i="9" s="1"/>
  <c r="CS159" i="9"/>
  <c r="DC159" i="9"/>
  <c r="CT167" i="9"/>
  <c r="CU167" i="9" s="1"/>
  <c r="CS167" i="9"/>
  <c r="DC167" i="9"/>
  <c r="DC175" i="9"/>
  <c r="CT175" i="9"/>
  <c r="CU175" i="9" s="1"/>
  <c r="CS175" i="9"/>
  <c r="DC191" i="9"/>
  <c r="CT191" i="9"/>
  <c r="CU191" i="9" s="1"/>
  <c r="CS191" i="9"/>
  <c r="DC207" i="9"/>
  <c r="CT207" i="9"/>
  <c r="CU207" i="9" s="1"/>
  <c r="CS207" i="9"/>
  <c r="CT178" i="9"/>
  <c r="CU178" i="9" s="1"/>
  <c r="CS178" i="9"/>
  <c r="DC178" i="9"/>
  <c r="CT186" i="9"/>
  <c r="CU186" i="9" s="1"/>
  <c r="CS186" i="9"/>
  <c r="DC186" i="9"/>
  <c r="CT194" i="9"/>
  <c r="CU194" i="9" s="1"/>
  <c r="CS194" i="9"/>
  <c r="DC194" i="9"/>
  <c r="CT202" i="9"/>
  <c r="CU202" i="9" s="1"/>
  <c r="CS202" i="9"/>
  <c r="DC202" i="9"/>
  <c r="CT210" i="9"/>
  <c r="CU210" i="9" s="1"/>
  <c r="CS210" i="9"/>
  <c r="DC210" i="9"/>
  <c r="DC218" i="9"/>
  <c r="CT218" i="9"/>
  <c r="CU218" i="9" s="1"/>
  <c r="CS218" i="9"/>
  <c r="DC226" i="9"/>
  <c r="CT226" i="9"/>
  <c r="CU226" i="9" s="1"/>
  <c r="CS226" i="9"/>
  <c r="DC234" i="9"/>
  <c r="CT234" i="9"/>
  <c r="CU234" i="9" s="1"/>
  <c r="CS234" i="9"/>
  <c r="DC242" i="9"/>
  <c r="CT242" i="9"/>
  <c r="CU242" i="9" s="1"/>
  <c r="CS242" i="9"/>
  <c r="CT217" i="9"/>
  <c r="CU217" i="9" s="1"/>
  <c r="CS217" i="9"/>
  <c r="DC217" i="9"/>
  <c r="CT225" i="9"/>
  <c r="CU225" i="9" s="1"/>
  <c r="CS225" i="9"/>
  <c r="DC225" i="9"/>
  <c r="CT233" i="9"/>
  <c r="CU233" i="9" s="1"/>
  <c r="CS233" i="9"/>
  <c r="DC233" i="9"/>
  <c r="CT241" i="9"/>
  <c r="CU241" i="9" s="1"/>
  <c r="CS241" i="9"/>
  <c r="DC241" i="9"/>
  <c r="DC251" i="9"/>
  <c r="CT251" i="9"/>
  <c r="CU251" i="9" s="1"/>
  <c r="CS251" i="9"/>
  <c r="DC259" i="9"/>
  <c r="CT259" i="9"/>
  <c r="CU259" i="9" s="1"/>
  <c r="CS259" i="9"/>
  <c r="DC267" i="9"/>
  <c r="CT267" i="9"/>
  <c r="CU267" i="9" s="1"/>
  <c r="CS267" i="9"/>
  <c r="DC275" i="9"/>
  <c r="CT275" i="9"/>
  <c r="CU275" i="9" s="1"/>
  <c r="CS275" i="9"/>
  <c r="CT248" i="9"/>
  <c r="CU248" i="9" s="1"/>
  <c r="CS248" i="9"/>
  <c r="DC248" i="9"/>
  <c r="CT256" i="9"/>
  <c r="CU256" i="9" s="1"/>
  <c r="CS256" i="9"/>
  <c r="DC256" i="9"/>
  <c r="CT264" i="9"/>
  <c r="CU264" i="9" s="1"/>
  <c r="CS264" i="9"/>
  <c r="DC264" i="9"/>
  <c r="CT272" i="9"/>
  <c r="CU272" i="9" s="1"/>
  <c r="CS272" i="9"/>
  <c r="DC272" i="9"/>
  <c r="DC279" i="9"/>
  <c r="CT279" i="9"/>
  <c r="CU279" i="9" s="1"/>
  <c r="CS279" i="9"/>
  <c r="DC287" i="9"/>
  <c r="CT287" i="9"/>
  <c r="CU287" i="9" s="1"/>
  <c r="CS287" i="9"/>
  <c r="DC295" i="9"/>
  <c r="CT295" i="9"/>
  <c r="CU295" i="9" s="1"/>
  <c r="CS295" i="9"/>
  <c r="DC303" i="9"/>
  <c r="CT303" i="9"/>
  <c r="CU303" i="9" s="1"/>
  <c r="CS303" i="9"/>
  <c r="DC316" i="9"/>
  <c r="CT316" i="9"/>
  <c r="CU316" i="9" s="1"/>
  <c r="CS316" i="9"/>
  <c r="CT286" i="9"/>
  <c r="CU286" i="9" s="1"/>
  <c r="CS286" i="9"/>
  <c r="DC286" i="9"/>
  <c r="CT294" i="9"/>
  <c r="CU294" i="9" s="1"/>
  <c r="CS294" i="9"/>
  <c r="DC294" i="9"/>
  <c r="CT302" i="9"/>
  <c r="CU302" i="9" s="1"/>
  <c r="CS302" i="9"/>
  <c r="DC302" i="9"/>
  <c r="CT304" i="9"/>
  <c r="CU304" i="9" s="1"/>
  <c r="CS304" i="9"/>
  <c r="DC304" i="9"/>
  <c r="CT312" i="9"/>
  <c r="CU312" i="9" s="1"/>
  <c r="CS312" i="9"/>
  <c r="DC312" i="9"/>
  <c r="CT319" i="9"/>
  <c r="CU319" i="9" s="1"/>
  <c r="DC319" i="9"/>
  <c r="CS319" i="9"/>
  <c r="DJ235" i="9"/>
  <c r="DL235" i="9"/>
  <c r="DM235" i="9"/>
  <c r="DQ235" i="9"/>
  <c r="DM219" i="9"/>
  <c r="DL219" i="9"/>
  <c r="DJ219" i="9"/>
  <c r="DQ219" i="9"/>
  <c r="DL48" i="9"/>
  <c r="DJ48" i="9"/>
  <c r="DM48" i="9"/>
  <c r="DQ48" i="9"/>
  <c r="CN300" i="9"/>
  <c r="CX300" i="9"/>
  <c r="CL218" i="9"/>
  <c r="CJ218" i="9"/>
  <c r="CM218" i="9"/>
  <c r="CQ218" i="9"/>
  <c r="BJ376" i="9"/>
  <c r="BK394" i="9"/>
  <c r="BJ377" i="9"/>
  <c r="BJ375" i="9"/>
  <c r="BY318" i="9"/>
  <c r="BW318" i="9"/>
  <c r="CD318" i="9"/>
  <c r="BZ318" i="9"/>
  <c r="BY302" i="9"/>
  <c r="BW302" i="9"/>
  <c r="BZ302" i="9"/>
  <c r="CD302" i="9"/>
  <c r="CB302" i="9"/>
  <c r="CL95" i="9"/>
  <c r="CJ95" i="9"/>
  <c r="CQ95" i="9"/>
  <c r="CM95" i="9"/>
  <c r="CB265" i="9"/>
  <c r="CN243" i="9"/>
  <c r="CX243" i="9"/>
  <c r="BW248" i="9"/>
  <c r="BY248" i="9"/>
  <c r="BZ248" i="9"/>
  <c r="CD248" i="9"/>
  <c r="CB248" i="9"/>
  <c r="BX320" i="9"/>
  <c r="BW5" i="9"/>
  <c r="BX404" i="9"/>
  <c r="BY5" i="9"/>
  <c r="CD5" i="9"/>
  <c r="BZ5" i="9"/>
  <c r="BN320" i="9"/>
  <c r="BK414" i="9" s="1"/>
  <c r="BY185" i="9"/>
  <c r="BW185" i="9"/>
  <c r="BZ185" i="9"/>
  <c r="CD185" i="9"/>
  <c r="CB185" i="9"/>
  <c r="BY82" i="9"/>
  <c r="BW82" i="9"/>
  <c r="CD82" i="9"/>
  <c r="BZ82" i="9"/>
  <c r="CB82" i="9"/>
  <c r="BY116" i="9"/>
  <c r="BW116" i="9"/>
  <c r="BZ116" i="9"/>
  <c r="CD116" i="9"/>
  <c r="BW254" i="9"/>
  <c r="BY254" i="9"/>
  <c r="BZ254" i="9"/>
  <c r="CD254" i="9"/>
  <c r="CB254" i="9"/>
  <c r="BY50" i="9"/>
  <c r="BW50" i="9"/>
  <c r="CD50" i="9"/>
  <c r="BZ50" i="9"/>
  <c r="CB50" i="9"/>
  <c r="BW316" i="9"/>
  <c r="BY316" i="9"/>
  <c r="BZ316" i="9"/>
  <c r="CD316" i="9"/>
  <c r="CB316" i="9"/>
  <c r="BY78" i="9"/>
  <c r="BW78" i="9"/>
  <c r="BZ78" i="9"/>
  <c r="CD78" i="9"/>
  <c r="CJ85" i="9"/>
  <c r="CL85" i="9"/>
  <c r="CM85" i="9"/>
  <c r="CQ85" i="9"/>
  <c r="CO85" i="9"/>
  <c r="AK415" i="9"/>
  <c r="AJ415" i="9" s="1"/>
  <c r="AI455" i="9"/>
  <c r="CB47" i="9"/>
  <c r="BY294" i="9"/>
  <c r="BW294" i="9"/>
  <c r="BZ294" i="9"/>
  <c r="CD294" i="9"/>
  <c r="CB294" i="9"/>
  <c r="BW326" i="9"/>
  <c r="BY122" i="9"/>
  <c r="BW122" i="9"/>
  <c r="CD122" i="9"/>
  <c r="BZ122" i="9"/>
  <c r="CB122" i="9"/>
  <c r="BN358" i="9"/>
  <c r="BM358" i="9" s="1"/>
  <c r="BK358" i="9" s="1"/>
  <c r="BN360" i="9"/>
  <c r="BM360" i="9" s="1"/>
  <c r="BK360" i="9" s="1"/>
  <c r="BN357" i="9"/>
  <c r="BN359" i="9"/>
  <c r="BM359" i="9" s="1"/>
  <c r="BK359" i="9" s="1"/>
  <c r="BW7" i="9"/>
  <c r="BY7" i="9"/>
  <c r="CD7" i="9"/>
  <c r="BZ7" i="9"/>
  <c r="CB7" i="9"/>
  <c r="CJ216" i="9"/>
  <c r="CL216" i="9"/>
  <c r="CM216" i="9"/>
  <c r="CQ216" i="9"/>
  <c r="CD172" i="9"/>
  <c r="BY172" i="9"/>
  <c r="BW172" i="9"/>
  <c r="BZ172" i="9"/>
  <c r="BY29" i="9"/>
  <c r="BW29" i="9"/>
  <c r="CD29" i="9"/>
  <c r="BZ29" i="9"/>
  <c r="BY110" i="9"/>
  <c r="BW110" i="9"/>
  <c r="BZ110" i="9"/>
  <c r="CD110" i="9"/>
  <c r="CD203" i="9"/>
  <c r="BW203" i="9"/>
  <c r="BY203" i="9"/>
  <c r="BZ203" i="9"/>
  <c r="CB203" i="9"/>
  <c r="BZ224" i="9"/>
  <c r="BY224" i="9"/>
  <c r="BW224" i="9"/>
  <c r="CD224" i="9"/>
  <c r="CB224" i="9"/>
  <c r="CN40" i="9"/>
  <c r="CX40" i="9"/>
  <c r="CN180" i="9"/>
  <c r="CX180" i="9"/>
  <c r="CN8" i="9"/>
  <c r="CX8" i="9"/>
  <c r="CN168" i="9"/>
  <c r="CX168" i="9"/>
  <c r="DB168" i="9" s="1"/>
  <c r="CN253" i="9"/>
  <c r="CX253" i="9"/>
  <c r="AX352" i="9"/>
  <c r="AX372" i="9" s="1"/>
  <c r="AX402" i="9" s="1"/>
  <c r="AV456" i="9" s="1"/>
  <c r="AZ372" i="9"/>
  <c r="BN351" i="9"/>
  <c r="BN350" i="9"/>
  <c r="BN352" i="9"/>
  <c r="BN349" i="9"/>
  <c r="BZ304" i="9"/>
  <c r="BY304" i="9"/>
  <c r="BW304" i="9"/>
  <c r="CD304" i="9"/>
  <c r="CB304" i="9"/>
  <c r="CJ27" i="9"/>
  <c r="CL27" i="9"/>
  <c r="CQ27" i="9"/>
  <c r="CM27" i="9"/>
  <c r="BZ97" i="9"/>
  <c r="BW97" i="9"/>
  <c r="BY97" i="9"/>
  <c r="CD97" i="9"/>
  <c r="CB97" i="9"/>
  <c r="CD12" i="9"/>
  <c r="BY12" i="9"/>
  <c r="BW12" i="9"/>
  <c r="BZ12" i="9"/>
  <c r="BZ208" i="9"/>
  <c r="BW208" i="9"/>
  <c r="BY208" i="9"/>
  <c r="CD208" i="9"/>
  <c r="CB208" i="9"/>
  <c r="DA45" i="9"/>
  <c r="DK45" i="9"/>
  <c r="DA256" i="9"/>
  <c r="DK256" i="9"/>
  <c r="DO256" i="9" s="1"/>
  <c r="DA268" i="9"/>
  <c r="DK268" i="9"/>
  <c r="CL107" i="9"/>
  <c r="CJ107" i="9"/>
  <c r="CM107" i="9"/>
  <c r="CQ107" i="9"/>
  <c r="CD181" i="9"/>
  <c r="BW181" i="9"/>
  <c r="BY181" i="9"/>
  <c r="BZ181" i="9"/>
  <c r="CB181" i="9"/>
  <c r="CB128" i="9"/>
  <c r="CB64" i="9"/>
  <c r="BY121" i="9"/>
  <c r="BW121" i="9"/>
  <c r="CD121" i="9"/>
  <c r="BZ121" i="9"/>
  <c r="CB121" i="9"/>
  <c r="BZ175" i="9"/>
  <c r="BW175" i="9"/>
  <c r="BY175" i="9"/>
  <c r="CD175" i="9"/>
  <c r="CB175" i="9"/>
  <c r="BW151" i="9"/>
  <c r="BY151" i="9"/>
  <c r="CD151" i="9"/>
  <c r="BZ151" i="9"/>
  <c r="CB151" i="9"/>
  <c r="BW127" i="9"/>
  <c r="BY127" i="9"/>
  <c r="CD127" i="9"/>
  <c r="BZ127" i="9"/>
  <c r="CB127" i="9"/>
  <c r="BZ188" i="9"/>
  <c r="BW188" i="9"/>
  <c r="BY188" i="9"/>
  <c r="CD188" i="9"/>
  <c r="CB188" i="9"/>
  <c r="BY217" i="9"/>
  <c r="BW217" i="9"/>
  <c r="CD217" i="9"/>
  <c r="BZ217" i="9"/>
  <c r="BX338" i="9"/>
  <c r="BY338" i="9" s="1"/>
  <c r="BX337" i="9"/>
  <c r="CB217" i="9"/>
  <c r="BX336" i="9"/>
  <c r="BW30" i="9"/>
  <c r="BY30" i="9"/>
  <c r="BZ30" i="9"/>
  <c r="CD30" i="9"/>
  <c r="CB30" i="9"/>
  <c r="BZ75" i="9"/>
  <c r="BY75" i="9"/>
  <c r="BW75" i="9"/>
  <c r="CD75" i="9"/>
  <c r="BZ257" i="9"/>
  <c r="BW257" i="9"/>
  <c r="BY257" i="9"/>
  <c r="CD257" i="9"/>
  <c r="CB257" i="9"/>
  <c r="BW26" i="9"/>
  <c r="BY26" i="9"/>
  <c r="CD26" i="9"/>
  <c r="BZ26" i="9"/>
  <c r="CB26" i="9"/>
  <c r="BZ41" i="9"/>
  <c r="BW41" i="9"/>
  <c r="BY41" i="9"/>
  <c r="CD41" i="9"/>
  <c r="BZ71" i="9"/>
  <c r="BY71" i="9"/>
  <c r="BW71" i="9"/>
  <c r="BX330" i="9"/>
  <c r="BY330" i="9" s="1"/>
  <c r="BX331" i="9"/>
  <c r="BY331" i="9" s="1"/>
  <c r="BX329" i="9"/>
  <c r="BY329" i="9" s="1"/>
  <c r="BY328" i="9" s="1"/>
  <c r="CD71" i="9"/>
  <c r="CB71" i="9"/>
  <c r="BZ259" i="9"/>
  <c r="BW259" i="9"/>
  <c r="BY259" i="9"/>
  <c r="CD259" i="9"/>
  <c r="BW274" i="9"/>
  <c r="BY274" i="9"/>
  <c r="BZ274" i="9"/>
  <c r="CD274" i="9"/>
  <c r="CB274" i="9"/>
  <c r="BZ222" i="9"/>
  <c r="BY222" i="9"/>
  <c r="BW222" i="9"/>
  <c r="CD222" i="9"/>
  <c r="CB222" i="9"/>
  <c r="BZ291" i="9"/>
  <c r="BY291" i="9"/>
  <c r="BW291" i="9"/>
  <c r="CD291" i="9"/>
  <c r="CB291" i="9"/>
  <c r="BZ245" i="9"/>
  <c r="BW245" i="9"/>
  <c r="BY245" i="9"/>
  <c r="CD245" i="9"/>
  <c r="CB245" i="9"/>
  <c r="DO235" i="9"/>
  <c r="CB301" i="9"/>
  <c r="AW356" i="9"/>
  <c r="AW354" i="9"/>
  <c r="BZ194" i="9"/>
  <c r="BY194" i="9"/>
  <c r="BW194" i="9"/>
  <c r="CD194" i="9"/>
  <c r="CB194" i="9"/>
  <c r="CM266" i="9"/>
  <c r="CJ266" i="9"/>
  <c r="CL266" i="9"/>
  <c r="CQ266" i="9"/>
  <c r="CO266" i="9"/>
  <c r="BZ299" i="9"/>
  <c r="BY299" i="9"/>
  <c r="BW299" i="9"/>
  <c r="CD299" i="9"/>
  <c r="CB299" i="9"/>
  <c r="BZ240" i="9"/>
  <c r="BY240" i="9"/>
  <c r="BW240" i="9"/>
  <c r="CD240" i="9"/>
  <c r="CB240" i="9"/>
  <c r="CB12" i="9"/>
  <c r="CN6" i="9"/>
  <c r="CX6" i="9"/>
  <c r="CZ285" i="9"/>
  <c r="CY285" i="9"/>
  <c r="CW285" i="9"/>
  <c r="DD285" i="9"/>
  <c r="CH362" i="9"/>
  <c r="AD29" i="2"/>
  <c r="CI337" i="9"/>
  <c r="CJ337" i="9" s="1"/>
  <c r="CJ336" i="9" s="1"/>
  <c r="CI335" i="9"/>
  <c r="CQ308" i="9"/>
  <c r="CL308" i="9"/>
  <c r="CJ308" i="9"/>
  <c r="CM308" i="9"/>
  <c r="CO308" i="9"/>
  <c r="CQ149" i="9"/>
  <c r="CL149" i="9"/>
  <c r="CJ149" i="9"/>
  <c r="CM149" i="9"/>
  <c r="CO149" i="9"/>
  <c r="CO107" i="9"/>
  <c r="BJ388" i="9"/>
  <c r="BJ389" i="9"/>
  <c r="BJ387" i="9"/>
  <c r="BY125" i="9"/>
  <c r="BW125" i="9"/>
  <c r="BZ125" i="9"/>
  <c r="CD125" i="9"/>
  <c r="CB125" i="9"/>
  <c r="CB177" i="9"/>
  <c r="AW357" i="9"/>
  <c r="BY173" i="9"/>
  <c r="BW173" i="9"/>
  <c r="BZ173" i="9"/>
  <c r="CD173" i="9"/>
  <c r="BY286" i="9"/>
  <c r="BW286" i="9"/>
  <c r="BZ286" i="9"/>
  <c r="CD286" i="9"/>
  <c r="CD195" i="9"/>
  <c r="BW195" i="9"/>
  <c r="BY195" i="9"/>
  <c r="BZ195" i="9"/>
  <c r="CB195" i="9"/>
  <c r="BW135" i="9"/>
  <c r="BY135" i="9"/>
  <c r="CD135" i="9"/>
  <c r="BZ135" i="9"/>
  <c r="CD170" i="9"/>
  <c r="BW170" i="9"/>
  <c r="BY170" i="9"/>
  <c r="BZ170" i="9"/>
  <c r="BZ238" i="9"/>
  <c r="BY238" i="9"/>
  <c r="BW238" i="9"/>
  <c r="CD238" i="9"/>
  <c r="CB238" i="9"/>
  <c r="BZ317" i="9"/>
  <c r="BW317" i="9"/>
  <c r="BY317" i="9"/>
  <c r="CD317" i="9"/>
  <c r="BY225" i="9"/>
  <c r="BW225" i="9"/>
  <c r="CD225" i="9"/>
  <c r="BZ225" i="9"/>
  <c r="BW113" i="9"/>
  <c r="BY113" i="9"/>
  <c r="BZ113" i="9"/>
  <c r="CD113" i="9"/>
  <c r="CQ167" i="9"/>
  <c r="CL167" i="9"/>
  <c r="CJ167" i="9"/>
  <c r="CM167" i="9"/>
  <c r="CO124" i="9"/>
  <c r="BB370" i="9"/>
  <c r="BB369" i="9" s="1"/>
  <c r="AX351" i="9"/>
  <c r="AX371" i="9" s="1"/>
  <c r="AZ371" i="9"/>
  <c r="CB135" i="9"/>
  <c r="CD162" i="9"/>
  <c r="BW162" i="9"/>
  <c r="BY162" i="9"/>
  <c r="BZ162" i="9"/>
  <c r="CB162" i="9"/>
  <c r="CD138" i="9"/>
  <c r="BW138" i="9"/>
  <c r="BY138" i="9"/>
  <c r="BZ138" i="9"/>
  <c r="CB138" i="9"/>
  <c r="CD18" i="9"/>
  <c r="BW18" i="9"/>
  <c r="BY18" i="9"/>
  <c r="BZ18" i="9"/>
  <c r="CB18" i="9"/>
  <c r="CB170" i="9"/>
  <c r="CH363" i="9"/>
  <c r="CH361" i="9"/>
  <c r="CH364" i="9"/>
  <c r="CF361" i="9"/>
  <c r="CF363" i="9"/>
  <c r="CF364" i="9"/>
  <c r="CF362" i="9"/>
  <c r="CP374" i="9"/>
  <c r="CP377" i="9"/>
  <c r="CP376" i="9"/>
  <c r="CP375" i="9"/>
  <c r="CH357" i="9"/>
  <c r="CH359" i="9"/>
  <c r="CH360" i="9"/>
  <c r="CH358" i="9"/>
  <c r="CF353" i="9"/>
  <c r="CP378" i="9"/>
  <c r="CH5" i="9"/>
  <c r="CH320" i="9" s="1"/>
  <c r="CG320" i="9"/>
  <c r="CF320" i="9"/>
  <c r="AH34" i="2"/>
  <c r="AE24" i="2"/>
  <c r="DA367" i="9"/>
  <c r="CZ367" i="9" s="1"/>
  <c r="CX367" i="9" s="1"/>
  <c r="CX343" i="9"/>
  <c r="DC392" i="9"/>
  <c r="DA366" i="9"/>
  <c r="CZ366" i="9" s="1"/>
  <c r="CX366" i="9" s="1"/>
  <c r="CV343" i="9"/>
  <c r="DC391" i="9"/>
  <c r="CX391" i="9" s="1"/>
  <c r="CY368" i="9"/>
  <c r="CX342" i="9"/>
  <c r="DD392" i="9"/>
  <c r="CS368" i="9"/>
  <c r="CV342" i="9"/>
  <c r="CW368" i="9"/>
  <c r="CW366" i="9"/>
  <c r="CW365" i="9" s="1"/>
  <c r="CW367" i="9"/>
  <c r="DO48" i="9"/>
  <c r="DK434" i="9"/>
  <c r="AI29" i="2" s="1"/>
  <c r="DI425" i="9"/>
  <c r="DI443" i="9"/>
  <c r="DI445" i="9" s="1"/>
  <c r="DK424" i="9"/>
  <c r="DY126" i="9"/>
  <c r="DW126" i="9"/>
  <c r="DZ408" i="9"/>
  <c r="DZ406" i="9"/>
  <c r="DZ404" i="9"/>
  <c r="DT4" i="9"/>
  <c r="DR1" i="9"/>
  <c r="DU4" i="9"/>
  <c r="DZ410" i="9"/>
  <c r="DZ407" i="9"/>
  <c r="DZ405" i="9"/>
  <c r="DX322" i="9"/>
  <c r="DR4" i="9"/>
  <c r="DY4" i="9"/>
  <c r="DS4" i="9"/>
  <c r="DW88" i="9"/>
  <c r="DY88" i="9"/>
  <c r="DX201" i="9"/>
  <c r="DX205" i="9"/>
  <c r="DX209" i="9"/>
  <c r="DX215" i="9"/>
  <c r="EB215" i="9" s="1"/>
  <c r="DX223" i="9"/>
  <c r="DW262" i="9"/>
  <c r="DY262" i="9"/>
  <c r="DX16" i="9"/>
  <c r="DX24" i="9"/>
  <c r="DY39" i="9"/>
  <c r="DW39" i="9"/>
  <c r="DV328" i="9"/>
  <c r="DV423" i="9"/>
  <c r="DW132" i="9"/>
  <c r="DY132" i="9"/>
  <c r="DX306" i="9"/>
  <c r="DM136" i="9"/>
  <c r="DJ136" i="9"/>
  <c r="DL136" i="9"/>
  <c r="DQ136" i="9"/>
  <c r="DI421" i="9"/>
  <c r="DK419" i="9"/>
  <c r="BK396" i="9"/>
  <c r="J17" i="10" s="1"/>
  <c r="CB319" i="9"/>
  <c r="BW264" i="9"/>
  <c r="BY264" i="9"/>
  <c r="BZ264" i="9"/>
  <c r="CD264" i="9"/>
  <c r="CD140" i="9"/>
  <c r="BW140" i="9"/>
  <c r="BY140" i="9"/>
  <c r="BZ140" i="9"/>
  <c r="CB140" i="9"/>
  <c r="BZ19" i="9"/>
  <c r="BW19" i="9"/>
  <c r="BY19" i="9"/>
  <c r="CD19" i="9"/>
  <c r="AW397" i="9"/>
  <c r="AW395" i="9"/>
  <c r="AW394" i="9" s="1"/>
  <c r="AW396" i="9"/>
  <c r="BW147" i="9"/>
  <c r="BY147" i="9"/>
  <c r="BZ147" i="9"/>
  <c r="CD147" i="9"/>
  <c r="CB147" i="9"/>
  <c r="CO95" i="9"/>
  <c r="CD152" i="9"/>
  <c r="BW152" i="9"/>
  <c r="BY152" i="9"/>
  <c r="BZ152" i="9"/>
  <c r="CB152" i="9"/>
  <c r="CB14" i="9"/>
  <c r="CB214" i="9"/>
  <c r="CB33" i="9"/>
  <c r="CB116" i="9"/>
  <c r="BZ191" i="9"/>
  <c r="BW191" i="9"/>
  <c r="BY191" i="9"/>
  <c r="CD191" i="9"/>
  <c r="BZ234" i="9"/>
  <c r="BY234" i="9"/>
  <c r="BW234" i="9"/>
  <c r="CD234" i="9"/>
  <c r="CB234" i="9"/>
  <c r="BN353" i="9"/>
  <c r="BM353" i="9" s="1"/>
  <c r="BK353" i="9" s="1"/>
  <c r="CB25" i="9"/>
  <c r="DB186" i="9"/>
  <c r="AD24" i="2"/>
  <c r="CI333" i="9"/>
  <c r="CJ333" i="9" s="1"/>
  <c r="CM283" i="9"/>
  <c r="CL283" i="9"/>
  <c r="CJ283" i="9"/>
  <c r="CQ283" i="9"/>
  <c r="CO283" i="9"/>
  <c r="CO218" i="9"/>
  <c r="BY94" i="9"/>
  <c r="BW94" i="9"/>
  <c r="BZ94" i="9"/>
  <c r="CD94" i="9"/>
  <c r="CB94" i="9"/>
  <c r="CB264" i="9"/>
  <c r="BZ123" i="9"/>
  <c r="BY123" i="9"/>
  <c r="BW123" i="9"/>
  <c r="CD123" i="9"/>
  <c r="CB123" i="9"/>
  <c r="CO216" i="9"/>
  <c r="BW213" i="9"/>
  <c r="BY213" i="9"/>
  <c r="BZ213" i="9"/>
  <c r="CD213" i="9"/>
  <c r="BY44" i="9"/>
  <c r="BW44" i="9"/>
  <c r="BZ44" i="9"/>
  <c r="CD44" i="9"/>
  <c r="BY13" i="9"/>
  <c r="BW13" i="9"/>
  <c r="CD13" i="9"/>
  <c r="BZ13" i="9"/>
  <c r="CD21" i="9"/>
  <c r="BY21" i="9"/>
  <c r="BW21" i="9"/>
  <c r="BZ21" i="9"/>
  <c r="CB21" i="9"/>
  <c r="CD164" i="9"/>
  <c r="BW164" i="9"/>
  <c r="BY164" i="9"/>
  <c r="BZ164" i="9"/>
  <c r="BY241" i="9"/>
  <c r="BW241" i="9"/>
  <c r="BZ241" i="9"/>
  <c r="CD241" i="9"/>
  <c r="CB241" i="9"/>
  <c r="BW325" i="9"/>
  <c r="BW324" i="9" s="1"/>
  <c r="CM275" i="9"/>
  <c r="CL275" i="9"/>
  <c r="CJ275" i="9"/>
  <c r="CQ275" i="9"/>
  <c r="CM199" i="9"/>
  <c r="CJ199" i="9"/>
  <c r="CL199" i="9"/>
  <c r="CQ199" i="9"/>
  <c r="CO199" i="9"/>
  <c r="CQ143" i="9"/>
  <c r="CL143" i="9"/>
  <c r="CJ143" i="9"/>
  <c r="CM143" i="9"/>
  <c r="CO143" i="9"/>
  <c r="CL59" i="9"/>
  <c r="CJ59" i="9"/>
  <c r="CM59" i="9"/>
  <c r="CQ59" i="9"/>
  <c r="BY288" i="9"/>
  <c r="BW288" i="9"/>
  <c r="BZ288" i="9"/>
  <c r="CD288" i="9"/>
  <c r="BZ202" i="9"/>
  <c r="BY202" i="9"/>
  <c r="BW202" i="9"/>
  <c r="CD202" i="9"/>
  <c r="CB202" i="9"/>
  <c r="CD10" i="9"/>
  <c r="BY10" i="9"/>
  <c r="BW10" i="9"/>
  <c r="BZ10" i="9"/>
  <c r="BZ57" i="9"/>
  <c r="BY57" i="9"/>
  <c r="BW57" i="9"/>
  <c r="CD57" i="9"/>
  <c r="CB57" i="9"/>
  <c r="BL369" i="9"/>
  <c r="BL372" i="9"/>
  <c r="BQ396" i="9"/>
  <c r="BI449" i="9"/>
  <c r="BI451" i="9" s="1"/>
  <c r="BK413" i="9"/>
  <c r="BJ413" i="9" s="1"/>
  <c r="BL346" i="9"/>
  <c r="BL347" i="9"/>
  <c r="BZ182" i="9"/>
  <c r="BY182" i="9"/>
  <c r="BW182" i="9"/>
  <c r="CD182" i="9"/>
  <c r="CB182" i="9"/>
  <c r="CM271" i="9"/>
  <c r="CL271" i="9"/>
  <c r="CJ271" i="9"/>
  <c r="CQ271" i="9"/>
  <c r="CO271" i="9"/>
  <c r="CL292" i="9"/>
  <c r="CJ292" i="9"/>
  <c r="CQ292" i="9"/>
  <c r="CM292" i="9"/>
  <c r="CO292" i="9"/>
  <c r="BY86" i="9"/>
  <c r="BW86" i="9"/>
  <c r="BZ86" i="9"/>
  <c r="CD86" i="9"/>
  <c r="CB86" i="9"/>
  <c r="BZ314" i="9"/>
  <c r="BW314" i="9"/>
  <c r="BY314" i="9"/>
  <c r="CD314" i="9"/>
  <c r="CB314" i="9"/>
  <c r="CB231" i="9"/>
  <c r="BY296" i="9"/>
  <c r="BW296" i="9"/>
  <c r="BZ296" i="9"/>
  <c r="CD296" i="9"/>
  <c r="CB296" i="9"/>
  <c r="CB169" i="9"/>
  <c r="DB198" i="9"/>
  <c r="DO260" i="9"/>
  <c r="DO62" i="9"/>
  <c r="DA295" i="9"/>
  <c r="DK295" i="9"/>
  <c r="CL11" i="9"/>
  <c r="CJ11" i="9"/>
  <c r="CQ11" i="9"/>
  <c r="CM11" i="9"/>
  <c r="CL311" i="9"/>
  <c r="CJ311" i="9"/>
  <c r="CQ311" i="9"/>
  <c r="CM311" i="9"/>
  <c r="CJ101" i="9"/>
  <c r="CL101" i="9"/>
  <c r="CM101" i="9"/>
  <c r="CQ101" i="9"/>
  <c r="CB104" i="9"/>
  <c r="CD193" i="9"/>
  <c r="BW193" i="9"/>
  <c r="BY193" i="9"/>
  <c r="BZ193" i="9"/>
  <c r="CB193" i="9"/>
  <c r="BZ277" i="9"/>
  <c r="BY277" i="9"/>
  <c r="BW277" i="9"/>
  <c r="CD277" i="9"/>
  <c r="CB277" i="9"/>
  <c r="BY137" i="9"/>
  <c r="BW137" i="9"/>
  <c r="BZ137" i="9"/>
  <c r="CD137" i="9"/>
  <c r="CB137" i="9"/>
  <c r="CB225" i="9"/>
  <c r="BZ312" i="9"/>
  <c r="BY312" i="9"/>
  <c r="BW312" i="9"/>
  <c r="CD312" i="9"/>
  <c r="CB312" i="9"/>
  <c r="CJ61" i="9"/>
  <c r="CL61" i="9"/>
  <c r="CM61" i="9"/>
  <c r="CQ61" i="9"/>
  <c r="CO61" i="9"/>
  <c r="CD148" i="9"/>
  <c r="BW148" i="9"/>
  <c r="BY148" i="9"/>
  <c r="BZ148" i="9"/>
  <c r="CB148" i="9"/>
  <c r="CB213" i="9"/>
  <c r="BQ394" i="9"/>
  <c r="CD278" i="9"/>
  <c r="BW278" i="9"/>
  <c r="BY278" i="9"/>
  <c r="BZ278" i="9"/>
  <c r="CB278" i="9"/>
  <c r="BW171" i="9"/>
  <c r="BY171" i="9"/>
  <c r="BZ171" i="9"/>
  <c r="CD171" i="9"/>
  <c r="CB171" i="9"/>
  <c r="BW139" i="9"/>
  <c r="BY139" i="9"/>
  <c r="BZ139" i="9"/>
  <c r="CD139" i="9"/>
  <c r="CB139" i="9"/>
  <c r="CB259" i="9"/>
  <c r="CB44" i="9"/>
  <c r="CB317" i="9"/>
  <c r="CC397" i="9"/>
  <c r="BS372" i="9"/>
  <c r="BS369" i="9"/>
  <c r="BS354" i="9"/>
  <c r="CQ155" i="9"/>
  <c r="CL155" i="9"/>
  <c r="CJ155" i="9"/>
  <c r="CM155" i="9"/>
  <c r="CO155" i="9"/>
  <c r="CB75" i="9"/>
  <c r="BZ226" i="9"/>
  <c r="BY226" i="9"/>
  <c r="BW226" i="9"/>
  <c r="CD226" i="9"/>
  <c r="CB226" i="9"/>
  <c r="CB118" i="9"/>
  <c r="BW15" i="9"/>
  <c r="BY15" i="9"/>
  <c r="CD15" i="9"/>
  <c r="BZ15" i="9"/>
  <c r="CB15" i="9"/>
  <c r="BZ67" i="9"/>
  <c r="BY67" i="9"/>
  <c r="BW67" i="9"/>
  <c r="CD67" i="9"/>
  <c r="CB67" i="9"/>
  <c r="CB255" i="9"/>
  <c r="DB249" i="9"/>
  <c r="CW249" i="9"/>
  <c r="CY249" i="9"/>
  <c r="CZ249" i="9"/>
  <c r="DD249" i="9"/>
  <c r="AD13" i="2"/>
  <c r="CI325" i="9"/>
  <c r="CN158" i="9"/>
  <c r="CX158" i="9"/>
  <c r="CJ31" i="9"/>
  <c r="CL31" i="9"/>
  <c r="CQ31" i="9"/>
  <c r="CM31" i="9"/>
  <c r="CO31" i="9"/>
  <c r="DO219" i="9"/>
  <c r="BY157" i="9"/>
  <c r="BW157" i="9"/>
  <c r="BZ157" i="9"/>
  <c r="CD157" i="9"/>
  <c r="CB157" i="9"/>
  <c r="CB233" i="9"/>
  <c r="CI346" i="9"/>
  <c r="CJ346" i="9" s="1"/>
  <c r="AJ353" i="9"/>
  <c r="AO353" i="9"/>
  <c r="AJ357" i="9"/>
  <c r="AJ361" i="9"/>
  <c r="AM370" i="9"/>
  <c r="AK350" i="9"/>
  <c r="AJ324" i="9"/>
  <c r="AL324" i="9"/>
  <c r="AO357" i="9"/>
  <c r="AI453" i="9"/>
  <c r="AL346" i="9"/>
  <c r="AI452" i="9"/>
  <c r="AL345" i="9"/>
  <c r="AM372" i="9"/>
  <c r="AK352" i="9"/>
  <c r="AM371" i="9"/>
  <c r="AK351" i="9"/>
  <c r="AO361" i="9"/>
  <c r="AO349" i="9"/>
  <c r="AO369" i="9"/>
  <c r="AJ344" i="9"/>
  <c r="AI450" i="9"/>
  <c r="AI451" i="9" s="1"/>
  <c r="AK452" i="9" s="1"/>
  <c r="AL347" i="9"/>
  <c r="D10" i="17"/>
  <c r="D7" i="17"/>
  <c r="E43" i="10"/>
  <c r="F8" i="17"/>
  <c r="BX191" i="14"/>
  <c r="BX195" i="14" s="1"/>
  <c r="BW195" i="14" s="1"/>
  <c r="BW141" i="14"/>
  <c r="BY141" i="14"/>
  <c r="BZ154" i="14"/>
  <c r="BX146" i="14"/>
  <c r="AX172" i="14"/>
  <c r="AW172" i="14" s="1"/>
  <c r="AW154" i="14"/>
  <c r="BJ191" i="14"/>
  <c r="AX199" i="14"/>
  <c r="BK154" i="14"/>
  <c r="BJ146" i="14"/>
  <c r="AK199" i="14"/>
  <c r="CP167" i="14"/>
  <c r="CK159" i="14"/>
  <c r="CK167" i="14" s="1"/>
  <c r="CN154" i="14"/>
  <c r="CM146" i="14"/>
  <c r="CK141" i="14"/>
  <c r="CL133" i="14"/>
  <c r="AK172" i="14"/>
  <c r="AJ172" i="14" s="1"/>
  <c r="AJ154" i="14"/>
  <c r="BC54" i="13"/>
  <c r="BB55" i="13"/>
  <c r="BD35" i="13"/>
  <c r="BB40" i="13"/>
  <c r="BB47" i="13"/>
  <c r="BC60" i="13"/>
  <c r="BD17" i="13"/>
  <c r="BB84" i="13"/>
  <c r="BB83" i="13"/>
  <c r="BC39" i="13"/>
  <c r="BD82" i="13"/>
  <c r="BD81" i="13"/>
  <c r="BB50" i="13"/>
  <c r="BC34" i="13"/>
  <c r="BC76" i="13"/>
  <c r="BD40" i="13"/>
  <c r="BB68" i="13"/>
  <c r="BB71" i="13"/>
  <c r="BC47" i="13"/>
  <c r="BD74" i="13"/>
  <c r="BD69" i="13"/>
  <c r="BB42" i="13"/>
  <c r="BC42" i="13"/>
  <c r="BD50" i="13"/>
  <c r="BD49" i="13"/>
  <c r="BB82" i="13"/>
  <c r="BC16" i="13"/>
  <c r="BD43" i="13"/>
  <c r="BB48" i="13"/>
  <c r="BB59" i="13"/>
  <c r="BC63" i="13"/>
  <c r="BD16" i="13"/>
  <c r="BB15" i="13"/>
  <c r="BC31" i="13"/>
  <c r="BD46" i="13"/>
  <c r="BD41" i="13"/>
  <c r="BB70" i="13"/>
  <c r="BC70" i="13"/>
  <c r="BD34" i="13"/>
  <c r="BD76" i="13"/>
  <c r="BB81" i="13"/>
  <c r="BC33" i="13"/>
  <c r="BC75" i="13"/>
  <c r="BD63" i="13"/>
  <c r="BB17" i="13"/>
  <c r="BB39" i="13"/>
  <c r="BC78" i="13"/>
  <c r="BD42" i="13"/>
  <c r="BD33" i="13"/>
  <c r="BB69" i="13"/>
  <c r="BC49" i="13"/>
  <c r="BC36" i="13"/>
  <c r="BD55" i="13"/>
  <c r="BB16" i="13"/>
  <c r="BB31" i="13"/>
  <c r="BC15" i="13"/>
  <c r="BD39" i="13"/>
  <c r="BB56" i="13"/>
  <c r="BB63" i="13"/>
  <c r="BC59" i="13"/>
  <c r="BD83" i="13"/>
  <c r="BB49" i="13"/>
  <c r="BC69" i="13"/>
  <c r="BC48" i="13"/>
  <c r="BD60" i="13"/>
  <c r="BB74" i="13"/>
  <c r="BC67" i="13"/>
  <c r="BC81" i="13"/>
  <c r="BD44" i="13"/>
  <c r="BB85" i="13"/>
  <c r="BC35" i="13"/>
  <c r="BD78" i="13"/>
  <c r="BD77" i="13"/>
  <c r="BB54" i="13"/>
  <c r="BC85" i="13"/>
  <c r="BC68" i="13"/>
  <c r="BD36" i="13"/>
  <c r="BB76" i="13"/>
  <c r="BB75" i="13"/>
  <c r="BC43" i="13"/>
  <c r="BD31" i="13"/>
  <c r="BD85" i="13"/>
  <c r="BB46" i="13"/>
  <c r="BC38" i="13"/>
  <c r="BC84" i="13"/>
  <c r="BD20" i="13"/>
  <c r="BB60" i="13"/>
  <c r="BB67" i="13"/>
  <c r="BC55" i="13"/>
  <c r="BD75" i="13"/>
  <c r="BB57" i="13"/>
  <c r="BC61" i="13"/>
  <c r="BC44" i="13"/>
  <c r="BD56" i="13"/>
  <c r="BB34" i="13"/>
  <c r="BC50" i="13"/>
  <c r="BD70" i="13"/>
  <c r="BB44" i="13"/>
  <c r="BC77" i="13"/>
  <c r="BC56" i="13"/>
  <c r="BD71" i="13"/>
  <c r="BB33" i="13"/>
  <c r="BC17" i="13"/>
  <c r="BC71" i="13"/>
  <c r="BD59" i="13"/>
  <c r="BB36" i="13"/>
  <c r="BB43" i="13"/>
  <c r="BC74" i="13"/>
  <c r="BD38" i="13"/>
  <c r="BD84" i="13"/>
  <c r="BB77" i="13"/>
  <c r="BC41" i="13"/>
  <c r="BC83" i="13"/>
  <c r="BD67" i="13"/>
  <c r="BB20" i="13"/>
  <c r="BB35" i="13"/>
  <c r="BC82" i="13"/>
  <c r="BD15" i="13"/>
  <c r="BD68" i="13"/>
  <c r="BB61" i="13"/>
  <c r="BC57" i="13"/>
  <c r="BC40" i="13"/>
  <c r="BD48" i="13"/>
  <c r="BB38" i="13"/>
  <c r="BC46" i="13"/>
  <c r="BD54" i="13"/>
  <c r="BD57" i="13"/>
  <c r="BB78" i="13"/>
  <c r="BC20" i="13"/>
  <c r="BD47" i="13"/>
  <c r="BB41" i="13"/>
  <c r="BD61" i="13"/>
  <c r="I6" i="17"/>
  <c r="I7" i="17" s="1"/>
  <c r="J5" i="17"/>
  <c r="K5" i="17"/>
  <c r="I69" i="10"/>
  <c r="CX428" i="9" l="1"/>
  <c r="CW315" i="9"/>
  <c r="CZ315" i="9"/>
  <c r="DB315" i="9"/>
  <c r="CY315" i="9"/>
  <c r="DD315" i="9"/>
  <c r="EB88" i="9"/>
  <c r="BJ374" i="9"/>
  <c r="CM367" i="9"/>
  <c r="CK367" i="9" s="1"/>
  <c r="CB320" i="9"/>
  <c r="CX425" i="9"/>
  <c r="AF19" i="2" s="1"/>
  <c r="CV330" i="9" s="1"/>
  <c r="CW330" i="9" s="1"/>
  <c r="CX424" i="9"/>
  <c r="CV446" i="9"/>
  <c r="CX420" i="9"/>
  <c r="AF13" i="2" s="1"/>
  <c r="CV326" i="9" s="1"/>
  <c r="CW326" i="9" s="1"/>
  <c r="CX419" i="9"/>
  <c r="BV334" i="9"/>
  <c r="Z24" i="2"/>
  <c r="BU359" i="9"/>
  <c r="BU371" i="9" s="1"/>
  <c r="CC384" i="9"/>
  <c r="CC396" i="9" s="1"/>
  <c r="BS359" i="9"/>
  <c r="BS371" i="9" s="1"/>
  <c r="DK431" i="9"/>
  <c r="AK24" i="2" s="1"/>
  <c r="DI335" i="9" s="1"/>
  <c r="DJ335" i="9" s="1"/>
  <c r="CV447" i="9"/>
  <c r="CX426" i="9"/>
  <c r="AG19" i="2" s="1"/>
  <c r="CV331" i="9" s="1"/>
  <c r="CW331" i="9" s="1"/>
  <c r="CK423" i="9"/>
  <c r="AA19" i="2"/>
  <c r="BL325" i="9"/>
  <c r="BL324" i="9" s="1"/>
  <c r="BK345" i="9"/>
  <c r="BK375" i="9"/>
  <c r="BK395" i="9" s="1"/>
  <c r="I17" i="10" s="1"/>
  <c r="BP395" i="9"/>
  <c r="BF370" i="9"/>
  <c r="DL368" i="9"/>
  <c r="DM368" i="9" s="1"/>
  <c r="DK368" i="9" s="1"/>
  <c r="BY334" i="9"/>
  <c r="BY333" i="9"/>
  <c r="BJ378" i="9"/>
  <c r="CX435" i="9"/>
  <c r="AF29" i="2" s="1"/>
  <c r="CV338" i="9" s="1"/>
  <c r="CW338" i="9" s="1"/>
  <c r="CX434" i="9"/>
  <c r="BV337" i="9"/>
  <c r="Z29" i="2"/>
  <c r="CC387" i="9"/>
  <c r="BU362" i="9"/>
  <c r="BU370" i="9" s="1"/>
  <c r="BS362" i="9"/>
  <c r="BS370" i="9" s="1"/>
  <c r="CM366" i="9"/>
  <c r="CK366" i="9" s="1"/>
  <c r="AI34" i="2"/>
  <c r="DI429" i="9"/>
  <c r="AO7" i="2"/>
  <c r="DV426" i="9" s="1"/>
  <c r="DV444" i="9" s="1"/>
  <c r="AM5" i="2"/>
  <c r="AN6" i="2"/>
  <c r="DV425" i="9" s="1"/>
  <c r="CX421" i="9"/>
  <c r="AG13" i="2" s="1"/>
  <c r="CV327" i="9" s="1"/>
  <c r="CK446" i="9"/>
  <c r="CK447" i="9"/>
  <c r="BH370" i="9"/>
  <c r="BI345" i="9"/>
  <c r="BJ345" i="9" s="1"/>
  <c r="BJ344" i="9" s="1"/>
  <c r="BJ325" i="9"/>
  <c r="BJ324" i="9" s="1"/>
  <c r="DI435" i="9"/>
  <c r="DK435" i="9" s="1"/>
  <c r="DJ326" i="9"/>
  <c r="CA157" i="9"/>
  <c r="CK157" i="9"/>
  <c r="CY158" i="9"/>
  <c r="CW158" i="9"/>
  <c r="DD158" i="9"/>
  <c r="CZ158" i="9"/>
  <c r="CA67" i="9"/>
  <c r="CK67" i="9"/>
  <c r="CA15" i="9"/>
  <c r="CK15" i="9"/>
  <c r="CN155" i="9"/>
  <c r="CX155" i="9"/>
  <c r="CA171" i="9"/>
  <c r="CK171" i="9"/>
  <c r="CA312" i="9"/>
  <c r="CK312" i="9"/>
  <c r="CA137" i="9"/>
  <c r="CK137" i="9"/>
  <c r="CN311" i="9"/>
  <c r="CX311" i="9"/>
  <c r="DM295" i="9"/>
  <c r="DL295" i="9"/>
  <c r="DJ295" i="9"/>
  <c r="DQ295" i="9"/>
  <c r="CA296" i="9"/>
  <c r="CK296" i="9"/>
  <c r="CA57" i="9"/>
  <c r="CK57" i="9"/>
  <c r="CA44" i="9"/>
  <c r="CK44" i="9"/>
  <c r="CA123" i="9"/>
  <c r="CK123" i="9"/>
  <c r="CA94" i="9"/>
  <c r="CK94" i="9"/>
  <c r="CA234" i="9"/>
  <c r="CK234" i="9"/>
  <c r="CA147" i="9"/>
  <c r="CK147" i="9"/>
  <c r="CA264" i="9"/>
  <c r="CK264" i="9"/>
  <c r="DN136" i="9"/>
  <c r="DX136" i="9"/>
  <c r="DV443" i="9"/>
  <c r="DW24" i="9"/>
  <c r="DY24" i="9"/>
  <c r="ED24" i="9"/>
  <c r="DZ24" i="9"/>
  <c r="EA24" i="9" s="1"/>
  <c r="DW223" i="9"/>
  <c r="DY223" i="9"/>
  <c r="ED223" i="9"/>
  <c r="DZ223" i="9"/>
  <c r="EA223" i="9" s="1"/>
  <c r="DY209" i="9"/>
  <c r="DW209" i="9"/>
  <c r="ED209" i="9"/>
  <c r="DZ209" i="9"/>
  <c r="EA209" i="9" s="1"/>
  <c r="DY201" i="9"/>
  <c r="DW201" i="9"/>
  <c r="ED201" i="9"/>
  <c r="DZ201" i="9"/>
  <c r="EA201" i="9" s="1"/>
  <c r="DV441" i="9"/>
  <c r="DV439" i="9"/>
  <c r="DX440" i="9" s="1"/>
  <c r="DX390" i="9"/>
  <c r="DX365" i="9"/>
  <c r="DV440" i="9"/>
  <c r="DX441" i="9" s="1"/>
  <c r="AM34" i="2"/>
  <c r="AI19" i="2"/>
  <c r="DK426" i="9"/>
  <c r="AK19" i="2" s="1"/>
  <c r="DI447" i="9"/>
  <c r="DI337" i="9"/>
  <c r="DJ337" i="9" s="1"/>
  <c r="CX392" i="9"/>
  <c r="EB24" i="9"/>
  <c r="CP397" i="9"/>
  <c r="CA138" i="9"/>
  <c r="CK138" i="9"/>
  <c r="CN167" i="9"/>
  <c r="CX167" i="9"/>
  <c r="CA225" i="9"/>
  <c r="CK225" i="9"/>
  <c r="CA238" i="9"/>
  <c r="CK238" i="9"/>
  <c r="CA195" i="9"/>
  <c r="CK195" i="9"/>
  <c r="CA125" i="9"/>
  <c r="CK125" i="9"/>
  <c r="BJ386" i="9"/>
  <c r="CN308" i="9"/>
  <c r="CX308" i="9"/>
  <c r="CZ6" i="9"/>
  <c r="CW6" i="9"/>
  <c r="CY6" i="9"/>
  <c r="DD6" i="9"/>
  <c r="CA194" i="9"/>
  <c r="CK194" i="9"/>
  <c r="CA245" i="9"/>
  <c r="CK245" i="9"/>
  <c r="CA222" i="9"/>
  <c r="CK222" i="9"/>
  <c r="BY355" i="9"/>
  <c r="BY356" i="9"/>
  <c r="BY354" i="9"/>
  <c r="CA30" i="9"/>
  <c r="CK30" i="9"/>
  <c r="CD388" i="9"/>
  <c r="BX388" i="9" s="1"/>
  <c r="CD387" i="9"/>
  <c r="BX387" i="9" s="1"/>
  <c r="CD386" i="9"/>
  <c r="BX386" i="9" s="1"/>
  <c r="CD389" i="9"/>
  <c r="BX389" i="9" s="1"/>
  <c r="BY363" i="9"/>
  <c r="BY362" i="9"/>
  <c r="BY364" i="9"/>
  <c r="BY361" i="9"/>
  <c r="CA151" i="9"/>
  <c r="CK151" i="9"/>
  <c r="CA175" i="9"/>
  <c r="CK175" i="9"/>
  <c r="CA121" i="9"/>
  <c r="CK121" i="9"/>
  <c r="DL268" i="9"/>
  <c r="DJ268" i="9"/>
  <c r="DM268" i="9"/>
  <c r="DQ268" i="9"/>
  <c r="CA12" i="9"/>
  <c r="CK12" i="9"/>
  <c r="BO352" i="9"/>
  <c r="BM352" i="9"/>
  <c r="BN372" i="9"/>
  <c r="BO351" i="9"/>
  <c r="BM351" i="9"/>
  <c r="BN371" i="9"/>
  <c r="DB180" i="9"/>
  <c r="CY180" i="9"/>
  <c r="CW180" i="9"/>
  <c r="CZ180" i="9"/>
  <c r="DD180" i="9"/>
  <c r="DB40" i="9"/>
  <c r="CY40" i="9"/>
  <c r="CW40" i="9"/>
  <c r="CZ40" i="9"/>
  <c r="DD40" i="9"/>
  <c r="CA224" i="9"/>
  <c r="CK224" i="9"/>
  <c r="CA203" i="9"/>
  <c r="CK203" i="9"/>
  <c r="CA29" i="9"/>
  <c r="CK29" i="9"/>
  <c r="CA172" i="9"/>
  <c r="CK172" i="9"/>
  <c r="CN216" i="9"/>
  <c r="CX216" i="9"/>
  <c r="CA7" i="9"/>
  <c r="CK7" i="9"/>
  <c r="CA316" i="9"/>
  <c r="CK316" i="9"/>
  <c r="CA50" i="9"/>
  <c r="CK50" i="9"/>
  <c r="CA254" i="9"/>
  <c r="CK254" i="9"/>
  <c r="CA116" i="9"/>
  <c r="CK116" i="9"/>
  <c r="CA82" i="9"/>
  <c r="CK82" i="9"/>
  <c r="CA185" i="9"/>
  <c r="CK185" i="9"/>
  <c r="BX412" i="9"/>
  <c r="BX407" i="9"/>
  <c r="CW243" i="9"/>
  <c r="CY243" i="9"/>
  <c r="CZ243" i="9"/>
  <c r="DD243" i="9"/>
  <c r="DB243" i="9"/>
  <c r="CA318" i="9"/>
  <c r="CK318" i="9"/>
  <c r="BJ396" i="9"/>
  <c r="BJ397" i="9"/>
  <c r="BJ395" i="9"/>
  <c r="CY300" i="9"/>
  <c r="CW300" i="9"/>
  <c r="CZ300" i="9"/>
  <c r="DD300" i="9"/>
  <c r="DB300" i="9"/>
  <c r="CS320" i="9"/>
  <c r="DC320" i="9"/>
  <c r="DC388" i="9"/>
  <c r="DC386" i="9"/>
  <c r="DC389" i="9"/>
  <c r="CU364" i="9"/>
  <c r="CU361" i="9"/>
  <c r="CU363" i="9"/>
  <c r="CS360" i="9"/>
  <c r="CS359" i="9"/>
  <c r="CS357" i="9"/>
  <c r="CS358" i="9"/>
  <c r="DC382" i="9"/>
  <c r="DC383" i="9"/>
  <c r="DC385" i="9"/>
  <c r="DC384" i="9"/>
  <c r="CU353" i="9"/>
  <c r="CS351" i="9"/>
  <c r="CS349" i="9"/>
  <c r="CS352" i="9"/>
  <c r="CA36" i="9"/>
  <c r="CK36" i="9"/>
  <c r="CA80" i="9"/>
  <c r="CK80" i="9"/>
  <c r="CA118" i="9"/>
  <c r="CK118" i="9"/>
  <c r="CO118" i="9" s="1"/>
  <c r="CA104" i="9"/>
  <c r="CK104" i="9"/>
  <c r="CO104" i="9" s="1"/>
  <c r="CA79" i="9"/>
  <c r="CK79" i="9"/>
  <c r="CA265" i="9"/>
  <c r="CK265" i="9"/>
  <c r="CA229" i="9"/>
  <c r="CK229" i="9"/>
  <c r="CA290" i="9"/>
  <c r="CK290" i="9"/>
  <c r="CN65" i="9"/>
  <c r="CX65" i="9"/>
  <c r="CA66" i="9"/>
  <c r="CK66" i="9"/>
  <c r="DB269" i="9"/>
  <c r="CW269" i="9"/>
  <c r="CY269" i="9"/>
  <c r="CZ269" i="9"/>
  <c r="DD269" i="9"/>
  <c r="CC395" i="9"/>
  <c r="CA60" i="9"/>
  <c r="CK60" i="9"/>
  <c r="CA284" i="9"/>
  <c r="CK284" i="9"/>
  <c r="CA23" i="9"/>
  <c r="CK23" i="9"/>
  <c r="CA221" i="9"/>
  <c r="CK221" i="9"/>
  <c r="CA174" i="9"/>
  <c r="CK174" i="9"/>
  <c r="DJ62" i="9"/>
  <c r="DL62" i="9"/>
  <c r="DM62" i="9"/>
  <c r="DQ62" i="9"/>
  <c r="DL260" i="9"/>
  <c r="DJ260" i="9"/>
  <c r="DM260" i="9"/>
  <c r="DQ260" i="9"/>
  <c r="CW198" i="9"/>
  <c r="CY198" i="9"/>
  <c r="DD198" i="9"/>
  <c r="CZ198" i="9"/>
  <c r="CA115" i="9"/>
  <c r="CK115" i="9"/>
  <c r="CA228" i="9"/>
  <c r="CK228" i="9"/>
  <c r="CA81" i="9"/>
  <c r="CK81" i="9"/>
  <c r="CA90" i="9"/>
  <c r="CK90" i="9"/>
  <c r="CA310" i="9"/>
  <c r="CK310" i="9"/>
  <c r="CA156" i="9"/>
  <c r="CK156" i="9"/>
  <c r="CA196" i="9"/>
  <c r="CK196" i="9"/>
  <c r="CA108" i="9"/>
  <c r="CK108" i="9"/>
  <c r="CZ70" i="9"/>
  <c r="CW70" i="9"/>
  <c r="CY70" i="9"/>
  <c r="DD70" i="9"/>
  <c r="CA146" i="9"/>
  <c r="CK146" i="9"/>
  <c r="CA43" i="9"/>
  <c r="CK43" i="9"/>
  <c r="BY353" i="9"/>
  <c r="CA114" i="9"/>
  <c r="CK114" i="9"/>
  <c r="CA313" i="9"/>
  <c r="CK313" i="9"/>
  <c r="CA227" i="9"/>
  <c r="CK227" i="9"/>
  <c r="CA233" i="9"/>
  <c r="CK233" i="9"/>
  <c r="CA279" i="9"/>
  <c r="CK279" i="9"/>
  <c r="CZ38" i="9"/>
  <c r="CW38" i="9"/>
  <c r="CY38" i="9"/>
  <c r="DD38" i="9"/>
  <c r="DB38" i="9"/>
  <c r="DV434" i="9"/>
  <c r="DV429" i="9"/>
  <c r="DV430" i="9"/>
  <c r="DX429" i="9"/>
  <c r="DY273" i="9"/>
  <c r="DW273" i="9"/>
  <c r="ED273" i="9"/>
  <c r="DZ273" i="9"/>
  <c r="EA273" i="9" s="1"/>
  <c r="DW204" i="9"/>
  <c r="DY204" i="9"/>
  <c r="EB204" i="9"/>
  <c r="DZ204" i="9"/>
  <c r="EA204" i="9" s="1"/>
  <c r="ED204" i="9"/>
  <c r="DV421" i="9"/>
  <c r="DV344" i="9"/>
  <c r="DX411" i="9" s="1"/>
  <c r="DW411" i="9" s="1"/>
  <c r="DN298" i="9"/>
  <c r="DX298" i="9"/>
  <c r="DJ392" i="9"/>
  <c r="DJ393" i="9"/>
  <c r="DJ391" i="9"/>
  <c r="DP5" i="9"/>
  <c r="DG5" i="9"/>
  <c r="DE320" i="9"/>
  <c r="DF5" i="9"/>
  <c r="DP9" i="9"/>
  <c r="DG9" i="9"/>
  <c r="DH9" i="9" s="1"/>
  <c r="DF9" i="9"/>
  <c r="DP13" i="9"/>
  <c r="DG13" i="9"/>
  <c r="DH13" i="9" s="1"/>
  <c r="DF13" i="9"/>
  <c r="DP17" i="9"/>
  <c r="DG17" i="9"/>
  <c r="DH17" i="9" s="1"/>
  <c r="DF17" i="9"/>
  <c r="DP21" i="9"/>
  <c r="DG21" i="9"/>
  <c r="DH21" i="9" s="1"/>
  <c r="DF21" i="9"/>
  <c r="DP25" i="9"/>
  <c r="DG25" i="9"/>
  <c r="DH25" i="9" s="1"/>
  <c r="DF25" i="9"/>
  <c r="DP85" i="9"/>
  <c r="DG85" i="9"/>
  <c r="DH85" i="9" s="1"/>
  <c r="DF85" i="9"/>
  <c r="DG31" i="9"/>
  <c r="DH31" i="9" s="1"/>
  <c r="DF31" i="9"/>
  <c r="DP31" i="9"/>
  <c r="DG35" i="9"/>
  <c r="DH35" i="9" s="1"/>
  <c r="DF35" i="9"/>
  <c r="DP35" i="9"/>
  <c r="DG39" i="9"/>
  <c r="DH39" i="9" s="1"/>
  <c r="DF39" i="9"/>
  <c r="DP39" i="9"/>
  <c r="DG43" i="9"/>
  <c r="DH43" i="9" s="1"/>
  <c r="DF43" i="9"/>
  <c r="DP43" i="9"/>
  <c r="DG47" i="9"/>
  <c r="DH47" i="9" s="1"/>
  <c r="DF47" i="9"/>
  <c r="DP47" i="9"/>
  <c r="DG51" i="9"/>
  <c r="DH51" i="9" s="1"/>
  <c r="DF51" i="9"/>
  <c r="DP51" i="9"/>
  <c r="DG55" i="9"/>
  <c r="DH55" i="9" s="1"/>
  <c r="DF55" i="9"/>
  <c r="DP55" i="9"/>
  <c r="DG59" i="9"/>
  <c r="DH59" i="9" s="1"/>
  <c r="DF59" i="9"/>
  <c r="DP59" i="9"/>
  <c r="DG63" i="9"/>
  <c r="DH63" i="9" s="1"/>
  <c r="DF63" i="9"/>
  <c r="DP63" i="9"/>
  <c r="DG67" i="9"/>
  <c r="DH67" i="9" s="1"/>
  <c r="DF67" i="9"/>
  <c r="DP67" i="9"/>
  <c r="DG71" i="9"/>
  <c r="DH71" i="9" s="1"/>
  <c r="DF71" i="9"/>
  <c r="DP71" i="9"/>
  <c r="DG75" i="9"/>
  <c r="DH75" i="9" s="1"/>
  <c r="DF75" i="9"/>
  <c r="DP75" i="9"/>
  <c r="DG79" i="9"/>
  <c r="DH79" i="9" s="1"/>
  <c r="DF79" i="9"/>
  <c r="DP79" i="9"/>
  <c r="DG83" i="9"/>
  <c r="DH83" i="9" s="1"/>
  <c r="DF83" i="9"/>
  <c r="DP83" i="9"/>
  <c r="DP89" i="9"/>
  <c r="DG89" i="9"/>
  <c r="DH89" i="9" s="1"/>
  <c r="DF89" i="9"/>
  <c r="DP93" i="9"/>
  <c r="DG93" i="9"/>
  <c r="DH93" i="9" s="1"/>
  <c r="DF93" i="9"/>
  <c r="DP97" i="9"/>
  <c r="DG97" i="9"/>
  <c r="DH97" i="9" s="1"/>
  <c r="DF97" i="9"/>
  <c r="DP101" i="9"/>
  <c r="DG101" i="9"/>
  <c r="DH101" i="9" s="1"/>
  <c r="DF101" i="9"/>
  <c r="DP105" i="9"/>
  <c r="DG105" i="9"/>
  <c r="DH105" i="9" s="1"/>
  <c r="DF105" i="9"/>
  <c r="DP109" i="9"/>
  <c r="DG109" i="9"/>
  <c r="DH109" i="9" s="1"/>
  <c r="DF109" i="9"/>
  <c r="DP113" i="9"/>
  <c r="DG113" i="9"/>
  <c r="DH113" i="9" s="1"/>
  <c r="DF113" i="9"/>
  <c r="DP117" i="9"/>
  <c r="DG117" i="9"/>
  <c r="DH117" i="9" s="1"/>
  <c r="DF117" i="9"/>
  <c r="DP121" i="9"/>
  <c r="DG121" i="9"/>
  <c r="DH121" i="9" s="1"/>
  <c r="DF121" i="9"/>
  <c r="DP125" i="9"/>
  <c r="DG125" i="9"/>
  <c r="DH125" i="9" s="1"/>
  <c r="DF125" i="9"/>
  <c r="DP129" i="9"/>
  <c r="DG129" i="9"/>
  <c r="DH129" i="9" s="1"/>
  <c r="DF129" i="9"/>
  <c r="DP133" i="9"/>
  <c r="DG133" i="9"/>
  <c r="DH133" i="9" s="1"/>
  <c r="DF133" i="9"/>
  <c r="DP137" i="9"/>
  <c r="DG137" i="9"/>
  <c r="DH137" i="9" s="1"/>
  <c r="DF137" i="9"/>
  <c r="DP141" i="9"/>
  <c r="DG141" i="9"/>
  <c r="DH141" i="9" s="1"/>
  <c r="DF141" i="9"/>
  <c r="DP145" i="9"/>
  <c r="DG145" i="9"/>
  <c r="DH145" i="9" s="1"/>
  <c r="DF145" i="9"/>
  <c r="DP149" i="9"/>
  <c r="DG149" i="9"/>
  <c r="DH149" i="9" s="1"/>
  <c r="DF149" i="9"/>
  <c r="DP153" i="9"/>
  <c r="DG153" i="9"/>
  <c r="DH153" i="9" s="1"/>
  <c r="DF153" i="9"/>
  <c r="DP157" i="9"/>
  <c r="DG157" i="9"/>
  <c r="DH157" i="9" s="1"/>
  <c r="DF157" i="9"/>
  <c r="DP161" i="9"/>
  <c r="DG161" i="9"/>
  <c r="DH161" i="9" s="1"/>
  <c r="DF161" i="9"/>
  <c r="DP165" i="9"/>
  <c r="DG165" i="9"/>
  <c r="DH165" i="9" s="1"/>
  <c r="DF165" i="9"/>
  <c r="DP169" i="9"/>
  <c r="DG169" i="9"/>
  <c r="DH169" i="9" s="1"/>
  <c r="DF169" i="9"/>
  <c r="DP173" i="9"/>
  <c r="DG173" i="9"/>
  <c r="DH173" i="9" s="1"/>
  <c r="DF173" i="9"/>
  <c r="DP177" i="9"/>
  <c r="DG177" i="9"/>
  <c r="DH177" i="9" s="1"/>
  <c r="DF177" i="9"/>
  <c r="DP181" i="9"/>
  <c r="DG181" i="9"/>
  <c r="DH181" i="9" s="1"/>
  <c r="DF181" i="9"/>
  <c r="DP185" i="9"/>
  <c r="DG185" i="9"/>
  <c r="DH185" i="9" s="1"/>
  <c r="DF185" i="9"/>
  <c r="DG189" i="9"/>
  <c r="DH189" i="9" s="1"/>
  <c r="DF189" i="9"/>
  <c r="DP189" i="9"/>
  <c r="DG193" i="9"/>
  <c r="DH193" i="9" s="1"/>
  <c r="DF193" i="9"/>
  <c r="DP193" i="9"/>
  <c r="DG197" i="9"/>
  <c r="DH197" i="9" s="1"/>
  <c r="DF197" i="9"/>
  <c r="DP197" i="9"/>
  <c r="DG201" i="9"/>
  <c r="DH201" i="9" s="1"/>
  <c r="DF201" i="9"/>
  <c r="DP201" i="9"/>
  <c r="DG205" i="9"/>
  <c r="DH205" i="9" s="1"/>
  <c r="DF205" i="9"/>
  <c r="DP205" i="9"/>
  <c r="DG209" i="9"/>
  <c r="DH209" i="9" s="1"/>
  <c r="DF209" i="9"/>
  <c r="DP209" i="9"/>
  <c r="DG213" i="9"/>
  <c r="DH213" i="9" s="1"/>
  <c r="DF213" i="9"/>
  <c r="DP213" i="9"/>
  <c r="DG217" i="9"/>
  <c r="DH217" i="9" s="1"/>
  <c r="DF217" i="9"/>
  <c r="DP217" i="9"/>
  <c r="DG221" i="9"/>
  <c r="DH221" i="9" s="1"/>
  <c r="DF221" i="9"/>
  <c r="DP221" i="9"/>
  <c r="DG225" i="9"/>
  <c r="DH225" i="9" s="1"/>
  <c r="DF225" i="9"/>
  <c r="DP225" i="9"/>
  <c r="DG229" i="9"/>
  <c r="DH229" i="9" s="1"/>
  <c r="DF229" i="9"/>
  <c r="DP229" i="9"/>
  <c r="DG233" i="9"/>
  <c r="DH233" i="9" s="1"/>
  <c r="DF233" i="9"/>
  <c r="DP233" i="9"/>
  <c r="DP285" i="9"/>
  <c r="DG285" i="9"/>
  <c r="DH285" i="9" s="1"/>
  <c r="DF285" i="9"/>
  <c r="DP293" i="9"/>
  <c r="DG293" i="9"/>
  <c r="DH293" i="9" s="1"/>
  <c r="DF293" i="9"/>
  <c r="DG237" i="9"/>
  <c r="DH237" i="9" s="1"/>
  <c r="DP237" i="9"/>
  <c r="DF237" i="9"/>
  <c r="DG241" i="9"/>
  <c r="DH241" i="9" s="1"/>
  <c r="DP241" i="9"/>
  <c r="DF241" i="9"/>
  <c r="DG245" i="9"/>
  <c r="DH245" i="9" s="1"/>
  <c r="DP245" i="9"/>
  <c r="DF245" i="9"/>
  <c r="DG249" i="9"/>
  <c r="DH249" i="9" s="1"/>
  <c r="DF249" i="9"/>
  <c r="DP249" i="9"/>
  <c r="DG253" i="9"/>
  <c r="DH253" i="9" s="1"/>
  <c r="DF253" i="9"/>
  <c r="DP253" i="9"/>
  <c r="DG257" i="9"/>
  <c r="DH257" i="9" s="1"/>
  <c r="DF257" i="9"/>
  <c r="DP257" i="9"/>
  <c r="DG261" i="9"/>
  <c r="DH261" i="9" s="1"/>
  <c r="DF261" i="9"/>
  <c r="DP261" i="9"/>
  <c r="DG265" i="9"/>
  <c r="DH265" i="9" s="1"/>
  <c r="DF265" i="9"/>
  <c r="DP265" i="9"/>
  <c r="DF8" i="9"/>
  <c r="DP8" i="9"/>
  <c r="DG8" i="9"/>
  <c r="DH8" i="9" s="1"/>
  <c r="DF12" i="9"/>
  <c r="DP12" i="9"/>
  <c r="DG12" i="9"/>
  <c r="DH12" i="9" s="1"/>
  <c r="DF16" i="9"/>
  <c r="DP16" i="9"/>
  <c r="DG16" i="9"/>
  <c r="DH16" i="9" s="1"/>
  <c r="DF20" i="9"/>
  <c r="DP20" i="9"/>
  <c r="DG20" i="9"/>
  <c r="DH20" i="9" s="1"/>
  <c r="DF24" i="9"/>
  <c r="DP24" i="9"/>
  <c r="DG24" i="9"/>
  <c r="DH24" i="9" s="1"/>
  <c r="DF28" i="9"/>
  <c r="DP28" i="9"/>
  <c r="DG28" i="9"/>
  <c r="DH28" i="9" s="1"/>
  <c r="DP30" i="9"/>
  <c r="DG30" i="9"/>
  <c r="DH30" i="9" s="1"/>
  <c r="DF30" i="9"/>
  <c r="DP34" i="9"/>
  <c r="DG34" i="9"/>
  <c r="DH34" i="9" s="1"/>
  <c r="DF34" i="9"/>
  <c r="DP38" i="9"/>
  <c r="DG38" i="9"/>
  <c r="DH38" i="9" s="1"/>
  <c r="DF38" i="9"/>
  <c r="DP42" i="9"/>
  <c r="DG42" i="9"/>
  <c r="DH42" i="9" s="1"/>
  <c r="DF42" i="9"/>
  <c r="DP46" i="9"/>
  <c r="DG46" i="9"/>
  <c r="DH46" i="9" s="1"/>
  <c r="DF46" i="9"/>
  <c r="DP50" i="9"/>
  <c r="DG50" i="9"/>
  <c r="DH50" i="9" s="1"/>
  <c r="DF50" i="9"/>
  <c r="DP54" i="9"/>
  <c r="DG54" i="9"/>
  <c r="DH54" i="9" s="1"/>
  <c r="DF54" i="9"/>
  <c r="DP58" i="9"/>
  <c r="DG58" i="9"/>
  <c r="DH58" i="9" s="1"/>
  <c r="DF58" i="9"/>
  <c r="DP62" i="9"/>
  <c r="DG62" i="9"/>
  <c r="DH62" i="9" s="1"/>
  <c r="DF62" i="9"/>
  <c r="DP66" i="9"/>
  <c r="DG66" i="9"/>
  <c r="DH66" i="9" s="1"/>
  <c r="DF66" i="9"/>
  <c r="DP70" i="9"/>
  <c r="DG70" i="9"/>
  <c r="DH70" i="9" s="1"/>
  <c r="DF70" i="9"/>
  <c r="DP74" i="9"/>
  <c r="DG74" i="9"/>
  <c r="DH74" i="9" s="1"/>
  <c r="DF74" i="9"/>
  <c r="DP78" i="9"/>
  <c r="DG78" i="9"/>
  <c r="DH78" i="9" s="1"/>
  <c r="DF78" i="9"/>
  <c r="DP82" i="9"/>
  <c r="DG82" i="9"/>
  <c r="DH82" i="9" s="1"/>
  <c r="DF82" i="9"/>
  <c r="DF88" i="9"/>
  <c r="DP88" i="9"/>
  <c r="DG88" i="9"/>
  <c r="DH88" i="9" s="1"/>
  <c r="DF92" i="9"/>
  <c r="DP92" i="9"/>
  <c r="DG92" i="9"/>
  <c r="DH92" i="9" s="1"/>
  <c r="DF96" i="9"/>
  <c r="DP96" i="9"/>
  <c r="DG96" i="9"/>
  <c r="DH96" i="9" s="1"/>
  <c r="DF100" i="9"/>
  <c r="DP100" i="9"/>
  <c r="DG100" i="9"/>
  <c r="DH100" i="9" s="1"/>
  <c r="DF104" i="9"/>
  <c r="DP104" i="9"/>
  <c r="DG104" i="9"/>
  <c r="DH104" i="9" s="1"/>
  <c r="DF108" i="9"/>
  <c r="DP108" i="9"/>
  <c r="DG108" i="9"/>
  <c r="DH108" i="9" s="1"/>
  <c r="DF112" i="9"/>
  <c r="DP112" i="9"/>
  <c r="DG112" i="9"/>
  <c r="DH112" i="9" s="1"/>
  <c r="DF116" i="9"/>
  <c r="DP116" i="9"/>
  <c r="DG116" i="9"/>
  <c r="DH116" i="9" s="1"/>
  <c r="DF120" i="9"/>
  <c r="DP120" i="9"/>
  <c r="DG120" i="9"/>
  <c r="DH120" i="9" s="1"/>
  <c r="DF124" i="9"/>
  <c r="DP124" i="9"/>
  <c r="DG124" i="9"/>
  <c r="DH124" i="9" s="1"/>
  <c r="DF128" i="9"/>
  <c r="DP128" i="9"/>
  <c r="DG128" i="9"/>
  <c r="DH128" i="9" s="1"/>
  <c r="DF132" i="9"/>
  <c r="DP132" i="9"/>
  <c r="DG132" i="9"/>
  <c r="DH132" i="9" s="1"/>
  <c r="DF136" i="9"/>
  <c r="DP136" i="9"/>
  <c r="DG136" i="9"/>
  <c r="DH136" i="9" s="1"/>
  <c r="DF140" i="9"/>
  <c r="DP140" i="9"/>
  <c r="DG140" i="9"/>
  <c r="DH140" i="9" s="1"/>
  <c r="DF144" i="9"/>
  <c r="DP144" i="9"/>
  <c r="DG144" i="9"/>
  <c r="DH144" i="9" s="1"/>
  <c r="DF148" i="9"/>
  <c r="DP148" i="9"/>
  <c r="DG148" i="9"/>
  <c r="DH148" i="9" s="1"/>
  <c r="DF152" i="9"/>
  <c r="DP152" i="9"/>
  <c r="DG152" i="9"/>
  <c r="DH152" i="9" s="1"/>
  <c r="DF156" i="9"/>
  <c r="DP156" i="9"/>
  <c r="DG156" i="9"/>
  <c r="DH156" i="9" s="1"/>
  <c r="DF160" i="9"/>
  <c r="DP160" i="9"/>
  <c r="DG160" i="9"/>
  <c r="DH160" i="9" s="1"/>
  <c r="DF164" i="9"/>
  <c r="DP164" i="9"/>
  <c r="DG164" i="9"/>
  <c r="DH164" i="9" s="1"/>
  <c r="DF168" i="9"/>
  <c r="DP168" i="9"/>
  <c r="DG168" i="9"/>
  <c r="DH168" i="9" s="1"/>
  <c r="DF172" i="9"/>
  <c r="DP172" i="9"/>
  <c r="DG172" i="9"/>
  <c r="DH172" i="9" s="1"/>
  <c r="DF176" i="9"/>
  <c r="DP176" i="9"/>
  <c r="DG176" i="9"/>
  <c r="DH176" i="9" s="1"/>
  <c r="DF180" i="9"/>
  <c r="DP180" i="9"/>
  <c r="DG180" i="9"/>
  <c r="DH180" i="9" s="1"/>
  <c r="DF184" i="9"/>
  <c r="DP184" i="9"/>
  <c r="DG184" i="9"/>
  <c r="DH184" i="9" s="1"/>
  <c r="DF188" i="9"/>
  <c r="DP188" i="9"/>
  <c r="DG188" i="9"/>
  <c r="DH188" i="9" s="1"/>
  <c r="DP192" i="9"/>
  <c r="DG192" i="9"/>
  <c r="DH192" i="9" s="1"/>
  <c r="DF192" i="9"/>
  <c r="DP196" i="9"/>
  <c r="DG196" i="9"/>
  <c r="DH196" i="9" s="1"/>
  <c r="DF196" i="9"/>
  <c r="DP200" i="9"/>
  <c r="DG200" i="9"/>
  <c r="DH200" i="9" s="1"/>
  <c r="DF200" i="9"/>
  <c r="DP204" i="9"/>
  <c r="DG204" i="9"/>
  <c r="DH204" i="9" s="1"/>
  <c r="DF204" i="9"/>
  <c r="DP208" i="9"/>
  <c r="DG208" i="9"/>
  <c r="DH208" i="9" s="1"/>
  <c r="DF208" i="9"/>
  <c r="DP212" i="9"/>
  <c r="DG212" i="9"/>
  <c r="DH212" i="9" s="1"/>
  <c r="DF212" i="9"/>
  <c r="DP216" i="9"/>
  <c r="DG216" i="9"/>
  <c r="DH216" i="9" s="1"/>
  <c r="DF216" i="9"/>
  <c r="DP220" i="9"/>
  <c r="DG220" i="9"/>
  <c r="DH220" i="9" s="1"/>
  <c r="DF220" i="9"/>
  <c r="DP224" i="9"/>
  <c r="DG224" i="9"/>
  <c r="DH224" i="9" s="1"/>
  <c r="DF224" i="9"/>
  <c r="DP228" i="9"/>
  <c r="DG228" i="9"/>
  <c r="DH228" i="9" s="1"/>
  <c r="DF228" i="9"/>
  <c r="DP232" i="9"/>
  <c r="DG232" i="9"/>
  <c r="DH232" i="9" s="1"/>
  <c r="DF232" i="9"/>
  <c r="DF283" i="9"/>
  <c r="DP283" i="9"/>
  <c r="DG283" i="9"/>
  <c r="DH283" i="9" s="1"/>
  <c r="DF291" i="9"/>
  <c r="DP291" i="9"/>
  <c r="DG291" i="9"/>
  <c r="DH291" i="9" s="1"/>
  <c r="DP236" i="9"/>
  <c r="DG236" i="9"/>
  <c r="DH236" i="9" s="1"/>
  <c r="DF236" i="9"/>
  <c r="DP240" i="9"/>
  <c r="DG240" i="9"/>
  <c r="DH240" i="9" s="1"/>
  <c r="DF240" i="9"/>
  <c r="DP244" i="9"/>
  <c r="DG244" i="9"/>
  <c r="DH244" i="9" s="1"/>
  <c r="DF244" i="9"/>
  <c r="DP248" i="9"/>
  <c r="DG248" i="9"/>
  <c r="DH248" i="9" s="1"/>
  <c r="DF248" i="9"/>
  <c r="DP252" i="9"/>
  <c r="DG252" i="9"/>
  <c r="DH252" i="9" s="1"/>
  <c r="DF252" i="9"/>
  <c r="DP256" i="9"/>
  <c r="DG256" i="9"/>
  <c r="DH256" i="9" s="1"/>
  <c r="DF256" i="9"/>
  <c r="DP260" i="9"/>
  <c r="DG260" i="9"/>
  <c r="DH260" i="9" s="1"/>
  <c r="DF260" i="9"/>
  <c r="DP264" i="9"/>
  <c r="DG264" i="9"/>
  <c r="DH264" i="9" s="1"/>
  <c r="DF264" i="9"/>
  <c r="DG269" i="9"/>
  <c r="DH269" i="9" s="1"/>
  <c r="DF269" i="9"/>
  <c r="DP269" i="9"/>
  <c r="DG273" i="9"/>
  <c r="DH273" i="9" s="1"/>
  <c r="DF273" i="9"/>
  <c r="DP273" i="9"/>
  <c r="DG277" i="9"/>
  <c r="DH277" i="9" s="1"/>
  <c r="DF277" i="9"/>
  <c r="DP277" i="9"/>
  <c r="DP284" i="9"/>
  <c r="DG284" i="9"/>
  <c r="DH284" i="9" s="1"/>
  <c r="DF284" i="9"/>
  <c r="DP292" i="9"/>
  <c r="DG292" i="9"/>
  <c r="DH292" i="9" s="1"/>
  <c r="DF292" i="9"/>
  <c r="DP313" i="9"/>
  <c r="DG313" i="9"/>
  <c r="DH313" i="9" s="1"/>
  <c r="DF313" i="9"/>
  <c r="DG295" i="9"/>
  <c r="DH295" i="9" s="1"/>
  <c r="DF295" i="9"/>
  <c r="DP295" i="9"/>
  <c r="DG299" i="9"/>
  <c r="DH299" i="9" s="1"/>
  <c r="DF299" i="9"/>
  <c r="DP299" i="9"/>
  <c r="DG303" i="9"/>
  <c r="DH303" i="9" s="1"/>
  <c r="DF303" i="9"/>
  <c r="DP303" i="9"/>
  <c r="DP307" i="9"/>
  <c r="DF307" i="9"/>
  <c r="DG307" i="9"/>
  <c r="DH307" i="9" s="1"/>
  <c r="DP314" i="9"/>
  <c r="DG314" i="9"/>
  <c r="DH314" i="9" s="1"/>
  <c r="DF314" i="9"/>
  <c r="DG266" i="9"/>
  <c r="DH266" i="9" s="1"/>
  <c r="DF266" i="9"/>
  <c r="DP266" i="9"/>
  <c r="DG270" i="9"/>
  <c r="DH270" i="9" s="1"/>
  <c r="DF270" i="9"/>
  <c r="DP270" i="9"/>
  <c r="DG274" i="9"/>
  <c r="DH274" i="9" s="1"/>
  <c r="DF274" i="9"/>
  <c r="DP274" i="9"/>
  <c r="DP278" i="9"/>
  <c r="DF278" i="9"/>
  <c r="DG278" i="9"/>
  <c r="DH278" i="9" s="1"/>
  <c r="DP286" i="9"/>
  <c r="DG286" i="9"/>
  <c r="DH286" i="9" s="1"/>
  <c r="DF286" i="9"/>
  <c r="DG294" i="9"/>
  <c r="DH294" i="9" s="1"/>
  <c r="DF294" i="9"/>
  <c r="DP294" i="9"/>
  <c r="DP315" i="9"/>
  <c r="DG315" i="9"/>
  <c r="DH315" i="9" s="1"/>
  <c r="DF315" i="9"/>
  <c r="DG296" i="9"/>
  <c r="DH296" i="9" s="1"/>
  <c r="DF296" i="9"/>
  <c r="DP296" i="9"/>
  <c r="DG300" i="9"/>
  <c r="DH300" i="9" s="1"/>
  <c r="DF300" i="9"/>
  <c r="DP300" i="9"/>
  <c r="DG304" i="9"/>
  <c r="DH304" i="9" s="1"/>
  <c r="DF304" i="9"/>
  <c r="DP304" i="9"/>
  <c r="DP308" i="9"/>
  <c r="DG308" i="9"/>
  <c r="DH308" i="9" s="1"/>
  <c r="DF308" i="9"/>
  <c r="DP316" i="9"/>
  <c r="DG316" i="9"/>
  <c r="DH316" i="9" s="1"/>
  <c r="DF316" i="9"/>
  <c r="EB201" i="9"/>
  <c r="CF369" i="9"/>
  <c r="CF372" i="9"/>
  <c r="CH371" i="9"/>
  <c r="CH372" i="9"/>
  <c r="CA49" i="9"/>
  <c r="CK49" i="9"/>
  <c r="CA28" i="9"/>
  <c r="CK28" i="9"/>
  <c r="CZ58" i="9"/>
  <c r="CW58" i="9"/>
  <c r="CY58" i="9"/>
  <c r="DD58" i="9"/>
  <c r="DB58" i="9"/>
  <c r="CA165" i="9"/>
  <c r="CK165" i="9"/>
  <c r="CA68" i="9"/>
  <c r="CK68" i="9"/>
  <c r="CA84" i="9"/>
  <c r="CK84" i="9"/>
  <c r="CA255" i="9"/>
  <c r="CK255" i="9"/>
  <c r="CA37" i="9"/>
  <c r="CK37" i="9"/>
  <c r="CA33" i="9"/>
  <c r="CK33" i="9"/>
  <c r="CA25" i="9"/>
  <c r="CK25" i="9"/>
  <c r="CA17" i="9"/>
  <c r="CK17" i="9"/>
  <c r="CA9" i="9"/>
  <c r="CK9" i="9"/>
  <c r="CN133" i="9"/>
  <c r="CX133" i="9"/>
  <c r="CA252" i="9"/>
  <c r="CK252" i="9"/>
  <c r="CA309" i="9"/>
  <c r="CK309" i="9"/>
  <c r="CA282" i="9"/>
  <c r="CK282" i="9"/>
  <c r="CA134" i="9"/>
  <c r="CK134" i="9"/>
  <c r="CA89" i="9"/>
  <c r="CK89" i="9"/>
  <c r="CN91" i="9"/>
  <c r="CX91" i="9"/>
  <c r="CA301" i="9"/>
  <c r="CK301" i="9"/>
  <c r="BO355" i="9"/>
  <c r="BM355" i="9"/>
  <c r="BK355" i="9" s="1"/>
  <c r="CA232" i="9"/>
  <c r="CK232" i="9"/>
  <c r="BO362" i="9"/>
  <c r="BM362" i="9"/>
  <c r="BK362" i="9" s="1"/>
  <c r="BO364" i="9"/>
  <c r="BO363" i="9"/>
  <c r="BM361" i="9"/>
  <c r="BK361" i="9" s="1"/>
  <c r="CA141" i="9"/>
  <c r="CK141" i="9"/>
  <c r="CA206" i="9"/>
  <c r="CK206" i="9"/>
  <c r="CA120" i="9"/>
  <c r="CK120" i="9"/>
  <c r="DL287" i="9"/>
  <c r="DJ287" i="9"/>
  <c r="DQ287" i="9"/>
  <c r="DM287" i="9"/>
  <c r="DO268" i="9"/>
  <c r="CA231" i="9"/>
  <c r="CK231" i="9"/>
  <c r="CA247" i="9"/>
  <c r="CK247" i="9"/>
  <c r="CA190" i="9"/>
  <c r="CK190" i="9"/>
  <c r="BX345" i="9"/>
  <c r="BX344" i="9"/>
  <c r="BY326" i="9"/>
  <c r="BY327" i="9"/>
  <c r="BY325" i="9"/>
  <c r="CA42" i="9"/>
  <c r="CK42" i="9"/>
  <c r="CA128" i="9"/>
  <c r="CK128" i="9"/>
  <c r="CA83" i="9"/>
  <c r="CK83" i="9"/>
  <c r="BY332" i="9"/>
  <c r="CA169" i="9"/>
  <c r="CK169" i="9"/>
  <c r="BY359" i="9"/>
  <c r="BY360" i="9"/>
  <c r="BY357" i="9"/>
  <c r="BY358" i="9"/>
  <c r="CA270" i="9"/>
  <c r="CK270" i="9"/>
  <c r="CA111" i="9"/>
  <c r="CK111" i="9"/>
  <c r="CN73" i="9"/>
  <c r="CX73" i="9"/>
  <c r="CA281" i="9"/>
  <c r="CK281" i="9"/>
  <c r="CA96" i="9"/>
  <c r="CK96" i="9"/>
  <c r="CA14" i="9"/>
  <c r="CK14" i="9"/>
  <c r="CO14" i="9" s="1"/>
  <c r="CN103" i="9"/>
  <c r="CX103" i="9"/>
  <c r="CN210" i="9"/>
  <c r="CX210" i="9"/>
  <c r="CA177" i="9"/>
  <c r="CK177" i="9"/>
  <c r="DN211" i="9"/>
  <c r="DX211" i="9"/>
  <c r="EB211" i="9" s="1"/>
  <c r="DC380" i="9"/>
  <c r="DC381" i="9"/>
  <c r="CA319" i="9"/>
  <c r="CK319" i="9"/>
  <c r="CO319" i="9" s="1"/>
  <c r="CA34" i="9"/>
  <c r="CK34" i="9"/>
  <c r="CA53" i="9"/>
  <c r="CK53" i="9"/>
  <c r="DB70" i="9"/>
  <c r="CN35" i="9"/>
  <c r="CX35" i="9"/>
  <c r="CN124" i="9"/>
  <c r="CX124" i="9"/>
  <c r="EB223" i="9"/>
  <c r="CA74" i="9"/>
  <c r="CK74" i="9"/>
  <c r="CA183" i="9"/>
  <c r="CK183" i="9"/>
  <c r="CO183" i="9" s="1"/>
  <c r="CN258" i="9"/>
  <c r="CX258" i="9"/>
  <c r="CA63" i="9"/>
  <c r="CK63" i="9"/>
  <c r="CJ325" i="9"/>
  <c r="CJ324" i="9" s="1"/>
  <c r="CO171" i="9"/>
  <c r="CA278" i="9"/>
  <c r="CK278" i="9"/>
  <c r="CO278" i="9" s="1"/>
  <c r="CO312" i="9"/>
  <c r="CO137" i="9"/>
  <c r="CN11" i="9"/>
  <c r="CX11" i="9"/>
  <c r="CO296" i="9"/>
  <c r="CA314" i="9"/>
  <c r="CK314" i="9"/>
  <c r="CA182" i="9"/>
  <c r="CK182" i="9"/>
  <c r="CO57" i="9"/>
  <c r="CA241" i="9"/>
  <c r="CK241" i="9"/>
  <c r="CA213" i="9"/>
  <c r="CK213" i="9"/>
  <c r="CO123" i="9"/>
  <c r="CO94" i="9"/>
  <c r="CN283" i="9"/>
  <c r="CX283" i="9"/>
  <c r="CO25" i="9"/>
  <c r="CO234" i="9"/>
  <c r="CA191" i="9"/>
  <c r="CK191" i="9"/>
  <c r="CD320" i="9"/>
  <c r="CO233" i="9"/>
  <c r="CN31" i="9"/>
  <c r="CX31" i="9"/>
  <c r="DB158" i="9"/>
  <c r="DA249" i="9"/>
  <c r="DK249" i="9"/>
  <c r="DO249" i="9" s="1"/>
  <c r="CO255" i="9"/>
  <c r="CO15" i="9"/>
  <c r="CA226" i="9"/>
  <c r="CK226" i="9"/>
  <c r="DB155" i="9"/>
  <c r="CO44" i="9"/>
  <c r="CA139" i="9"/>
  <c r="CK139" i="9"/>
  <c r="CO213" i="9"/>
  <c r="CA148" i="9"/>
  <c r="CK148" i="9"/>
  <c r="CO148" i="9" s="1"/>
  <c r="CN61" i="9"/>
  <c r="CX61" i="9"/>
  <c r="CO225" i="9"/>
  <c r="CA277" i="9"/>
  <c r="CK277" i="9"/>
  <c r="CA193" i="9"/>
  <c r="CK193" i="9"/>
  <c r="CN101" i="9"/>
  <c r="CX101" i="9"/>
  <c r="CO169" i="9"/>
  <c r="CO231" i="9"/>
  <c r="CA86" i="9"/>
  <c r="CK86" i="9"/>
  <c r="CN292" i="9"/>
  <c r="CX292" i="9"/>
  <c r="CN271" i="9"/>
  <c r="CX271" i="9"/>
  <c r="CA10" i="9"/>
  <c r="CK10" i="9"/>
  <c r="CA202" i="9"/>
  <c r="CK202" i="9"/>
  <c r="CA288" i="9"/>
  <c r="CK288" i="9"/>
  <c r="CN59" i="9"/>
  <c r="CX59" i="9"/>
  <c r="CN143" i="9"/>
  <c r="CX143" i="9"/>
  <c r="DB143" i="9" s="1"/>
  <c r="CN199" i="9"/>
  <c r="CX199" i="9"/>
  <c r="CN275" i="9"/>
  <c r="CX275" i="9"/>
  <c r="CA164" i="9"/>
  <c r="CK164" i="9"/>
  <c r="CA21" i="9"/>
  <c r="CK21" i="9"/>
  <c r="CO21" i="9" s="1"/>
  <c r="CA13" i="9"/>
  <c r="CK13" i="9"/>
  <c r="CO264" i="9"/>
  <c r="BJ355" i="9"/>
  <c r="CO116" i="9"/>
  <c r="CA152" i="9"/>
  <c r="CK152" i="9"/>
  <c r="CA19" i="9"/>
  <c r="CK19" i="9"/>
  <c r="CA140" i="9"/>
  <c r="CK140" i="9"/>
  <c r="AI13" i="2"/>
  <c r="DW306" i="9"/>
  <c r="DY306" i="9"/>
  <c r="EB306" i="9"/>
  <c r="DZ306" i="9"/>
  <c r="EA306" i="9" s="1"/>
  <c r="ED306" i="9"/>
  <c r="DW16" i="9"/>
  <c r="DY16" i="9"/>
  <c r="EB16" i="9"/>
  <c r="ED16" i="9"/>
  <c r="DZ16" i="9"/>
  <c r="EA16" i="9" s="1"/>
  <c r="DW215" i="9"/>
  <c r="DY215" i="9"/>
  <c r="ED215" i="9"/>
  <c r="DZ215" i="9"/>
  <c r="EA215" i="9" s="1"/>
  <c r="DY205" i="9"/>
  <c r="DW205" i="9"/>
  <c r="ED205" i="9"/>
  <c r="DZ205" i="9"/>
  <c r="EA205" i="9" s="1"/>
  <c r="EB205" i="9"/>
  <c r="DV424" i="9"/>
  <c r="DX424" i="9" s="1"/>
  <c r="DR318" i="9"/>
  <c r="DR316" i="9"/>
  <c r="DR314" i="9"/>
  <c r="DR312" i="9"/>
  <c r="DR310" i="9"/>
  <c r="DR308" i="9"/>
  <c r="DR306" i="9"/>
  <c r="DR304" i="9"/>
  <c r="DR302" i="9"/>
  <c r="DR300" i="9"/>
  <c r="DR298" i="9"/>
  <c r="DR296" i="9"/>
  <c r="DR294" i="9"/>
  <c r="DR292" i="9"/>
  <c r="DR290" i="9"/>
  <c r="DR288" i="9"/>
  <c r="DR286" i="9"/>
  <c r="DR284" i="9"/>
  <c r="DR282" i="9"/>
  <c r="DR280" i="9"/>
  <c r="DR278" i="9"/>
  <c r="DR276" i="9"/>
  <c r="DR274" i="9"/>
  <c r="DR272" i="9"/>
  <c r="DR270" i="9"/>
  <c r="DR268" i="9"/>
  <c r="DR266" i="9"/>
  <c r="DR264" i="9"/>
  <c r="DR262" i="9"/>
  <c r="DR260" i="9"/>
  <c r="DR258" i="9"/>
  <c r="DR256" i="9"/>
  <c r="DR254" i="9"/>
  <c r="DR252" i="9"/>
  <c r="DR250" i="9"/>
  <c r="DR248" i="9"/>
  <c r="DR245" i="9"/>
  <c r="DR241" i="9"/>
  <c r="DR237" i="9"/>
  <c r="DR246" i="9"/>
  <c r="DR242" i="9"/>
  <c r="DR238" i="9"/>
  <c r="DR234" i="9"/>
  <c r="DR232" i="9"/>
  <c r="DR230" i="9"/>
  <c r="DR228" i="9"/>
  <c r="DR226" i="9"/>
  <c r="DR224" i="9"/>
  <c r="DR222" i="9"/>
  <c r="DR220" i="9"/>
  <c r="DR218" i="9"/>
  <c r="DR216" i="9"/>
  <c r="DR214" i="9"/>
  <c r="DR212" i="9"/>
  <c r="DR210" i="9"/>
  <c r="DR208" i="9"/>
  <c r="DR206" i="9"/>
  <c r="DR204" i="9"/>
  <c r="DR202" i="9"/>
  <c r="DR200" i="9"/>
  <c r="DR198" i="9"/>
  <c r="DR196" i="9"/>
  <c r="DR194" i="9"/>
  <c r="DR192" i="9"/>
  <c r="DR190" i="9"/>
  <c r="DR188" i="9"/>
  <c r="DR186" i="9"/>
  <c r="DR184" i="9"/>
  <c r="DR182" i="9"/>
  <c r="DR180" i="9"/>
  <c r="DR178" i="9"/>
  <c r="DR176" i="9"/>
  <c r="DR174" i="9"/>
  <c r="DR172" i="9"/>
  <c r="DR170" i="9"/>
  <c r="DR168" i="9"/>
  <c r="DR166" i="9"/>
  <c r="DR164" i="9"/>
  <c r="DR162" i="9"/>
  <c r="DR160" i="9"/>
  <c r="DR158" i="9"/>
  <c r="DR156" i="9"/>
  <c r="DR154" i="9"/>
  <c r="DR152" i="9"/>
  <c r="DR150" i="9"/>
  <c r="DR148" i="9"/>
  <c r="DR146" i="9"/>
  <c r="DR144" i="9"/>
  <c r="DR142" i="9"/>
  <c r="DR140" i="9"/>
  <c r="DR138" i="9"/>
  <c r="DR136" i="9"/>
  <c r="DR134" i="9"/>
  <c r="DR132" i="9"/>
  <c r="DR130" i="9"/>
  <c r="DR128" i="9"/>
  <c r="DR126" i="9"/>
  <c r="DR124" i="9"/>
  <c r="DR122" i="9"/>
  <c r="DR120" i="9"/>
  <c r="DR118" i="9"/>
  <c r="DR116" i="9"/>
  <c r="DR114" i="9"/>
  <c r="DR112" i="9"/>
  <c r="DR110" i="9"/>
  <c r="DR108" i="9"/>
  <c r="DR106" i="9"/>
  <c r="DR104" i="9"/>
  <c r="DR102" i="9"/>
  <c r="DR100" i="9"/>
  <c r="DR98" i="9"/>
  <c r="DR96" i="9"/>
  <c r="DR94" i="9"/>
  <c r="DR92" i="9"/>
  <c r="DR90" i="9"/>
  <c r="DR88" i="9"/>
  <c r="DR86" i="9"/>
  <c r="DR84" i="9"/>
  <c r="DR82" i="9"/>
  <c r="DR80" i="9"/>
  <c r="DR78" i="9"/>
  <c r="DR76" i="9"/>
  <c r="DR74" i="9"/>
  <c r="DR72" i="9"/>
  <c r="DR70" i="9"/>
  <c r="DR68" i="9"/>
  <c r="DR66" i="9"/>
  <c r="DR64" i="9"/>
  <c r="DR62" i="9"/>
  <c r="DR60" i="9"/>
  <c r="DR58" i="9"/>
  <c r="DR56" i="9"/>
  <c r="DR54" i="9"/>
  <c r="DR52" i="9"/>
  <c r="DR50" i="9"/>
  <c r="DR48" i="9"/>
  <c r="DR46" i="9"/>
  <c r="DR44" i="9"/>
  <c r="DR42" i="9"/>
  <c r="DR40" i="9"/>
  <c r="DR38" i="9"/>
  <c r="DR36" i="9"/>
  <c r="DR34" i="9"/>
  <c r="DR32" i="9"/>
  <c r="DR30" i="9"/>
  <c r="DR28" i="9"/>
  <c r="DR26" i="9"/>
  <c r="DR24" i="9"/>
  <c r="DR22" i="9"/>
  <c r="DR20" i="9"/>
  <c r="DR18" i="9"/>
  <c r="DR16" i="9"/>
  <c r="DR14" i="9"/>
  <c r="DR12" i="9"/>
  <c r="DR10" i="9"/>
  <c r="DR8" i="9"/>
  <c r="DR6" i="9"/>
  <c r="DR319" i="9"/>
  <c r="DR317" i="9"/>
  <c r="DR315" i="9"/>
  <c r="DR313" i="9"/>
  <c r="DR311" i="9"/>
  <c r="DR309" i="9"/>
  <c r="DR307" i="9"/>
  <c r="DR305" i="9"/>
  <c r="DR303" i="9"/>
  <c r="DR301" i="9"/>
  <c r="DR299" i="9"/>
  <c r="DR297" i="9"/>
  <c r="DR295" i="9"/>
  <c r="DR293" i="9"/>
  <c r="DR291" i="9"/>
  <c r="DR289" i="9"/>
  <c r="DR287" i="9"/>
  <c r="DR285" i="9"/>
  <c r="DR283" i="9"/>
  <c r="DR281" i="9"/>
  <c r="DR279" i="9"/>
  <c r="DR277" i="9"/>
  <c r="DR275" i="9"/>
  <c r="DR273" i="9"/>
  <c r="DR271" i="9"/>
  <c r="DR269" i="9"/>
  <c r="DR267" i="9"/>
  <c r="DR265" i="9"/>
  <c r="DR263" i="9"/>
  <c r="DR261" i="9"/>
  <c r="DR259" i="9"/>
  <c r="DR257" i="9"/>
  <c r="DR255" i="9"/>
  <c r="DR253" i="9"/>
  <c r="DR251" i="9"/>
  <c r="DR249" i="9"/>
  <c r="DR247" i="9"/>
  <c r="DR243" i="9"/>
  <c r="DR239" i="9"/>
  <c r="DR235" i="9"/>
  <c r="DR244" i="9"/>
  <c r="DR240" i="9"/>
  <c r="DR236" i="9"/>
  <c r="DR233" i="9"/>
  <c r="DR231" i="9"/>
  <c r="DR229" i="9"/>
  <c r="DR227" i="9"/>
  <c r="DR225" i="9"/>
  <c r="DR223" i="9"/>
  <c r="DR221" i="9"/>
  <c r="DR219" i="9"/>
  <c r="DR217" i="9"/>
  <c r="DR215" i="9"/>
  <c r="DR213" i="9"/>
  <c r="DR211" i="9"/>
  <c r="DR209" i="9"/>
  <c r="DR207" i="9"/>
  <c r="DR205" i="9"/>
  <c r="DR203" i="9"/>
  <c r="DR201" i="9"/>
  <c r="DR199" i="9"/>
  <c r="DR197" i="9"/>
  <c r="DR195" i="9"/>
  <c r="DR193" i="9"/>
  <c r="DR191" i="9"/>
  <c r="DR189" i="9"/>
  <c r="DR187" i="9"/>
  <c r="DR185" i="9"/>
  <c r="DR183" i="9"/>
  <c r="DR181" i="9"/>
  <c r="DR179" i="9"/>
  <c r="DR177" i="9"/>
  <c r="DR175" i="9"/>
  <c r="DR173" i="9"/>
  <c r="DR171" i="9"/>
  <c r="DR169" i="9"/>
  <c r="DR167" i="9"/>
  <c r="DR165" i="9"/>
  <c r="DR163" i="9"/>
  <c r="DR161" i="9"/>
  <c r="DR159" i="9"/>
  <c r="DR157" i="9"/>
  <c r="DR155" i="9"/>
  <c r="DR153" i="9"/>
  <c r="DR151" i="9"/>
  <c r="DR149" i="9"/>
  <c r="DR147" i="9"/>
  <c r="DR145" i="9"/>
  <c r="DR143" i="9"/>
  <c r="DR141" i="9"/>
  <c r="DR139" i="9"/>
  <c r="DR137" i="9"/>
  <c r="DR135" i="9"/>
  <c r="DR133" i="9"/>
  <c r="DR131" i="9"/>
  <c r="DR129" i="9"/>
  <c r="DR127" i="9"/>
  <c r="DR125" i="9"/>
  <c r="DR123" i="9"/>
  <c r="DR121" i="9"/>
  <c r="DR119" i="9"/>
  <c r="DR117" i="9"/>
  <c r="DR115" i="9"/>
  <c r="DR113" i="9"/>
  <c r="DR111" i="9"/>
  <c r="DR109" i="9"/>
  <c r="DR107" i="9"/>
  <c r="DR105" i="9"/>
  <c r="DR103" i="9"/>
  <c r="DR101" i="9"/>
  <c r="DR99" i="9"/>
  <c r="DR97" i="9"/>
  <c r="DR95" i="9"/>
  <c r="DR93" i="9"/>
  <c r="DR91" i="9"/>
  <c r="DR89" i="9"/>
  <c r="DR87" i="9"/>
  <c r="DR85" i="9"/>
  <c r="DR83" i="9"/>
  <c r="DR81" i="9"/>
  <c r="DR79" i="9"/>
  <c r="DR77" i="9"/>
  <c r="DR75" i="9"/>
  <c r="DR73" i="9"/>
  <c r="DR71" i="9"/>
  <c r="DR69" i="9"/>
  <c r="DR67" i="9"/>
  <c r="DR65" i="9"/>
  <c r="DR63" i="9"/>
  <c r="DR61" i="9"/>
  <c r="DR59" i="9"/>
  <c r="DR57" i="9"/>
  <c r="DR55" i="9"/>
  <c r="DR53" i="9"/>
  <c r="DR51" i="9"/>
  <c r="DR49" i="9"/>
  <c r="DR47" i="9"/>
  <c r="DR45" i="9"/>
  <c r="DR43" i="9"/>
  <c r="DR41" i="9"/>
  <c r="DR39" i="9"/>
  <c r="DR37" i="9"/>
  <c r="DR35" i="9"/>
  <c r="DR33" i="9"/>
  <c r="DR31" i="9"/>
  <c r="DR29" i="9"/>
  <c r="DR27" i="9"/>
  <c r="DR25" i="9"/>
  <c r="DR23" i="9"/>
  <c r="DR21" i="9"/>
  <c r="DR19" i="9"/>
  <c r="DR17" i="9"/>
  <c r="DR15" i="9"/>
  <c r="DR13" i="9"/>
  <c r="DR11" i="9"/>
  <c r="DR9" i="9"/>
  <c r="DR7" i="9"/>
  <c r="DR5" i="9"/>
  <c r="AH24" i="2"/>
  <c r="CV333" i="9"/>
  <c r="CW333" i="9" s="1"/>
  <c r="CW332" i="9" s="1"/>
  <c r="CP396" i="9"/>
  <c r="CP394" i="9"/>
  <c r="CA18" i="9"/>
  <c r="CK18" i="9"/>
  <c r="CO138" i="9"/>
  <c r="CA162" i="9"/>
  <c r="CK162" i="9"/>
  <c r="AX401" i="9"/>
  <c r="AV459" i="9" s="1"/>
  <c r="H13" i="10"/>
  <c r="DB124" i="9"/>
  <c r="CA113" i="9"/>
  <c r="CK113" i="9"/>
  <c r="CA317" i="9"/>
  <c r="CK317" i="9"/>
  <c r="CO317" i="9" s="1"/>
  <c r="CA170" i="9"/>
  <c r="CK170" i="9"/>
  <c r="CO170" i="9" s="1"/>
  <c r="CA135" i="9"/>
  <c r="CK135" i="9"/>
  <c r="CO135" i="9" s="1"/>
  <c r="CO195" i="9"/>
  <c r="CA286" i="9"/>
  <c r="CK286" i="9"/>
  <c r="CA173" i="9"/>
  <c r="CK173" i="9"/>
  <c r="CO177" i="9"/>
  <c r="CN149" i="9"/>
  <c r="CX149" i="9"/>
  <c r="DB308" i="9"/>
  <c r="CJ335" i="9"/>
  <c r="CJ332" i="9" s="1"/>
  <c r="CI347" i="9"/>
  <c r="CJ347" i="9" s="1"/>
  <c r="DA285" i="9"/>
  <c r="DK285" i="9"/>
  <c r="CA240" i="9"/>
  <c r="CK240" i="9"/>
  <c r="CA299" i="9"/>
  <c r="CK299" i="9"/>
  <c r="CN266" i="9"/>
  <c r="CX266" i="9"/>
  <c r="AW353" i="9"/>
  <c r="CO301" i="9"/>
  <c r="CA291" i="9"/>
  <c r="CK291" i="9"/>
  <c r="CA274" i="9"/>
  <c r="CK274" i="9"/>
  <c r="CA259" i="9"/>
  <c r="CK259" i="9"/>
  <c r="CD381" i="9"/>
  <c r="BX381" i="9" s="1"/>
  <c r="CD380" i="9"/>
  <c r="CD379" i="9"/>
  <c r="BX379" i="9" s="1"/>
  <c r="CA71" i="9"/>
  <c r="CK71" i="9"/>
  <c r="CA41" i="9"/>
  <c r="CK41" i="9"/>
  <c r="CA26" i="9"/>
  <c r="CK26" i="9"/>
  <c r="CA257" i="9"/>
  <c r="CK257" i="9"/>
  <c r="CA75" i="9"/>
  <c r="CK75" i="9"/>
  <c r="BY337" i="9"/>
  <c r="BY336" i="9" s="1"/>
  <c r="CA217" i="9"/>
  <c r="CK217" i="9"/>
  <c r="CA188" i="9"/>
  <c r="CK188" i="9"/>
  <c r="CA127" i="9"/>
  <c r="CK127" i="9"/>
  <c r="CO151" i="9"/>
  <c r="CO121" i="9"/>
  <c r="CO128" i="9"/>
  <c r="CA181" i="9"/>
  <c r="CK181" i="9"/>
  <c r="CN107" i="9"/>
  <c r="CX107" i="9"/>
  <c r="DB107" i="9" s="1"/>
  <c r="DL256" i="9"/>
  <c r="DJ256" i="9"/>
  <c r="DM256" i="9"/>
  <c r="DQ256" i="9"/>
  <c r="DM45" i="9"/>
  <c r="DJ45" i="9"/>
  <c r="DL45" i="9"/>
  <c r="DQ45" i="9"/>
  <c r="DO45" i="9"/>
  <c r="CA208" i="9"/>
  <c r="CK208" i="9"/>
  <c r="CA97" i="9"/>
  <c r="CK97" i="9"/>
  <c r="CN27" i="9"/>
  <c r="CX27" i="9"/>
  <c r="CA304" i="9"/>
  <c r="CK304" i="9"/>
  <c r="BN369" i="9"/>
  <c r="BM349" i="9"/>
  <c r="BO350" i="9"/>
  <c r="BO349" i="9" s="1"/>
  <c r="BN370" i="9"/>
  <c r="BM350" i="9"/>
  <c r="DB253" i="9"/>
  <c r="CW253" i="9"/>
  <c r="CY253" i="9"/>
  <c r="CZ253" i="9"/>
  <c r="DD253" i="9"/>
  <c r="CW168" i="9"/>
  <c r="CY168" i="9"/>
  <c r="CZ168" i="9"/>
  <c r="DD168" i="9"/>
  <c r="CY8" i="9"/>
  <c r="CW8" i="9"/>
  <c r="DD8" i="9"/>
  <c r="CZ8" i="9"/>
  <c r="DB8" i="9"/>
  <c r="CO203" i="9"/>
  <c r="CA110" i="9"/>
  <c r="CK110" i="9"/>
  <c r="CO7" i="9"/>
  <c r="BO360" i="9"/>
  <c r="BO358" i="9"/>
  <c r="BO359" i="9"/>
  <c r="BM357" i="9"/>
  <c r="BK357" i="9" s="1"/>
  <c r="CA122" i="9"/>
  <c r="CK122" i="9"/>
  <c r="CA294" i="9"/>
  <c r="CK294" i="9"/>
  <c r="CN85" i="9"/>
  <c r="CX85" i="9"/>
  <c r="CA78" i="9"/>
  <c r="CK78" i="9"/>
  <c r="CO50" i="9"/>
  <c r="CO82" i="9"/>
  <c r="CA5" i="9"/>
  <c r="BZ320" i="9"/>
  <c r="CK5" i="9"/>
  <c r="BY320" i="9"/>
  <c r="BW320" i="9"/>
  <c r="BX406" i="9" s="1"/>
  <c r="BX408" i="9" s="1"/>
  <c r="CA248" i="9"/>
  <c r="CK248" i="9"/>
  <c r="CO265" i="9"/>
  <c r="CN95" i="9"/>
  <c r="CX95" i="9"/>
  <c r="CA302" i="9"/>
  <c r="CK302" i="9"/>
  <c r="CN218" i="9"/>
  <c r="CX218" i="9"/>
  <c r="DN48" i="9"/>
  <c r="DX48" i="9"/>
  <c r="DN219" i="9"/>
  <c r="DX219" i="9"/>
  <c r="DN235" i="9"/>
  <c r="DX235" i="9"/>
  <c r="CT320" i="9"/>
  <c r="CU5" i="9"/>
  <c r="CU320" i="9" s="1"/>
  <c r="CS361" i="9"/>
  <c r="CS364" i="9"/>
  <c r="CS363" i="9"/>
  <c r="CU357" i="9"/>
  <c r="CU360" i="9"/>
  <c r="CU359" i="9"/>
  <c r="CU358" i="9"/>
  <c r="CS353" i="9"/>
  <c r="DC378" i="9"/>
  <c r="DC374" i="9"/>
  <c r="DC377" i="9"/>
  <c r="DC376" i="9"/>
  <c r="CU351" i="9"/>
  <c r="CU349" i="9"/>
  <c r="CU369" i="9" s="1"/>
  <c r="CU352" i="9"/>
  <c r="EB209" i="9"/>
  <c r="CA236" i="9"/>
  <c r="CK236" i="9"/>
  <c r="CN77" i="9"/>
  <c r="CX77" i="9"/>
  <c r="CA117" i="9"/>
  <c r="CK117" i="9"/>
  <c r="CN179" i="9"/>
  <c r="CX179" i="9"/>
  <c r="DA293" i="9"/>
  <c r="DK293" i="9"/>
  <c r="CA160" i="9"/>
  <c r="CK160" i="9"/>
  <c r="CO290" i="9"/>
  <c r="CO66" i="9"/>
  <c r="CN69" i="9"/>
  <c r="CX69" i="9"/>
  <c r="DB32" i="9"/>
  <c r="CW32" i="9"/>
  <c r="CY32" i="9"/>
  <c r="CZ32" i="9"/>
  <c r="DD32" i="9"/>
  <c r="CA54" i="9"/>
  <c r="CK54" i="9"/>
  <c r="CA305" i="9"/>
  <c r="CK305" i="9"/>
  <c r="CA189" i="9"/>
  <c r="CK189" i="9"/>
  <c r="CA153" i="9"/>
  <c r="CK153" i="9"/>
  <c r="CA250" i="9"/>
  <c r="CK250" i="9"/>
  <c r="CA46" i="9"/>
  <c r="CK46" i="9"/>
  <c r="CN163" i="9"/>
  <c r="CX163" i="9"/>
  <c r="CN197" i="9"/>
  <c r="CX197" i="9"/>
  <c r="DO295" i="9"/>
  <c r="CK392" i="9"/>
  <c r="CA22" i="9"/>
  <c r="CK22" i="9"/>
  <c r="CA244" i="9"/>
  <c r="CK244" i="9"/>
  <c r="CA207" i="9"/>
  <c r="CK207" i="9"/>
  <c r="CA239" i="9"/>
  <c r="CK239" i="9"/>
  <c r="CA297" i="9"/>
  <c r="CK297" i="9"/>
  <c r="CA154" i="9"/>
  <c r="CK154" i="9"/>
  <c r="CO90" i="9"/>
  <c r="CA276" i="9"/>
  <c r="CK276" i="9"/>
  <c r="CO156" i="9"/>
  <c r="CO17" i="9"/>
  <c r="CA159" i="9"/>
  <c r="CK159" i="9"/>
  <c r="CA129" i="9"/>
  <c r="CK129" i="9"/>
  <c r="CZ186" i="9"/>
  <c r="CY186" i="9"/>
  <c r="CW186" i="9"/>
  <c r="DD186" i="9"/>
  <c r="CO146" i="9"/>
  <c r="CA106" i="9"/>
  <c r="CK106" i="9"/>
  <c r="CA52" i="9"/>
  <c r="CK52" i="9"/>
  <c r="CA263" i="9"/>
  <c r="CK263" i="9"/>
  <c r="CD378" i="9"/>
  <c r="CA51" i="9"/>
  <c r="CK51" i="9"/>
  <c r="CA161" i="9"/>
  <c r="CK161" i="9"/>
  <c r="DB303" i="9"/>
  <c r="CW303" i="9"/>
  <c r="CY303" i="9"/>
  <c r="CZ303" i="9"/>
  <c r="DD303" i="9"/>
  <c r="CA212" i="9"/>
  <c r="CK212" i="9"/>
  <c r="CA214" i="9"/>
  <c r="CK214" i="9"/>
  <c r="AW361" i="9"/>
  <c r="CA246" i="9"/>
  <c r="CK246" i="9"/>
  <c r="DK421" i="9"/>
  <c r="AK13" i="2" s="1"/>
  <c r="DV435" i="9"/>
  <c r="DX434" i="9"/>
  <c r="DV431" i="9"/>
  <c r="DY220" i="9"/>
  <c r="DW220" i="9"/>
  <c r="ED220" i="9"/>
  <c r="DZ220" i="9"/>
  <c r="EA220" i="9" s="1"/>
  <c r="EB220" i="9"/>
  <c r="DY119" i="9"/>
  <c r="DW119" i="9"/>
  <c r="EB119" i="9"/>
  <c r="DZ119" i="9"/>
  <c r="EA119" i="9" s="1"/>
  <c r="ED119" i="9"/>
  <c r="DV419" i="9"/>
  <c r="DV420" i="9"/>
  <c r="DX421" i="9" s="1"/>
  <c r="DI446" i="9"/>
  <c r="DK447" i="9" s="1"/>
  <c r="DK425" i="9"/>
  <c r="AJ19" i="2" s="1"/>
  <c r="DK393" i="9"/>
  <c r="DK438" i="9"/>
  <c r="AJ34" i="2"/>
  <c r="DJ368" i="9"/>
  <c r="DJ366" i="9"/>
  <c r="DJ367" i="9"/>
  <c r="DF7" i="9"/>
  <c r="DP7" i="9"/>
  <c r="DG7" i="9"/>
  <c r="DH7" i="9" s="1"/>
  <c r="DF11" i="9"/>
  <c r="DP11" i="9"/>
  <c r="DG11" i="9"/>
  <c r="DH11" i="9" s="1"/>
  <c r="DF15" i="9"/>
  <c r="DP15" i="9"/>
  <c r="DG15" i="9"/>
  <c r="DH15" i="9" s="1"/>
  <c r="DF19" i="9"/>
  <c r="DP19" i="9"/>
  <c r="DG19" i="9"/>
  <c r="DH19" i="9" s="1"/>
  <c r="DF23" i="9"/>
  <c r="DP23" i="9"/>
  <c r="DG23" i="9"/>
  <c r="DH23" i="9" s="1"/>
  <c r="DF27" i="9"/>
  <c r="DP27" i="9"/>
  <c r="DG27" i="9"/>
  <c r="DH27" i="9" s="1"/>
  <c r="DP29" i="9"/>
  <c r="DG29" i="9"/>
  <c r="DH29" i="9" s="1"/>
  <c r="DF29" i="9"/>
  <c r="DP33" i="9"/>
  <c r="DG33" i="9"/>
  <c r="DH33" i="9" s="1"/>
  <c r="DF33" i="9"/>
  <c r="DP37" i="9"/>
  <c r="DG37" i="9"/>
  <c r="DH37" i="9" s="1"/>
  <c r="DF37" i="9"/>
  <c r="DP41" i="9"/>
  <c r="DG41" i="9"/>
  <c r="DH41" i="9" s="1"/>
  <c r="DF41" i="9"/>
  <c r="DP45" i="9"/>
  <c r="DG45" i="9"/>
  <c r="DH45" i="9" s="1"/>
  <c r="DF45" i="9"/>
  <c r="DP49" i="9"/>
  <c r="DG49" i="9"/>
  <c r="DH49" i="9" s="1"/>
  <c r="DF49" i="9"/>
  <c r="DP53" i="9"/>
  <c r="DG53" i="9"/>
  <c r="DH53" i="9" s="1"/>
  <c r="DF53" i="9"/>
  <c r="DP57" i="9"/>
  <c r="DG57" i="9"/>
  <c r="DH57" i="9" s="1"/>
  <c r="DF57" i="9"/>
  <c r="DP61" i="9"/>
  <c r="DG61" i="9"/>
  <c r="DH61" i="9" s="1"/>
  <c r="DF61" i="9"/>
  <c r="DP65" i="9"/>
  <c r="DG65" i="9"/>
  <c r="DH65" i="9" s="1"/>
  <c r="DF65" i="9"/>
  <c r="DP69" i="9"/>
  <c r="DG69" i="9"/>
  <c r="DH69" i="9" s="1"/>
  <c r="DF69" i="9"/>
  <c r="DP73" i="9"/>
  <c r="DG73" i="9"/>
  <c r="DH73" i="9" s="1"/>
  <c r="DF73" i="9"/>
  <c r="DP77" i="9"/>
  <c r="DG77" i="9"/>
  <c r="DH77" i="9" s="1"/>
  <c r="DF77" i="9"/>
  <c r="DP81" i="9"/>
  <c r="DG81" i="9"/>
  <c r="DH81" i="9" s="1"/>
  <c r="DF81" i="9"/>
  <c r="DF86" i="9"/>
  <c r="DP86" i="9"/>
  <c r="DG86" i="9"/>
  <c r="DH86" i="9" s="1"/>
  <c r="DF91" i="9"/>
  <c r="DP91" i="9"/>
  <c r="DG91" i="9"/>
  <c r="DH91" i="9" s="1"/>
  <c r="DF95" i="9"/>
  <c r="DP95" i="9"/>
  <c r="DG95" i="9"/>
  <c r="DH95" i="9" s="1"/>
  <c r="DF99" i="9"/>
  <c r="DP99" i="9"/>
  <c r="DG99" i="9"/>
  <c r="DH99" i="9" s="1"/>
  <c r="DF103" i="9"/>
  <c r="DP103" i="9"/>
  <c r="DG103" i="9"/>
  <c r="DH103" i="9" s="1"/>
  <c r="DF107" i="9"/>
  <c r="DP107" i="9"/>
  <c r="DG107" i="9"/>
  <c r="DH107" i="9" s="1"/>
  <c r="DF111" i="9"/>
  <c r="DP111" i="9"/>
  <c r="DG111" i="9"/>
  <c r="DH111" i="9" s="1"/>
  <c r="DF115" i="9"/>
  <c r="DP115" i="9"/>
  <c r="DG115" i="9"/>
  <c r="DH115" i="9" s="1"/>
  <c r="DF119" i="9"/>
  <c r="DP119" i="9"/>
  <c r="DG119" i="9"/>
  <c r="DH119" i="9" s="1"/>
  <c r="DF123" i="9"/>
  <c r="DP123" i="9"/>
  <c r="DG123" i="9"/>
  <c r="DH123" i="9" s="1"/>
  <c r="DF127" i="9"/>
  <c r="DP127" i="9"/>
  <c r="DG127" i="9"/>
  <c r="DH127" i="9" s="1"/>
  <c r="DF131" i="9"/>
  <c r="DP131" i="9"/>
  <c r="DG131" i="9"/>
  <c r="DH131" i="9" s="1"/>
  <c r="DF135" i="9"/>
  <c r="DP135" i="9"/>
  <c r="DG135" i="9"/>
  <c r="DH135" i="9" s="1"/>
  <c r="DF139" i="9"/>
  <c r="DP139" i="9"/>
  <c r="DG139" i="9"/>
  <c r="DH139" i="9" s="1"/>
  <c r="DF143" i="9"/>
  <c r="DP143" i="9"/>
  <c r="DG143" i="9"/>
  <c r="DH143" i="9" s="1"/>
  <c r="DF147" i="9"/>
  <c r="DP147" i="9"/>
  <c r="DG147" i="9"/>
  <c r="DH147" i="9" s="1"/>
  <c r="DF151" i="9"/>
  <c r="DP151" i="9"/>
  <c r="DG151" i="9"/>
  <c r="DH151" i="9" s="1"/>
  <c r="DF155" i="9"/>
  <c r="DP155" i="9"/>
  <c r="DG155" i="9"/>
  <c r="DH155" i="9" s="1"/>
  <c r="DF159" i="9"/>
  <c r="DP159" i="9"/>
  <c r="DG159" i="9"/>
  <c r="DH159" i="9" s="1"/>
  <c r="DF163" i="9"/>
  <c r="DP163" i="9"/>
  <c r="DG163" i="9"/>
  <c r="DH163" i="9" s="1"/>
  <c r="DF167" i="9"/>
  <c r="DP167" i="9"/>
  <c r="DG167" i="9"/>
  <c r="DH167" i="9" s="1"/>
  <c r="DF171" i="9"/>
  <c r="DP171" i="9"/>
  <c r="DG171" i="9"/>
  <c r="DH171" i="9" s="1"/>
  <c r="DF175" i="9"/>
  <c r="DP175" i="9"/>
  <c r="DG175" i="9"/>
  <c r="DH175" i="9" s="1"/>
  <c r="DF179" i="9"/>
  <c r="DP179" i="9"/>
  <c r="DG179" i="9"/>
  <c r="DH179" i="9" s="1"/>
  <c r="DF183" i="9"/>
  <c r="DP183" i="9"/>
  <c r="DG183" i="9"/>
  <c r="DH183" i="9" s="1"/>
  <c r="DF187" i="9"/>
  <c r="DP187" i="9"/>
  <c r="DG187" i="9"/>
  <c r="DH187" i="9" s="1"/>
  <c r="DP191" i="9"/>
  <c r="DG191" i="9"/>
  <c r="DH191" i="9" s="1"/>
  <c r="DF191" i="9"/>
  <c r="DP195" i="9"/>
  <c r="DG195" i="9"/>
  <c r="DH195" i="9" s="1"/>
  <c r="DF195" i="9"/>
  <c r="DP199" i="9"/>
  <c r="DG199" i="9"/>
  <c r="DH199" i="9" s="1"/>
  <c r="DF199" i="9"/>
  <c r="DP203" i="9"/>
  <c r="DG203" i="9"/>
  <c r="DH203" i="9" s="1"/>
  <c r="DF203" i="9"/>
  <c r="DP207" i="9"/>
  <c r="DG207" i="9"/>
  <c r="DH207" i="9" s="1"/>
  <c r="DF207" i="9"/>
  <c r="DP211" i="9"/>
  <c r="DG211" i="9"/>
  <c r="DH211" i="9" s="1"/>
  <c r="DF211" i="9"/>
  <c r="DP215" i="9"/>
  <c r="DG215" i="9"/>
  <c r="DH215" i="9" s="1"/>
  <c r="DF215" i="9"/>
  <c r="DP219" i="9"/>
  <c r="DG219" i="9"/>
  <c r="DH219" i="9" s="1"/>
  <c r="DF219" i="9"/>
  <c r="DP223" i="9"/>
  <c r="DG223" i="9"/>
  <c r="DH223" i="9" s="1"/>
  <c r="DF223" i="9"/>
  <c r="DP227" i="9"/>
  <c r="DG227" i="9"/>
  <c r="DH227" i="9" s="1"/>
  <c r="DF227" i="9"/>
  <c r="DP231" i="9"/>
  <c r="DG231" i="9"/>
  <c r="DH231" i="9" s="1"/>
  <c r="DF231" i="9"/>
  <c r="DF281" i="9"/>
  <c r="DP281" i="9"/>
  <c r="DG281" i="9"/>
  <c r="DH281" i="9" s="1"/>
  <c r="DF289" i="9"/>
  <c r="DP289" i="9"/>
  <c r="DG289" i="9"/>
  <c r="DH289" i="9" s="1"/>
  <c r="DF235" i="9"/>
  <c r="DG235" i="9"/>
  <c r="DH235" i="9" s="1"/>
  <c r="DP235" i="9"/>
  <c r="DF239" i="9"/>
  <c r="DG239" i="9"/>
  <c r="DH239" i="9" s="1"/>
  <c r="DP239" i="9"/>
  <c r="DF243" i="9"/>
  <c r="DG243" i="9"/>
  <c r="DH243" i="9" s="1"/>
  <c r="DP243" i="9"/>
  <c r="DF247" i="9"/>
  <c r="DG247" i="9"/>
  <c r="DH247" i="9" s="1"/>
  <c r="DP247" i="9"/>
  <c r="DP251" i="9"/>
  <c r="DG251" i="9"/>
  <c r="DH251" i="9" s="1"/>
  <c r="DF251" i="9"/>
  <c r="DP255" i="9"/>
  <c r="DG255" i="9"/>
  <c r="DH255" i="9" s="1"/>
  <c r="DF255" i="9"/>
  <c r="DP259" i="9"/>
  <c r="DG259" i="9"/>
  <c r="DH259" i="9" s="1"/>
  <c r="DF259" i="9"/>
  <c r="DP263" i="9"/>
  <c r="DG263" i="9"/>
  <c r="DH263" i="9" s="1"/>
  <c r="DF263" i="9"/>
  <c r="DP6" i="9"/>
  <c r="DG6" i="9"/>
  <c r="DH6" i="9" s="1"/>
  <c r="DF6" i="9"/>
  <c r="DP10" i="9"/>
  <c r="DG10" i="9"/>
  <c r="DH10" i="9" s="1"/>
  <c r="DF10" i="9"/>
  <c r="DP14" i="9"/>
  <c r="DG14" i="9"/>
  <c r="DH14" i="9" s="1"/>
  <c r="DF14" i="9"/>
  <c r="DP18" i="9"/>
  <c r="DG18" i="9"/>
  <c r="DH18" i="9" s="1"/>
  <c r="DF18" i="9"/>
  <c r="DP22" i="9"/>
  <c r="DG22" i="9"/>
  <c r="DH22" i="9" s="1"/>
  <c r="DF22" i="9"/>
  <c r="DP26" i="9"/>
  <c r="DG26" i="9"/>
  <c r="DH26" i="9" s="1"/>
  <c r="DF26" i="9"/>
  <c r="DP87" i="9"/>
  <c r="DG87" i="9"/>
  <c r="DH87" i="9" s="1"/>
  <c r="DF87" i="9"/>
  <c r="DG32" i="9"/>
  <c r="DH32" i="9" s="1"/>
  <c r="DF32" i="9"/>
  <c r="DP32" i="9"/>
  <c r="DG36" i="9"/>
  <c r="DH36" i="9" s="1"/>
  <c r="DF36" i="9"/>
  <c r="DP36" i="9"/>
  <c r="DG40" i="9"/>
  <c r="DH40" i="9" s="1"/>
  <c r="DF40" i="9"/>
  <c r="DP40" i="9"/>
  <c r="DG44" i="9"/>
  <c r="DH44" i="9" s="1"/>
  <c r="DF44" i="9"/>
  <c r="DP44" i="9"/>
  <c r="DG48" i="9"/>
  <c r="DH48" i="9" s="1"/>
  <c r="DF48" i="9"/>
  <c r="DP48" i="9"/>
  <c r="DG52" i="9"/>
  <c r="DH52" i="9" s="1"/>
  <c r="DF52" i="9"/>
  <c r="DP52" i="9"/>
  <c r="DG56" i="9"/>
  <c r="DH56" i="9" s="1"/>
  <c r="DF56" i="9"/>
  <c r="DP56" i="9"/>
  <c r="DG60" i="9"/>
  <c r="DH60" i="9" s="1"/>
  <c r="DF60" i="9"/>
  <c r="DP60" i="9"/>
  <c r="DG64" i="9"/>
  <c r="DH64" i="9" s="1"/>
  <c r="DF64" i="9"/>
  <c r="DP64" i="9"/>
  <c r="DG68" i="9"/>
  <c r="DH68" i="9" s="1"/>
  <c r="DF68" i="9"/>
  <c r="DP68" i="9"/>
  <c r="DG72" i="9"/>
  <c r="DH72" i="9" s="1"/>
  <c r="DF72" i="9"/>
  <c r="DP72" i="9"/>
  <c r="DG76" i="9"/>
  <c r="DH76" i="9" s="1"/>
  <c r="DF76" i="9"/>
  <c r="DP76" i="9"/>
  <c r="DG80" i="9"/>
  <c r="DH80" i="9" s="1"/>
  <c r="DF80" i="9"/>
  <c r="DP80" i="9"/>
  <c r="DP84" i="9"/>
  <c r="DG84" i="9"/>
  <c r="DH84" i="9" s="1"/>
  <c r="DF84" i="9"/>
  <c r="DP90" i="9"/>
  <c r="DG90" i="9"/>
  <c r="DH90" i="9" s="1"/>
  <c r="DF90" i="9"/>
  <c r="DP94" i="9"/>
  <c r="DG94" i="9"/>
  <c r="DH94" i="9" s="1"/>
  <c r="DF94" i="9"/>
  <c r="DP98" i="9"/>
  <c r="DG98" i="9"/>
  <c r="DH98" i="9" s="1"/>
  <c r="DF98" i="9"/>
  <c r="DP102" i="9"/>
  <c r="DG102" i="9"/>
  <c r="DH102" i="9" s="1"/>
  <c r="DF102" i="9"/>
  <c r="DP106" i="9"/>
  <c r="DG106" i="9"/>
  <c r="DH106" i="9" s="1"/>
  <c r="DF106" i="9"/>
  <c r="DP110" i="9"/>
  <c r="DG110" i="9"/>
  <c r="DH110" i="9" s="1"/>
  <c r="DF110" i="9"/>
  <c r="DP114" i="9"/>
  <c r="DG114" i="9"/>
  <c r="DH114" i="9" s="1"/>
  <c r="DF114" i="9"/>
  <c r="DP118" i="9"/>
  <c r="DG118" i="9"/>
  <c r="DH118" i="9" s="1"/>
  <c r="DF118" i="9"/>
  <c r="DP122" i="9"/>
  <c r="DG122" i="9"/>
  <c r="DH122" i="9" s="1"/>
  <c r="DF122" i="9"/>
  <c r="DP126" i="9"/>
  <c r="DG126" i="9"/>
  <c r="DH126" i="9" s="1"/>
  <c r="DF126" i="9"/>
  <c r="DP130" i="9"/>
  <c r="DG130" i="9"/>
  <c r="DH130" i="9" s="1"/>
  <c r="DF130" i="9"/>
  <c r="DP134" i="9"/>
  <c r="DG134" i="9"/>
  <c r="DH134" i="9" s="1"/>
  <c r="DF134" i="9"/>
  <c r="DP138" i="9"/>
  <c r="DG138" i="9"/>
  <c r="DH138" i="9" s="1"/>
  <c r="DF138" i="9"/>
  <c r="DP142" i="9"/>
  <c r="DG142" i="9"/>
  <c r="DH142" i="9" s="1"/>
  <c r="DF142" i="9"/>
  <c r="DP146" i="9"/>
  <c r="DG146" i="9"/>
  <c r="DH146" i="9" s="1"/>
  <c r="DF146" i="9"/>
  <c r="DP150" i="9"/>
  <c r="DG150" i="9"/>
  <c r="DH150" i="9" s="1"/>
  <c r="DF150" i="9"/>
  <c r="DP154" i="9"/>
  <c r="DG154" i="9"/>
  <c r="DH154" i="9" s="1"/>
  <c r="DF154" i="9"/>
  <c r="DP158" i="9"/>
  <c r="DG158" i="9"/>
  <c r="DH158" i="9" s="1"/>
  <c r="DF158" i="9"/>
  <c r="DP162" i="9"/>
  <c r="DG162" i="9"/>
  <c r="DH162" i="9" s="1"/>
  <c r="DF162" i="9"/>
  <c r="DP166" i="9"/>
  <c r="DG166" i="9"/>
  <c r="DH166" i="9" s="1"/>
  <c r="DF166" i="9"/>
  <c r="DP170" i="9"/>
  <c r="DG170" i="9"/>
  <c r="DH170" i="9" s="1"/>
  <c r="DF170" i="9"/>
  <c r="DP174" i="9"/>
  <c r="DG174" i="9"/>
  <c r="DH174" i="9" s="1"/>
  <c r="DF174" i="9"/>
  <c r="DP178" i="9"/>
  <c r="DG178" i="9"/>
  <c r="DH178" i="9" s="1"/>
  <c r="DF178" i="9"/>
  <c r="DP182" i="9"/>
  <c r="DG182" i="9"/>
  <c r="DH182" i="9" s="1"/>
  <c r="DF182" i="9"/>
  <c r="DP186" i="9"/>
  <c r="DG186" i="9"/>
  <c r="DH186" i="9" s="1"/>
  <c r="DF186" i="9"/>
  <c r="DG190" i="9"/>
  <c r="DH190" i="9" s="1"/>
  <c r="DF190" i="9"/>
  <c r="DP190" i="9"/>
  <c r="DG194" i="9"/>
  <c r="DH194" i="9" s="1"/>
  <c r="DF194" i="9"/>
  <c r="DP194" i="9"/>
  <c r="DG198" i="9"/>
  <c r="DH198" i="9" s="1"/>
  <c r="DF198" i="9"/>
  <c r="DP198" i="9"/>
  <c r="DG202" i="9"/>
  <c r="DH202" i="9" s="1"/>
  <c r="DF202" i="9"/>
  <c r="DP202" i="9"/>
  <c r="DG206" i="9"/>
  <c r="DH206" i="9" s="1"/>
  <c r="DF206" i="9"/>
  <c r="DP206" i="9"/>
  <c r="DG210" i="9"/>
  <c r="DH210" i="9" s="1"/>
  <c r="DF210" i="9"/>
  <c r="DP210" i="9"/>
  <c r="DG214" i="9"/>
  <c r="DH214" i="9" s="1"/>
  <c r="DF214" i="9"/>
  <c r="DP214" i="9"/>
  <c r="DG218" i="9"/>
  <c r="DH218" i="9" s="1"/>
  <c r="DF218" i="9"/>
  <c r="DP218" i="9"/>
  <c r="DG222" i="9"/>
  <c r="DH222" i="9" s="1"/>
  <c r="DF222" i="9"/>
  <c r="DP222" i="9"/>
  <c r="DG226" i="9"/>
  <c r="DH226" i="9" s="1"/>
  <c r="DF226" i="9"/>
  <c r="DP226" i="9"/>
  <c r="DG230" i="9"/>
  <c r="DH230" i="9" s="1"/>
  <c r="DF230" i="9"/>
  <c r="DP230" i="9"/>
  <c r="DP279" i="9"/>
  <c r="DG279" i="9"/>
  <c r="DH279" i="9" s="1"/>
  <c r="DF279" i="9"/>
  <c r="DP287" i="9"/>
  <c r="DG287" i="9"/>
  <c r="DH287" i="9" s="1"/>
  <c r="DF287" i="9"/>
  <c r="DG234" i="9"/>
  <c r="DH234" i="9" s="1"/>
  <c r="DF234" i="9"/>
  <c r="DP234" i="9"/>
  <c r="DG238" i="9"/>
  <c r="DH238" i="9" s="1"/>
  <c r="DF238" i="9"/>
  <c r="DP238" i="9"/>
  <c r="DG242" i="9"/>
  <c r="DH242" i="9" s="1"/>
  <c r="DF242" i="9"/>
  <c r="DP242" i="9"/>
  <c r="DG246" i="9"/>
  <c r="DH246" i="9" s="1"/>
  <c r="DF246" i="9"/>
  <c r="DP246" i="9"/>
  <c r="DG250" i="9"/>
  <c r="DH250" i="9" s="1"/>
  <c r="DF250" i="9"/>
  <c r="DP250" i="9"/>
  <c r="DG254" i="9"/>
  <c r="DH254" i="9" s="1"/>
  <c r="DF254" i="9"/>
  <c r="DP254" i="9"/>
  <c r="DG258" i="9"/>
  <c r="DH258" i="9" s="1"/>
  <c r="DF258" i="9"/>
  <c r="DP258" i="9"/>
  <c r="DG262" i="9"/>
  <c r="DH262" i="9" s="1"/>
  <c r="DF262" i="9"/>
  <c r="DP262" i="9"/>
  <c r="DP267" i="9"/>
  <c r="DG267" i="9"/>
  <c r="DH267" i="9" s="1"/>
  <c r="DF267" i="9"/>
  <c r="DP271" i="9"/>
  <c r="DG271" i="9"/>
  <c r="DH271" i="9" s="1"/>
  <c r="DF271" i="9"/>
  <c r="DP275" i="9"/>
  <c r="DG275" i="9"/>
  <c r="DH275" i="9" s="1"/>
  <c r="DF275" i="9"/>
  <c r="DF280" i="9"/>
  <c r="DP280" i="9"/>
  <c r="DG280" i="9"/>
  <c r="DH280" i="9" s="1"/>
  <c r="DF288" i="9"/>
  <c r="DP288" i="9"/>
  <c r="DG288" i="9"/>
  <c r="DH288" i="9" s="1"/>
  <c r="DF309" i="9"/>
  <c r="DP309" i="9"/>
  <c r="DG309" i="9"/>
  <c r="DH309" i="9" s="1"/>
  <c r="DF317" i="9"/>
  <c r="DP317" i="9"/>
  <c r="DG317" i="9"/>
  <c r="DH317" i="9" s="1"/>
  <c r="DP297" i="9"/>
  <c r="DG297" i="9"/>
  <c r="DH297" i="9" s="1"/>
  <c r="DF297" i="9"/>
  <c r="DP301" i="9"/>
  <c r="DG301" i="9"/>
  <c r="DH301" i="9" s="1"/>
  <c r="DF301" i="9"/>
  <c r="DP305" i="9"/>
  <c r="DG305" i="9"/>
  <c r="DH305" i="9" s="1"/>
  <c r="DF305" i="9"/>
  <c r="DF310" i="9"/>
  <c r="DP310" i="9"/>
  <c r="DG310" i="9"/>
  <c r="DH310" i="9" s="1"/>
  <c r="DF318" i="9"/>
  <c r="DP318" i="9"/>
  <c r="DG318" i="9"/>
  <c r="DH318" i="9" s="1"/>
  <c r="DP268" i="9"/>
  <c r="DG268" i="9"/>
  <c r="DH268" i="9" s="1"/>
  <c r="DF268" i="9"/>
  <c r="DP272" i="9"/>
  <c r="DG272" i="9"/>
  <c r="DH272" i="9" s="1"/>
  <c r="DF272" i="9"/>
  <c r="DP276" i="9"/>
  <c r="DG276" i="9"/>
  <c r="DH276" i="9" s="1"/>
  <c r="DF276" i="9"/>
  <c r="DF282" i="9"/>
  <c r="DP282" i="9"/>
  <c r="DG282" i="9"/>
  <c r="DH282" i="9" s="1"/>
  <c r="DF290" i="9"/>
  <c r="DP290" i="9"/>
  <c r="DG290" i="9"/>
  <c r="DH290" i="9" s="1"/>
  <c r="DF311" i="9"/>
  <c r="DP311" i="9"/>
  <c r="DG311" i="9"/>
  <c r="DH311" i="9" s="1"/>
  <c r="DF319" i="9"/>
  <c r="DP319" i="9"/>
  <c r="DG319" i="9"/>
  <c r="DH319" i="9" s="1"/>
  <c r="DP298" i="9"/>
  <c r="DG298" i="9"/>
  <c r="DH298" i="9" s="1"/>
  <c r="DF298" i="9"/>
  <c r="DP302" i="9"/>
  <c r="DG302" i="9"/>
  <c r="DH302" i="9" s="1"/>
  <c r="DF302" i="9"/>
  <c r="DP306" i="9"/>
  <c r="DG306" i="9"/>
  <c r="DH306" i="9" s="1"/>
  <c r="DF306" i="9"/>
  <c r="DF312" i="9"/>
  <c r="DP312" i="9"/>
  <c r="DG312" i="9"/>
  <c r="DH312" i="9" s="1"/>
  <c r="CZ368" i="9"/>
  <c r="CX368" i="9" s="1"/>
  <c r="CF371" i="9"/>
  <c r="CH369" i="9"/>
  <c r="CA20" i="9"/>
  <c r="CK20" i="9"/>
  <c r="CN93" i="9"/>
  <c r="CX93" i="9"/>
  <c r="CA98" i="9"/>
  <c r="CK98" i="9"/>
  <c r="CO98" i="9" s="1"/>
  <c r="AX400" i="9"/>
  <c r="AV458" i="9" s="1"/>
  <c r="G13" i="10"/>
  <c r="CO37" i="9"/>
  <c r="CA178" i="9"/>
  <c r="CK178" i="9"/>
  <c r="CA184" i="9"/>
  <c r="CK184" i="9"/>
  <c r="CO184" i="9" s="1"/>
  <c r="DB133" i="9"/>
  <c r="CO252" i="9"/>
  <c r="CA166" i="9"/>
  <c r="CK166" i="9"/>
  <c r="CO282" i="9"/>
  <c r="CA102" i="9"/>
  <c r="CK102" i="9"/>
  <c r="CN187" i="9"/>
  <c r="CX187" i="9"/>
  <c r="BO354" i="9"/>
  <c r="BM354" i="9"/>
  <c r="BK354" i="9" s="1"/>
  <c r="BJ354" i="9" s="1"/>
  <c r="BO356" i="9"/>
  <c r="BM356" i="9"/>
  <c r="BK356" i="9" s="1"/>
  <c r="BJ356" i="9" s="1"/>
  <c r="BJ363" i="9"/>
  <c r="BJ364" i="9"/>
  <c r="DB258" i="9"/>
  <c r="CA176" i="9"/>
  <c r="CK176" i="9"/>
  <c r="CA109" i="9"/>
  <c r="CK109" i="9"/>
  <c r="CO109" i="9" s="1"/>
  <c r="CA261" i="9"/>
  <c r="CK261" i="9"/>
  <c r="CA55" i="9"/>
  <c r="CK55" i="9"/>
  <c r="CN112" i="9"/>
  <c r="CX112" i="9"/>
  <c r="DO287" i="9"/>
  <c r="DA267" i="9"/>
  <c r="DK267" i="9"/>
  <c r="CA150" i="9"/>
  <c r="CK150" i="9"/>
  <c r="CA230" i="9"/>
  <c r="CK230" i="9"/>
  <c r="CO42" i="9"/>
  <c r="BX346" i="9"/>
  <c r="BX347" i="9"/>
  <c r="BV450" i="9" s="1"/>
  <c r="CD374" i="9"/>
  <c r="BX374" i="9" s="1"/>
  <c r="CD375" i="9"/>
  <c r="CD377" i="9"/>
  <c r="CD376" i="9"/>
  <c r="BX376" i="9" s="1"/>
  <c r="BY351" i="9"/>
  <c r="BY350" i="9"/>
  <c r="BY370" i="9" s="1"/>
  <c r="BY349" i="9"/>
  <c r="BY369" i="9" s="1"/>
  <c r="BY352" i="9"/>
  <c r="BY372" i="9" s="1"/>
  <c r="CA105" i="9"/>
  <c r="CK105" i="9"/>
  <c r="CA99" i="9"/>
  <c r="CK99" i="9"/>
  <c r="CA192" i="9"/>
  <c r="CK192" i="9"/>
  <c r="CD382" i="9"/>
  <c r="BX382" i="9" s="1"/>
  <c r="CD383" i="9"/>
  <c r="BX383" i="9" s="1"/>
  <c r="CD384" i="9"/>
  <c r="BX384" i="9" s="1"/>
  <c r="CD385" i="9"/>
  <c r="BX385" i="9" s="1"/>
  <c r="CA131" i="9"/>
  <c r="CK131" i="9"/>
  <c r="CA76" i="9"/>
  <c r="CK76" i="9"/>
  <c r="DB6" i="9"/>
  <c r="CA130" i="9"/>
  <c r="CK130" i="9"/>
  <c r="CA56" i="9"/>
  <c r="CK56" i="9"/>
  <c r="CA272" i="9"/>
  <c r="CK272" i="9"/>
  <c r="CA145" i="9"/>
  <c r="CK145" i="9"/>
  <c r="CA144" i="9"/>
  <c r="CK144" i="9"/>
  <c r="AX453" i="9"/>
  <c r="AX452" i="9"/>
  <c r="CN142" i="9"/>
  <c r="CX142" i="9"/>
  <c r="CN242" i="9"/>
  <c r="CX242" i="9"/>
  <c r="CA47" i="9"/>
  <c r="CK47" i="9"/>
  <c r="CO47" i="9" s="1"/>
  <c r="CA251" i="9"/>
  <c r="CK251" i="9"/>
  <c r="CO251" i="9" s="1"/>
  <c r="CY237" i="9"/>
  <c r="CW237" i="9"/>
  <c r="DD237" i="9"/>
  <c r="CZ237" i="9"/>
  <c r="DB237" i="9"/>
  <c r="DN289" i="9"/>
  <c r="DX289" i="9"/>
  <c r="CU356" i="9"/>
  <c r="CU355" i="9"/>
  <c r="CS356" i="9"/>
  <c r="CS355" i="9"/>
  <c r="EB273" i="9"/>
  <c r="CO34" i="9"/>
  <c r="CA280" i="9"/>
  <c r="CK280" i="9"/>
  <c r="CN87" i="9"/>
  <c r="CX87" i="9"/>
  <c r="DB307" i="9"/>
  <c r="CW307" i="9"/>
  <c r="CY307" i="9"/>
  <c r="CZ307" i="9"/>
  <c r="DD307" i="9"/>
  <c r="CA92" i="9"/>
  <c r="CK92" i="9"/>
  <c r="CA100" i="9"/>
  <c r="CK100" i="9"/>
  <c r="CA200" i="9"/>
  <c r="CK200" i="9"/>
  <c r="CO74" i="9"/>
  <c r="CA64" i="9"/>
  <c r="CK64" i="9"/>
  <c r="AX369" i="9"/>
  <c r="AW351" i="9"/>
  <c r="AW352" i="9"/>
  <c r="AW350" i="9"/>
  <c r="AK453" i="9"/>
  <c r="AK451" i="9" s="1"/>
  <c r="AK370" i="9"/>
  <c r="AJ350" i="9"/>
  <c r="AK371" i="9"/>
  <c r="AJ351" i="9"/>
  <c r="AK372" i="9"/>
  <c r="AJ352" i="9"/>
  <c r="AL344" i="9"/>
  <c r="F11" i="17"/>
  <c r="CK191" i="14"/>
  <c r="CK195" i="14" s="1"/>
  <c r="CJ195" i="14" s="1"/>
  <c r="CJ141" i="14"/>
  <c r="CL141" i="14"/>
  <c r="CK146" i="14"/>
  <c r="CM154" i="14"/>
  <c r="BK172" i="14"/>
  <c r="BJ172" i="14" s="1"/>
  <c r="BJ154" i="14"/>
  <c r="BK199" i="14"/>
  <c r="BX154" i="14"/>
  <c r="BW146" i="14"/>
  <c r="BW191" i="14"/>
  <c r="F9" i="17"/>
  <c r="F10" i="17" s="1"/>
  <c r="D12" i="17"/>
  <c r="D13" i="17" s="1"/>
  <c r="W145" i="12"/>
  <c r="W143" i="12" s="1"/>
  <c r="DK315" i="9" l="1"/>
  <c r="DA315" i="9"/>
  <c r="BY324" i="9"/>
  <c r="DJ390" i="9"/>
  <c r="AN34" i="2"/>
  <c r="EA367" i="9" s="1"/>
  <c r="AO34" i="2"/>
  <c r="DY368" i="9" s="1"/>
  <c r="DX426" i="9"/>
  <c r="DV447" i="9"/>
  <c r="AJ29" i="2"/>
  <c r="DI338" i="9" s="1"/>
  <c r="DJ338" i="9" s="1"/>
  <c r="DK433" i="9"/>
  <c r="AA39" i="2"/>
  <c r="AA46" i="2"/>
  <c r="CK445" i="9"/>
  <c r="DF366" i="9"/>
  <c r="DL366" i="9"/>
  <c r="DN366" i="9"/>
  <c r="DQ391" i="9"/>
  <c r="DP391" i="9"/>
  <c r="DI341" i="9"/>
  <c r="DK341" i="9"/>
  <c r="DH366" i="9"/>
  <c r="BW337" i="9"/>
  <c r="BW336" i="9" s="1"/>
  <c r="BV345" i="9"/>
  <c r="BW345" i="9" s="1"/>
  <c r="BI452" i="9"/>
  <c r="BL345" i="9"/>
  <c r="BL344" i="9" s="1"/>
  <c r="I9" i="10"/>
  <c r="CP379" i="9"/>
  <c r="CP395" i="9" s="1"/>
  <c r="CI329" i="9"/>
  <c r="CF354" i="9"/>
  <c r="CF370" i="9" s="1"/>
  <c r="CH354" i="9"/>
  <c r="CH370" i="9" s="1"/>
  <c r="AD19" i="2"/>
  <c r="AE13" i="2"/>
  <c r="CX418" i="9"/>
  <c r="CX447" i="9"/>
  <c r="AW349" i="9"/>
  <c r="DJ365" i="9"/>
  <c r="BJ362" i="9"/>
  <c r="AO19" i="2"/>
  <c r="DV331" i="9" s="1"/>
  <c r="DW331" i="9" s="1"/>
  <c r="DV445" i="9"/>
  <c r="AB39" i="2"/>
  <c r="AB46" i="2"/>
  <c r="CW327" i="9"/>
  <c r="CV347" i="9"/>
  <c r="CW347" i="9" s="1"/>
  <c r="DK429" i="9"/>
  <c r="DK430" i="9"/>
  <c r="AJ24" i="2" s="1"/>
  <c r="CX433" i="9"/>
  <c r="AE29" i="2"/>
  <c r="BW334" i="9"/>
  <c r="BW332" i="9" s="1"/>
  <c r="BV346" i="9"/>
  <c r="BW346" i="9" s="1"/>
  <c r="AE19" i="2"/>
  <c r="CX423" i="9"/>
  <c r="CV346" i="9"/>
  <c r="CW346" i="9" s="1"/>
  <c r="CX446" i="9"/>
  <c r="BJ353" i="9"/>
  <c r="CM64" i="9"/>
  <c r="CL64" i="9"/>
  <c r="CJ64" i="9"/>
  <c r="CQ64" i="9"/>
  <c r="CM100" i="9"/>
  <c r="CL100" i="9"/>
  <c r="CJ100" i="9"/>
  <c r="CQ100" i="9"/>
  <c r="CM92" i="9"/>
  <c r="CL92" i="9"/>
  <c r="CJ92" i="9"/>
  <c r="CQ92" i="9"/>
  <c r="CO92" i="9"/>
  <c r="DA307" i="9"/>
  <c r="DK307" i="9"/>
  <c r="CZ87" i="9"/>
  <c r="CW87" i="9"/>
  <c r="CY87" i="9"/>
  <c r="DD87" i="9"/>
  <c r="CL280" i="9"/>
  <c r="CJ280" i="9"/>
  <c r="CM280" i="9"/>
  <c r="CQ280" i="9"/>
  <c r="CO280" i="9"/>
  <c r="DW289" i="9"/>
  <c r="DY289" i="9"/>
  <c r="ED289" i="9"/>
  <c r="DZ289" i="9"/>
  <c r="EA289" i="9" s="1"/>
  <c r="CW142" i="9"/>
  <c r="CY142" i="9"/>
  <c r="CZ142" i="9"/>
  <c r="DD142" i="9"/>
  <c r="AX451" i="9"/>
  <c r="O47" i="2"/>
  <c r="O40" i="2"/>
  <c r="CM144" i="9"/>
  <c r="CJ144" i="9"/>
  <c r="CL144" i="9"/>
  <c r="CQ144" i="9"/>
  <c r="CQ145" i="9"/>
  <c r="CJ145" i="9"/>
  <c r="CL145" i="9"/>
  <c r="CM145" i="9"/>
  <c r="CO145" i="9"/>
  <c r="CM56" i="9"/>
  <c r="CL56" i="9"/>
  <c r="CJ56" i="9"/>
  <c r="CQ56" i="9"/>
  <c r="CO56" i="9"/>
  <c r="CM76" i="9"/>
  <c r="CL76" i="9"/>
  <c r="CJ76" i="9"/>
  <c r="CQ76" i="9"/>
  <c r="CO76" i="9"/>
  <c r="CM192" i="9"/>
  <c r="CL192" i="9"/>
  <c r="CJ192" i="9"/>
  <c r="CQ192" i="9"/>
  <c r="CO192" i="9"/>
  <c r="CD395" i="9"/>
  <c r="BX375" i="9"/>
  <c r="BX395" i="9" s="1"/>
  <c r="K17" i="10" s="1"/>
  <c r="CO150" i="9"/>
  <c r="CJ150" i="9"/>
  <c r="CL150" i="9"/>
  <c r="CQ150" i="9"/>
  <c r="CM150" i="9"/>
  <c r="DL267" i="9"/>
  <c r="DJ267" i="9"/>
  <c r="DM267" i="9"/>
  <c r="DQ267" i="9"/>
  <c r="CM261" i="9"/>
  <c r="CJ261" i="9"/>
  <c r="CL261" i="9"/>
  <c r="CQ261" i="9"/>
  <c r="CO261" i="9"/>
  <c r="BO353" i="9"/>
  <c r="DF364" i="9"/>
  <c r="DF361" i="9"/>
  <c r="DF362" i="9"/>
  <c r="DF363" i="9"/>
  <c r="DP386" i="9"/>
  <c r="DP389" i="9"/>
  <c r="DP387" i="9"/>
  <c r="DP388" i="9"/>
  <c r="DP374" i="9"/>
  <c r="DP377" i="9"/>
  <c r="DP375" i="9"/>
  <c r="DP376" i="9"/>
  <c r="AL34" i="2"/>
  <c r="DH367" i="9"/>
  <c r="DF367" i="9"/>
  <c r="DL367" i="9"/>
  <c r="DN367" i="9"/>
  <c r="DQ392" i="9"/>
  <c r="DK342" i="9"/>
  <c r="DP392" i="9"/>
  <c r="DK392" i="9" s="1"/>
  <c r="DI342" i="9"/>
  <c r="DP380" i="9"/>
  <c r="DI330" i="9"/>
  <c r="CM246" i="9"/>
  <c r="CJ246" i="9"/>
  <c r="CL246" i="9"/>
  <c r="CQ246" i="9"/>
  <c r="CO246" i="9"/>
  <c r="CL214" i="9"/>
  <c r="CJ214" i="9"/>
  <c r="CM214" i="9"/>
  <c r="CQ214" i="9"/>
  <c r="CQ212" i="9"/>
  <c r="CL212" i="9"/>
  <c r="CJ212" i="9"/>
  <c r="CM212" i="9"/>
  <c r="CO212" i="9"/>
  <c r="DA303" i="9"/>
  <c r="DK303" i="9"/>
  <c r="CQ161" i="9"/>
  <c r="CJ161" i="9"/>
  <c r="CL161" i="9"/>
  <c r="CM161" i="9"/>
  <c r="CO161" i="9"/>
  <c r="CM263" i="9"/>
  <c r="CL263" i="9"/>
  <c r="CJ263" i="9"/>
  <c r="CQ263" i="9"/>
  <c r="CO263" i="9"/>
  <c r="CM52" i="9"/>
  <c r="CL52" i="9"/>
  <c r="CJ52" i="9"/>
  <c r="CQ52" i="9"/>
  <c r="CO52" i="9"/>
  <c r="CQ159" i="9"/>
  <c r="CL159" i="9"/>
  <c r="CJ159" i="9"/>
  <c r="CM159" i="9"/>
  <c r="CQ276" i="9"/>
  <c r="CL276" i="9"/>
  <c r="CJ276" i="9"/>
  <c r="CM276" i="9"/>
  <c r="CO276" i="9"/>
  <c r="CM297" i="9"/>
  <c r="CJ297" i="9"/>
  <c r="CL297" i="9"/>
  <c r="CQ297" i="9"/>
  <c r="CO297" i="9"/>
  <c r="CL244" i="9"/>
  <c r="CJ244" i="9"/>
  <c r="CQ244" i="9"/>
  <c r="CM244" i="9"/>
  <c r="CO244" i="9"/>
  <c r="CQ22" i="9"/>
  <c r="CL22" i="9"/>
  <c r="CJ22" i="9"/>
  <c r="CM22" i="9"/>
  <c r="CO22" i="9"/>
  <c r="CW197" i="9"/>
  <c r="CY197" i="9"/>
  <c r="DD197" i="9"/>
  <c r="CZ197" i="9"/>
  <c r="DB197" i="9"/>
  <c r="CY163" i="9"/>
  <c r="CW163" i="9"/>
  <c r="CZ163" i="9"/>
  <c r="DD163" i="9"/>
  <c r="CM46" i="9"/>
  <c r="CJ46" i="9"/>
  <c r="CL46" i="9"/>
  <c r="CQ46" i="9"/>
  <c r="CO46" i="9"/>
  <c r="CQ153" i="9"/>
  <c r="CJ153" i="9"/>
  <c r="CL153" i="9"/>
  <c r="CM153" i="9"/>
  <c r="CO153" i="9"/>
  <c r="CM54" i="9"/>
  <c r="CJ54" i="9"/>
  <c r="CL54" i="9"/>
  <c r="CQ54" i="9"/>
  <c r="CO54" i="9"/>
  <c r="DA32" i="9"/>
  <c r="DK32" i="9"/>
  <c r="DB69" i="9"/>
  <c r="CY69" i="9"/>
  <c r="CW69" i="9"/>
  <c r="DD69" i="9"/>
  <c r="CZ69" i="9"/>
  <c r="CM160" i="9"/>
  <c r="CJ160" i="9"/>
  <c r="CL160" i="9"/>
  <c r="CQ160" i="9"/>
  <c r="DL293" i="9"/>
  <c r="DJ293" i="9"/>
  <c r="DQ293" i="9"/>
  <c r="DM293" i="9"/>
  <c r="DO293" i="9"/>
  <c r="CZ179" i="9"/>
  <c r="CY179" i="9"/>
  <c r="CW179" i="9"/>
  <c r="DD179" i="9"/>
  <c r="DB179" i="9"/>
  <c r="DB77" i="9"/>
  <c r="CY77" i="9"/>
  <c r="CW77" i="9"/>
  <c r="CZ77" i="9"/>
  <c r="DD77" i="9"/>
  <c r="CJ236" i="9"/>
  <c r="CL236" i="9"/>
  <c r="CQ236" i="9"/>
  <c r="CM236" i="9"/>
  <c r="CO236" i="9"/>
  <c r="CU372" i="9"/>
  <c r="DC396" i="9"/>
  <c r="DW235" i="9"/>
  <c r="DY235" i="9"/>
  <c r="ED235" i="9"/>
  <c r="DZ235" i="9"/>
  <c r="EA235" i="9" s="1"/>
  <c r="DW219" i="9"/>
  <c r="DY219" i="9"/>
  <c r="ED219" i="9"/>
  <c r="DZ219" i="9"/>
  <c r="EA219" i="9" s="1"/>
  <c r="DW48" i="9"/>
  <c r="DY48" i="9"/>
  <c r="ED48" i="9"/>
  <c r="DZ48" i="9"/>
  <c r="EA48" i="9" s="1"/>
  <c r="CZ218" i="9"/>
  <c r="CY218" i="9"/>
  <c r="CW218" i="9"/>
  <c r="DD218" i="9"/>
  <c r="CJ302" i="9"/>
  <c r="CL302" i="9"/>
  <c r="CM302" i="9"/>
  <c r="CQ302" i="9"/>
  <c r="CO302" i="9"/>
  <c r="CM248" i="9"/>
  <c r="CL248" i="9"/>
  <c r="CJ248" i="9"/>
  <c r="CQ248" i="9"/>
  <c r="CO248" i="9"/>
  <c r="CM78" i="9"/>
  <c r="CJ78" i="9"/>
  <c r="CL78" i="9"/>
  <c r="CQ78" i="9"/>
  <c r="CO78" i="9"/>
  <c r="DB85" i="9"/>
  <c r="CY85" i="9"/>
  <c r="CW85" i="9"/>
  <c r="DD85" i="9"/>
  <c r="CZ85" i="9"/>
  <c r="CJ294" i="9"/>
  <c r="CL294" i="9"/>
  <c r="CM294" i="9"/>
  <c r="CQ294" i="9"/>
  <c r="CO294" i="9"/>
  <c r="DA168" i="9"/>
  <c r="DK168" i="9"/>
  <c r="DA253" i="9"/>
  <c r="DK253" i="9"/>
  <c r="BM370" i="9"/>
  <c r="BK350" i="9"/>
  <c r="BK370" i="9" s="1"/>
  <c r="BO371" i="9"/>
  <c r="BO372" i="9"/>
  <c r="BO370" i="9"/>
  <c r="CW27" i="9"/>
  <c r="CY27" i="9"/>
  <c r="DD27" i="9"/>
  <c r="CZ27" i="9"/>
  <c r="DB27" i="9"/>
  <c r="CJ97" i="9"/>
  <c r="CL97" i="9"/>
  <c r="CM97" i="9"/>
  <c r="CQ97" i="9"/>
  <c r="CO97" i="9"/>
  <c r="DN45" i="9"/>
  <c r="DX45" i="9"/>
  <c r="DN256" i="9"/>
  <c r="DX256" i="9"/>
  <c r="CQ127" i="9"/>
  <c r="CL127" i="9"/>
  <c r="CJ127" i="9"/>
  <c r="CM127" i="9"/>
  <c r="CQ188" i="9"/>
  <c r="CJ188" i="9"/>
  <c r="CL188" i="9"/>
  <c r="CM188" i="9"/>
  <c r="CO188" i="9"/>
  <c r="CA361" i="9"/>
  <c r="CA364" i="9"/>
  <c r="BZ364" i="9" s="1"/>
  <c r="BX364" i="9" s="1"/>
  <c r="CA362" i="9"/>
  <c r="BZ362" i="9" s="1"/>
  <c r="BX362" i="9" s="1"/>
  <c r="CA363" i="9"/>
  <c r="BZ363" i="9" s="1"/>
  <c r="BX363" i="9" s="1"/>
  <c r="CL75" i="9"/>
  <c r="CJ75" i="9"/>
  <c r="CM75" i="9"/>
  <c r="CQ75" i="9"/>
  <c r="CM257" i="9"/>
  <c r="CJ257" i="9"/>
  <c r="CL257" i="9"/>
  <c r="CQ257" i="9"/>
  <c r="CO257" i="9"/>
  <c r="CA356" i="9"/>
  <c r="BZ356" i="9" s="1"/>
  <c r="BX356" i="9" s="1"/>
  <c r="CA355" i="9"/>
  <c r="BZ355" i="9" s="1"/>
  <c r="BX355" i="9" s="1"/>
  <c r="CA354" i="9"/>
  <c r="BZ354" i="9" s="1"/>
  <c r="BX354" i="9" s="1"/>
  <c r="CD396" i="9"/>
  <c r="BX380" i="9"/>
  <c r="BX396" i="9" s="1"/>
  <c r="L17" i="10" s="1"/>
  <c r="CM259" i="9"/>
  <c r="CL259" i="9"/>
  <c r="CJ259" i="9"/>
  <c r="CQ259" i="9"/>
  <c r="CM274" i="9"/>
  <c r="CJ274" i="9"/>
  <c r="CL274" i="9"/>
  <c r="CQ274" i="9"/>
  <c r="CO274" i="9"/>
  <c r="CZ266" i="9"/>
  <c r="CY266" i="9"/>
  <c r="CW266" i="9"/>
  <c r="DD266" i="9"/>
  <c r="DB266" i="9"/>
  <c r="CJ240" i="9"/>
  <c r="CL240" i="9"/>
  <c r="CM240" i="9"/>
  <c r="CQ240" i="9"/>
  <c r="CO240" i="9"/>
  <c r="CY149" i="9"/>
  <c r="CW149" i="9"/>
  <c r="CZ149" i="9"/>
  <c r="DD149" i="9"/>
  <c r="CQ173" i="9"/>
  <c r="CL173" i="9"/>
  <c r="CJ173" i="9"/>
  <c r="CM173" i="9"/>
  <c r="CO173" i="9"/>
  <c r="CJ286" i="9"/>
  <c r="CL286" i="9"/>
  <c r="CM286" i="9"/>
  <c r="CQ286" i="9"/>
  <c r="CO286" i="9"/>
  <c r="CA357" i="9"/>
  <c r="CJ18" i="9"/>
  <c r="CL18" i="9"/>
  <c r="CM18" i="9"/>
  <c r="CQ18" i="9"/>
  <c r="EB48" i="9"/>
  <c r="DR320" i="9"/>
  <c r="EC5" i="9"/>
  <c r="DT5" i="9"/>
  <c r="DS5" i="9"/>
  <c r="EC9" i="9"/>
  <c r="DT9" i="9"/>
  <c r="DU9" i="9" s="1"/>
  <c r="DS9" i="9"/>
  <c r="EC13" i="9"/>
  <c r="DT13" i="9"/>
  <c r="DU13" i="9" s="1"/>
  <c r="DS13" i="9"/>
  <c r="EC17" i="9"/>
  <c r="DT17" i="9"/>
  <c r="DU17" i="9" s="1"/>
  <c r="DS17" i="9"/>
  <c r="EC21" i="9"/>
  <c r="DT21" i="9"/>
  <c r="DU21" i="9" s="1"/>
  <c r="DS21" i="9"/>
  <c r="EC25" i="9"/>
  <c r="DT25" i="9"/>
  <c r="DU25" i="9" s="1"/>
  <c r="DS25" i="9"/>
  <c r="DS29" i="9"/>
  <c r="EC29" i="9"/>
  <c r="DT29" i="9"/>
  <c r="DU29" i="9" s="1"/>
  <c r="DS33" i="9"/>
  <c r="EC33" i="9"/>
  <c r="DT33" i="9"/>
  <c r="DU33" i="9" s="1"/>
  <c r="DS37" i="9"/>
  <c r="EC37" i="9"/>
  <c r="DT37" i="9"/>
  <c r="DU37" i="9" s="1"/>
  <c r="DS41" i="9"/>
  <c r="EC41" i="9"/>
  <c r="DT41" i="9"/>
  <c r="DU41" i="9" s="1"/>
  <c r="DS45" i="9"/>
  <c r="EC45" i="9"/>
  <c r="DT45" i="9"/>
  <c r="DU45" i="9" s="1"/>
  <c r="DS49" i="9"/>
  <c r="EC49" i="9"/>
  <c r="DT49" i="9"/>
  <c r="DU49" i="9" s="1"/>
  <c r="DS53" i="9"/>
  <c r="EC53" i="9"/>
  <c r="DT53" i="9"/>
  <c r="DU53" i="9" s="1"/>
  <c r="DS57" i="9"/>
  <c r="EC57" i="9"/>
  <c r="DT57" i="9"/>
  <c r="DU57" i="9" s="1"/>
  <c r="DS61" i="9"/>
  <c r="EC61" i="9"/>
  <c r="DT61" i="9"/>
  <c r="DU61" i="9" s="1"/>
  <c r="DS65" i="9"/>
  <c r="EC65" i="9"/>
  <c r="DT65" i="9"/>
  <c r="DU65" i="9" s="1"/>
  <c r="DS69" i="9"/>
  <c r="EC69" i="9"/>
  <c r="DT69" i="9"/>
  <c r="DU69" i="9" s="1"/>
  <c r="DS73" i="9"/>
  <c r="EC73" i="9"/>
  <c r="DT73" i="9"/>
  <c r="DU73" i="9" s="1"/>
  <c r="DS77" i="9"/>
  <c r="EC77" i="9"/>
  <c r="DT77" i="9"/>
  <c r="DU77" i="9" s="1"/>
  <c r="DS81" i="9"/>
  <c r="EC81" i="9"/>
  <c r="DT81" i="9"/>
  <c r="DU81" i="9" s="1"/>
  <c r="DS85" i="9"/>
  <c r="DT85" i="9"/>
  <c r="DU85" i="9" s="1"/>
  <c r="EC85" i="9"/>
  <c r="EC89" i="9"/>
  <c r="DT89" i="9"/>
  <c r="DU89" i="9" s="1"/>
  <c r="DS89" i="9"/>
  <c r="EC93" i="9"/>
  <c r="DT93" i="9"/>
  <c r="DU93" i="9" s="1"/>
  <c r="DS93" i="9"/>
  <c r="EC97" i="9"/>
  <c r="DT97" i="9"/>
  <c r="DU97" i="9" s="1"/>
  <c r="DS97" i="9"/>
  <c r="EC101" i="9"/>
  <c r="DT101" i="9"/>
  <c r="DU101" i="9" s="1"/>
  <c r="DS101" i="9"/>
  <c r="EC105" i="9"/>
  <c r="DT105" i="9"/>
  <c r="DU105" i="9" s="1"/>
  <c r="DS105" i="9"/>
  <c r="EC109" i="9"/>
  <c r="DT109" i="9"/>
  <c r="DU109" i="9" s="1"/>
  <c r="DS109" i="9"/>
  <c r="EC113" i="9"/>
  <c r="DT113" i="9"/>
  <c r="DU113" i="9" s="1"/>
  <c r="DS113" i="9"/>
  <c r="EC117" i="9"/>
  <c r="DT117" i="9"/>
  <c r="DU117" i="9" s="1"/>
  <c r="DS117" i="9"/>
  <c r="EC121" i="9"/>
  <c r="DT121" i="9"/>
  <c r="DU121" i="9" s="1"/>
  <c r="DS121" i="9"/>
  <c r="EC125" i="9"/>
  <c r="DT125" i="9"/>
  <c r="DU125" i="9" s="1"/>
  <c r="DS125" i="9"/>
  <c r="EC129" i="9"/>
  <c r="DT129" i="9"/>
  <c r="DU129" i="9" s="1"/>
  <c r="DS129" i="9"/>
  <c r="EC133" i="9"/>
  <c r="DT133" i="9"/>
  <c r="DU133" i="9" s="1"/>
  <c r="DS133" i="9"/>
  <c r="EC137" i="9"/>
  <c r="DT137" i="9"/>
  <c r="DU137" i="9" s="1"/>
  <c r="DS137" i="9"/>
  <c r="EC141" i="9"/>
  <c r="DT141" i="9"/>
  <c r="DU141" i="9" s="1"/>
  <c r="DS141" i="9"/>
  <c r="EC145" i="9"/>
  <c r="DT145" i="9"/>
  <c r="DU145" i="9" s="1"/>
  <c r="DS145" i="9"/>
  <c r="EC149" i="9"/>
  <c r="DT149" i="9"/>
  <c r="DU149" i="9" s="1"/>
  <c r="DS149" i="9"/>
  <c r="EC153" i="9"/>
  <c r="DT153" i="9"/>
  <c r="DU153" i="9" s="1"/>
  <c r="DS153" i="9"/>
  <c r="EC157" i="9"/>
  <c r="DT157" i="9"/>
  <c r="DU157" i="9" s="1"/>
  <c r="DS157" i="9"/>
  <c r="EC161" i="9"/>
  <c r="DT161" i="9"/>
  <c r="DU161" i="9" s="1"/>
  <c r="DS161" i="9"/>
  <c r="EC165" i="9"/>
  <c r="DT165" i="9"/>
  <c r="DU165" i="9" s="1"/>
  <c r="DS165" i="9"/>
  <c r="EC169" i="9"/>
  <c r="DT169" i="9"/>
  <c r="DU169" i="9" s="1"/>
  <c r="DS169" i="9"/>
  <c r="EC173" i="9"/>
  <c r="DT173" i="9"/>
  <c r="DU173" i="9" s="1"/>
  <c r="DS173" i="9"/>
  <c r="EC177" i="9"/>
  <c r="DT177" i="9"/>
  <c r="DU177" i="9" s="1"/>
  <c r="DS177" i="9"/>
  <c r="EC181" i="9"/>
  <c r="DT181" i="9"/>
  <c r="DU181" i="9" s="1"/>
  <c r="DS181" i="9"/>
  <c r="EC185" i="9"/>
  <c r="DT185" i="9"/>
  <c r="DU185" i="9" s="1"/>
  <c r="DS185" i="9"/>
  <c r="DS189" i="9"/>
  <c r="EC189" i="9"/>
  <c r="DT189" i="9"/>
  <c r="DU189" i="9" s="1"/>
  <c r="DS193" i="9"/>
  <c r="EC193" i="9"/>
  <c r="DT193" i="9"/>
  <c r="DU193" i="9" s="1"/>
  <c r="DS197" i="9"/>
  <c r="EC197" i="9"/>
  <c r="DT197" i="9"/>
  <c r="DU197" i="9" s="1"/>
  <c r="DS201" i="9"/>
  <c r="EC201" i="9"/>
  <c r="DT201" i="9"/>
  <c r="DU201" i="9" s="1"/>
  <c r="DS205" i="9"/>
  <c r="EC205" i="9"/>
  <c r="DT205" i="9"/>
  <c r="DU205" i="9" s="1"/>
  <c r="DS209" i="9"/>
  <c r="EC209" i="9"/>
  <c r="DT209" i="9"/>
  <c r="DU209" i="9" s="1"/>
  <c r="DS213" i="9"/>
  <c r="EC213" i="9"/>
  <c r="DT213" i="9"/>
  <c r="DU213" i="9" s="1"/>
  <c r="DS217" i="9"/>
  <c r="EC217" i="9"/>
  <c r="DT217" i="9"/>
  <c r="DU217" i="9" s="1"/>
  <c r="DS221" i="9"/>
  <c r="EC221" i="9"/>
  <c r="DT221" i="9"/>
  <c r="DU221" i="9" s="1"/>
  <c r="DS225" i="9"/>
  <c r="EC225" i="9"/>
  <c r="DT225" i="9"/>
  <c r="DU225" i="9" s="1"/>
  <c r="DS229" i="9"/>
  <c r="EC229" i="9"/>
  <c r="DT229" i="9"/>
  <c r="DU229" i="9" s="1"/>
  <c r="DS233" i="9"/>
  <c r="EC233" i="9"/>
  <c r="DT233" i="9"/>
  <c r="DU233" i="9" s="1"/>
  <c r="DS240" i="9"/>
  <c r="EC240" i="9"/>
  <c r="DT240" i="9"/>
  <c r="DU240" i="9" s="1"/>
  <c r="DS235" i="9"/>
  <c r="EC235" i="9"/>
  <c r="DT235" i="9"/>
  <c r="DU235" i="9" s="1"/>
  <c r="DS243" i="9"/>
  <c r="EC243" i="9"/>
  <c r="DT243" i="9"/>
  <c r="DU243" i="9" s="1"/>
  <c r="DS249" i="9"/>
  <c r="EC249" i="9"/>
  <c r="DT249" i="9"/>
  <c r="DU249" i="9" s="1"/>
  <c r="DS253" i="9"/>
  <c r="EC253" i="9"/>
  <c r="DT253" i="9"/>
  <c r="DU253" i="9" s="1"/>
  <c r="DS257" i="9"/>
  <c r="EC257" i="9"/>
  <c r="DT257" i="9"/>
  <c r="DU257" i="9" s="1"/>
  <c r="DS261" i="9"/>
  <c r="EC261" i="9"/>
  <c r="DT261" i="9"/>
  <c r="DU261" i="9" s="1"/>
  <c r="DS265" i="9"/>
  <c r="EC265" i="9"/>
  <c r="DT265" i="9"/>
  <c r="DU265" i="9" s="1"/>
  <c r="DS269" i="9"/>
  <c r="EC269" i="9"/>
  <c r="DT269" i="9"/>
  <c r="DU269" i="9" s="1"/>
  <c r="DS273" i="9"/>
  <c r="EC273" i="9"/>
  <c r="DT273" i="9"/>
  <c r="DU273" i="9" s="1"/>
  <c r="DS277" i="9"/>
  <c r="EC277" i="9"/>
  <c r="DT277" i="9"/>
  <c r="DU277" i="9" s="1"/>
  <c r="DS281" i="9"/>
  <c r="DT281" i="9"/>
  <c r="DU281" i="9" s="1"/>
  <c r="EC281" i="9"/>
  <c r="DS285" i="9"/>
  <c r="DT285" i="9"/>
  <c r="DU285" i="9" s="1"/>
  <c r="EC285" i="9"/>
  <c r="DS289" i="9"/>
  <c r="DT289" i="9"/>
  <c r="DU289" i="9" s="1"/>
  <c r="EC289" i="9"/>
  <c r="DS293" i="9"/>
  <c r="DT293" i="9"/>
  <c r="DU293" i="9" s="1"/>
  <c r="EC293" i="9"/>
  <c r="DS297" i="9"/>
  <c r="EC297" i="9"/>
  <c r="DT297" i="9"/>
  <c r="DU297" i="9" s="1"/>
  <c r="DS301" i="9"/>
  <c r="EC301" i="9"/>
  <c r="DT301" i="9"/>
  <c r="DU301" i="9" s="1"/>
  <c r="DS305" i="9"/>
  <c r="EC305" i="9"/>
  <c r="DT305" i="9"/>
  <c r="DU305" i="9" s="1"/>
  <c r="DS309" i="9"/>
  <c r="DT309" i="9"/>
  <c r="DU309" i="9" s="1"/>
  <c r="EC309" i="9"/>
  <c r="DS313" i="9"/>
  <c r="DT313" i="9"/>
  <c r="DU313" i="9" s="1"/>
  <c r="EC313" i="9"/>
  <c r="DS317" i="9"/>
  <c r="DT317" i="9"/>
  <c r="DU317" i="9" s="1"/>
  <c r="EC317" i="9"/>
  <c r="EC6" i="9"/>
  <c r="DT6" i="9"/>
  <c r="DU6" i="9" s="1"/>
  <c r="DS6" i="9"/>
  <c r="EC10" i="9"/>
  <c r="DT10" i="9"/>
  <c r="DU10" i="9" s="1"/>
  <c r="DS10" i="9"/>
  <c r="EC14" i="9"/>
  <c r="DT14" i="9"/>
  <c r="DU14" i="9" s="1"/>
  <c r="DS14" i="9"/>
  <c r="EC18" i="9"/>
  <c r="DT18" i="9"/>
  <c r="DU18" i="9" s="1"/>
  <c r="DS18" i="9"/>
  <c r="EC22" i="9"/>
  <c r="DT22" i="9"/>
  <c r="DU22" i="9" s="1"/>
  <c r="DS22" i="9"/>
  <c r="EC26" i="9"/>
  <c r="DT26" i="9"/>
  <c r="DU26" i="9" s="1"/>
  <c r="DS26" i="9"/>
  <c r="DS30" i="9"/>
  <c r="EC30" i="9"/>
  <c r="DT30" i="9"/>
  <c r="DU30" i="9" s="1"/>
  <c r="DS34" i="9"/>
  <c r="EC34" i="9"/>
  <c r="DT34" i="9"/>
  <c r="DU34" i="9" s="1"/>
  <c r="DS38" i="9"/>
  <c r="EC38" i="9"/>
  <c r="DT38" i="9"/>
  <c r="DU38" i="9" s="1"/>
  <c r="DS42" i="9"/>
  <c r="EC42" i="9"/>
  <c r="DT42" i="9"/>
  <c r="DU42" i="9" s="1"/>
  <c r="DS46" i="9"/>
  <c r="EC46" i="9"/>
  <c r="DT46" i="9"/>
  <c r="DU46" i="9" s="1"/>
  <c r="DS50" i="9"/>
  <c r="EC50" i="9"/>
  <c r="DT50" i="9"/>
  <c r="DU50" i="9" s="1"/>
  <c r="DS54" i="9"/>
  <c r="EC54" i="9"/>
  <c r="DT54" i="9"/>
  <c r="DU54" i="9" s="1"/>
  <c r="DS58" i="9"/>
  <c r="EC58" i="9"/>
  <c r="DT58" i="9"/>
  <c r="DU58" i="9" s="1"/>
  <c r="DS62" i="9"/>
  <c r="EC62" i="9"/>
  <c r="DT62" i="9"/>
  <c r="DU62" i="9" s="1"/>
  <c r="DS66" i="9"/>
  <c r="EC66" i="9"/>
  <c r="DT66" i="9"/>
  <c r="DU66" i="9" s="1"/>
  <c r="DS70" i="9"/>
  <c r="EC70" i="9"/>
  <c r="DT70" i="9"/>
  <c r="DU70" i="9" s="1"/>
  <c r="DS74" i="9"/>
  <c r="EC74" i="9"/>
  <c r="DT74" i="9"/>
  <c r="DU74" i="9" s="1"/>
  <c r="DS78" i="9"/>
  <c r="EC78" i="9"/>
  <c r="DT78" i="9"/>
  <c r="DU78" i="9" s="1"/>
  <c r="DS82" i="9"/>
  <c r="EC82" i="9"/>
  <c r="DT82" i="9"/>
  <c r="DU82" i="9" s="1"/>
  <c r="EC86" i="9"/>
  <c r="DT86" i="9"/>
  <c r="DU86" i="9" s="1"/>
  <c r="DS86" i="9"/>
  <c r="EC90" i="9"/>
  <c r="DT90" i="9"/>
  <c r="DU90" i="9" s="1"/>
  <c r="DS90" i="9"/>
  <c r="EC94" i="9"/>
  <c r="DT94" i="9"/>
  <c r="DU94" i="9" s="1"/>
  <c r="DS94" i="9"/>
  <c r="EC98" i="9"/>
  <c r="DT98" i="9"/>
  <c r="DU98" i="9" s="1"/>
  <c r="DS98" i="9"/>
  <c r="EC102" i="9"/>
  <c r="DT102" i="9"/>
  <c r="DU102" i="9" s="1"/>
  <c r="DS102" i="9"/>
  <c r="EC106" i="9"/>
  <c r="DT106" i="9"/>
  <c r="DU106" i="9" s="1"/>
  <c r="DS106" i="9"/>
  <c r="EC110" i="9"/>
  <c r="DT110" i="9"/>
  <c r="DU110" i="9" s="1"/>
  <c r="DS110" i="9"/>
  <c r="EC114" i="9"/>
  <c r="DT114" i="9"/>
  <c r="DU114" i="9" s="1"/>
  <c r="DS114" i="9"/>
  <c r="EC118" i="9"/>
  <c r="DT118" i="9"/>
  <c r="DU118" i="9" s="1"/>
  <c r="DS118" i="9"/>
  <c r="EC122" i="9"/>
  <c r="DT122" i="9"/>
  <c r="DU122" i="9" s="1"/>
  <c r="DS122" i="9"/>
  <c r="EC126" i="9"/>
  <c r="DT126" i="9"/>
  <c r="DU126" i="9" s="1"/>
  <c r="DS126" i="9"/>
  <c r="EC130" i="9"/>
  <c r="DT130" i="9"/>
  <c r="DU130" i="9" s="1"/>
  <c r="DS130" i="9"/>
  <c r="EC134" i="9"/>
  <c r="DT134" i="9"/>
  <c r="DU134" i="9" s="1"/>
  <c r="DS134" i="9"/>
  <c r="EC138" i="9"/>
  <c r="DT138" i="9"/>
  <c r="DU138" i="9" s="1"/>
  <c r="DS138" i="9"/>
  <c r="EC142" i="9"/>
  <c r="DT142" i="9"/>
  <c r="DU142" i="9" s="1"/>
  <c r="DS142" i="9"/>
  <c r="EC146" i="9"/>
  <c r="DT146" i="9"/>
  <c r="DU146" i="9" s="1"/>
  <c r="DS146" i="9"/>
  <c r="EC150" i="9"/>
  <c r="DT150" i="9"/>
  <c r="DU150" i="9" s="1"/>
  <c r="DS150" i="9"/>
  <c r="EC154" i="9"/>
  <c r="DT154" i="9"/>
  <c r="DU154" i="9" s="1"/>
  <c r="DS154" i="9"/>
  <c r="EC158" i="9"/>
  <c r="DT158" i="9"/>
  <c r="DU158" i="9" s="1"/>
  <c r="DS158" i="9"/>
  <c r="EC162" i="9"/>
  <c r="DT162" i="9"/>
  <c r="DU162" i="9" s="1"/>
  <c r="DS162" i="9"/>
  <c r="EC166" i="9"/>
  <c r="DT166" i="9"/>
  <c r="DU166" i="9" s="1"/>
  <c r="DS166" i="9"/>
  <c r="EC170" i="9"/>
  <c r="DT170" i="9"/>
  <c r="DU170" i="9" s="1"/>
  <c r="DS170" i="9"/>
  <c r="EC174" i="9"/>
  <c r="DT174" i="9"/>
  <c r="DU174" i="9" s="1"/>
  <c r="DS174" i="9"/>
  <c r="EC178" i="9"/>
  <c r="DT178" i="9"/>
  <c r="DU178" i="9" s="1"/>
  <c r="DS178" i="9"/>
  <c r="EC182" i="9"/>
  <c r="DT182" i="9"/>
  <c r="DU182" i="9" s="1"/>
  <c r="DS182" i="9"/>
  <c r="EC186" i="9"/>
  <c r="DT186" i="9"/>
  <c r="DU186" i="9" s="1"/>
  <c r="DS186" i="9"/>
  <c r="DS190" i="9"/>
  <c r="EC190" i="9"/>
  <c r="DT190" i="9"/>
  <c r="DU190" i="9" s="1"/>
  <c r="DS194" i="9"/>
  <c r="EC194" i="9"/>
  <c r="DT194" i="9"/>
  <c r="DU194" i="9" s="1"/>
  <c r="DS198" i="9"/>
  <c r="EC198" i="9"/>
  <c r="DT198" i="9"/>
  <c r="DU198" i="9" s="1"/>
  <c r="DS202" i="9"/>
  <c r="EC202" i="9"/>
  <c r="DT202" i="9"/>
  <c r="DU202" i="9" s="1"/>
  <c r="DS206" i="9"/>
  <c r="EC206" i="9"/>
  <c r="DT206" i="9"/>
  <c r="DU206" i="9" s="1"/>
  <c r="DS210" i="9"/>
  <c r="EC210" i="9"/>
  <c r="DT210" i="9"/>
  <c r="DU210" i="9" s="1"/>
  <c r="DS214" i="9"/>
  <c r="EC214" i="9"/>
  <c r="DT214" i="9"/>
  <c r="DU214" i="9" s="1"/>
  <c r="DS218" i="9"/>
  <c r="EC218" i="9"/>
  <c r="DT218" i="9"/>
  <c r="DU218" i="9" s="1"/>
  <c r="DS222" i="9"/>
  <c r="EC222" i="9"/>
  <c r="DT222" i="9"/>
  <c r="DU222" i="9" s="1"/>
  <c r="DS226" i="9"/>
  <c r="EC226" i="9"/>
  <c r="DT226" i="9"/>
  <c r="DU226" i="9" s="1"/>
  <c r="DS230" i="9"/>
  <c r="EC230" i="9"/>
  <c r="DT230" i="9"/>
  <c r="DU230" i="9" s="1"/>
  <c r="DS234" i="9"/>
  <c r="EC234" i="9"/>
  <c r="DT234" i="9"/>
  <c r="DU234" i="9" s="1"/>
  <c r="DS242" i="9"/>
  <c r="EC242" i="9"/>
  <c r="DT242" i="9"/>
  <c r="DU242" i="9" s="1"/>
  <c r="DS237" i="9"/>
  <c r="EC237" i="9"/>
  <c r="DT237" i="9"/>
  <c r="DU237" i="9" s="1"/>
  <c r="DS245" i="9"/>
  <c r="EC245" i="9"/>
  <c r="DT245" i="9"/>
  <c r="DU245" i="9" s="1"/>
  <c r="DS250" i="9"/>
  <c r="EC250" i="9"/>
  <c r="DT250" i="9"/>
  <c r="DU250" i="9" s="1"/>
  <c r="DS254" i="9"/>
  <c r="EC254" i="9"/>
  <c r="DT254" i="9"/>
  <c r="DU254" i="9" s="1"/>
  <c r="DS258" i="9"/>
  <c r="EC258" i="9"/>
  <c r="DT258" i="9"/>
  <c r="DU258" i="9" s="1"/>
  <c r="DS262" i="9"/>
  <c r="EC262" i="9"/>
  <c r="DT262" i="9"/>
  <c r="DU262" i="9" s="1"/>
  <c r="DS266" i="9"/>
  <c r="EC266" i="9"/>
  <c r="DT266" i="9"/>
  <c r="DU266" i="9" s="1"/>
  <c r="DS270" i="9"/>
  <c r="EC270" i="9"/>
  <c r="DT270" i="9"/>
  <c r="DU270" i="9" s="1"/>
  <c r="DS274" i="9"/>
  <c r="EC274" i="9"/>
  <c r="DT274" i="9"/>
  <c r="DU274" i="9" s="1"/>
  <c r="EC278" i="9"/>
  <c r="DT278" i="9"/>
  <c r="DU278" i="9" s="1"/>
  <c r="DS278" i="9"/>
  <c r="EC282" i="9"/>
  <c r="DT282" i="9"/>
  <c r="DU282" i="9" s="1"/>
  <c r="DS282" i="9"/>
  <c r="EC286" i="9"/>
  <c r="DT286" i="9"/>
  <c r="DU286" i="9" s="1"/>
  <c r="DS286" i="9"/>
  <c r="EC290" i="9"/>
  <c r="DT290" i="9"/>
  <c r="DU290" i="9" s="1"/>
  <c r="DS290" i="9"/>
  <c r="DS294" i="9"/>
  <c r="EC294" i="9"/>
  <c r="DT294" i="9"/>
  <c r="DU294" i="9" s="1"/>
  <c r="DS298" i="9"/>
  <c r="EC298" i="9"/>
  <c r="DT298" i="9"/>
  <c r="DU298" i="9" s="1"/>
  <c r="DS302" i="9"/>
  <c r="EC302" i="9"/>
  <c r="DT302" i="9"/>
  <c r="DU302" i="9" s="1"/>
  <c r="DS306" i="9"/>
  <c r="EC306" i="9"/>
  <c r="DT306" i="9"/>
  <c r="DU306" i="9" s="1"/>
  <c r="EC310" i="9"/>
  <c r="DT310" i="9"/>
  <c r="DU310" i="9" s="1"/>
  <c r="DS310" i="9"/>
  <c r="EC314" i="9"/>
  <c r="DT314" i="9"/>
  <c r="DU314" i="9" s="1"/>
  <c r="DS314" i="9"/>
  <c r="EC318" i="9"/>
  <c r="DT318" i="9"/>
  <c r="DU318" i="9" s="1"/>
  <c r="DS318" i="9"/>
  <c r="AL13" i="2"/>
  <c r="DI325" i="9"/>
  <c r="CM152" i="9"/>
  <c r="CJ152" i="9"/>
  <c r="CL152" i="9"/>
  <c r="CQ152" i="9"/>
  <c r="CO214" i="9"/>
  <c r="CL10" i="9"/>
  <c r="CJ10" i="9"/>
  <c r="CM10" i="9"/>
  <c r="CQ10" i="9"/>
  <c r="CO10" i="9"/>
  <c r="CY292" i="9"/>
  <c r="CW292" i="9"/>
  <c r="CZ292" i="9"/>
  <c r="DD292" i="9"/>
  <c r="CM86" i="9"/>
  <c r="CJ86" i="9"/>
  <c r="CL86" i="9"/>
  <c r="CQ86" i="9"/>
  <c r="CO86" i="9"/>
  <c r="CZ101" i="9"/>
  <c r="CY101" i="9"/>
  <c r="CW101" i="9"/>
  <c r="DD101" i="9"/>
  <c r="DB101" i="9"/>
  <c r="CL226" i="9"/>
  <c r="CJ226" i="9"/>
  <c r="CM226" i="9"/>
  <c r="CQ226" i="9"/>
  <c r="CO226" i="9"/>
  <c r="CW31" i="9"/>
  <c r="CY31" i="9"/>
  <c r="DD31" i="9"/>
  <c r="CZ31" i="9"/>
  <c r="EB219" i="9"/>
  <c r="CQ182" i="9"/>
  <c r="CL182" i="9"/>
  <c r="CJ182" i="9"/>
  <c r="CM182" i="9"/>
  <c r="CQ314" i="9"/>
  <c r="CJ314" i="9"/>
  <c r="CL314" i="9"/>
  <c r="CM314" i="9"/>
  <c r="CY11" i="9"/>
  <c r="CW11" i="9"/>
  <c r="CZ11" i="9"/>
  <c r="DD11" i="9"/>
  <c r="DB11" i="9"/>
  <c r="CL278" i="9"/>
  <c r="CJ278" i="9"/>
  <c r="CM278" i="9"/>
  <c r="CQ278" i="9"/>
  <c r="CW124" i="9"/>
  <c r="CY124" i="9"/>
  <c r="CZ124" i="9"/>
  <c r="DD124" i="9"/>
  <c r="CW35" i="9"/>
  <c r="CY35" i="9"/>
  <c r="DD35" i="9"/>
  <c r="CZ35" i="9"/>
  <c r="CQ34" i="9"/>
  <c r="CL34" i="9"/>
  <c r="CJ34" i="9"/>
  <c r="CM34" i="9"/>
  <c r="CM319" i="9"/>
  <c r="CJ319" i="9"/>
  <c r="CL319" i="9"/>
  <c r="CQ319" i="9"/>
  <c r="CJ177" i="9"/>
  <c r="CL177" i="9"/>
  <c r="CM177" i="9"/>
  <c r="CQ177" i="9"/>
  <c r="DB142" i="9"/>
  <c r="CZ210" i="9"/>
  <c r="CY210" i="9"/>
  <c r="CW210" i="9"/>
  <c r="DD210" i="9"/>
  <c r="DB210" i="9"/>
  <c r="CL14" i="9"/>
  <c r="CJ14" i="9"/>
  <c r="CQ14" i="9"/>
  <c r="CM14" i="9"/>
  <c r="CM96" i="9"/>
  <c r="CL96" i="9"/>
  <c r="CJ96" i="9"/>
  <c r="CQ96" i="9"/>
  <c r="CM281" i="9"/>
  <c r="CJ281" i="9"/>
  <c r="CL281" i="9"/>
  <c r="CQ281" i="9"/>
  <c r="CO281" i="9"/>
  <c r="CM270" i="9"/>
  <c r="CJ270" i="9"/>
  <c r="CL270" i="9"/>
  <c r="CQ270" i="9"/>
  <c r="CO270" i="9"/>
  <c r="CA358" i="9"/>
  <c r="BZ358" i="9" s="1"/>
  <c r="BX358" i="9" s="1"/>
  <c r="CA359" i="9"/>
  <c r="BZ359" i="9" s="1"/>
  <c r="BX359" i="9" s="1"/>
  <c r="CA360" i="9"/>
  <c r="BZ360" i="9" s="1"/>
  <c r="BX360" i="9" s="1"/>
  <c r="CL83" i="9"/>
  <c r="CJ83" i="9"/>
  <c r="CM83" i="9"/>
  <c r="CQ83" i="9"/>
  <c r="CO83" i="9"/>
  <c r="CM42" i="9"/>
  <c r="CJ42" i="9"/>
  <c r="CL42" i="9"/>
  <c r="CQ42" i="9"/>
  <c r="CK324" i="9"/>
  <c r="CK326" i="9"/>
  <c r="CK327" i="9"/>
  <c r="CK325" i="9"/>
  <c r="BV452" i="9"/>
  <c r="K9" i="10"/>
  <c r="CM247" i="9"/>
  <c r="CL247" i="9"/>
  <c r="CJ247" i="9"/>
  <c r="CQ247" i="9"/>
  <c r="CO247" i="9"/>
  <c r="CM231" i="9"/>
  <c r="CJ231" i="9"/>
  <c r="CL231" i="9"/>
  <c r="CQ231" i="9"/>
  <c r="CQ141" i="9"/>
  <c r="CL141" i="9"/>
  <c r="CJ141" i="9"/>
  <c r="CM141" i="9"/>
  <c r="CO141" i="9"/>
  <c r="BJ361" i="9"/>
  <c r="CJ232" i="9"/>
  <c r="CL232" i="9"/>
  <c r="CM232" i="9"/>
  <c r="CQ232" i="9"/>
  <c r="CO232" i="9"/>
  <c r="CJ89" i="9"/>
  <c r="CL89" i="9"/>
  <c r="CM89" i="9"/>
  <c r="CQ89" i="9"/>
  <c r="CO89" i="9"/>
  <c r="CJ282" i="9"/>
  <c r="CL282" i="9"/>
  <c r="CQ282" i="9"/>
  <c r="CM282" i="9"/>
  <c r="CM309" i="9"/>
  <c r="CJ309" i="9"/>
  <c r="CL309" i="9"/>
  <c r="CQ309" i="9"/>
  <c r="CO309" i="9"/>
  <c r="CM252" i="9"/>
  <c r="CL252" i="9"/>
  <c r="CJ252" i="9"/>
  <c r="CQ252" i="9"/>
  <c r="CY133" i="9"/>
  <c r="CW133" i="9"/>
  <c r="CZ133" i="9"/>
  <c r="DD133" i="9"/>
  <c r="CJ9" i="9"/>
  <c r="CL9" i="9"/>
  <c r="CQ9" i="9"/>
  <c r="CM9" i="9"/>
  <c r="CO9" i="9"/>
  <c r="CQ17" i="9"/>
  <c r="CJ17" i="9"/>
  <c r="CL17" i="9"/>
  <c r="CM17" i="9"/>
  <c r="CJ25" i="9"/>
  <c r="CL25" i="9"/>
  <c r="CM25" i="9"/>
  <c r="CQ25" i="9"/>
  <c r="CJ33" i="9"/>
  <c r="CL33" i="9"/>
  <c r="CM33" i="9"/>
  <c r="CQ33" i="9"/>
  <c r="CJ37" i="9"/>
  <c r="CL37" i="9"/>
  <c r="CM37" i="9"/>
  <c r="CQ37" i="9"/>
  <c r="CM255" i="9"/>
  <c r="CL255" i="9"/>
  <c r="CJ255" i="9"/>
  <c r="CQ255" i="9"/>
  <c r="CM84" i="9"/>
  <c r="CL84" i="9"/>
  <c r="CJ84" i="9"/>
  <c r="CQ84" i="9"/>
  <c r="CO84" i="9"/>
  <c r="CM68" i="9"/>
  <c r="CL68" i="9"/>
  <c r="CJ68" i="9"/>
  <c r="CQ68" i="9"/>
  <c r="CO68" i="9"/>
  <c r="CQ165" i="9"/>
  <c r="CL165" i="9"/>
  <c r="CJ165" i="9"/>
  <c r="CM165" i="9"/>
  <c r="CO165" i="9"/>
  <c r="DH357" i="9"/>
  <c r="DH360" i="9"/>
  <c r="DF357" i="9"/>
  <c r="DF359" i="9"/>
  <c r="DF360" i="9"/>
  <c r="DF356" i="9"/>
  <c r="DF354" i="9"/>
  <c r="DF355" i="9"/>
  <c r="DP378" i="9"/>
  <c r="DH353" i="9"/>
  <c r="DF320" i="9"/>
  <c r="DH5" i="9"/>
  <c r="DH320" i="9" s="1"/>
  <c r="DG320" i="9"/>
  <c r="DW298" i="9"/>
  <c r="DY298" i="9"/>
  <c r="DZ298" i="9"/>
  <c r="EA298" i="9" s="1"/>
  <c r="ED298" i="9"/>
  <c r="EB298" i="9"/>
  <c r="DX431" i="9"/>
  <c r="CM279" i="9"/>
  <c r="CL279" i="9"/>
  <c r="CJ279" i="9"/>
  <c r="CQ279" i="9"/>
  <c r="CO279" i="9"/>
  <c r="CO96" i="9"/>
  <c r="CL43" i="9"/>
  <c r="CJ43" i="9"/>
  <c r="CM43" i="9"/>
  <c r="CQ43" i="9"/>
  <c r="CO43" i="9"/>
  <c r="CJ146" i="9"/>
  <c r="CL146" i="9"/>
  <c r="CM146" i="9"/>
  <c r="CQ146" i="9"/>
  <c r="CM108" i="9"/>
  <c r="CL108" i="9"/>
  <c r="CJ108" i="9"/>
  <c r="CQ108" i="9"/>
  <c r="CO108" i="9"/>
  <c r="CQ196" i="9"/>
  <c r="CL196" i="9"/>
  <c r="CJ196" i="9"/>
  <c r="CM196" i="9"/>
  <c r="CO196" i="9"/>
  <c r="CM90" i="9"/>
  <c r="CJ90" i="9"/>
  <c r="CL90" i="9"/>
  <c r="CQ90" i="9"/>
  <c r="CJ81" i="9"/>
  <c r="CL81" i="9"/>
  <c r="CM81" i="9"/>
  <c r="CQ81" i="9"/>
  <c r="CO81" i="9"/>
  <c r="CO100" i="9"/>
  <c r="DN260" i="9"/>
  <c r="DX260" i="9"/>
  <c r="DN62" i="9"/>
  <c r="DX62" i="9"/>
  <c r="CQ174" i="9"/>
  <c r="CL174" i="9"/>
  <c r="CJ174" i="9"/>
  <c r="CM174" i="9"/>
  <c r="CO174" i="9"/>
  <c r="CJ23" i="9"/>
  <c r="CL23" i="9"/>
  <c r="CM23" i="9"/>
  <c r="CQ23" i="9"/>
  <c r="CO23" i="9"/>
  <c r="CL284" i="9"/>
  <c r="CJ284" i="9"/>
  <c r="CQ284" i="9"/>
  <c r="CM284" i="9"/>
  <c r="CO284" i="9"/>
  <c r="CM60" i="9"/>
  <c r="CL60" i="9"/>
  <c r="CJ60" i="9"/>
  <c r="CQ60" i="9"/>
  <c r="CO60" i="9"/>
  <c r="DA269" i="9"/>
  <c r="DK269" i="9"/>
  <c r="DB35" i="9"/>
  <c r="CM229" i="9"/>
  <c r="CL229" i="9"/>
  <c r="CJ229" i="9"/>
  <c r="CQ229" i="9"/>
  <c r="CO229" i="9"/>
  <c r="CS369" i="9"/>
  <c r="CS371" i="9"/>
  <c r="DH359" i="9"/>
  <c r="DI334" i="9"/>
  <c r="DJ334" i="9" s="1"/>
  <c r="DA300" i="9"/>
  <c r="DK300" i="9"/>
  <c r="CM318" i="9"/>
  <c r="CJ318" i="9"/>
  <c r="CL318" i="9"/>
  <c r="CQ318" i="9"/>
  <c r="CO318" i="9"/>
  <c r="BX405" i="9"/>
  <c r="CM82" i="9"/>
  <c r="CJ82" i="9"/>
  <c r="CL82" i="9"/>
  <c r="CQ82" i="9"/>
  <c r="CM116" i="9"/>
  <c r="CL116" i="9"/>
  <c r="CJ116" i="9"/>
  <c r="CQ116" i="9"/>
  <c r="CM254" i="9"/>
  <c r="CJ254" i="9"/>
  <c r="CL254" i="9"/>
  <c r="CQ254" i="9"/>
  <c r="CO254" i="9"/>
  <c r="CJ7" i="9"/>
  <c r="CL7" i="9"/>
  <c r="CQ7" i="9"/>
  <c r="CM7" i="9"/>
  <c r="DB216" i="9"/>
  <c r="CW216" i="9"/>
  <c r="CY216" i="9"/>
  <c r="CZ216" i="9"/>
  <c r="DD216" i="9"/>
  <c r="CM172" i="9"/>
  <c r="CJ172" i="9"/>
  <c r="CL172" i="9"/>
  <c r="CQ172" i="9"/>
  <c r="CO172" i="9"/>
  <c r="CJ29" i="9"/>
  <c r="CL29" i="9"/>
  <c r="CM29" i="9"/>
  <c r="CQ29" i="9"/>
  <c r="CO29" i="9"/>
  <c r="CM203" i="9"/>
  <c r="CJ203" i="9"/>
  <c r="CL203" i="9"/>
  <c r="CQ203" i="9"/>
  <c r="CJ224" i="9"/>
  <c r="CL224" i="9"/>
  <c r="CM224" i="9"/>
  <c r="CQ224" i="9"/>
  <c r="CO224" i="9"/>
  <c r="DA40" i="9"/>
  <c r="DK40" i="9"/>
  <c r="BK352" i="9"/>
  <c r="BK372" i="9" s="1"/>
  <c r="BK402" i="9" s="1"/>
  <c r="BI456" i="9" s="1"/>
  <c r="BM372" i="9"/>
  <c r="CJ12" i="9"/>
  <c r="CL12" i="9"/>
  <c r="CM12" i="9"/>
  <c r="CQ12" i="9"/>
  <c r="DN268" i="9"/>
  <c r="DX268" i="9"/>
  <c r="EB268" i="9" s="1"/>
  <c r="CO64" i="9"/>
  <c r="CQ151" i="9"/>
  <c r="CL151" i="9"/>
  <c r="CJ151" i="9"/>
  <c r="CM151" i="9"/>
  <c r="CO127" i="9"/>
  <c r="BW389" i="9"/>
  <c r="BW387" i="9"/>
  <c r="BW388" i="9"/>
  <c r="CQ30" i="9"/>
  <c r="CL30" i="9"/>
  <c r="CJ30" i="9"/>
  <c r="CM30" i="9"/>
  <c r="CO30" i="9"/>
  <c r="BY371" i="9"/>
  <c r="CL222" i="9"/>
  <c r="CJ222" i="9"/>
  <c r="CM222" i="9"/>
  <c r="CQ222" i="9"/>
  <c r="CO222" i="9"/>
  <c r="EB235" i="9"/>
  <c r="CO12" i="9"/>
  <c r="DA6" i="9"/>
  <c r="DK6" i="9"/>
  <c r="CM195" i="9"/>
  <c r="CJ195" i="9"/>
  <c r="CL195" i="9"/>
  <c r="CQ195" i="9"/>
  <c r="CL238" i="9"/>
  <c r="CJ238" i="9"/>
  <c r="CM238" i="9"/>
  <c r="CQ238" i="9"/>
  <c r="CO238" i="9"/>
  <c r="CK328" i="9"/>
  <c r="CJ138" i="9"/>
  <c r="CL138" i="9"/>
  <c r="CM138" i="9"/>
  <c r="CQ138" i="9"/>
  <c r="CO18" i="9"/>
  <c r="DJ336" i="9"/>
  <c r="AL19" i="2"/>
  <c r="DI329" i="9"/>
  <c r="DJ329" i="9" s="1"/>
  <c r="AP34" i="2"/>
  <c r="DS366" i="9"/>
  <c r="DV341" i="9"/>
  <c r="DV342" i="9"/>
  <c r="DS367" i="9"/>
  <c r="DS368" i="9"/>
  <c r="DV343" i="9"/>
  <c r="DU366" i="9"/>
  <c r="DX341" i="9"/>
  <c r="DX342" i="9"/>
  <c r="DU367" i="9"/>
  <c r="DU368" i="9"/>
  <c r="DX343" i="9"/>
  <c r="DW392" i="9"/>
  <c r="DW393" i="9"/>
  <c r="DW391" i="9"/>
  <c r="CQ147" i="9"/>
  <c r="CL147" i="9"/>
  <c r="CJ147" i="9"/>
  <c r="CM147" i="9"/>
  <c r="CO147" i="9"/>
  <c r="CL234" i="9"/>
  <c r="CJ234" i="9"/>
  <c r="CM234" i="9"/>
  <c r="CQ234" i="9"/>
  <c r="CM94" i="9"/>
  <c r="CJ94" i="9"/>
  <c r="CL94" i="9"/>
  <c r="CQ94" i="9"/>
  <c r="CL123" i="9"/>
  <c r="CJ123" i="9"/>
  <c r="CM123" i="9"/>
  <c r="CQ123" i="9"/>
  <c r="CM44" i="9"/>
  <c r="CL44" i="9"/>
  <c r="CJ44" i="9"/>
  <c r="CQ44" i="9"/>
  <c r="DB292" i="9"/>
  <c r="CL296" i="9"/>
  <c r="CJ296" i="9"/>
  <c r="CM296" i="9"/>
  <c r="CQ296" i="9"/>
  <c r="DN295" i="9"/>
  <c r="DX295" i="9"/>
  <c r="CQ137" i="9"/>
  <c r="CJ137" i="9"/>
  <c r="CL137" i="9"/>
  <c r="CM137" i="9"/>
  <c r="CQ312" i="9"/>
  <c r="CL312" i="9"/>
  <c r="CJ312" i="9"/>
  <c r="CM312" i="9"/>
  <c r="CQ157" i="9"/>
  <c r="CL157" i="9"/>
  <c r="CJ157" i="9"/>
  <c r="CM157" i="9"/>
  <c r="CO157" i="9"/>
  <c r="AW372" i="9"/>
  <c r="AX399" i="9"/>
  <c r="AW371" i="9"/>
  <c r="AW370" i="9"/>
  <c r="CM200" i="9"/>
  <c r="CJ200" i="9"/>
  <c r="CL200" i="9"/>
  <c r="CQ200" i="9"/>
  <c r="CO200" i="9"/>
  <c r="DO307" i="9"/>
  <c r="EB289" i="9"/>
  <c r="DA237" i="9"/>
  <c r="DK237" i="9"/>
  <c r="CM251" i="9"/>
  <c r="CL251" i="9"/>
  <c r="CJ251" i="9"/>
  <c r="CQ251" i="9"/>
  <c r="CL47" i="9"/>
  <c r="CJ47" i="9"/>
  <c r="CQ47" i="9"/>
  <c r="CM47" i="9"/>
  <c r="CZ242" i="9"/>
  <c r="CY242" i="9"/>
  <c r="CW242" i="9"/>
  <c r="DD242" i="9"/>
  <c r="DB242" i="9"/>
  <c r="P40" i="2"/>
  <c r="R40" i="2" s="1"/>
  <c r="P47" i="2"/>
  <c r="CM272" i="9"/>
  <c r="CL272" i="9"/>
  <c r="CJ272" i="9"/>
  <c r="CQ272" i="9"/>
  <c r="CO272" i="9"/>
  <c r="CO130" i="9"/>
  <c r="CJ130" i="9"/>
  <c r="CL130" i="9"/>
  <c r="CM130" i="9"/>
  <c r="CQ130" i="9"/>
  <c r="DO6" i="9"/>
  <c r="CQ131" i="9"/>
  <c r="CL131" i="9"/>
  <c r="CJ131" i="9"/>
  <c r="CM131" i="9"/>
  <c r="CO131" i="9"/>
  <c r="BW385" i="9"/>
  <c r="BW383" i="9"/>
  <c r="BW384" i="9"/>
  <c r="CL99" i="9"/>
  <c r="CJ99" i="9"/>
  <c r="CM99" i="9"/>
  <c r="CQ99" i="9"/>
  <c r="CL105" i="9"/>
  <c r="CJ105" i="9"/>
  <c r="CM105" i="9"/>
  <c r="CQ105" i="9"/>
  <c r="CO105" i="9"/>
  <c r="CD397" i="9"/>
  <c r="BX377" i="9"/>
  <c r="BX397" i="9" s="1"/>
  <c r="BW377" i="9"/>
  <c r="BW375" i="9"/>
  <c r="BW376" i="9"/>
  <c r="BV453" i="9"/>
  <c r="L9" i="10"/>
  <c r="CL230" i="9"/>
  <c r="CJ230" i="9"/>
  <c r="CM230" i="9"/>
  <c r="CQ230" i="9"/>
  <c r="CO230" i="9"/>
  <c r="DB112" i="9"/>
  <c r="CY112" i="9"/>
  <c r="CW112" i="9"/>
  <c r="CZ112" i="9"/>
  <c r="DD112" i="9"/>
  <c r="CL55" i="9"/>
  <c r="CJ55" i="9"/>
  <c r="CQ55" i="9"/>
  <c r="CM55" i="9"/>
  <c r="CO55" i="9"/>
  <c r="CL109" i="9"/>
  <c r="CJ109" i="9"/>
  <c r="CQ109" i="9"/>
  <c r="CM109" i="9"/>
  <c r="CM176" i="9"/>
  <c r="CL176" i="9"/>
  <c r="CJ176" i="9"/>
  <c r="CQ176" i="9"/>
  <c r="CO176" i="9"/>
  <c r="CZ187" i="9"/>
  <c r="CY187" i="9"/>
  <c r="CW187" i="9"/>
  <c r="DD187" i="9"/>
  <c r="DB187" i="9"/>
  <c r="CM102" i="9"/>
  <c r="CJ102" i="9"/>
  <c r="CL102" i="9"/>
  <c r="CQ102" i="9"/>
  <c r="CO102" i="9"/>
  <c r="CJ166" i="9"/>
  <c r="CL166" i="9"/>
  <c r="CQ166" i="9"/>
  <c r="CM166" i="9"/>
  <c r="CM184" i="9"/>
  <c r="CJ184" i="9"/>
  <c r="CL184" i="9"/>
  <c r="CQ184" i="9"/>
  <c r="CJ178" i="9"/>
  <c r="CL178" i="9"/>
  <c r="CQ178" i="9"/>
  <c r="CM178" i="9"/>
  <c r="CO178" i="9"/>
  <c r="CM98" i="9"/>
  <c r="CJ98" i="9"/>
  <c r="CL98" i="9"/>
  <c r="CQ98" i="9"/>
  <c r="DB93" i="9"/>
  <c r="CY93" i="9"/>
  <c r="CW93" i="9"/>
  <c r="CZ93" i="9"/>
  <c r="DD93" i="9"/>
  <c r="CQ20" i="9"/>
  <c r="CL20" i="9"/>
  <c r="CJ20" i="9"/>
  <c r="CM20" i="9"/>
  <c r="CO20" i="9"/>
  <c r="DH364" i="9"/>
  <c r="DH361" i="9"/>
  <c r="DH362" i="9"/>
  <c r="DH363" i="9"/>
  <c r="DH349" i="9"/>
  <c r="DH369" i="9" s="1"/>
  <c r="DH351" i="9"/>
  <c r="DH350" i="9"/>
  <c r="DF349" i="9"/>
  <c r="DF352" i="9"/>
  <c r="DF372" i="9" s="1"/>
  <c r="DF351" i="9"/>
  <c r="DF371" i="9" s="1"/>
  <c r="DF350" i="9"/>
  <c r="AJ39" i="2"/>
  <c r="AJ46" i="2"/>
  <c r="DX419" i="9"/>
  <c r="DX420" i="9"/>
  <c r="DH352" i="9"/>
  <c r="DI327" i="9"/>
  <c r="DO303" i="9"/>
  <c r="CL51" i="9"/>
  <c r="CJ51" i="9"/>
  <c r="CM51" i="9"/>
  <c r="CQ51" i="9"/>
  <c r="CO51" i="9"/>
  <c r="CD394" i="9"/>
  <c r="BX378" i="9"/>
  <c r="CM106" i="9"/>
  <c r="CJ106" i="9"/>
  <c r="CL106" i="9"/>
  <c r="CQ106" i="9"/>
  <c r="DA186" i="9"/>
  <c r="DK186" i="9"/>
  <c r="CQ129" i="9"/>
  <c r="CJ129" i="9"/>
  <c r="CL129" i="9"/>
  <c r="CM129" i="9"/>
  <c r="CO129" i="9"/>
  <c r="CO154" i="9"/>
  <c r="CJ154" i="9"/>
  <c r="CL154" i="9"/>
  <c r="CM154" i="9"/>
  <c r="CQ154" i="9"/>
  <c r="CM239" i="9"/>
  <c r="CJ239" i="9"/>
  <c r="CL239" i="9"/>
  <c r="CQ239" i="9"/>
  <c r="CO239" i="9"/>
  <c r="CM207" i="9"/>
  <c r="CJ207" i="9"/>
  <c r="CL207" i="9"/>
  <c r="CQ207" i="9"/>
  <c r="CO207" i="9"/>
  <c r="DO267" i="9"/>
  <c r="EB295" i="9"/>
  <c r="CM250" i="9"/>
  <c r="CJ250" i="9"/>
  <c r="CL250" i="9"/>
  <c r="CQ250" i="9"/>
  <c r="CO250" i="9"/>
  <c r="CJ189" i="9"/>
  <c r="CL189" i="9"/>
  <c r="CQ189" i="9"/>
  <c r="CM189" i="9"/>
  <c r="CM305" i="9"/>
  <c r="CJ305" i="9"/>
  <c r="CL305" i="9"/>
  <c r="CQ305" i="9"/>
  <c r="CO305" i="9"/>
  <c r="DO32" i="9"/>
  <c r="CL117" i="9"/>
  <c r="CJ117" i="9"/>
  <c r="CQ117" i="9"/>
  <c r="CM117" i="9"/>
  <c r="CO117" i="9"/>
  <c r="CU371" i="9"/>
  <c r="DC397" i="9"/>
  <c r="DC394" i="9"/>
  <c r="CW95" i="9"/>
  <c r="CY95" i="9"/>
  <c r="DD95" i="9"/>
  <c r="CZ95" i="9"/>
  <c r="CQ5" i="9"/>
  <c r="CJ5" i="9"/>
  <c r="CL5" i="9"/>
  <c r="CK404" i="9"/>
  <c r="CK320" i="9"/>
  <c r="CM5" i="9"/>
  <c r="CO5" i="9"/>
  <c r="CA320" i="9"/>
  <c r="BX414" i="9" s="1"/>
  <c r="CM122" i="9"/>
  <c r="CJ122" i="9"/>
  <c r="CL122" i="9"/>
  <c r="CQ122" i="9"/>
  <c r="BJ360" i="9"/>
  <c r="BJ358" i="9"/>
  <c r="BJ359" i="9"/>
  <c r="BO357" i="9"/>
  <c r="CM110" i="9"/>
  <c r="CJ110" i="9"/>
  <c r="CL110" i="9"/>
  <c r="CQ110" i="9"/>
  <c r="CO110" i="9"/>
  <c r="DA8" i="9"/>
  <c r="DK8" i="9"/>
  <c r="DO253" i="9"/>
  <c r="BM369" i="9"/>
  <c r="BK349" i="9"/>
  <c r="CQ304" i="9"/>
  <c r="CL304" i="9"/>
  <c r="CJ304" i="9"/>
  <c r="CM304" i="9"/>
  <c r="CO304" i="9"/>
  <c r="CM208" i="9"/>
  <c r="CL208" i="9"/>
  <c r="CJ208" i="9"/>
  <c r="CQ208" i="9"/>
  <c r="CO208" i="9"/>
  <c r="CZ107" i="9"/>
  <c r="CY107" i="9"/>
  <c r="CW107" i="9"/>
  <c r="DD107" i="9"/>
  <c r="CJ181" i="9"/>
  <c r="CL181" i="9"/>
  <c r="CQ181" i="9"/>
  <c r="CM181" i="9"/>
  <c r="CM217" i="9"/>
  <c r="CL217" i="9"/>
  <c r="CJ217" i="9"/>
  <c r="CQ217" i="9"/>
  <c r="CK336" i="9"/>
  <c r="CK338" i="9"/>
  <c r="CK337" i="9"/>
  <c r="CL337" i="9" s="1"/>
  <c r="CJ26" i="9"/>
  <c r="CL26" i="9"/>
  <c r="CM26" i="9"/>
  <c r="CQ26" i="9"/>
  <c r="CJ41" i="9"/>
  <c r="CL41" i="9"/>
  <c r="CM41" i="9"/>
  <c r="CQ41" i="9"/>
  <c r="CO41" i="9"/>
  <c r="CL71" i="9"/>
  <c r="CJ71" i="9"/>
  <c r="CK331" i="9"/>
  <c r="CK330" i="9"/>
  <c r="CL330" i="9" s="1"/>
  <c r="CK329" i="9"/>
  <c r="CL329" i="9" s="1"/>
  <c r="CQ71" i="9"/>
  <c r="CM71" i="9"/>
  <c r="CM291" i="9"/>
  <c r="CL291" i="9"/>
  <c r="CJ291" i="9"/>
  <c r="CQ291" i="9"/>
  <c r="CO291" i="9"/>
  <c r="CM299" i="9"/>
  <c r="CL299" i="9"/>
  <c r="CJ299" i="9"/>
  <c r="CQ299" i="9"/>
  <c r="CO299" i="9"/>
  <c r="DL285" i="9"/>
  <c r="DJ285" i="9"/>
  <c r="DQ285" i="9"/>
  <c r="DM285" i="9"/>
  <c r="DO285" i="9"/>
  <c r="CQ135" i="9"/>
  <c r="CL135" i="9"/>
  <c r="CJ135" i="9"/>
  <c r="CM135" i="9"/>
  <c r="CJ170" i="9"/>
  <c r="CL170" i="9"/>
  <c r="CQ170" i="9"/>
  <c r="CM170" i="9"/>
  <c r="CQ317" i="9"/>
  <c r="CL317" i="9"/>
  <c r="CJ317" i="9"/>
  <c r="CM317" i="9"/>
  <c r="CL113" i="9"/>
  <c r="CJ113" i="9"/>
  <c r="CM113" i="9"/>
  <c r="CQ113" i="9"/>
  <c r="CO113" i="9"/>
  <c r="CJ162" i="9"/>
  <c r="CL162" i="9"/>
  <c r="CM162" i="9"/>
  <c r="CQ162" i="9"/>
  <c r="CA349" i="9"/>
  <c r="DK446" i="9"/>
  <c r="DT7" i="9"/>
  <c r="DU7" i="9" s="1"/>
  <c r="DS7" i="9"/>
  <c r="EC7" i="9"/>
  <c r="DT11" i="9"/>
  <c r="DU11" i="9" s="1"/>
  <c r="DS11" i="9"/>
  <c r="EC11" i="9"/>
  <c r="DT15" i="9"/>
  <c r="DU15" i="9" s="1"/>
  <c r="DS15" i="9"/>
  <c r="EC15" i="9"/>
  <c r="DT19" i="9"/>
  <c r="DU19" i="9" s="1"/>
  <c r="DS19" i="9"/>
  <c r="EC19" i="9"/>
  <c r="DT23" i="9"/>
  <c r="DU23" i="9" s="1"/>
  <c r="DS23" i="9"/>
  <c r="EC23" i="9"/>
  <c r="DT27" i="9"/>
  <c r="DU27" i="9" s="1"/>
  <c r="DS27" i="9"/>
  <c r="EC27" i="9"/>
  <c r="EC31" i="9"/>
  <c r="DT31" i="9"/>
  <c r="DU31" i="9" s="1"/>
  <c r="DS31" i="9"/>
  <c r="EC35" i="9"/>
  <c r="DT35" i="9"/>
  <c r="DU35" i="9" s="1"/>
  <c r="DS35" i="9"/>
  <c r="EC39" i="9"/>
  <c r="DT39" i="9"/>
  <c r="DU39" i="9" s="1"/>
  <c r="DS39" i="9"/>
  <c r="EC43" i="9"/>
  <c r="DT43" i="9"/>
  <c r="DU43" i="9" s="1"/>
  <c r="DS43" i="9"/>
  <c r="EC47" i="9"/>
  <c r="DT47" i="9"/>
  <c r="DU47" i="9" s="1"/>
  <c r="DS47" i="9"/>
  <c r="EC51" i="9"/>
  <c r="DT51" i="9"/>
  <c r="DU51" i="9" s="1"/>
  <c r="DS51" i="9"/>
  <c r="EC55" i="9"/>
  <c r="DT55" i="9"/>
  <c r="DU55" i="9" s="1"/>
  <c r="DS55" i="9"/>
  <c r="EC59" i="9"/>
  <c r="DT59" i="9"/>
  <c r="DU59" i="9" s="1"/>
  <c r="DS59" i="9"/>
  <c r="EC63" i="9"/>
  <c r="DT63" i="9"/>
  <c r="DU63" i="9" s="1"/>
  <c r="DS63" i="9"/>
  <c r="EC67" i="9"/>
  <c r="DT67" i="9"/>
  <c r="DU67" i="9" s="1"/>
  <c r="DS67" i="9"/>
  <c r="EC71" i="9"/>
  <c r="DT71" i="9"/>
  <c r="DU71" i="9" s="1"/>
  <c r="DS71" i="9"/>
  <c r="EC75" i="9"/>
  <c r="DT75" i="9"/>
  <c r="DU75" i="9" s="1"/>
  <c r="DS75" i="9"/>
  <c r="EC79" i="9"/>
  <c r="DT79" i="9"/>
  <c r="DU79" i="9" s="1"/>
  <c r="DS79" i="9"/>
  <c r="DS83" i="9"/>
  <c r="DT83" i="9"/>
  <c r="DU83" i="9" s="1"/>
  <c r="EC83" i="9"/>
  <c r="DT87" i="9"/>
  <c r="DU87" i="9" s="1"/>
  <c r="EC87" i="9"/>
  <c r="DS87" i="9"/>
  <c r="DT91" i="9"/>
  <c r="DU91" i="9" s="1"/>
  <c r="DS91" i="9"/>
  <c r="EC91" i="9"/>
  <c r="DT95" i="9"/>
  <c r="DU95" i="9" s="1"/>
  <c r="DS95" i="9"/>
  <c r="EC95" i="9"/>
  <c r="DT99" i="9"/>
  <c r="DU99" i="9" s="1"/>
  <c r="DS99" i="9"/>
  <c r="EC99" i="9"/>
  <c r="DT103" i="9"/>
  <c r="DU103" i="9" s="1"/>
  <c r="DS103" i="9"/>
  <c r="EC103" i="9"/>
  <c r="DT107" i="9"/>
  <c r="DU107" i="9" s="1"/>
  <c r="DS107" i="9"/>
  <c r="EC107" i="9"/>
  <c r="DT111" i="9"/>
  <c r="DU111" i="9" s="1"/>
  <c r="DS111" i="9"/>
  <c r="EC111" i="9"/>
  <c r="DT115" i="9"/>
  <c r="DU115" i="9" s="1"/>
  <c r="DS115" i="9"/>
  <c r="EC115" i="9"/>
  <c r="DT119" i="9"/>
  <c r="DU119" i="9" s="1"/>
  <c r="DS119" i="9"/>
  <c r="EC119" i="9"/>
  <c r="DT123" i="9"/>
  <c r="DU123" i="9" s="1"/>
  <c r="DS123" i="9"/>
  <c r="EC123" i="9"/>
  <c r="DT127" i="9"/>
  <c r="DU127" i="9" s="1"/>
  <c r="DS127" i="9"/>
  <c r="EC127" i="9"/>
  <c r="DT131" i="9"/>
  <c r="DU131" i="9" s="1"/>
  <c r="DS131" i="9"/>
  <c r="EC131" i="9"/>
  <c r="DT135" i="9"/>
  <c r="DU135" i="9" s="1"/>
  <c r="DS135" i="9"/>
  <c r="EC135" i="9"/>
  <c r="DT139" i="9"/>
  <c r="DU139" i="9" s="1"/>
  <c r="DS139" i="9"/>
  <c r="EC139" i="9"/>
  <c r="DT143" i="9"/>
  <c r="DU143" i="9" s="1"/>
  <c r="DS143" i="9"/>
  <c r="EC143" i="9"/>
  <c r="DT147" i="9"/>
  <c r="DU147" i="9" s="1"/>
  <c r="DS147" i="9"/>
  <c r="EC147" i="9"/>
  <c r="DT151" i="9"/>
  <c r="DU151" i="9" s="1"/>
  <c r="DS151" i="9"/>
  <c r="EC151" i="9"/>
  <c r="DT155" i="9"/>
  <c r="DU155" i="9" s="1"/>
  <c r="DS155" i="9"/>
  <c r="EC155" i="9"/>
  <c r="DT159" i="9"/>
  <c r="DU159" i="9" s="1"/>
  <c r="DS159" i="9"/>
  <c r="EC159" i="9"/>
  <c r="DT163" i="9"/>
  <c r="DU163" i="9" s="1"/>
  <c r="DS163" i="9"/>
  <c r="EC163" i="9"/>
  <c r="DT167" i="9"/>
  <c r="DU167" i="9" s="1"/>
  <c r="DS167" i="9"/>
  <c r="EC167" i="9"/>
  <c r="DT171" i="9"/>
  <c r="DU171" i="9" s="1"/>
  <c r="DS171" i="9"/>
  <c r="EC171" i="9"/>
  <c r="DT175" i="9"/>
  <c r="DU175" i="9" s="1"/>
  <c r="DS175" i="9"/>
  <c r="EC175" i="9"/>
  <c r="DT179" i="9"/>
  <c r="DU179" i="9" s="1"/>
  <c r="DS179" i="9"/>
  <c r="EC179" i="9"/>
  <c r="DT183" i="9"/>
  <c r="DU183" i="9" s="1"/>
  <c r="DS183" i="9"/>
  <c r="EC183" i="9"/>
  <c r="DT187" i="9"/>
  <c r="DU187" i="9" s="1"/>
  <c r="DS187" i="9"/>
  <c r="EC187" i="9"/>
  <c r="EC191" i="9"/>
  <c r="DT191" i="9"/>
  <c r="DU191" i="9" s="1"/>
  <c r="DS191" i="9"/>
  <c r="EC195" i="9"/>
  <c r="DT195" i="9"/>
  <c r="DU195" i="9" s="1"/>
  <c r="DS195" i="9"/>
  <c r="EC199" i="9"/>
  <c r="DT199" i="9"/>
  <c r="DU199" i="9" s="1"/>
  <c r="DS199" i="9"/>
  <c r="EC203" i="9"/>
  <c r="DT203" i="9"/>
  <c r="DU203" i="9" s="1"/>
  <c r="DS203" i="9"/>
  <c r="EC207" i="9"/>
  <c r="DT207" i="9"/>
  <c r="DU207" i="9" s="1"/>
  <c r="DS207" i="9"/>
  <c r="EC211" i="9"/>
  <c r="DT211" i="9"/>
  <c r="DU211" i="9" s="1"/>
  <c r="DS211" i="9"/>
  <c r="EC215" i="9"/>
  <c r="DT215" i="9"/>
  <c r="DU215" i="9" s="1"/>
  <c r="DS215" i="9"/>
  <c r="EC219" i="9"/>
  <c r="DT219" i="9"/>
  <c r="DU219" i="9" s="1"/>
  <c r="DS219" i="9"/>
  <c r="EC223" i="9"/>
  <c r="DT223" i="9"/>
  <c r="DU223" i="9" s="1"/>
  <c r="DS223" i="9"/>
  <c r="EC227" i="9"/>
  <c r="DT227" i="9"/>
  <c r="DU227" i="9" s="1"/>
  <c r="DS227" i="9"/>
  <c r="EC231" i="9"/>
  <c r="DT231" i="9"/>
  <c r="DU231" i="9" s="1"/>
  <c r="DS231" i="9"/>
  <c r="EC236" i="9"/>
  <c r="DT236" i="9"/>
  <c r="DU236" i="9" s="1"/>
  <c r="DS236" i="9"/>
  <c r="EC244" i="9"/>
  <c r="DT244" i="9"/>
  <c r="DU244" i="9" s="1"/>
  <c r="DS244" i="9"/>
  <c r="EC239" i="9"/>
  <c r="DT239" i="9"/>
  <c r="DU239" i="9" s="1"/>
  <c r="DS239" i="9"/>
  <c r="EC247" i="9"/>
  <c r="DT247" i="9"/>
  <c r="DU247" i="9" s="1"/>
  <c r="DS247" i="9"/>
  <c r="EC251" i="9"/>
  <c r="DT251" i="9"/>
  <c r="DU251" i="9" s="1"/>
  <c r="DS251" i="9"/>
  <c r="EC255" i="9"/>
  <c r="DT255" i="9"/>
  <c r="DU255" i="9" s="1"/>
  <c r="DS255" i="9"/>
  <c r="EC259" i="9"/>
  <c r="DT259" i="9"/>
  <c r="DU259" i="9" s="1"/>
  <c r="DS259" i="9"/>
  <c r="EC263" i="9"/>
  <c r="DT263" i="9"/>
  <c r="DU263" i="9" s="1"/>
  <c r="DS263" i="9"/>
  <c r="EC267" i="9"/>
  <c r="DT267" i="9"/>
  <c r="DU267" i="9" s="1"/>
  <c r="DS267" i="9"/>
  <c r="EC271" i="9"/>
  <c r="DT271" i="9"/>
  <c r="DU271" i="9" s="1"/>
  <c r="DS271" i="9"/>
  <c r="EC275" i="9"/>
  <c r="DT275" i="9"/>
  <c r="DU275" i="9" s="1"/>
  <c r="DS275" i="9"/>
  <c r="DT279" i="9"/>
  <c r="DU279" i="9" s="1"/>
  <c r="EC279" i="9"/>
  <c r="DS279" i="9"/>
  <c r="DT283" i="9"/>
  <c r="DU283" i="9" s="1"/>
  <c r="EC283" i="9"/>
  <c r="DS283" i="9"/>
  <c r="DT287" i="9"/>
  <c r="DU287" i="9" s="1"/>
  <c r="EC287" i="9"/>
  <c r="DS287" i="9"/>
  <c r="DT291" i="9"/>
  <c r="DU291" i="9" s="1"/>
  <c r="EC291" i="9"/>
  <c r="DS291" i="9"/>
  <c r="EC295" i="9"/>
  <c r="DT295" i="9"/>
  <c r="DU295" i="9" s="1"/>
  <c r="DS295" i="9"/>
  <c r="EC299" i="9"/>
  <c r="DT299" i="9"/>
  <c r="DU299" i="9" s="1"/>
  <c r="DS299" i="9"/>
  <c r="EC303" i="9"/>
  <c r="DT303" i="9"/>
  <c r="DU303" i="9" s="1"/>
  <c r="DS303" i="9"/>
  <c r="DT307" i="9"/>
  <c r="DU307" i="9" s="1"/>
  <c r="EC307" i="9"/>
  <c r="DS307" i="9"/>
  <c r="DT311" i="9"/>
  <c r="DU311" i="9" s="1"/>
  <c r="EC311" i="9"/>
  <c r="DS311" i="9"/>
  <c r="DT315" i="9"/>
  <c r="DU315" i="9" s="1"/>
  <c r="EC315" i="9"/>
  <c r="DS315" i="9"/>
  <c r="DT319" i="9"/>
  <c r="DU319" i="9" s="1"/>
  <c r="EC319" i="9"/>
  <c r="DS319" i="9"/>
  <c r="DT8" i="9"/>
  <c r="DU8" i="9" s="1"/>
  <c r="DS8" i="9"/>
  <c r="EC8" i="9"/>
  <c r="DT12" i="9"/>
  <c r="DU12" i="9" s="1"/>
  <c r="DS12" i="9"/>
  <c r="EC12" i="9"/>
  <c r="DT16" i="9"/>
  <c r="DU16" i="9" s="1"/>
  <c r="DS16" i="9"/>
  <c r="EC16" i="9"/>
  <c r="DT20" i="9"/>
  <c r="DU20" i="9" s="1"/>
  <c r="DS20" i="9"/>
  <c r="EC20" i="9"/>
  <c r="DT24" i="9"/>
  <c r="DU24" i="9" s="1"/>
  <c r="DS24" i="9"/>
  <c r="EC24" i="9"/>
  <c r="EC28" i="9"/>
  <c r="DT28" i="9"/>
  <c r="DU28" i="9" s="1"/>
  <c r="DS28" i="9"/>
  <c r="EC32" i="9"/>
  <c r="DT32" i="9"/>
  <c r="DU32" i="9" s="1"/>
  <c r="DS32" i="9"/>
  <c r="EC36" i="9"/>
  <c r="DT36" i="9"/>
  <c r="DU36" i="9" s="1"/>
  <c r="DS36" i="9"/>
  <c r="EC40" i="9"/>
  <c r="DT40" i="9"/>
  <c r="DU40" i="9" s="1"/>
  <c r="DS40" i="9"/>
  <c r="EC44" i="9"/>
  <c r="DT44" i="9"/>
  <c r="DU44" i="9" s="1"/>
  <c r="DS44" i="9"/>
  <c r="EC48" i="9"/>
  <c r="DT48" i="9"/>
  <c r="DU48" i="9" s="1"/>
  <c r="DS48" i="9"/>
  <c r="EC52" i="9"/>
  <c r="DT52" i="9"/>
  <c r="DU52" i="9" s="1"/>
  <c r="DS52" i="9"/>
  <c r="EC56" i="9"/>
  <c r="DT56" i="9"/>
  <c r="DU56" i="9" s="1"/>
  <c r="DS56" i="9"/>
  <c r="EC60" i="9"/>
  <c r="DT60" i="9"/>
  <c r="DU60" i="9" s="1"/>
  <c r="DS60" i="9"/>
  <c r="EC64" i="9"/>
  <c r="DT64" i="9"/>
  <c r="DU64" i="9" s="1"/>
  <c r="DS64" i="9"/>
  <c r="EC68" i="9"/>
  <c r="DT68" i="9"/>
  <c r="DU68" i="9" s="1"/>
  <c r="DS68" i="9"/>
  <c r="EC72" i="9"/>
  <c r="DT72" i="9"/>
  <c r="DU72" i="9" s="1"/>
  <c r="DS72" i="9"/>
  <c r="EC76" i="9"/>
  <c r="DT76" i="9"/>
  <c r="DU76" i="9" s="1"/>
  <c r="DS76" i="9"/>
  <c r="EC80" i="9"/>
  <c r="DT80" i="9"/>
  <c r="DU80" i="9" s="1"/>
  <c r="DS80" i="9"/>
  <c r="DT84" i="9"/>
  <c r="DU84" i="9" s="1"/>
  <c r="DS84" i="9"/>
  <c r="EC84" i="9"/>
  <c r="DT88" i="9"/>
  <c r="DU88" i="9" s="1"/>
  <c r="DS88" i="9"/>
  <c r="EC88" i="9"/>
  <c r="DT92" i="9"/>
  <c r="DU92" i="9" s="1"/>
  <c r="DS92" i="9"/>
  <c r="EC92" i="9"/>
  <c r="DT96" i="9"/>
  <c r="DU96" i="9" s="1"/>
  <c r="DS96" i="9"/>
  <c r="EC96" i="9"/>
  <c r="DT100" i="9"/>
  <c r="DU100" i="9" s="1"/>
  <c r="DS100" i="9"/>
  <c r="EC100" i="9"/>
  <c r="DT104" i="9"/>
  <c r="DU104" i="9" s="1"/>
  <c r="DS104" i="9"/>
  <c r="EC104" i="9"/>
  <c r="DT108" i="9"/>
  <c r="DU108" i="9" s="1"/>
  <c r="DS108" i="9"/>
  <c r="EC108" i="9"/>
  <c r="DT112" i="9"/>
  <c r="DU112" i="9" s="1"/>
  <c r="DS112" i="9"/>
  <c r="EC112" i="9"/>
  <c r="DT116" i="9"/>
  <c r="DU116" i="9" s="1"/>
  <c r="DS116" i="9"/>
  <c r="EC116" i="9"/>
  <c r="DT120" i="9"/>
  <c r="DU120" i="9" s="1"/>
  <c r="DS120" i="9"/>
  <c r="EC120" i="9"/>
  <c r="DT124" i="9"/>
  <c r="DU124" i="9" s="1"/>
  <c r="DS124" i="9"/>
  <c r="EC124" i="9"/>
  <c r="DT128" i="9"/>
  <c r="DU128" i="9" s="1"/>
  <c r="DS128" i="9"/>
  <c r="EC128" i="9"/>
  <c r="DT132" i="9"/>
  <c r="DU132" i="9" s="1"/>
  <c r="DS132" i="9"/>
  <c r="EC132" i="9"/>
  <c r="DT136" i="9"/>
  <c r="DU136" i="9" s="1"/>
  <c r="DS136" i="9"/>
  <c r="EC136" i="9"/>
  <c r="DT140" i="9"/>
  <c r="DU140" i="9" s="1"/>
  <c r="DS140" i="9"/>
  <c r="EC140" i="9"/>
  <c r="DT144" i="9"/>
  <c r="DU144" i="9" s="1"/>
  <c r="DS144" i="9"/>
  <c r="EC144" i="9"/>
  <c r="DT148" i="9"/>
  <c r="DU148" i="9" s="1"/>
  <c r="DS148" i="9"/>
  <c r="EC148" i="9"/>
  <c r="DT152" i="9"/>
  <c r="DU152" i="9" s="1"/>
  <c r="DS152" i="9"/>
  <c r="EC152" i="9"/>
  <c r="DT156" i="9"/>
  <c r="DU156" i="9" s="1"/>
  <c r="DS156" i="9"/>
  <c r="EC156" i="9"/>
  <c r="DT160" i="9"/>
  <c r="DU160" i="9" s="1"/>
  <c r="DS160" i="9"/>
  <c r="EC160" i="9"/>
  <c r="DT164" i="9"/>
  <c r="DU164" i="9" s="1"/>
  <c r="DS164" i="9"/>
  <c r="EC164" i="9"/>
  <c r="DT168" i="9"/>
  <c r="DU168" i="9" s="1"/>
  <c r="DS168" i="9"/>
  <c r="EC168" i="9"/>
  <c r="DT172" i="9"/>
  <c r="DU172" i="9" s="1"/>
  <c r="DS172" i="9"/>
  <c r="EC172" i="9"/>
  <c r="DT176" i="9"/>
  <c r="DU176" i="9" s="1"/>
  <c r="DS176" i="9"/>
  <c r="EC176" i="9"/>
  <c r="DT180" i="9"/>
  <c r="DU180" i="9" s="1"/>
  <c r="DS180" i="9"/>
  <c r="EC180" i="9"/>
  <c r="DT184" i="9"/>
  <c r="DU184" i="9" s="1"/>
  <c r="DS184" i="9"/>
  <c r="EC184" i="9"/>
  <c r="EC188" i="9"/>
  <c r="DS188" i="9"/>
  <c r="DT188" i="9"/>
  <c r="DU188" i="9" s="1"/>
  <c r="EC192" i="9"/>
  <c r="DT192" i="9"/>
  <c r="DU192" i="9" s="1"/>
  <c r="DS192" i="9"/>
  <c r="EC196" i="9"/>
  <c r="DT196" i="9"/>
  <c r="DU196" i="9" s="1"/>
  <c r="DS196" i="9"/>
  <c r="EC200" i="9"/>
  <c r="DT200" i="9"/>
  <c r="DU200" i="9" s="1"/>
  <c r="DS200" i="9"/>
  <c r="EC204" i="9"/>
  <c r="DT204" i="9"/>
  <c r="DU204" i="9" s="1"/>
  <c r="DS204" i="9"/>
  <c r="EC208" i="9"/>
  <c r="DT208" i="9"/>
  <c r="DU208" i="9" s="1"/>
  <c r="DS208" i="9"/>
  <c r="EC212" i="9"/>
  <c r="DT212" i="9"/>
  <c r="DU212" i="9" s="1"/>
  <c r="DS212" i="9"/>
  <c r="EC216" i="9"/>
  <c r="DT216" i="9"/>
  <c r="DU216" i="9" s="1"/>
  <c r="DS216" i="9"/>
  <c r="EC220" i="9"/>
  <c r="DT220" i="9"/>
  <c r="DU220" i="9" s="1"/>
  <c r="DS220" i="9"/>
  <c r="EC224" i="9"/>
  <c r="DT224" i="9"/>
  <c r="DU224" i="9" s="1"/>
  <c r="DS224" i="9"/>
  <c r="EC228" i="9"/>
  <c r="DT228" i="9"/>
  <c r="DU228" i="9" s="1"/>
  <c r="DS228" i="9"/>
  <c r="EC232" i="9"/>
  <c r="DT232" i="9"/>
  <c r="DU232" i="9" s="1"/>
  <c r="DS232" i="9"/>
  <c r="EC238" i="9"/>
  <c r="DT238" i="9"/>
  <c r="DU238" i="9" s="1"/>
  <c r="DS238" i="9"/>
  <c r="EC246" i="9"/>
  <c r="DT246" i="9"/>
  <c r="DU246" i="9" s="1"/>
  <c r="DS246" i="9"/>
  <c r="EC241" i="9"/>
  <c r="DT241" i="9"/>
  <c r="DU241" i="9" s="1"/>
  <c r="DS241" i="9"/>
  <c r="EC248" i="9"/>
  <c r="DT248" i="9"/>
  <c r="DU248" i="9" s="1"/>
  <c r="DS248" i="9"/>
  <c r="EC252" i="9"/>
  <c r="DT252" i="9"/>
  <c r="DU252" i="9" s="1"/>
  <c r="DS252" i="9"/>
  <c r="EC256" i="9"/>
  <c r="DT256" i="9"/>
  <c r="DU256" i="9" s="1"/>
  <c r="DS256" i="9"/>
  <c r="EC260" i="9"/>
  <c r="DT260" i="9"/>
  <c r="DU260" i="9" s="1"/>
  <c r="DS260" i="9"/>
  <c r="EC264" i="9"/>
  <c r="DT264" i="9"/>
  <c r="DU264" i="9" s="1"/>
  <c r="DS264" i="9"/>
  <c r="EC268" i="9"/>
  <c r="DT268" i="9"/>
  <c r="DU268" i="9" s="1"/>
  <c r="DS268" i="9"/>
  <c r="EC272" i="9"/>
  <c r="DT272" i="9"/>
  <c r="DU272" i="9" s="1"/>
  <c r="DS272" i="9"/>
  <c r="EC276" i="9"/>
  <c r="DT276" i="9"/>
  <c r="DU276" i="9" s="1"/>
  <c r="DS276" i="9"/>
  <c r="DT280" i="9"/>
  <c r="DU280" i="9" s="1"/>
  <c r="DS280" i="9"/>
  <c r="EC280" i="9"/>
  <c r="DT284" i="9"/>
  <c r="DU284" i="9" s="1"/>
  <c r="DS284" i="9"/>
  <c r="EC284" i="9"/>
  <c r="DT288" i="9"/>
  <c r="DU288" i="9" s="1"/>
  <c r="DS288" i="9"/>
  <c r="EC288" i="9"/>
  <c r="DT292" i="9"/>
  <c r="DU292" i="9" s="1"/>
  <c r="DS292" i="9"/>
  <c r="EC292" i="9"/>
  <c r="EC296" i="9"/>
  <c r="DT296" i="9"/>
  <c r="DU296" i="9" s="1"/>
  <c r="DS296" i="9"/>
  <c r="EC300" i="9"/>
  <c r="DT300" i="9"/>
  <c r="DU300" i="9" s="1"/>
  <c r="DS300" i="9"/>
  <c r="EC304" i="9"/>
  <c r="DT304" i="9"/>
  <c r="DU304" i="9" s="1"/>
  <c r="DS304" i="9"/>
  <c r="DT308" i="9"/>
  <c r="DU308" i="9" s="1"/>
  <c r="DS308" i="9"/>
  <c r="EC308" i="9"/>
  <c r="DT312" i="9"/>
  <c r="DU312" i="9" s="1"/>
  <c r="DS312" i="9"/>
  <c r="EC312" i="9"/>
  <c r="DT316" i="9"/>
  <c r="DU316" i="9" s="1"/>
  <c r="DS316" i="9"/>
  <c r="EC316" i="9"/>
  <c r="DV446" i="9"/>
  <c r="DX447" i="9" s="1"/>
  <c r="DX425" i="9"/>
  <c r="DX423" i="9" s="1"/>
  <c r="DK418" i="9"/>
  <c r="CM140" i="9"/>
  <c r="CJ140" i="9"/>
  <c r="CL140" i="9"/>
  <c r="CQ140" i="9"/>
  <c r="CJ19" i="9"/>
  <c r="CL19" i="9"/>
  <c r="CM19" i="9"/>
  <c r="CQ19" i="9"/>
  <c r="CO19" i="9"/>
  <c r="DB95" i="9"/>
  <c r="DB218" i="9"/>
  <c r="CL13" i="9"/>
  <c r="CJ13" i="9"/>
  <c r="CQ13" i="9"/>
  <c r="CM13" i="9"/>
  <c r="CO13" i="9"/>
  <c r="CJ21" i="9"/>
  <c r="CL21" i="9"/>
  <c r="CQ21" i="9"/>
  <c r="CM21" i="9"/>
  <c r="CM164" i="9"/>
  <c r="CJ164" i="9"/>
  <c r="CL164" i="9"/>
  <c r="CQ164" i="9"/>
  <c r="CO164" i="9"/>
  <c r="CZ275" i="9"/>
  <c r="CY275" i="9"/>
  <c r="CW275" i="9"/>
  <c r="DD275" i="9"/>
  <c r="DB275" i="9"/>
  <c r="DB199" i="9"/>
  <c r="CY199" i="9"/>
  <c r="CW199" i="9"/>
  <c r="CZ199" i="9"/>
  <c r="DD199" i="9"/>
  <c r="CW143" i="9"/>
  <c r="CY143" i="9"/>
  <c r="CZ143" i="9"/>
  <c r="DD143" i="9"/>
  <c r="CZ59" i="9"/>
  <c r="CW59" i="9"/>
  <c r="CY59" i="9"/>
  <c r="DD59" i="9"/>
  <c r="DB59" i="9"/>
  <c r="CL288" i="9"/>
  <c r="CJ288" i="9"/>
  <c r="CM288" i="9"/>
  <c r="CQ288" i="9"/>
  <c r="CO288" i="9"/>
  <c r="CJ202" i="9"/>
  <c r="CL202" i="9"/>
  <c r="CM202" i="9"/>
  <c r="CQ202" i="9"/>
  <c r="CO202" i="9"/>
  <c r="CZ271" i="9"/>
  <c r="CY271" i="9"/>
  <c r="CW271" i="9"/>
  <c r="DD271" i="9"/>
  <c r="DB271" i="9"/>
  <c r="CJ193" i="9"/>
  <c r="CL193" i="9"/>
  <c r="CM193" i="9"/>
  <c r="CQ193" i="9"/>
  <c r="CL277" i="9"/>
  <c r="CJ277" i="9"/>
  <c r="CQ277" i="9"/>
  <c r="CM277" i="9"/>
  <c r="CO277" i="9"/>
  <c r="DB61" i="9"/>
  <c r="CY61" i="9"/>
  <c r="CW61" i="9"/>
  <c r="CZ61" i="9"/>
  <c r="DD61" i="9"/>
  <c r="CM148" i="9"/>
  <c r="CJ148" i="9"/>
  <c r="CL148" i="9"/>
  <c r="CQ148" i="9"/>
  <c r="CQ139" i="9"/>
  <c r="CL139" i="9"/>
  <c r="CJ139" i="9"/>
  <c r="CM139" i="9"/>
  <c r="CO139" i="9"/>
  <c r="DL249" i="9"/>
  <c r="DJ249" i="9"/>
  <c r="DQ249" i="9"/>
  <c r="DM249" i="9"/>
  <c r="CO152" i="9"/>
  <c r="CM191" i="9"/>
  <c r="CJ191" i="9"/>
  <c r="CL191" i="9"/>
  <c r="CQ191" i="9"/>
  <c r="CO191" i="9"/>
  <c r="DB283" i="9"/>
  <c r="CW283" i="9"/>
  <c r="CY283" i="9"/>
  <c r="CZ283" i="9"/>
  <c r="DD283" i="9"/>
  <c r="CM213" i="9"/>
  <c r="CJ213" i="9"/>
  <c r="CL213" i="9"/>
  <c r="CQ213" i="9"/>
  <c r="CM241" i="9"/>
  <c r="CL241" i="9"/>
  <c r="CJ241" i="9"/>
  <c r="CQ241" i="9"/>
  <c r="CL63" i="9"/>
  <c r="CJ63" i="9"/>
  <c r="CQ63" i="9"/>
  <c r="CM63" i="9"/>
  <c r="CZ258" i="9"/>
  <c r="CY258" i="9"/>
  <c r="CW258" i="9"/>
  <c r="DD258" i="9"/>
  <c r="CM183" i="9"/>
  <c r="CJ183" i="9"/>
  <c r="CL183" i="9"/>
  <c r="CQ183" i="9"/>
  <c r="CM74" i="9"/>
  <c r="CJ74" i="9"/>
  <c r="CL74" i="9"/>
  <c r="CQ74" i="9"/>
  <c r="CJ53" i="9"/>
  <c r="CL53" i="9"/>
  <c r="CM53" i="9"/>
  <c r="CQ53" i="9"/>
  <c r="CO53" i="9"/>
  <c r="DY211" i="9"/>
  <c r="DW211" i="9"/>
  <c r="ED211" i="9"/>
  <c r="DZ211" i="9"/>
  <c r="EA211" i="9" s="1"/>
  <c r="CO144" i="9"/>
  <c r="DB103" i="9"/>
  <c r="CW103" i="9"/>
  <c r="CY103" i="9"/>
  <c r="DD103" i="9"/>
  <c r="CZ103" i="9"/>
  <c r="DB87" i="9"/>
  <c r="DB73" i="9"/>
  <c r="CY73" i="9"/>
  <c r="CW73" i="9"/>
  <c r="DD73" i="9"/>
  <c r="CZ73" i="9"/>
  <c r="CL111" i="9"/>
  <c r="CJ111" i="9"/>
  <c r="CQ111" i="9"/>
  <c r="CM111" i="9"/>
  <c r="CO111" i="9"/>
  <c r="CQ169" i="9"/>
  <c r="CJ169" i="9"/>
  <c r="CL169" i="9"/>
  <c r="CM169" i="9"/>
  <c r="CK332" i="9"/>
  <c r="CK333" i="9"/>
  <c r="CK335" i="9"/>
  <c r="CK334" i="9"/>
  <c r="CM128" i="9"/>
  <c r="CJ128" i="9"/>
  <c r="CL128" i="9"/>
  <c r="CQ128" i="9"/>
  <c r="CO99" i="9"/>
  <c r="CA351" i="9"/>
  <c r="CA350" i="9"/>
  <c r="CA352" i="9"/>
  <c r="BV449" i="9"/>
  <c r="BV451" i="9" s="1"/>
  <c r="BX452" i="9" s="1"/>
  <c r="BX413" i="9"/>
  <c r="BY346" i="9"/>
  <c r="BY347" i="9"/>
  <c r="BY345" i="9"/>
  <c r="CQ190" i="9"/>
  <c r="CL190" i="9"/>
  <c r="CJ190" i="9"/>
  <c r="CM190" i="9"/>
  <c r="CO190" i="9"/>
  <c r="DN287" i="9"/>
  <c r="DX287" i="9"/>
  <c r="CM120" i="9"/>
  <c r="CL120" i="9"/>
  <c r="CJ120" i="9"/>
  <c r="CQ120" i="9"/>
  <c r="CO120" i="9"/>
  <c r="CQ206" i="9"/>
  <c r="CL206" i="9"/>
  <c r="CJ206" i="9"/>
  <c r="CM206" i="9"/>
  <c r="CO206" i="9"/>
  <c r="BO361" i="9"/>
  <c r="CM301" i="9"/>
  <c r="CJ301" i="9"/>
  <c r="CL301" i="9"/>
  <c r="CQ301" i="9"/>
  <c r="CZ91" i="9"/>
  <c r="CW91" i="9"/>
  <c r="CY91" i="9"/>
  <c r="DD91" i="9"/>
  <c r="DB91" i="9"/>
  <c r="CJ134" i="9"/>
  <c r="CL134" i="9"/>
  <c r="CQ134" i="9"/>
  <c r="CM134" i="9"/>
  <c r="CO134" i="9"/>
  <c r="CO166" i="9"/>
  <c r="DA58" i="9"/>
  <c r="DK58" i="9"/>
  <c r="CQ28" i="9"/>
  <c r="CJ28" i="9"/>
  <c r="CL28" i="9"/>
  <c r="CM28" i="9"/>
  <c r="CO28" i="9"/>
  <c r="CJ49" i="9"/>
  <c r="CL49" i="9"/>
  <c r="CM49" i="9"/>
  <c r="CQ49" i="9"/>
  <c r="CO49" i="9"/>
  <c r="DP382" i="9"/>
  <c r="DP384" i="9"/>
  <c r="DP385" i="9"/>
  <c r="DP379" i="9"/>
  <c r="DH355" i="9"/>
  <c r="DH356" i="9"/>
  <c r="DH354" i="9"/>
  <c r="DF353" i="9"/>
  <c r="DP320" i="9"/>
  <c r="DX430" i="9"/>
  <c r="DX428" i="9" s="1"/>
  <c r="DX435" i="9"/>
  <c r="DX433" i="9" s="1"/>
  <c r="DA38" i="9"/>
  <c r="DK38" i="9"/>
  <c r="CM233" i="9"/>
  <c r="CL233" i="9"/>
  <c r="CJ233" i="9"/>
  <c r="CQ233" i="9"/>
  <c r="CO63" i="9"/>
  <c r="CM227" i="9"/>
  <c r="CJ227" i="9"/>
  <c r="CL227" i="9"/>
  <c r="CQ227" i="9"/>
  <c r="CO227" i="9"/>
  <c r="CM313" i="9"/>
  <c r="CJ313" i="9"/>
  <c r="CL313" i="9"/>
  <c r="CQ313" i="9"/>
  <c r="CO313" i="9"/>
  <c r="CM114" i="9"/>
  <c r="CJ114" i="9"/>
  <c r="CL114" i="9"/>
  <c r="CQ114" i="9"/>
  <c r="CO114" i="9"/>
  <c r="CO106" i="9"/>
  <c r="DA70" i="9"/>
  <c r="DK70" i="9"/>
  <c r="CO159" i="9"/>
  <c r="CM156" i="9"/>
  <c r="CJ156" i="9"/>
  <c r="CL156" i="9"/>
  <c r="CQ156" i="9"/>
  <c r="CQ310" i="9"/>
  <c r="CL310" i="9"/>
  <c r="CJ310" i="9"/>
  <c r="CM310" i="9"/>
  <c r="CO310" i="9"/>
  <c r="CJ228" i="9"/>
  <c r="CL228" i="9"/>
  <c r="CQ228" i="9"/>
  <c r="CM228" i="9"/>
  <c r="CO228" i="9"/>
  <c r="CL115" i="9"/>
  <c r="CJ115" i="9"/>
  <c r="CM115" i="9"/>
  <c r="CQ115" i="9"/>
  <c r="CO115" i="9"/>
  <c r="DA198" i="9"/>
  <c r="DK198" i="9"/>
  <c r="DB163" i="9"/>
  <c r="CM221" i="9"/>
  <c r="CL221" i="9"/>
  <c r="CJ221" i="9"/>
  <c r="CQ221" i="9"/>
  <c r="CO221" i="9"/>
  <c r="CO189" i="9"/>
  <c r="DO269" i="9"/>
  <c r="CM66" i="9"/>
  <c r="CJ66" i="9"/>
  <c r="CL66" i="9"/>
  <c r="CQ66" i="9"/>
  <c r="DB65" i="9"/>
  <c r="CY65" i="9"/>
  <c r="CW65" i="9"/>
  <c r="CZ65" i="9"/>
  <c r="DD65" i="9"/>
  <c r="CJ290" i="9"/>
  <c r="CL290" i="9"/>
  <c r="CQ290" i="9"/>
  <c r="CM290" i="9"/>
  <c r="CO160" i="9"/>
  <c r="CM265" i="9"/>
  <c r="CJ265" i="9"/>
  <c r="CL265" i="9"/>
  <c r="CQ265" i="9"/>
  <c r="CL79" i="9"/>
  <c r="CJ79" i="9"/>
  <c r="CQ79" i="9"/>
  <c r="CM79" i="9"/>
  <c r="CO79" i="9"/>
  <c r="CM104" i="9"/>
  <c r="CL104" i="9"/>
  <c r="CJ104" i="9"/>
  <c r="CQ104" i="9"/>
  <c r="CM118" i="9"/>
  <c r="CJ118" i="9"/>
  <c r="CL118" i="9"/>
  <c r="CQ118" i="9"/>
  <c r="CM80" i="9"/>
  <c r="CL80" i="9"/>
  <c r="CJ80" i="9"/>
  <c r="CQ80" i="9"/>
  <c r="CO80" i="9"/>
  <c r="CQ36" i="9"/>
  <c r="CJ36" i="9"/>
  <c r="CL36" i="9"/>
  <c r="CM36" i="9"/>
  <c r="CO36" i="9"/>
  <c r="CS372" i="9"/>
  <c r="BJ394" i="9"/>
  <c r="DA243" i="9"/>
  <c r="DK243" i="9"/>
  <c r="BW413" i="9"/>
  <c r="CJ185" i="9"/>
  <c r="CL185" i="9"/>
  <c r="CM185" i="9"/>
  <c r="CQ185" i="9"/>
  <c r="CO185" i="9"/>
  <c r="CM50" i="9"/>
  <c r="CJ50" i="9"/>
  <c r="CL50" i="9"/>
  <c r="CQ50" i="9"/>
  <c r="CM316" i="9"/>
  <c r="CJ316" i="9"/>
  <c r="CL316" i="9"/>
  <c r="CQ316" i="9"/>
  <c r="CO316" i="9"/>
  <c r="CO122" i="9"/>
  <c r="DO40" i="9"/>
  <c r="DA180" i="9"/>
  <c r="DK180" i="9"/>
  <c r="BK351" i="9"/>
  <c r="BK371" i="9" s="1"/>
  <c r="BM371" i="9"/>
  <c r="CO181" i="9"/>
  <c r="CL121" i="9"/>
  <c r="CJ121" i="9"/>
  <c r="CM121" i="9"/>
  <c r="CQ121" i="9"/>
  <c r="CM175" i="9"/>
  <c r="CJ175" i="9"/>
  <c r="CL175" i="9"/>
  <c r="CQ175" i="9"/>
  <c r="CO175" i="9"/>
  <c r="CO217" i="9"/>
  <c r="CO26" i="9"/>
  <c r="CO71" i="9"/>
  <c r="CM245" i="9"/>
  <c r="CJ245" i="9"/>
  <c r="CL245" i="9"/>
  <c r="CQ245" i="9"/>
  <c r="CO245" i="9"/>
  <c r="CJ194" i="9"/>
  <c r="CL194" i="9"/>
  <c r="CM194" i="9"/>
  <c r="CQ194" i="9"/>
  <c r="CO194" i="9"/>
  <c r="CW308" i="9"/>
  <c r="CY308" i="9"/>
  <c r="DD308" i="9"/>
  <c r="CZ308" i="9"/>
  <c r="DB149" i="9"/>
  <c r="CQ125" i="9"/>
  <c r="CL125" i="9"/>
  <c r="CJ125" i="9"/>
  <c r="CM125" i="9"/>
  <c r="CO125" i="9"/>
  <c r="CM225" i="9"/>
  <c r="CL225" i="9"/>
  <c r="CJ225" i="9"/>
  <c r="CQ225" i="9"/>
  <c r="CW167" i="9"/>
  <c r="CY167" i="9"/>
  <c r="CZ167" i="9"/>
  <c r="DD167" i="9"/>
  <c r="DB167" i="9"/>
  <c r="CO162" i="9"/>
  <c r="CA353" i="9"/>
  <c r="AL29" i="2"/>
  <c r="DP381" i="9"/>
  <c r="DI331" i="9"/>
  <c r="DJ331" i="9" s="1"/>
  <c r="DK423" i="9"/>
  <c r="EC391" i="9"/>
  <c r="ED391" i="9"/>
  <c r="ED392" i="9"/>
  <c r="EC392" i="9"/>
  <c r="EC393" i="9"/>
  <c r="ED393" i="9"/>
  <c r="EA366" i="9"/>
  <c r="DY366" i="9"/>
  <c r="DY367" i="9"/>
  <c r="EA368" i="9"/>
  <c r="DZ368" i="9" s="1"/>
  <c r="DX368" i="9" s="1"/>
  <c r="DW368" i="9"/>
  <c r="DW366" i="9"/>
  <c r="DW367" i="9"/>
  <c r="DX438" i="9"/>
  <c r="DX446" i="9"/>
  <c r="DX445" i="9" s="1"/>
  <c r="DW136" i="9"/>
  <c r="DY136" i="9"/>
  <c r="DZ136" i="9"/>
  <c r="EA136" i="9" s="1"/>
  <c r="ED136" i="9"/>
  <c r="EB136" i="9"/>
  <c r="CM264" i="9"/>
  <c r="CL264" i="9"/>
  <c r="CJ264" i="9"/>
  <c r="CQ264" i="9"/>
  <c r="CO140" i="9"/>
  <c r="CO33" i="9"/>
  <c r="CO241" i="9"/>
  <c r="CJ57" i="9"/>
  <c r="CL57" i="9"/>
  <c r="CM57" i="9"/>
  <c r="CQ57" i="9"/>
  <c r="CO182" i="9"/>
  <c r="CO314" i="9"/>
  <c r="CW311" i="9"/>
  <c r="CY311" i="9"/>
  <c r="DD311" i="9"/>
  <c r="CZ311" i="9"/>
  <c r="DB311" i="9"/>
  <c r="CO193" i="9"/>
  <c r="CQ171" i="9"/>
  <c r="CL171" i="9"/>
  <c r="CJ171" i="9"/>
  <c r="CM171" i="9"/>
  <c r="CO259" i="9"/>
  <c r="CY155" i="9"/>
  <c r="CW155" i="9"/>
  <c r="CZ155" i="9"/>
  <c r="DD155" i="9"/>
  <c r="CO75" i="9"/>
  <c r="CL15" i="9"/>
  <c r="CJ15" i="9"/>
  <c r="CM15" i="9"/>
  <c r="CQ15" i="9"/>
  <c r="CL67" i="9"/>
  <c r="CJ67" i="9"/>
  <c r="CM67" i="9"/>
  <c r="CQ67" i="9"/>
  <c r="CO67" i="9"/>
  <c r="DA158" i="9"/>
  <c r="DK158" i="9"/>
  <c r="DO158" i="9" s="1"/>
  <c r="DB31" i="9"/>
  <c r="AJ349" i="9"/>
  <c r="AK402" i="9"/>
  <c r="AJ372" i="9"/>
  <c r="AK401" i="9"/>
  <c r="AJ371" i="9"/>
  <c r="F13" i="10"/>
  <c r="AK400" i="9"/>
  <c r="AJ370" i="9"/>
  <c r="E13" i="10"/>
  <c r="G8" i="17"/>
  <c r="CJ191" i="14"/>
  <c r="BX199" i="14"/>
  <c r="BX172" i="14"/>
  <c r="BW172" i="14" s="1"/>
  <c r="BW154" i="14"/>
  <c r="CK154" i="14"/>
  <c r="CJ146" i="14"/>
  <c r="S366" i="9"/>
  <c r="AA366" i="9"/>
  <c r="X341" i="9"/>
  <c r="Y341" i="9" s="1"/>
  <c r="Y366" i="9"/>
  <c r="AD391" i="9"/>
  <c r="V341" i="9"/>
  <c r="U366" i="9"/>
  <c r="AP27" i="13"/>
  <c r="AJ108" i="13" s="1"/>
  <c r="AK108" i="13" s="1"/>
  <c r="G11" i="17"/>
  <c r="K69" i="10"/>
  <c r="DL315" i="9" l="1"/>
  <c r="DM315" i="9"/>
  <c r="DO315" i="9"/>
  <c r="DJ315" i="9"/>
  <c r="DQ315" i="9"/>
  <c r="DK391" i="9"/>
  <c r="BO369" i="9"/>
  <c r="DX418" i="9"/>
  <c r="AH19" i="2"/>
  <c r="CV329" i="9"/>
  <c r="CW329" i="9" s="1"/>
  <c r="CW328" i="9" s="1"/>
  <c r="DC379" i="9"/>
  <c r="CS354" i="9"/>
  <c r="CU354" i="9"/>
  <c r="AI24" i="2"/>
  <c r="DK428" i="9"/>
  <c r="AF46" i="2"/>
  <c r="AF39" i="2"/>
  <c r="DC375" i="9"/>
  <c r="CU350" i="9"/>
  <c r="CV325" i="9"/>
  <c r="CS350" i="9"/>
  <c r="AH13" i="2"/>
  <c r="CJ329" i="9"/>
  <c r="CJ328" i="9" s="1"/>
  <c r="CI345" i="9"/>
  <c r="CJ345" i="9" s="1"/>
  <c r="CJ344" i="9" s="1"/>
  <c r="BK452" i="9"/>
  <c r="BK453" i="9"/>
  <c r="DM366" i="9"/>
  <c r="DK366" i="9" s="1"/>
  <c r="AD46" i="2"/>
  <c r="AJ369" i="9"/>
  <c r="DZ366" i="9"/>
  <c r="DX366" i="9" s="1"/>
  <c r="DX393" i="9"/>
  <c r="DX391" i="9"/>
  <c r="CL334" i="9"/>
  <c r="CL333" i="9"/>
  <c r="BW382" i="9"/>
  <c r="DZ367" i="9"/>
  <c r="DX367" i="9" s="1"/>
  <c r="AE39" i="2"/>
  <c r="AE46" i="2"/>
  <c r="CX445" i="9"/>
  <c r="CV337" i="9"/>
  <c r="CW337" i="9" s="1"/>
  <c r="CW336" i="9" s="1"/>
  <c r="DC387" i="9"/>
  <c r="CU362" i="9"/>
  <c r="CS362" i="9"/>
  <c r="AH29" i="2"/>
  <c r="BW344" i="9"/>
  <c r="AD39" i="2"/>
  <c r="W40" i="2"/>
  <c r="W47" i="2"/>
  <c r="CB355" i="9"/>
  <c r="BZ353" i="9"/>
  <c r="BX353" i="9" s="1"/>
  <c r="CB356" i="9"/>
  <c r="CB354" i="9"/>
  <c r="DA167" i="9"/>
  <c r="DK167" i="9"/>
  <c r="CN225" i="9"/>
  <c r="CX225" i="9"/>
  <c r="CN125" i="9"/>
  <c r="CX125" i="9"/>
  <c r="CN245" i="9"/>
  <c r="CX245" i="9"/>
  <c r="CN175" i="9"/>
  <c r="CX175" i="9"/>
  <c r="CN121" i="9"/>
  <c r="CX121" i="9"/>
  <c r="DM180" i="9"/>
  <c r="DJ180" i="9"/>
  <c r="DL180" i="9"/>
  <c r="DQ180" i="9"/>
  <c r="CN316" i="9"/>
  <c r="CX316" i="9"/>
  <c r="CN50" i="9"/>
  <c r="CX50" i="9"/>
  <c r="CN36" i="9"/>
  <c r="CX36" i="9"/>
  <c r="CN80" i="9"/>
  <c r="CX80" i="9"/>
  <c r="CN118" i="9"/>
  <c r="CX118" i="9"/>
  <c r="CN104" i="9"/>
  <c r="CX104" i="9"/>
  <c r="CN79" i="9"/>
  <c r="CX79" i="9"/>
  <c r="DA65" i="9"/>
  <c r="DK65" i="9"/>
  <c r="CN221" i="9"/>
  <c r="CX221" i="9"/>
  <c r="DM198" i="9"/>
  <c r="DL198" i="9"/>
  <c r="DJ198" i="9"/>
  <c r="DQ198" i="9"/>
  <c r="DO198" i="9"/>
  <c r="CN115" i="9"/>
  <c r="CX115" i="9"/>
  <c r="CN228" i="9"/>
  <c r="CX228" i="9"/>
  <c r="CN156" i="9"/>
  <c r="CX156" i="9"/>
  <c r="DJ70" i="9"/>
  <c r="DL70" i="9"/>
  <c r="DM70" i="9"/>
  <c r="DQ70" i="9"/>
  <c r="CN313" i="9"/>
  <c r="CX313" i="9"/>
  <c r="CN233" i="9"/>
  <c r="CX233" i="9"/>
  <c r="CN134" i="9"/>
  <c r="CX134" i="9"/>
  <c r="DA91" i="9"/>
  <c r="DK91" i="9"/>
  <c r="CN301" i="9"/>
  <c r="CX301" i="9"/>
  <c r="DW287" i="9"/>
  <c r="DY287" i="9"/>
  <c r="ED287" i="9"/>
  <c r="DZ287" i="9"/>
  <c r="EA287" i="9" s="1"/>
  <c r="BZ352" i="9"/>
  <c r="CA372" i="9"/>
  <c r="CA371" i="9"/>
  <c r="BZ351" i="9"/>
  <c r="CN169" i="9"/>
  <c r="CX169" i="9"/>
  <c r="CN53" i="9"/>
  <c r="CX53" i="9"/>
  <c r="CN74" i="9"/>
  <c r="CX74" i="9"/>
  <c r="CN183" i="9"/>
  <c r="CX183" i="9"/>
  <c r="DA258" i="9"/>
  <c r="DK258" i="9"/>
  <c r="DA283" i="9"/>
  <c r="DK283" i="9"/>
  <c r="CN139" i="9"/>
  <c r="CX139" i="9"/>
  <c r="CN148" i="9"/>
  <c r="CX148" i="9"/>
  <c r="DA61" i="9"/>
  <c r="DK61" i="9"/>
  <c r="CN193" i="9"/>
  <c r="CX193" i="9"/>
  <c r="DA271" i="9"/>
  <c r="DK271" i="9"/>
  <c r="CN288" i="9"/>
  <c r="CX288" i="9"/>
  <c r="CN164" i="9"/>
  <c r="CX164" i="9"/>
  <c r="CN13" i="9"/>
  <c r="CX13" i="9"/>
  <c r="CN19" i="9"/>
  <c r="CX19" i="9"/>
  <c r="CN140" i="9"/>
  <c r="CX140" i="9"/>
  <c r="DS357" i="9"/>
  <c r="DS364" i="9"/>
  <c r="DS361" i="9"/>
  <c r="EC389" i="9"/>
  <c r="EC386" i="9"/>
  <c r="DS356" i="9"/>
  <c r="EC381" i="9"/>
  <c r="DU353" i="9"/>
  <c r="DS349" i="9"/>
  <c r="CA369" i="9"/>
  <c r="CB351" i="9"/>
  <c r="BZ349" i="9"/>
  <c r="CB352" i="9"/>
  <c r="CB350" i="9"/>
  <c r="CN317" i="9"/>
  <c r="CX317" i="9"/>
  <c r="CN170" i="9"/>
  <c r="CX170" i="9"/>
  <c r="CN135" i="9"/>
  <c r="CX135" i="9"/>
  <c r="DN285" i="9"/>
  <c r="DX285" i="9"/>
  <c r="CN299" i="9"/>
  <c r="CX299" i="9"/>
  <c r="CN71" i="9"/>
  <c r="CX71" i="9"/>
  <c r="CL356" i="9"/>
  <c r="CL355" i="9"/>
  <c r="CL354" i="9"/>
  <c r="CN217" i="9"/>
  <c r="CX217" i="9"/>
  <c r="DA107" i="9"/>
  <c r="DK107" i="9"/>
  <c r="DL8" i="9"/>
  <c r="DJ8" i="9"/>
  <c r="DM8" i="9"/>
  <c r="DQ8" i="9"/>
  <c r="CN122" i="9"/>
  <c r="CX122" i="9"/>
  <c r="CN5" i="9"/>
  <c r="CM320" i="9"/>
  <c r="CX5" i="9"/>
  <c r="DA95" i="9"/>
  <c r="DK95" i="9"/>
  <c r="CN117" i="9"/>
  <c r="CX117" i="9"/>
  <c r="CN305" i="9"/>
  <c r="CX305" i="9"/>
  <c r="CN207" i="9"/>
  <c r="CX207" i="9"/>
  <c r="BW381" i="9"/>
  <c r="BW379" i="9"/>
  <c r="BW380" i="9"/>
  <c r="CN51" i="9"/>
  <c r="CX51" i="9"/>
  <c r="CL353" i="9"/>
  <c r="DI347" i="9"/>
  <c r="DJ347" i="9" s="1"/>
  <c r="DJ327" i="9"/>
  <c r="CN20" i="9"/>
  <c r="CX20" i="9"/>
  <c r="CN98" i="9"/>
  <c r="CX98" i="9"/>
  <c r="CN178" i="9"/>
  <c r="CX178" i="9"/>
  <c r="CN166" i="9"/>
  <c r="CX166" i="9"/>
  <c r="CN102" i="9"/>
  <c r="CX102" i="9"/>
  <c r="CN176" i="9"/>
  <c r="CX176" i="9"/>
  <c r="CN55" i="9"/>
  <c r="CX55" i="9"/>
  <c r="BW374" i="9"/>
  <c r="CN105" i="9"/>
  <c r="CX105" i="9"/>
  <c r="CN99" i="9"/>
  <c r="CX99" i="9"/>
  <c r="DA242" i="9"/>
  <c r="DK242" i="9"/>
  <c r="CN251" i="9"/>
  <c r="CX251" i="9"/>
  <c r="CN200" i="9"/>
  <c r="CX200" i="9"/>
  <c r="CN296" i="9"/>
  <c r="CX296" i="9"/>
  <c r="CO320" i="9"/>
  <c r="CN138" i="9"/>
  <c r="CX138" i="9"/>
  <c r="CN238" i="9"/>
  <c r="CX238" i="9"/>
  <c r="CN195" i="9"/>
  <c r="CX195" i="9"/>
  <c r="CN30" i="9"/>
  <c r="CX30" i="9"/>
  <c r="CN151" i="9"/>
  <c r="CX151" i="9"/>
  <c r="CN12" i="9"/>
  <c r="CX12" i="9"/>
  <c r="CJ320" i="9"/>
  <c r="CK406" i="9" s="1"/>
  <c r="CK405" i="9" s="1"/>
  <c r="DL40" i="9"/>
  <c r="DJ40" i="9"/>
  <c r="DM40" i="9"/>
  <c r="DQ40" i="9"/>
  <c r="CN224" i="9"/>
  <c r="CX224" i="9"/>
  <c r="CN203" i="9"/>
  <c r="CX203" i="9"/>
  <c r="CN172" i="9"/>
  <c r="CX172" i="9"/>
  <c r="DM300" i="9"/>
  <c r="DL300" i="9"/>
  <c r="DJ300" i="9"/>
  <c r="DQ300" i="9"/>
  <c r="DO300" i="9"/>
  <c r="CN229" i="9"/>
  <c r="CX229" i="9"/>
  <c r="DL269" i="9"/>
  <c r="DJ269" i="9"/>
  <c r="DQ269" i="9"/>
  <c r="DM269" i="9"/>
  <c r="CN60" i="9"/>
  <c r="CX60" i="9"/>
  <c r="CN284" i="9"/>
  <c r="CX284" i="9"/>
  <c r="CN23" i="9"/>
  <c r="CX23" i="9"/>
  <c r="CN174" i="9"/>
  <c r="CX174" i="9"/>
  <c r="DW62" i="9"/>
  <c r="DY62" i="9"/>
  <c r="ED62" i="9"/>
  <c r="DZ62" i="9"/>
  <c r="EA62" i="9" s="1"/>
  <c r="EB62" i="9"/>
  <c r="DW260" i="9"/>
  <c r="DY260" i="9"/>
  <c r="ED260" i="9"/>
  <c r="DZ260" i="9"/>
  <c r="EA260" i="9" s="1"/>
  <c r="EB260" i="9"/>
  <c r="CN43" i="9"/>
  <c r="CX43" i="9"/>
  <c r="CN279" i="9"/>
  <c r="CX279" i="9"/>
  <c r="CN165" i="9"/>
  <c r="CX165" i="9"/>
  <c r="CN68" i="9"/>
  <c r="CX68" i="9"/>
  <c r="CN17" i="9"/>
  <c r="CX17" i="9"/>
  <c r="DA133" i="9"/>
  <c r="DK133" i="9"/>
  <c r="CN252" i="9"/>
  <c r="CX252" i="9"/>
  <c r="CN282" i="9"/>
  <c r="CX282" i="9"/>
  <c r="CN89" i="9"/>
  <c r="CX89" i="9"/>
  <c r="CN141" i="9"/>
  <c r="CX141" i="9"/>
  <c r="CN231" i="9"/>
  <c r="CX231" i="9"/>
  <c r="CK345" i="9"/>
  <c r="CI452" i="9" s="1"/>
  <c r="CK346" i="9"/>
  <c r="CI453" i="9" s="1"/>
  <c r="CQ377" i="9"/>
  <c r="CK377" i="9" s="1"/>
  <c r="CQ375" i="9"/>
  <c r="CQ376" i="9"/>
  <c r="CQ374" i="9"/>
  <c r="CK374" i="9" s="1"/>
  <c r="CN83" i="9"/>
  <c r="CX83" i="9"/>
  <c r="CN270" i="9"/>
  <c r="CX270" i="9"/>
  <c r="CN14" i="9"/>
  <c r="CX14" i="9"/>
  <c r="DA210" i="9"/>
  <c r="DK210" i="9"/>
  <c r="CN34" i="9"/>
  <c r="CX34" i="9"/>
  <c r="DO70" i="9"/>
  <c r="DA124" i="9"/>
  <c r="DK124" i="9"/>
  <c r="CN278" i="9"/>
  <c r="CX278" i="9"/>
  <c r="DA11" i="9"/>
  <c r="DK11" i="9"/>
  <c r="CN314" i="9"/>
  <c r="CX314" i="9"/>
  <c r="CN182" i="9"/>
  <c r="CX182" i="9"/>
  <c r="DA31" i="9"/>
  <c r="DK31" i="9"/>
  <c r="CN10" i="9"/>
  <c r="CX10" i="9"/>
  <c r="DJ325" i="9"/>
  <c r="DJ324" i="9" s="1"/>
  <c r="DT320" i="9"/>
  <c r="DU5" i="9"/>
  <c r="DU320" i="9" s="1"/>
  <c r="CN18" i="9"/>
  <c r="CX18" i="9"/>
  <c r="CB359" i="9"/>
  <c r="CB358" i="9"/>
  <c r="BZ357" i="9"/>
  <c r="BX357" i="9" s="1"/>
  <c r="CB360" i="9"/>
  <c r="CN286" i="9"/>
  <c r="CX286" i="9"/>
  <c r="CN173" i="9"/>
  <c r="CX173" i="9"/>
  <c r="DA149" i="9"/>
  <c r="DK149" i="9"/>
  <c r="DO149" i="9" s="1"/>
  <c r="DA266" i="9"/>
  <c r="DK266" i="9"/>
  <c r="CN274" i="9"/>
  <c r="CX274" i="9"/>
  <c r="CN259" i="9"/>
  <c r="CX259" i="9"/>
  <c r="CN257" i="9"/>
  <c r="CX257" i="9"/>
  <c r="CN75" i="9"/>
  <c r="CX75" i="9"/>
  <c r="CB363" i="9"/>
  <c r="CB364" i="9"/>
  <c r="BZ361" i="9"/>
  <c r="BX361" i="9" s="1"/>
  <c r="CB362" i="9"/>
  <c r="CN188" i="9"/>
  <c r="CX188" i="9"/>
  <c r="CN127" i="9"/>
  <c r="CX127" i="9"/>
  <c r="CN97" i="9"/>
  <c r="CX97" i="9"/>
  <c r="DA27" i="9"/>
  <c r="DK27" i="9"/>
  <c r="CN294" i="9"/>
  <c r="CX294" i="9"/>
  <c r="CN78" i="9"/>
  <c r="CX78" i="9"/>
  <c r="CN248" i="9"/>
  <c r="CX248" i="9"/>
  <c r="DA77" i="9"/>
  <c r="DK77" i="9"/>
  <c r="DA179" i="9"/>
  <c r="DK179" i="9"/>
  <c r="DN293" i="9"/>
  <c r="DX293" i="9"/>
  <c r="DL32" i="9"/>
  <c r="DJ32" i="9"/>
  <c r="DM32" i="9"/>
  <c r="DQ32" i="9"/>
  <c r="CN54" i="9"/>
  <c r="CX54" i="9"/>
  <c r="CN153" i="9"/>
  <c r="CX153" i="9"/>
  <c r="CN46" i="9"/>
  <c r="CX46" i="9"/>
  <c r="DA163" i="9"/>
  <c r="DK163" i="9"/>
  <c r="DO163" i="9" s="1"/>
  <c r="DA197" i="9"/>
  <c r="DK197" i="9"/>
  <c r="CN244" i="9"/>
  <c r="CX244" i="9"/>
  <c r="CN297" i="9"/>
  <c r="CX297" i="9"/>
  <c r="CN159" i="9"/>
  <c r="CX159" i="9"/>
  <c r="DB159" i="9" s="1"/>
  <c r="CN52" i="9"/>
  <c r="CX52" i="9"/>
  <c r="CN212" i="9"/>
  <c r="CX212" i="9"/>
  <c r="CN246" i="9"/>
  <c r="CX246" i="9"/>
  <c r="DJ330" i="9"/>
  <c r="DI346" i="9"/>
  <c r="DJ346" i="9" s="1"/>
  <c r="DM367" i="9"/>
  <c r="DK367" i="9" s="1"/>
  <c r="DP394" i="9"/>
  <c r="CN261" i="9"/>
  <c r="CX261" i="9"/>
  <c r="CN150" i="9"/>
  <c r="CX150" i="9"/>
  <c r="DB150" i="9" s="1"/>
  <c r="CN192" i="9"/>
  <c r="CX192" i="9"/>
  <c r="CN56" i="9"/>
  <c r="CX56" i="9"/>
  <c r="CN145" i="9"/>
  <c r="CX145" i="9"/>
  <c r="DA142" i="9"/>
  <c r="DK142" i="9"/>
  <c r="CN280" i="9"/>
  <c r="CX280" i="9"/>
  <c r="DA87" i="9"/>
  <c r="DK87" i="9"/>
  <c r="CN64" i="9"/>
  <c r="CX64" i="9"/>
  <c r="DO31" i="9"/>
  <c r="DB75" i="9"/>
  <c r="DA155" i="9"/>
  <c r="DK155" i="9"/>
  <c r="CN171" i="9"/>
  <c r="CX171" i="9"/>
  <c r="DA311" i="9"/>
  <c r="DK311" i="9"/>
  <c r="DO311" i="9" s="1"/>
  <c r="DB140" i="9"/>
  <c r="CN264" i="9"/>
  <c r="CX264" i="9"/>
  <c r="DM158" i="9"/>
  <c r="DJ158" i="9"/>
  <c r="DL158" i="9"/>
  <c r="DQ158" i="9"/>
  <c r="CN67" i="9"/>
  <c r="CX67" i="9"/>
  <c r="CN15" i="9"/>
  <c r="CX15" i="9"/>
  <c r="DB259" i="9"/>
  <c r="DB182" i="9"/>
  <c r="CN57" i="9"/>
  <c r="CX57" i="9"/>
  <c r="DW365" i="9"/>
  <c r="DX392" i="9"/>
  <c r="DB125" i="9"/>
  <c r="DA308" i="9"/>
  <c r="DK308" i="9"/>
  <c r="CN194" i="9"/>
  <c r="CX194" i="9"/>
  <c r="DB71" i="9"/>
  <c r="DB217" i="9"/>
  <c r="BK401" i="9"/>
  <c r="BI459" i="9" s="1"/>
  <c r="J13" i="10"/>
  <c r="DB122" i="9"/>
  <c r="CN185" i="9"/>
  <c r="CX185" i="9"/>
  <c r="DJ243" i="9"/>
  <c r="DL243" i="9"/>
  <c r="DM243" i="9"/>
  <c r="DQ243" i="9"/>
  <c r="DO243" i="9"/>
  <c r="DB79" i="9"/>
  <c r="CN265" i="9"/>
  <c r="CX265" i="9"/>
  <c r="CN290" i="9"/>
  <c r="CX290" i="9"/>
  <c r="DO65" i="9"/>
  <c r="CN66" i="9"/>
  <c r="CX66" i="9"/>
  <c r="CN310" i="9"/>
  <c r="CX310" i="9"/>
  <c r="CN114" i="9"/>
  <c r="CX114" i="9"/>
  <c r="CN227" i="9"/>
  <c r="CX227" i="9"/>
  <c r="DL38" i="9"/>
  <c r="DJ38" i="9"/>
  <c r="DQ38" i="9"/>
  <c r="DM38" i="9"/>
  <c r="DO38" i="9"/>
  <c r="CN49" i="9"/>
  <c r="CX49" i="9"/>
  <c r="CN28" i="9"/>
  <c r="CX28" i="9"/>
  <c r="DL58" i="9"/>
  <c r="DJ58" i="9"/>
  <c r="DQ58" i="9"/>
  <c r="DM58" i="9"/>
  <c r="DO58" i="9"/>
  <c r="DB134" i="9"/>
  <c r="CN206" i="9"/>
  <c r="CX206" i="9"/>
  <c r="CN120" i="9"/>
  <c r="CX120" i="9"/>
  <c r="CN190" i="9"/>
  <c r="CX190" i="9"/>
  <c r="BY344" i="9"/>
  <c r="BZ350" i="9"/>
  <c r="CA370" i="9"/>
  <c r="CB370" i="9" s="1"/>
  <c r="DB99" i="9"/>
  <c r="CN128" i="9"/>
  <c r="CX128" i="9"/>
  <c r="CL335" i="9"/>
  <c r="CL332" i="9" s="1"/>
  <c r="CL360" i="9"/>
  <c r="CL358" i="9"/>
  <c r="CL359" i="9"/>
  <c r="CQ382" i="9"/>
  <c r="CQ383" i="9"/>
  <c r="CK383" i="9" s="1"/>
  <c r="CQ384" i="9"/>
  <c r="CK384" i="9" s="1"/>
  <c r="CQ385" i="9"/>
  <c r="CK385" i="9" s="1"/>
  <c r="CN111" i="9"/>
  <c r="CX111" i="9"/>
  <c r="DA73" i="9"/>
  <c r="DK73" i="9"/>
  <c r="DA103" i="9"/>
  <c r="DK103" i="9"/>
  <c r="DO103" i="9" s="1"/>
  <c r="CN63" i="9"/>
  <c r="CX63" i="9"/>
  <c r="CN241" i="9"/>
  <c r="CX241" i="9"/>
  <c r="CN213" i="9"/>
  <c r="CX213" i="9"/>
  <c r="DO283" i="9"/>
  <c r="CN191" i="9"/>
  <c r="CX191" i="9"/>
  <c r="DN249" i="9"/>
  <c r="DX249" i="9"/>
  <c r="DB139" i="9"/>
  <c r="DO61" i="9"/>
  <c r="CN277" i="9"/>
  <c r="CX277" i="9"/>
  <c r="DB277" i="9" s="1"/>
  <c r="CQ386" i="9"/>
  <c r="CK386" i="9" s="1"/>
  <c r="CN202" i="9"/>
  <c r="CX202" i="9"/>
  <c r="DA59" i="9"/>
  <c r="DK59" i="9"/>
  <c r="DA143" i="9"/>
  <c r="DK143" i="9"/>
  <c r="DA199" i="9"/>
  <c r="DK199" i="9"/>
  <c r="DA275" i="9"/>
  <c r="DK275" i="9"/>
  <c r="CN21" i="9"/>
  <c r="CX21" i="9"/>
  <c r="DB13" i="9"/>
  <c r="DO95" i="9"/>
  <c r="EC382" i="9"/>
  <c r="DU357" i="9"/>
  <c r="DU364" i="9"/>
  <c r="DU361" i="9"/>
  <c r="DU356" i="9"/>
  <c r="DS353" i="9"/>
  <c r="EC378" i="9"/>
  <c r="EC374" i="9"/>
  <c r="DU349" i="9"/>
  <c r="DK445" i="9"/>
  <c r="AI46" i="2"/>
  <c r="AL46" i="2" s="1"/>
  <c r="AI39" i="2"/>
  <c r="AL39" i="2" s="1"/>
  <c r="CN162" i="9"/>
  <c r="CX162" i="9"/>
  <c r="CN113" i="9"/>
  <c r="CX113" i="9"/>
  <c r="EB285" i="9"/>
  <c r="CN291" i="9"/>
  <c r="CX291" i="9"/>
  <c r="CQ380" i="9"/>
  <c r="CK380" i="9" s="1"/>
  <c r="CQ381" i="9"/>
  <c r="CQ379" i="9"/>
  <c r="CK379" i="9" s="1"/>
  <c r="CN41" i="9"/>
  <c r="CX41" i="9"/>
  <c r="CN26" i="9"/>
  <c r="CX26" i="9"/>
  <c r="CL338" i="9"/>
  <c r="CL336" i="9" s="1"/>
  <c r="CQ387" i="9"/>
  <c r="CK387" i="9" s="1"/>
  <c r="CQ389" i="9"/>
  <c r="CK389" i="9" s="1"/>
  <c r="CQ388" i="9"/>
  <c r="CK388" i="9" s="1"/>
  <c r="CL361" i="9"/>
  <c r="CL364" i="9"/>
  <c r="CL363" i="9"/>
  <c r="CL362" i="9"/>
  <c r="CN181" i="9"/>
  <c r="CX181" i="9"/>
  <c r="DB181" i="9" s="1"/>
  <c r="CN208" i="9"/>
  <c r="CX208" i="9"/>
  <c r="CN304" i="9"/>
  <c r="CX304" i="9"/>
  <c r="DB304" i="9" s="1"/>
  <c r="BJ352" i="9"/>
  <c r="BJ350" i="9"/>
  <c r="BK369" i="9"/>
  <c r="BJ351" i="9"/>
  <c r="CN110" i="9"/>
  <c r="CX110" i="9"/>
  <c r="BJ357" i="9"/>
  <c r="DB5" i="9"/>
  <c r="CK412" i="9"/>
  <c r="CK407" i="9"/>
  <c r="CK408" i="9" s="1"/>
  <c r="CL320" i="9"/>
  <c r="DB117" i="9"/>
  <c r="CN189" i="9"/>
  <c r="CX189" i="9"/>
  <c r="CN250" i="9"/>
  <c r="CX250" i="9"/>
  <c r="CN239" i="9"/>
  <c r="CX239" i="9"/>
  <c r="CN154" i="9"/>
  <c r="CX154" i="9"/>
  <c r="DB154" i="9" s="1"/>
  <c r="CN129" i="9"/>
  <c r="CX129" i="9"/>
  <c r="DM186" i="9"/>
  <c r="DJ186" i="9"/>
  <c r="DL186" i="9"/>
  <c r="DQ186" i="9"/>
  <c r="DO186" i="9"/>
  <c r="CN106" i="9"/>
  <c r="CX106" i="9"/>
  <c r="CQ378" i="9"/>
  <c r="CK378" i="9" s="1"/>
  <c r="DH372" i="9"/>
  <c r="DF369" i="9"/>
  <c r="DH371" i="9"/>
  <c r="DA93" i="9"/>
  <c r="DK93" i="9"/>
  <c r="DB178" i="9"/>
  <c r="CN184" i="9"/>
  <c r="CX184" i="9"/>
  <c r="DA187" i="9"/>
  <c r="DK187" i="9"/>
  <c r="CN109" i="9"/>
  <c r="CX109" i="9"/>
  <c r="DB55" i="9"/>
  <c r="DA112" i="9"/>
  <c r="DK112" i="9"/>
  <c r="CN230" i="9"/>
  <c r="CX230" i="9"/>
  <c r="BX394" i="9"/>
  <c r="CN131" i="9"/>
  <c r="CX131" i="9"/>
  <c r="CN130" i="9"/>
  <c r="CX130" i="9"/>
  <c r="CN272" i="9"/>
  <c r="CX272" i="9"/>
  <c r="CN47" i="9"/>
  <c r="CX47" i="9"/>
  <c r="DJ237" i="9"/>
  <c r="DL237" i="9"/>
  <c r="DQ237" i="9"/>
  <c r="DM237" i="9"/>
  <c r="AW369" i="9"/>
  <c r="AX415" i="9"/>
  <c r="AW415" i="9" s="1"/>
  <c r="AW402" i="9"/>
  <c r="AW401" i="9"/>
  <c r="AV455" i="9"/>
  <c r="AV457" i="9" s="1"/>
  <c r="AW400" i="9"/>
  <c r="AW399" i="9" s="1"/>
  <c r="CN157" i="9"/>
  <c r="CX157" i="9"/>
  <c r="CN312" i="9"/>
  <c r="CX312" i="9"/>
  <c r="CN137" i="9"/>
  <c r="CX137" i="9"/>
  <c r="DY295" i="9"/>
  <c r="DW295" i="9"/>
  <c r="DZ295" i="9"/>
  <c r="EA295" i="9" s="1"/>
  <c r="ED295" i="9"/>
  <c r="CN44" i="9"/>
  <c r="CX44" i="9"/>
  <c r="CN123" i="9"/>
  <c r="CX123" i="9"/>
  <c r="CN94" i="9"/>
  <c r="CX94" i="9"/>
  <c r="CN234" i="9"/>
  <c r="CX234" i="9"/>
  <c r="CN147" i="9"/>
  <c r="CX147" i="9"/>
  <c r="DB147" i="9" s="1"/>
  <c r="DW390" i="9"/>
  <c r="DJ328" i="9"/>
  <c r="CL331" i="9"/>
  <c r="CL328" i="9" s="1"/>
  <c r="DL6" i="9"/>
  <c r="DJ6" i="9"/>
  <c r="DQ6" i="9"/>
  <c r="DM6" i="9"/>
  <c r="DB12" i="9"/>
  <c r="CN222" i="9"/>
  <c r="CX222" i="9"/>
  <c r="DB30" i="9"/>
  <c r="BW386" i="9"/>
  <c r="DB127" i="9"/>
  <c r="DW268" i="9"/>
  <c r="DY268" i="9"/>
  <c r="ED268" i="9"/>
  <c r="DZ268" i="9"/>
  <c r="EA268" i="9" s="1"/>
  <c r="CQ320" i="9"/>
  <c r="CL357" i="9"/>
  <c r="DO180" i="9"/>
  <c r="CN29" i="9"/>
  <c r="CX29" i="9"/>
  <c r="DA216" i="9"/>
  <c r="DK216" i="9"/>
  <c r="DO216" i="9" s="1"/>
  <c r="CN7" i="9"/>
  <c r="CX7" i="9"/>
  <c r="CN254" i="9"/>
  <c r="CX254" i="9"/>
  <c r="CN116" i="9"/>
  <c r="CX116" i="9"/>
  <c r="CN82" i="9"/>
  <c r="CX82" i="9"/>
  <c r="CN318" i="9"/>
  <c r="CX318" i="9"/>
  <c r="DB284" i="9"/>
  <c r="DB174" i="9"/>
  <c r="CN81" i="9"/>
  <c r="CX81" i="9"/>
  <c r="CN90" i="9"/>
  <c r="CX90" i="9"/>
  <c r="CN196" i="9"/>
  <c r="CX196" i="9"/>
  <c r="CN108" i="9"/>
  <c r="CX108" i="9"/>
  <c r="CN146" i="9"/>
  <c r="CX146" i="9"/>
  <c r="DB165" i="9"/>
  <c r="CN84" i="9"/>
  <c r="CX84" i="9"/>
  <c r="CN255" i="9"/>
  <c r="CX255" i="9"/>
  <c r="CN37" i="9"/>
  <c r="CX37" i="9"/>
  <c r="CN33" i="9"/>
  <c r="CX33" i="9"/>
  <c r="CN25" i="9"/>
  <c r="CX25" i="9"/>
  <c r="CN9" i="9"/>
  <c r="CX9" i="9"/>
  <c r="CN309" i="9"/>
  <c r="CX309" i="9"/>
  <c r="CN232" i="9"/>
  <c r="CX232" i="9"/>
  <c r="DB141" i="9"/>
  <c r="CN247" i="9"/>
  <c r="CX247" i="9"/>
  <c r="BX453" i="9"/>
  <c r="BX451" i="9" s="1"/>
  <c r="CL327" i="9"/>
  <c r="CK347" i="9"/>
  <c r="CI450" i="9" s="1"/>
  <c r="CK344" i="9"/>
  <c r="CL326" i="9"/>
  <c r="CL325" i="9"/>
  <c r="CL324" i="9" s="1"/>
  <c r="CL351" i="9"/>
  <c r="CL371" i="9" s="1"/>
  <c r="CL350" i="9"/>
  <c r="CL370" i="9" s="1"/>
  <c r="CL352" i="9"/>
  <c r="CL349" i="9"/>
  <c r="CL369" i="9" s="1"/>
  <c r="CN42" i="9"/>
  <c r="CX42" i="9"/>
  <c r="CN281" i="9"/>
  <c r="CX281" i="9"/>
  <c r="CN96" i="9"/>
  <c r="CX96" i="9"/>
  <c r="DO142" i="9"/>
  <c r="CN177" i="9"/>
  <c r="CX177" i="9"/>
  <c r="CN319" i="9"/>
  <c r="CX319" i="9"/>
  <c r="DA35" i="9"/>
  <c r="DK35" i="9"/>
  <c r="CN226" i="9"/>
  <c r="CX226" i="9"/>
  <c r="DA101" i="9"/>
  <c r="DK101" i="9"/>
  <c r="CN86" i="9"/>
  <c r="CX86" i="9"/>
  <c r="DA292" i="9"/>
  <c r="DK292" i="9"/>
  <c r="CN152" i="9"/>
  <c r="CX152" i="9"/>
  <c r="DS320" i="9"/>
  <c r="EC320" i="9"/>
  <c r="DB173" i="9"/>
  <c r="CN240" i="9"/>
  <c r="CX240" i="9"/>
  <c r="BW354" i="9"/>
  <c r="DW256" i="9"/>
  <c r="DY256" i="9"/>
  <c r="ED256" i="9"/>
  <c r="DZ256" i="9"/>
  <c r="EA256" i="9" s="1"/>
  <c r="EB256" i="9"/>
  <c r="DY45" i="9"/>
  <c r="DW45" i="9"/>
  <c r="ED45" i="9"/>
  <c r="DZ45" i="9"/>
  <c r="EA45" i="9" s="1"/>
  <c r="EB45" i="9"/>
  <c r="DO27" i="9"/>
  <c r="BK400" i="9"/>
  <c r="BI458" i="9" s="1"/>
  <c r="I13" i="10"/>
  <c r="DL253" i="9"/>
  <c r="DJ253" i="9"/>
  <c r="DQ253" i="9"/>
  <c r="DM253" i="9"/>
  <c r="DL168" i="9"/>
  <c r="DJ168" i="9"/>
  <c r="DQ168" i="9"/>
  <c r="DM168" i="9"/>
  <c r="DO168" i="9"/>
  <c r="DO8" i="9"/>
  <c r="DA85" i="9"/>
  <c r="DK85" i="9"/>
  <c r="DO85" i="9" s="1"/>
  <c r="CN302" i="9"/>
  <c r="CX302" i="9"/>
  <c r="DA218" i="9"/>
  <c r="DK218" i="9"/>
  <c r="CN236" i="9"/>
  <c r="CX236" i="9"/>
  <c r="DO77" i="9"/>
  <c r="EB293" i="9"/>
  <c r="CN160" i="9"/>
  <c r="CX160" i="9"/>
  <c r="DB160" i="9" s="1"/>
  <c r="DA69" i="9"/>
  <c r="DK69" i="9"/>
  <c r="DO69" i="9" s="1"/>
  <c r="DB153" i="9"/>
  <c r="DO197" i="9"/>
  <c r="CN22" i="9"/>
  <c r="CX22" i="9"/>
  <c r="CN276" i="9"/>
  <c r="CX276" i="9"/>
  <c r="CN263" i="9"/>
  <c r="CX263" i="9"/>
  <c r="CN161" i="9"/>
  <c r="CX161" i="9"/>
  <c r="DB161" i="9" s="1"/>
  <c r="DM303" i="9"/>
  <c r="DL303" i="9"/>
  <c r="DJ303" i="9"/>
  <c r="DQ303" i="9"/>
  <c r="CN214" i="9"/>
  <c r="CX214" i="9"/>
  <c r="DB214" i="9" s="1"/>
  <c r="DP396" i="9"/>
  <c r="DP397" i="9"/>
  <c r="EB287" i="9"/>
  <c r="DN267" i="9"/>
  <c r="DX267" i="9"/>
  <c r="EB267" i="9" s="1"/>
  <c r="CN76" i="9"/>
  <c r="CX76" i="9"/>
  <c r="DB145" i="9"/>
  <c r="CN144" i="9"/>
  <c r="CX144" i="9"/>
  <c r="R47" i="2"/>
  <c r="DO237" i="9"/>
  <c r="DM307" i="9"/>
  <c r="DL307" i="9"/>
  <c r="DJ307" i="9"/>
  <c r="DQ307" i="9"/>
  <c r="CN92" i="9"/>
  <c r="CX92" i="9"/>
  <c r="CN100" i="9"/>
  <c r="CX100" i="9"/>
  <c r="AI459" i="9"/>
  <c r="AJ401" i="9"/>
  <c r="AI456" i="9"/>
  <c r="AI457" i="9" s="1"/>
  <c r="AJ402" i="9"/>
  <c r="AI458" i="9"/>
  <c r="AK459" i="9" s="1"/>
  <c r="AJ400" i="9"/>
  <c r="AJ399" i="9" s="1"/>
  <c r="CK172" i="14"/>
  <c r="CJ172" i="14" s="1"/>
  <c r="CJ154" i="14"/>
  <c r="CK199" i="14"/>
  <c r="AB366" i="9"/>
  <c r="Z366" i="9"/>
  <c r="X366" i="9" s="1"/>
  <c r="W366" i="9" s="1"/>
  <c r="AB367" i="9"/>
  <c r="AB368" i="9"/>
  <c r="AG27" i="13"/>
  <c r="AC106" i="13" s="1"/>
  <c r="I24" i="10" s="1"/>
  <c r="AA27" i="13"/>
  <c r="V107" i="13" s="1"/>
  <c r="H24" i="10" s="1"/>
  <c r="BC27" i="13"/>
  <c r="AX107" i="13" s="1"/>
  <c r="AV27" i="13"/>
  <c r="AQ107" i="13" s="1"/>
  <c r="AR107" i="13" s="1"/>
  <c r="AU27" i="13"/>
  <c r="AQ106" i="13" s="1"/>
  <c r="BC101" i="13"/>
  <c r="AX112" i="13" s="1"/>
  <c r="AW27" i="13"/>
  <c r="AQ108" i="13" s="1"/>
  <c r="AR108" i="13" s="1"/>
  <c r="AU101" i="13"/>
  <c r="AQ111" i="13" s="1"/>
  <c r="AW101" i="13"/>
  <c r="AQ113" i="13" s="1"/>
  <c r="AV101" i="13"/>
  <c r="AQ112" i="13" s="1"/>
  <c r="AR106" i="13"/>
  <c r="BB101" i="13"/>
  <c r="AX111" i="13" s="1"/>
  <c r="BB27" i="13"/>
  <c r="AX106" i="13" s="1"/>
  <c r="AO27" i="13"/>
  <c r="AJ107" i="13" s="1"/>
  <c r="D24" i="4" s="1"/>
  <c r="AO101" i="13"/>
  <c r="AJ112" i="13" s="1"/>
  <c r="AG101" i="13"/>
  <c r="AC111" i="13" s="1"/>
  <c r="AD106" i="13"/>
  <c r="AN101" i="13"/>
  <c r="AJ111" i="13" s="1"/>
  <c r="AN27" i="13"/>
  <c r="AJ106" i="13" s="1"/>
  <c r="C24" i="4" s="1"/>
  <c r="G9" i="17"/>
  <c r="G10" i="17" s="1"/>
  <c r="E12" i="17"/>
  <c r="E13" i="17" s="1"/>
  <c r="W389" i="9"/>
  <c r="W387" i="9"/>
  <c r="W393" i="9"/>
  <c r="W391" i="9"/>
  <c r="W392" i="9"/>
  <c r="W380" i="9"/>
  <c r="W381" i="9"/>
  <c r="W379" i="9"/>
  <c r="DU369" i="9" l="1"/>
  <c r="DN315" i="9"/>
  <c r="DX315" i="9"/>
  <c r="CB353" i="9"/>
  <c r="CB361" i="9"/>
  <c r="S47" i="2"/>
  <c r="S40" i="2"/>
  <c r="BK451" i="9"/>
  <c r="CS370" i="9"/>
  <c r="CU370" i="9"/>
  <c r="AH39" i="2"/>
  <c r="T40" i="2"/>
  <c r="T47" i="2"/>
  <c r="V47" i="2" s="1"/>
  <c r="CW325" i="9"/>
  <c r="CW324" i="9" s="1"/>
  <c r="CV345" i="9"/>
  <c r="CW345" i="9" s="1"/>
  <c r="CW344" i="9" s="1"/>
  <c r="DC395" i="9"/>
  <c r="AH46" i="2"/>
  <c r="DI333" i="9"/>
  <c r="AL24" i="2"/>
  <c r="DP383" i="9"/>
  <c r="DP395" i="9" s="1"/>
  <c r="DH358" i="9"/>
  <c r="DH370" i="9" s="1"/>
  <c r="DF358" i="9"/>
  <c r="DF370" i="9" s="1"/>
  <c r="DB100" i="9"/>
  <c r="CY100" i="9"/>
  <c r="CW100" i="9"/>
  <c r="DD100" i="9"/>
  <c r="CZ100" i="9"/>
  <c r="DB92" i="9"/>
  <c r="CY92" i="9"/>
  <c r="CW92" i="9"/>
  <c r="DD92" i="9"/>
  <c r="CZ92" i="9"/>
  <c r="CW144" i="9"/>
  <c r="CY144" i="9"/>
  <c r="CZ144" i="9"/>
  <c r="DD144" i="9"/>
  <c r="DN303" i="9"/>
  <c r="DX303" i="9"/>
  <c r="CW276" i="9"/>
  <c r="CY276" i="9"/>
  <c r="CZ276" i="9"/>
  <c r="DD276" i="9"/>
  <c r="CY22" i="9"/>
  <c r="CW22" i="9"/>
  <c r="CZ22" i="9"/>
  <c r="DD22" i="9"/>
  <c r="CW152" i="9"/>
  <c r="CY152" i="9"/>
  <c r="CZ152" i="9"/>
  <c r="DD152" i="9"/>
  <c r="DM101" i="9"/>
  <c r="DL101" i="9"/>
  <c r="DJ101" i="9"/>
  <c r="DQ101" i="9"/>
  <c r="DO101" i="9"/>
  <c r="DM35" i="9"/>
  <c r="DJ35" i="9"/>
  <c r="DL35" i="9"/>
  <c r="DQ35" i="9"/>
  <c r="DB319" i="9"/>
  <c r="CW319" i="9"/>
  <c r="CY319" i="9"/>
  <c r="CZ319" i="9"/>
  <c r="DD319" i="9"/>
  <c r="DB177" i="9"/>
  <c r="CW177" i="9"/>
  <c r="CY177" i="9"/>
  <c r="DD177" i="9"/>
  <c r="CZ177" i="9"/>
  <c r="CZ42" i="9"/>
  <c r="CW42" i="9"/>
  <c r="CY42" i="9"/>
  <c r="DD42" i="9"/>
  <c r="DB42" i="9"/>
  <c r="CX325" i="9"/>
  <c r="CX327" i="9"/>
  <c r="CX324" i="9"/>
  <c r="CX326" i="9"/>
  <c r="CK413" i="9"/>
  <c r="CJ413" i="9" s="1"/>
  <c r="CI449" i="9"/>
  <c r="CL347" i="9"/>
  <c r="CL346" i="9"/>
  <c r="CL345" i="9"/>
  <c r="CZ247" i="9"/>
  <c r="CY247" i="9"/>
  <c r="CW247" i="9"/>
  <c r="DD247" i="9"/>
  <c r="DB247" i="9"/>
  <c r="DB232" i="9"/>
  <c r="CW232" i="9"/>
  <c r="CY232" i="9"/>
  <c r="CZ232" i="9"/>
  <c r="DD232" i="9"/>
  <c r="DB309" i="9"/>
  <c r="CW309" i="9"/>
  <c r="CY309" i="9"/>
  <c r="DD309" i="9"/>
  <c r="CZ309" i="9"/>
  <c r="CY9" i="9"/>
  <c r="CW9" i="9"/>
  <c r="CZ9" i="9"/>
  <c r="DD9" i="9"/>
  <c r="CW25" i="9"/>
  <c r="CY25" i="9"/>
  <c r="CZ25" i="9"/>
  <c r="DD25" i="9"/>
  <c r="DB25" i="9"/>
  <c r="CY33" i="9"/>
  <c r="CW33" i="9"/>
  <c r="CZ33" i="9"/>
  <c r="DD33" i="9"/>
  <c r="CZ37" i="9"/>
  <c r="CY37" i="9"/>
  <c r="CW37" i="9"/>
  <c r="DD37" i="9"/>
  <c r="DB37" i="9"/>
  <c r="CZ255" i="9"/>
  <c r="CY255" i="9"/>
  <c r="CW255" i="9"/>
  <c r="DD255" i="9"/>
  <c r="DB255" i="9"/>
  <c r="DB84" i="9"/>
  <c r="CY84" i="9"/>
  <c r="CW84" i="9"/>
  <c r="DD84" i="9"/>
  <c r="CZ84" i="9"/>
  <c r="CW146" i="9"/>
  <c r="CY146" i="9"/>
  <c r="DD146" i="9"/>
  <c r="CZ146" i="9"/>
  <c r="DB146" i="9"/>
  <c r="DB108" i="9"/>
  <c r="CY108" i="9"/>
  <c r="CW108" i="9"/>
  <c r="DD108" i="9"/>
  <c r="CZ108" i="9"/>
  <c r="DB196" i="9"/>
  <c r="CY196" i="9"/>
  <c r="CW196" i="9"/>
  <c r="CZ196" i="9"/>
  <c r="DD196" i="9"/>
  <c r="CZ90" i="9"/>
  <c r="CW90" i="9"/>
  <c r="CY90" i="9"/>
  <c r="DD90" i="9"/>
  <c r="DB90" i="9"/>
  <c r="DB81" i="9"/>
  <c r="CY81" i="9"/>
  <c r="CW81" i="9"/>
  <c r="CZ81" i="9"/>
  <c r="DD81" i="9"/>
  <c r="DO35" i="9"/>
  <c r="CZ82" i="9"/>
  <c r="CW82" i="9"/>
  <c r="CY82" i="9"/>
  <c r="DD82" i="9"/>
  <c r="DB82" i="9"/>
  <c r="DB116" i="9"/>
  <c r="CY116" i="9"/>
  <c r="CW116" i="9"/>
  <c r="DD116" i="9"/>
  <c r="CZ116" i="9"/>
  <c r="CZ254" i="9"/>
  <c r="CY254" i="9"/>
  <c r="CW254" i="9"/>
  <c r="DD254" i="9"/>
  <c r="DB254" i="9"/>
  <c r="CZ222" i="9"/>
  <c r="CY222" i="9"/>
  <c r="CW222" i="9"/>
  <c r="DD222" i="9"/>
  <c r="DB222" i="9"/>
  <c r="DN6" i="9"/>
  <c r="DX6" i="9"/>
  <c r="CY137" i="9"/>
  <c r="CW137" i="9"/>
  <c r="CZ137" i="9"/>
  <c r="DD137" i="9"/>
  <c r="DB137" i="9"/>
  <c r="CY312" i="9"/>
  <c r="CW312" i="9"/>
  <c r="CZ312" i="9"/>
  <c r="DD312" i="9"/>
  <c r="DB312" i="9"/>
  <c r="CY157" i="9"/>
  <c r="CW157" i="9"/>
  <c r="CZ157" i="9"/>
  <c r="DD157" i="9"/>
  <c r="CY131" i="9"/>
  <c r="CW131" i="9"/>
  <c r="CZ131" i="9"/>
  <c r="DD131" i="9"/>
  <c r="BW396" i="9"/>
  <c r="BW397" i="9"/>
  <c r="BW395" i="9"/>
  <c r="DM112" i="9"/>
  <c r="DJ112" i="9"/>
  <c r="DL112" i="9"/>
  <c r="DQ112" i="9"/>
  <c r="DB184" i="9"/>
  <c r="CY184" i="9"/>
  <c r="CW184" i="9"/>
  <c r="CZ184" i="9"/>
  <c r="DD184" i="9"/>
  <c r="CZ106" i="9"/>
  <c r="CW106" i="9"/>
  <c r="CY106" i="9"/>
  <c r="DD106" i="9"/>
  <c r="DN186" i="9"/>
  <c r="DX186" i="9"/>
  <c r="CY189" i="9"/>
  <c r="CW189" i="9"/>
  <c r="CZ189" i="9"/>
  <c r="DD189" i="9"/>
  <c r="BJ372" i="9"/>
  <c r="BJ370" i="9"/>
  <c r="BJ371" i="9"/>
  <c r="BK399" i="9"/>
  <c r="CY113" i="9"/>
  <c r="CW113" i="9"/>
  <c r="DD113" i="9"/>
  <c r="CZ113" i="9"/>
  <c r="DB113" i="9"/>
  <c r="DM199" i="9"/>
  <c r="DJ199" i="9"/>
  <c r="DL199" i="9"/>
  <c r="DQ199" i="9"/>
  <c r="DJ143" i="9"/>
  <c r="DL143" i="9"/>
  <c r="DQ143" i="9"/>
  <c r="DM143" i="9"/>
  <c r="DO143" i="9"/>
  <c r="DM59" i="9"/>
  <c r="DL59" i="9"/>
  <c r="DJ59" i="9"/>
  <c r="DQ59" i="9"/>
  <c r="DO59" i="9"/>
  <c r="CJ388" i="9"/>
  <c r="CJ389" i="9"/>
  <c r="CJ387" i="9"/>
  <c r="CY213" i="9"/>
  <c r="CW213" i="9"/>
  <c r="DD213" i="9"/>
  <c r="CZ213" i="9"/>
  <c r="DB213" i="9"/>
  <c r="CY241" i="9"/>
  <c r="CW241" i="9"/>
  <c r="CZ241" i="9"/>
  <c r="DD241" i="9"/>
  <c r="CZ63" i="9"/>
  <c r="CW63" i="9"/>
  <c r="CY63" i="9"/>
  <c r="DD63" i="9"/>
  <c r="DM73" i="9"/>
  <c r="DJ73" i="9"/>
  <c r="DL73" i="9"/>
  <c r="DQ73" i="9"/>
  <c r="DB111" i="9"/>
  <c r="CW111" i="9"/>
  <c r="CY111" i="9"/>
  <c r="CZ111" i="9"/>
  <c r="DD111" i="9"/>
  <c r="CW128" i="9"/>
  <c r="CY128" i="9"/>
  <c r="CZ128" i="9"/>
  <c r="DD128" i="9"/>
  <c r="DB128" i="9"/>
  <c r="BZ370" i="9"/>
  <c r="BX350" i="9"/>
  <c r="BX370" i="9" s="1"/>
  <c r="CZ190" i="9"/>
  <c r="CY190" i="9"/>
  <c r="CW190" i="9"/>
  <c r="DD190" i="9"/>
  <c r="DB120" i="9"/>
  <c r="CY120" i="9"/>
  <c r="CW120" i="9"/>
  <c r="CZ120" i="9"/>
  <c r="DD120" i="9"/>
  <c r="CZ206" i="9"/>
  <c r="CY206" i="9"/>
  <c r="CW206" i="9"/>
  <c r="DD206" i="9"/>
  <c r="DN58" i="9"/>
  <c r="DX58" i="9"/>
  <c r="DB28" i="9"/>
  <c r="CW28" i="9"/>
  <c r="CY28" i="9"/>
  <c r="DD28" i="9"/>
  <c r="CZ28" i="9"/>
  <c r="CZ49" i="9"/>
  <c r="CY49" i="9"/>
  <c r="CW49" i="9"/>
  <c r="DD49" i="9"/>
  <c r="DB49" i="9"/>
  <c r="DN38" i="9"/>
  <c r="DX38" i="9"/>
  <c r="CW227" i="9"/>
  <c r="CY227" i="9"/>
  <c r="CZ227" i="9"/>
  <c r="DD227" i="9"/>
  <c r="DB227" i="9"/>
  <c r="DB189" i="9"/>
  <c r="CW290" i="9"/>
  <c r="CY290" i="9"/>
  <c r="CZ290" i="9"/>
  <c r="DD290" i="9"/>
  <c r="DB290" i="9"/>
  <c r="DB265" i="9"/>
  <c r="CW265" i="9"/>
  <c r="CY265" i="9"/>
  <c r="CZ265" i="9"/>
  <c r="DD265" i="9"/>
  <c r="CY185" i="9"/>
  <c r="CW185" i="9"/>
  <c r="CZ185" i="9"/>
  <c r="DD185" i="9"/>
  <c r="DB185" i="9"/>
  <c r="DJ308" i="9"/>
  <c r="DL308" i="9"/>
  <c r="DQ308" i="9"/>
  <c r="DM308" i="9"/>
  <c r="DO308" i="9"/>
  <c r="DB33" i="9"/>
  <c r="CY15" i="9"/>
  <c r="CW15" i="9"/>
  <c r="CZ15" i="9"/>
  <c r="DD15" i="9"/>
  <c r="DB15" i="9"/>
  <c r="CZ67" i="9"/>
  <c r="CW67" i="9"/>
  <c r="CY67" i="9"/>
  <c r="DD67" i="9"/>
  <c r="DB67" i="9"/>
  <c r="DN158" i="9"/>
  <c r="DX158" i="9"/>
  <c r="DB241" i="9"/>
  <c r="DM142" i="9"/>
  <c r="DJ142" i="9"/>
  <c r="DL142" i="9"/>
  <c r="DQ142" i="9"/>
  <c r="CY145" i="9"/>
  <c r="CW145" i="9"/>
  <c r="CZ145" i="9"/>
  <c r="DD145" i="9"/>
  <c r="DB56" i="9"/>
  <c r="CY56" i="9"/>
  <c r="CW56" i="9"/>
  <c r="CZ56" i="9"/>
  <c r="DD56" i="9"/>
  <c r="DB192" i="9"/>
  <c r="CY192" i="9"/>
  <c r="CW192" i="9"/>
  <c r="DD192" i="9"/>
  <c r="CZ192" i="9"/>
  <c r="DB212" i="9"/>
  <c r="CY212" i="9"/>
  <c r="CW212" i="9"/>
  <c r="CZ212" i="9"/>
  <c r="DD212" i="9"/>
  <c r="CZ297" i="9"/>
  <c r="CY297" i="9"/>
  <c r="CW297" i="9"/>
  <c r="DD297" i="9"/>
  <c r="DB297" i="9"/>
  <c r="DM197" i="9"/>
  <c r="DL197" i="9"/>
  <c r="DJ197" i="9"/>
  <c r="DQ197" i="9"/>
  <c r="DJ163" i="9"/>
  <c r="DL163" i="9"/>
  <c r="DQ163" i="9"/>
  <c r="DM163" i="9"/>
  <c r="CZ46" i="9"/>
  <c r="CW46" i="9"/>
  <c r="CY46" i="9"/>
  <c r="DD46" i="9"/>
  <c r="DB46" i="9"/>
  <c r="DW293" i="9"/>
  <c r="DY293" i="9"/>
  <c r="ED293" i="9"/>
  <c r="DZ293" i="9"/>
  <c r="EA293" i="9" s="1"/>
  <c r="DL179" i="9"/>
  <c r="DJ179" i="9"/>
  <c r="DQ179" i="9"/>
  <c r="DM179" i="9"/>
  <c r="DO179" i="9"/>
  <c r="CW294" i="9"/>
  <c r="CY294" i="9"/>
  <c r="CZ294" i="9"/>
  <c r="DD294" i="9"/>
  <c r="DB294" i="9"/>
  <c r="BW364" i="9"/>
  <c r="BW362" i="9"/>
  <c r="BW363" i="9"/>
  <c r="DL266" i="9"/>
  <c r="DJ266" i="9"/>
  <c r="DM266" i="9"/>
  <c r="DQ266" i="9"/>
  <c r="DO266" i="9"/>
  <c r="CB357" i="9"/>
  <c r="CW18" i="9"/>
  <c r="CY18" i="9"/>
  <c r="CZ18" i="9"/>
  <c r="DD18" i="9"/>
  <c r="CY10" i="9"/>
  <c r="CW10" i="9"/>
  <c r="CZ10" i="9"/>
  <c r="DD10" i="9"/>
  <c r="DB10" i="9"/>
  <c r="DB278" i="9"/>
  <c r="CW278" i="9"/>
  <c r="CY278" i="9"/>
  <c r="CZ278" i="9"/>
  <c r="DD278" i="9"/>
  <c r="DJ124" i="9"/>
  <c r="DL124" i="9"/>
  <c r="DQ124" i="9"/>
  <c r="DM124" i="9"/>
  <c r="DO124" i="9"/>
  <c r="CW14" i="9"/>
  <c r="CY14" i="9"/>
  <c r="DD14" i="9"/>
  <c r="CZ14" i="9"/>
  <c r="DB14" i="9"/>
  <c r="CZ270" i="9"/>
  <c r="CY270" i="9"/>
  <c r="CW270" i="9"/>
  <c r="DD270" i="9"/>
  <c r="DB270" i="9"/>
  <c r="CJ376" i="9"/>
  <c r="CJ377" i="9"/>
  <c r="CJ375" i="9"/>
  <c r="CQ395" i="9"/>
  <c r="CK375" i="9"/>
  <c r="CK395" i="9" s="1"/>
  <c r="CW231" i="9"/>
  <c r="CY231" i="9"/>
  <c r="DD231" i="9"/>
  <c r="CZ231" i="9"/>
  <c r="DB231" i="9"/>
  <c r="CY141" i="9"/>
  <c r="CW141" i="9"/>
  <c r="CZ141" i="9"/>
  <c r="DD141" i="9"/>
  <c r="DB89" i="9"/>
  <c r="CY89" i="9"/>
  <c r="CW89" i="9"/>
  <c r="DD89" i="9"/>
  <c r="CZ89" i="9"/>
  <c r="CW282" i="9"/>
  <c r="CY282" i="9"/>
  <c r="CZ282" i="9"/>
  <c r="DD282" i="9"/>
  <c r="DB282" i="9"/>
  <c r="DB252" i="9"/>
  <c r="CW252" i="9"/>
  <c r="CY252" i="9"/>
  <c r="CZ252" i="9"/>
  <c r="DD252" i="9"/>
  <c r="DJ133" i="9"/>
  <c r="DL133" i="9"/>
  <c r="DQ133" i="9"/>
  <c r="DM133" i="9"/>
  <c r="DO133" i="9"/>
  <c r="DB9" i="9"/>
  <c r="CY284" i="9"/>
  <c r="CW284" i="9"/>
  <c r="CZ284" i="9"/>
  <c r="DD284" i="9"/>
  <c r="DB60" i="9"/>
  <c r="CY60" i="9"/>
  <c r="CW60" i="9"/>
  <c r="DD60" i="9"/>
  <c r="CZ60" i="9"/>
  <c r="DN269" i="9"/>
  <c r="DX269" i="9"/>
  <c r="CY229" i="9"/>
  <c r="CW229" i="9"/>
  <c r="DD229" i="9"/>
  <c r="CZ229" i="9"/>
  <c r="DB229" i="9"/>
  <c r="CZ203" i="9"/>
  <c r="CY203" i="9"/>
  <c r="CW203" i="9"/>
  <c r="DD203" i="9"/>
  <c r="DB203" i="9"/>
  <c r="DB224" i="9"/>
  <c r="CW224" i="9"/>
  <c r="CY224" i="9"/>
  <c r="DD224" i="9"/>
  <c r="CZ224" i="9"/>
  <c r="CW138" i="9"/>
  <c r="CY138" i="9"/>
  <c r="DD138" i="9"/>
  <c r="CZ138" i="9"/>
  <c r="DB138" i="9"/>
  <c r="DB18" i="9"/>
  <c r="DB200" i="9"/>
  <c r="CY200" i="9"/>
  <c r="CW200" i="9"/>
  <c r="CZ200" i="9"/>
  <c r="DD200" i="9"/>
  <c r="CZ251" i="9"/>
  <c r="CY251" i="9"/>
  <c r="CW251" i="9"/>
  <c r="DD251" i="9"/>
  <c r="DB251" i="9"/>
  <c r="DL242" i="9"/>
  <c r="DJ242" i="9"/>
  <c r="DM242" i="9"/>
  <c r="DQ242" i="9"/>
  <c r="DO242" i="9"/>
  <c r="DB131" i="9"/>
  <c r="CZ55" i="9"/>
  <c r="CW55" i="9"/>
  <c r="CY55" i="9"/>
  <c r="DD55" i="9"/>
  <c r="DB176" i="9"/>
  <c r="CY176" i="9"/>
  <c r="CW176" i="9"/>
  <c r="DD176" i="9"/>
  <c r="CZ176" i="9"/>
  <c r="CZ102" i="9"/>
  <c r="CW102" i="9"/>
  <c r="CY102" i="9"/>
  <c r="DD102" i="9"/>
  <c r="DB102" i="9"/>
  <c r="DB20" i="9"/>
  <c r="CW20" i="9"/>
  <c r="CY20" i="9"/>
  <c r="DD20" i="9"/>
  <c r="CZ20" i="9"/>
  <c r="CN353" i="9"/>
  <c r="CW117" i="9"/>
  <c r="CY117" i="9"/>
  <c r="DD117" i="9"/>
  <c r="CZ117" i="9"/>
  <c r="DM95" i="9"/>
  <c r="DL95" i="9"/>
  <c r="DJ95" i="9"/>
  <c r="DQ95" i="9"/>
  <c r="CZ122" i="9"/>
  <c r="CW122" i="9"/>
  <c r="CY122" i="9"/>
  <c r="DD122" i="9"/>
  <c r="CN362" i="9"/>
  <c r="CM362" i="9" s="1"/>
  <c r="CK362" i="9" s="1"/>
  <c r="CN364" i="9"/>
  <c r="CM364" i="9" s="1"/>
  <c r="CK364" i="9" s="1"/>
  <c r="CN363" i="9"/>
  <c r="CM363" i="9" s="1"/>
  <c r="CK363" i="9" s="1"/>
  <c r="CN361" i="9"/>
  <c r="CL372" i="9"/>
  <c r="CZ71" i="9"/>
  <c r="CW71" i="9"/>
  <c r="CY71" i="9"/>
  <c r="CX329" i="9"/>
  <c r="CX331" i="9"/>
  <c r="CX330" i="9"/>
  <c r="DD71" i="9"/>
  <c r="DB299" i="9"/>
  <c r="CW299" i="9"/>
  <c r="CY299" i="9"/>
  <c r="CZ299" i="9"/>
  <c r="DD299" i="9"/>
  <c r="DW285" i="9"/>
  <c r="DY285" i="9"/>
  <c r="ED285" i="9"/>
  <c r="DZ285" i="9"/>
  <c r="EA285" i="9" s="1"/>
  <c r="CW135" i="9"/>
  <c r="CY135" i="9"/>
  <c r="CZ135" i="9"/>
  <c r="DD135" i="9"/>
  <c r="DB135" i="9"/>
  <c r="CW170" i="9"/>
  <c r="CY170" i="9"/>
  <c r="DD170" i="9"/>
  <c r="CZ170" i="9"/>
  <c r="DB170" i="9"/>
  <c r="CY317" i="9"/>
  <c r="CW317" i="9"/>
  <c r="CZ317" i="9"/>
  <c r="DD317" i="9"/>
  <c r="DB317" i="9"/>
  <c r="CB349" i="9"/>
  <c r="BX349" i="9"/>
  <c r="BZ369" i="9"/>
  <c r="DS369" i="9"/>
  <c r="CW140" i="9"/>
  <c r="CY140" i="9"/>
  <c r="CZ140" i="9"/>
  <c r="DD140" i="9"/>
  <c r="CZ19" i="9"/>
  <c r="CW19" i="9"/>
  <c r="CY19" i="9"/>
  <c r="DD19" i="9"/>
  <c r="DB19" i="9"/>
  <c r="CW13" i="9"/>
  <c r="CY13" i="9"/>
  <c r="DD13" i="9"/>
  <c r="CZ13" i="9"/>
  <c r="CW164" i="9"/>
  <c r="CY164" i="9"/>
  <c r="DD164" i="9"/>
  <c r="CZ164" i="9"/>
  <c r="DB164" i="9"/>
  <c r="CY288" i="9"/>
  <c r="CW288" i="9"/>
  <c r="CZ288" i="9"/>
  <c r="DD288" i="9"/>
  <c r="DB288" i="9"/>
  <c r="DB193" i="9"/>
  <c r="CW193" i="9"/>
  <c r="CY193" i="9"/>
  <c r="DD193" i="9"/>
  <c r="CZ193" i="9"/>
  <c r="DL283" i="9"/>
  <c r="DJ283" i="9"/>
  <c r="DQ283" i="9"/>
  <c r="DM283" i="9"/>
  <c r="DL258" i="9"/>
  <c r="DJ258" i="9"/>
  <c r="DM258" i="9"/>
  <c r="DQ258" i="9"/>
  <c r="DO258" i="9"/>
  <c r="DB183" i="9"/>
  <c r="CY183" i="9"/>
  <c r="CW183" i="9"/>
  <c r="DD183" i="9"/>
  <c r="CZ183" i="9"/>
  <c r="CZ74" i="9"/>
  <c r="CW74" i="9"/>
  <c r="CY74" i="9"/>
  <c r="DD74" i="9"/>
  <c r="DB74" i="9"/>
  <c r="DB53" i="9"/>
  <c r="CY53" i="9"/>
  <c r="CW53" i="9"/>
  <c r="DD53" i="9"/>
  <c r="CZ53" i="9"/>
  <c r="DB144" i="9"/>
  <c r="CY169" i="9"/>
  <c r="CW169" i="9"/>
  <c r="CZ169" i="9"/>
  <c r="DD169" i="9"/>
  <c r="CX332" i="9"/>
  <c r="CX335" i="9"/>
  <c r="CX334" i="9"/>
  <c r="CX333" i="9"/>
  <c r="DB169" i="9"/>
  <c r="CB371" i="9"/>
  <c r="BX352" i="9"/>
  <c r="BX372" i="9" s="1"/>
  <c r="BX402" i="9" s="1"/>
  <c r="BV456" i="9" s="1"/>
  <c r="BZ372" i="9"/>
  <c r="DB206" i="9"/>
  <c r="CY134" i="9"/>
  <c r="CW134" i="9"/>
  <c r="DD134" i="9"/>
  <c r="CZ134" i="9"/>
  <c r="DD313" i="9"/>
  <c r="CW313" i="9"/>
  <c r="CY313" i="9"/>
  <c r="CZ313" i="9"/>
  <c r="DB313" i="9"/>
  <c r="CW156" i="9"/>
  <c r="CY156" i="9"/>
  <c r="CZ156" i="9"/>
  <c r="DD156" i="9"/>
  <c r="DB156" i="9"/>
  <c r="DB228" i="9"/>
  <c r="CW228" i="9"/>
  <c r="CY228" i="9"/>
  <c r="CZ228" i="9"/>
  <c r="DD228" i="9"/>
  <c r="CZ115" i="9"/>
  <c r="CY115" i="9"/>
  <c r="CW115" i="9"/>
  <c r="DD115" i="9"/>
  <c r="DB115" i="9"/>
  <c r="CY221" i="9"/>
  <c r="CW221" i="9"/>
  <c r="DD221" i="9"/>
  <c r="CZ221" i="9"/>
  <c r="DB221" i="9"/>
  <c r="DM65" i="9"/>
  <c r="DJ65" i="9"/>
  <c r="DL65" i="9"/>
  <c r="DQ65" i="9"/>
  <c r="DN180" i="9"/>
  <c r="DX180" i="9"/>
  <c r="DB245" i="9"/>
  <c r="CW245" i="9"/>
  <c r="CY245" i="9"/>
  <c r="CZ245" i="9"/>
  <c r="DD245" i="9"/>
  <c r="BW355" i="9"/>
  <c r="BW356" i="9"/>
  <c r="DN307" i="9"/>
  <c r="DX307" i="9"/>
  <c r="DB76" i="9"/>
  <c r="CY76" i="9"/>
  <c r="CW76" i="9"/>
  <c r="DD76" i="9"/>
  <c r="CZ76" i="9"/>
  <c r="DY267" i="9"/>
  <c r="DW267" i="9"/>
  <c r="ED267" i="9"/>
  <c r="DZ267" i="9"/>
  <c r="EA267" i="9" s="1"/>
  <c r="CZ214" i="9"/>
  <c r="CY214" i="9"/>
  <c r="CW214" i="9"/>
  <c r="DD214" i="9"/>
  <c r="CY161" i="9"/>
  <c r="CW161" i="9"/>
  <c r="CZ161" i="9"/>
  <c r="DD161" i="9"/>
  <c r="CZ263" i="9"/>
  <c r="CY263" i="9"/>
  <c r="CW263" i="9"/>
  <c r="DD263" i="9"/>
  <c r="DB263" i="9"/>
  <c r="DM69" i="9"/>
  <c r="DJ69" i="9"/>
  <c r="DL69" i="9"/>
  <c r="DQ69" i="9"/>
  <c r="CW160" i="9"/>
  <c r="CY160" i="9"/>
  <c r="CZ160" i="9"/>
  <c r="DD160" i="9"/>
  <c r="DB236" i="9"/>
  <c r="CW236" i="9"/>
  <c r="CY236" i="9"/>
  <c r="CZ236" i="9"/>
  <c r="DD236" i="9"/>
  <c r="DM218" i="9"/>
  <c r="DL218" i="9"/>
  <c r="DJ218" i="9"/>
  <c r="DQ218" i="9"/>
  <c r="CW302" i="9"/>
  <c r="CY302" i="9"/>
  <c r="CZ302" i="9"/>
  <c r="DD302" i="9"/>
  <c r="DB302" i="9"/>
  <c r="DQ85" i="9"/>
  <c r="DL85" i="9"/>
  <c r="DJ85" i="9"/>
  <c r="DM85" i="9"/>
  <c r="DN168" i="9"/>
  <c r="DX168" i="9"/>
  <c r="DN253" i="9"/>
  <c r="DX253" i="9"/>
  <c r="DB240" i="9"/>
  <c r="CW240" i="9"/>
  <c r="CY240" i="9"/>
  <c r="DD240" i="9"/>
  <c r="CZ240" i="9"/>
  <c r="DQ292" i="9"/>
  <c r="DJ292" i="9"/>
  <c r="DL292" i="9"/>
  <c r="DM292" i="9"/>
  <c r="CZ86" i="9"/>
  <c r="CW86" i="9"/>
  <c r="CY86" i="9"/>
  <c r="DD86" i="9"/>
  <c r="DB86" i="9"/>
  <c r="CZ226" i="9"/>
  <c r="CY226" i="9"/>
  <c r="CW226" i="9"/>
  <c r="DD226" i="9"/>
  <c r="DB226" i="9"/>
  <c r="DB96" i="9"/>
  <c r="CY96" i="9"/>
  <c r="CW96" i="9"/>
  <c r="CZ96" i="9"/>
  <c r="DD96" i="9"/>
  <c r="CZ281" i="9"/>
  <c r="CY281" i="9"/>
  <c r="CW281" i="9"/>
  <c r="DD281" i="9"/>
  <c r="DB281" i="9"/>
  <c r="CN350" i="9"/>
  <c r="CN352" i="9"/>
  <c r="CN349" i="9"/>
  <c r="CN351" i="9"/>
  <c r="CI451" i="9"/>
  <c r="CK452" i="9" s="1"/>
  <c r="X40" i="2"/>
  <c r="X47" i="2"/>
  <c r="Z47" i="2" s="1"/>
  <c r="CZ318" i="9"/>
  <c r="CY318" i="9"/>
  <c r="CW318" i="9"/>
  <c r="DD318" i="9"/>
  <c r="DB318" i="9"/>
  <c r="CY7" i="9"/>
  <c r="CW7" i="9"/>
  <c r="CZ7" i="9"/>
  <c r="DD7" i="9"/>
  <c r="DB7" i="9"/>
  <c r="DM216" i="9"/>
  <c r="DL216" i="9"/>
  <c r="DJ216" i="9"/>
  <c r="DQ216" i="9"/>
  <c r="CW29" i="9"/>
  <c r="CY29" i="9"/>
  <c r="CZ29" i="9"/>
  <c r="DD29" i="9"/>
  <c r="DB29" i="9"/>
  <c r="CY147" i="9"/>
  <c r="CW147" i="9"/>
  <c r="CZ147" i="9"/>
  <c r="DD147" i="9"/>
  <c r="CZ234" i="9"/>
  <c r="CY234" i="9"/>
  <c r="CW234" i="9"/>
  <c r="DD234" i="9"/>
  <c r="DB234" i="9"/>
  <c r="CZ94" i="9"/>
  <c r="CW94" i="9"/>
  <c r="CY94" i="9"/>
  <c r="DD94" i="9"/>
  <c r="DB94" i="9"/>
  <c r="CY123" i="9"/>
  <c r="CW123" i="9"/>
  <c r="DD123" i="9"/>
  <c r="CZ123" i="9"/>
  <c r="DB123" i="9"/>
  <c r="DB44" i="9"/>
  <c r="CY44" i="9"/>
  <c r="CW44" i="9"/>
  <c r="DD44" i="9"/>
  <c r="CZ44" i="9"/>
  <c r="DO292" i="9"/>
  <c r="AX458" i="9"/>
  <c r="AX459" i="9"/>
  <c r="DN237" i="9"/>
  <c r="DX237" i="9"/>
  <c r="DB47" i="9"/>
  <c r="CW47" i="9"/>
  <c r="CY47" i="9"/>
  <c r="CZ47" i="9"/>
  <c r="DD47" i="9"/>
  <c r="DB272" i="9"/>
  <c r="CW272" i="9"/>
  <c r="CY272" i="9"/>
  <c r="DD272" i="9"/>
  <c r="CZ272" i="9"/>
  <c r="CW130" i="9"/>
  <c r="CY130" i="9"/>
  <c r="DD130" i="9"/>
  <c r="CZ130" i="9"/>
  <c r="CZ230" i="9"/>
  <c r="CY230" i="9"/>
  <c r="CW230" i="9"/>
  <c r="DD230" i="9"/>
  <c r="DB230" i="9"/>
  <c r="CW109" i="9"/>
  <c r="CY109" i="9"/>
  <c r="DD109" i="9"/>
  <c r="CZ109" i="9"/>
  <c r="DB109" i="9"/>
  <c r="DM187" i="9"/>
  <c r="DJ187" i="9"/>
  <c r="DL187" i="9"/>
  <c r="DQ187" i="9"/>
  <c r="DO187" i="9"/>
  <c r="DM93" i="9"/>
  <c r="DL93" i="9"/>
  <c r="DJ93" i="9"/>
  <c r="DQ93" i="9"/>
  <c r="CJ381" i="9"/>
  <c r="CJ379" i="9"/>
  <c r="CJ380" i="9"/>
  <c r="CY129" i="9"/>
  <c r="CW129" i="9"/>
  <c r="CZ129" i="9"/>
  <c r="DD129" i="9"/>
  <c r="CW154" i="9"/>
  <c r="CY154" i="9"/>
  <c r="DD154" i="9"/>
  <c r="CZ154" i="9"/>
  <c r="CW239" i="9"/>
  <c r="CY239" i="9"/>
  <c r="DD239" i="9"/>
  <c r="CZ239" i="9"/>
  <c r="DB239" i="9"/>
  <c r="CZ250" i="9"/>
  <c r="CY250" i="9"/>
  <c r="CW250" i="9"/>
  <c r="DD250" i="9"/>
  <c r="DB250" i="9"/>
  <c r="CZ110" i="9"/>
  <c r="CW110" i="9"/>
  <c r="CY110" i="9"/>
  <c r="DD110" i="9"/>
  <c r="DB110" i="9"/>
  <c r="BJ349" i="9"/>
  <c r="CY304" i="9"/>
  <c r="CW304" i="9"/>
  <c r="CZ304" i="9"/>
  <c r="DD304" i="9"/>
  <c r="DB208" i="9"/>
  <c r="CY208" i="9"/>
  <c r="CW208" i="9"/>
  <c r="DD208" i="9"/>
  <c r="CZ208" i="9"/>
  <c r="CW181" i="9"/>
  <c r="CY181" i="9"/>
  <c r="DD181" i="9"/>
  <c r="CZ181" i="9"/>
  <c r="CZ26" i="9"/>
  <c r="CW26" i="9"/>
  <c r="CY26" i="9"/>
  <c r="DD26" i="9"/>
  <c r="CZ41" i="9"/>
  <c r="CY41" i="9"/>
  <c r="CW41" i="9"/>
  <c r="DD41" i="9"/>
  <c r="DB41" i="9"/>
  <c r="CQ397" i="9"/>
  <c r="CK381" i="9"/>
  <c r="CK397" i="9" s="1"/>
  <c r="DB291" i="9"/>
  <c r="CW291" i="9"/>
  <c r="CY291" i="9"/>
  <c r="CZ291" i="9"/>
  <c r="DD291" i="9"/>
  <c r="CY162" i="9"/>
  <c r="CW162" i="9"/>
  <c r="CZ162" i="9"/>
  <c r="DD162" i="9"/>
  <c r="EC394" i="9"/>
  <c r="CY21" i="9"/>
  <c r="CW21" i="9"/>
  <c r="DD21" i="9"/>
  <c r="CZ21" i="9"/>
  <c r="DB21" i="9"/>
  <c r="DL275" i="9"/>
  <c r="DJ275" i="9"/>
  <c r="DM275" i="9"/>
  <c r="DQ275" i="9"/>
  <c r="DO275" i="9"/>
  <c r="CZ202" i="9"/>
  <c r="CY202" i="9"/>
  <c r="CW202" i="9"/>
  <c r="DD202" i="9"/>
  <c r="DB202" i="9"/>
  <c r="CZ277" i="9"/>
  <c r="CY277" i="9"/>
  <c r="CW277" i="9"/>
  <c r="DD277" i="9"/>
  <c r="DY249" i="9"/>
  <c r="DW249" i="9"/>
  <c r="ED249" i="9"/>
  <c r="DZ249" i="9"/>
  <c r="EA249" i="9" s="1"/>
  <c r="EB249" i="9"/>
  <c r="DB191" i="9"/>
  <c r="CY191" i="9"/>
  <c r="CW191" i="9"/>
  <c r="CZ191" i="9"/>
  <c r="DD191" i="9"/>
  <c r="DM103" i="9"/>
  <c r="DL103" i="9"/>
  <c r="DJ103" i="9"/>
  <c r="DQ103" i="9"/>
  <c r="DO73" i="9"/>
  <c r="CQ394" i="9"/>
  <c r="CK382" i="9"/>
  <c r="CK394" i="9" s="1"/>
  <c r="EB58" i="9"/>
  <c r="EB38" i="9"/>
  <c r="CZ114" i="9"/>
  <c r="CW114" i="9"/>
  <c r="CY114" i="9"/>
  <c r="DD114" i="9"/>
  <c r="DB114" i="9"/>
  <c r="DB310" i="9"/>
  <c r="CY310" i="9"/>
  <c r="CW310" i="9"/>
  <c r="CZ310" i="9"/>
  <c r="DD310" i="9"/>
  <c r="CZ66" i="9"/>
  <c r="CW66" i="9"/>
  <c r="CY66" i="9"/>
  <c r="DD66" i="9"/>
  <c r="DB66" i="9"/>
  <c r="DN243" i="9"/>
  <c r="DX243" i="9"/>
  <c r="CZ194" i="9"/>
  <c r="CY194" i="9"/>
  <c r="CW194" i="9"/>
  <c r="DD194" i="9"/>
  <c r="DB194" i="9"/>
  <c r="DB162" i="9"/>
  <c r="DB57" i="9"/>
  <c r="CY57" i="9"/>
  <c r="CW57" i="9"/>
  <c r="DD57" i="9"/>
  <c r="CZ57" i="9"/>
  <c r="DB264" i="9"/>
  <c r="CW264" i="9"/>
  <c r="CY264" i="9"/>
  <c r="CZ264" i="9"/>
  <c r="DD264" i="9"/>
  <c r="DM311" i="9"/>
  <c r="DJ311" i="9"/>
  <c r="DL311" i="9"/>
  <c r="DQ311" i="9"/>
  <c r="CY171" i="9"/>
  <c r="CW171" i="9"/>
  <c r="CZ171" i="9"/>
  <c r="DD171" i="9"/>
  <c r="DB171" i="9"/>
  <c r="DJ155" i="9"/>
  <c r="DL155" i="9"/>
  <c r="DQ155" i="9"/>
  <c r="DM155" i="9"/>
  <c r="DO155" i="9"/>
  <c r="DB64" i="9"/>
  <c r="CY64" i="9"/>
  <c r="CW64" i="9"/>
  <c r="CZ64" i="9"/>
  <c r="DD64" i="9"/>
  <c r="DJ87" i="9"/>
  <c r="DL87" i="9"/>
  <c r="DM87" i="9"/>
  <c r="DQ87" i="9"/>
  <c r="CY280" i="9"/>
  <c r="CW280" i="9"/>
  <c r="CZ280" i="9"/>
  <c r="DD280" i="9"/>
  <c r="DB280" i="9"/>
  <c r="CY150" i="9"/>
  <c r="CW150" i="9"/>
  <c r="DD150" i="9"/>
  <c r="CZ150" i="9"/>
  <c r="DB261" i="9"/>
  <c r="CW261" i="9"/>
  <c r="CY261" i="9"/>
  <c r="CZ261" i="9"/>
  <c r="DD261" i="9"/>
  <c r="CZ246" i="9"/>
  <c r="CY246" i="9"/>
  <c r="CW246" i="9"/>
  <c r="DD246" i="9"/>
  <c r="DB246" i="9"/>
  <c r="DB52" i="9"/>
  <c r="CY52" i="9"/>
  <c r="CW52" i="9"/>
  <c r="DD52" i="9"/>
  <c r="CZ52" i="9"/>
  <c r="CW159" i="9"/>
  <c r="CY159" i="9"/>
  <c r="CZ159" i="9"/>
  <c r="DD159" i="9"/>
  <c r="DB276" i="9"/>
  <c r="DB244" i="9"/>
  <c r="CW244" i="9"/>
  <c r="CY244" i="9"/>
  <c r="CZ244" i="9"/>
  <c r="DD244" i="9"/>
  <c r="DB22" i="9"/>
  <c r="CY153" i="9"/>
  <c r="CW153" i="9"/>
  <c r="CZ153" i="9"/>
  <c r="DD153" i="9"/>
  <c r="CZ54" i="9"/>
  <c r="CW54" i="9"/>
  <c r="CY54" i="9"/>
  <c r="DD54" i="9"/>
  <c r="DB54" i="9"/>
  <c r="DN32" i="9"/>
  <c r="DX32" i="9"/>
  <c r="DM77" i="9"/>
  <c r="DJ77" i="9"/>
  <c r="DL77" i="9"/>
  <c r="DQ77" i="9"/>
  <c r="DB248" i="9"/>
  <c r="CW248" i="9"/>
  <c r="CY248" i="9"/>
  <c r="CZ248" i="9"/>
  <c r="DD248" i="9"/>
  <c r="CZ78" i="9"/>
  <c r="CW78" i="9"/>
  <c r="CY78" i="9"/>
  <c r="DD78" i="9"/>
  <c r="DB78" i="9"/>
  <c r="DJ27" i="9"/>
  <c r="DL27" i="9"/>
  <c r="DM27" i="9"/>
  <c r="DQ27" i="9"/>
  <c r="DB97" i="9"/>
  <c r="CW97" i="9"/>
  <c r="CY97" i="9"/>
  <c r="CZ97" i="9"/>
  <c r="DD97" i="9"/>
  <c r="CW127" i="9"/>
  <c r="CY127" i="9"/>
  <c r="CZ127" i="9"/>
  <c r="DD127" i="9"/>
  <c r="DB188" i="9"/>
  <c r="CY188" i="9"/>
  <c r="CW188" i="9"/>
  <c r="CZ188" i="9"/>
  <c r="DD188" i="9"/>
  <c r="CZ75" i="9"/>
  <c r="CW75" i="9"/>
  <c r="CY75" i="9"/>
  <c r="DD75" i="9"/>
  <c r="DB257" i="9"/>
  <c r="CW257" i="9"/>
  <c r="CY257" i="9"/>
  <c r="DD257" i="9"/>
  <c r="CZ257" i="9"/>
  <c r="CZ259" i="9"/>
  <c r="CY259" i="9"/>
  <c r="CW259" i="9"/>
  <c r="DD259" i="9"/>
  <c r="CZ274" i="9"/>
  <c r="CY274" i="9"/>
  <c r="CW274" i="9"/>
  <c r="DD274" i="9"/>
  <c r="DB274" i="9"/>
  <c r="DJ149" i="9"/>
  <c r="DL149" i="9"/>
  <c r="DQ149" i="9"/>
  <c r="DM149" i="9"/>
  <c r="CY173" i="9"/>
  <c r="CW173" i="9"/>
  <c r="CZ173" i="9"/>
  <c r="DD173" i="9"/>
  <c r="CW286" i="9"/>
  <c r="CY286" i="9"/>
  <c r="CZ286" i="9"/>
  <c r="DD286" i="9"/>
  <c r="DB286" i="9"/>
  <c r="BW360" i="9"/>
  <c r="BW358" i="9"/>
  <c r="BW359" i="9"/>
  <c r="DM31" i="9"/>
  <c r="DJ31" i="9"/>
  <c r="DL31" i="9"/>
  <c r="DQ31" i="9"/>
  <c r="CY182" i="9"/>
  <c r="CW182" i="9"/>
  <c r="CZ182" i="9"/>
  <c r="DD182" i="9"/>
  <c r="DB314" i="9"/>
  <c r="CY314" i="9"/>
  <c r="CW314" i="9"/>
  <c r="DD314" i="9"/>
  <c r="CZ314" i="9"/>
  <c r="DJ11" i="9"/>
  <c r="DL11" i="9"/>
  <c r="DM11" i="9"/>
  <c r="DQ11" i="9"/>
  <c r="DO11" i="9"/>
  <c r="CW34" i="9"/>
  <c r="CY34" i="9"/>
  <c r="DD34" i="9"/>
  <c r="CZ34" i="9"/>
  <c r="DB34" i="9"/>
  <c r="DM210" i="9"/>
  <c r="DJ210" i="9"/>
  <c r="DL210" i="9"/>
  <c r="DQ210" i="9"/>
  <c r="DO210" i="9"/>
  <c r="CZ83" i="9"/>
  <c r="CW83" i="9"/>
  <c r="CY83" i="9"/>
  <c r="DD83" i="9"/>
  <c r="DB83" i="9"/>
  <c r="CQ396" i="9"/>
  <c r="CK376" i="9"/>
  <c r="CK396" i="9" s="1"/>
  <c r="CW17" i="9"/>
  <c r="CY17" i="9"/>
  <c r="CZ17" i="9"/>
  <c r="DD17" i="9"/>
  <c r="DB17" i="9"/>
  <c r="DB68" i="9"/>
  <c r="CY68" i="9"/>
  <c r="CW68" i="9"/>
  <c r="DD68" i="9"/>
  <c r="CZ68" i="9"/>
  <c r="CY165" i="9"/>
  <c r="CW165" i="9"/>
  <c r="CZ165" i="9"/>
  <c r="DD165" i="9"/>
  <c r="DB279" i="9"/>
  <c r="CW279" i="9"/>
  <c r="CY279" i="9"/>
  <c r="CZ279" i="9"/>
  <c r="DD279" i="9"/>
  <c r="DB43" i="9"/>
  <c r="CW43" i="9"/>
  <c r="CY43" i="9"/>
  <c r="CZ43" i="9"/>
  <c r="DD43" i="9"/>
  <c r="CZ174" i="9"/>
  <c r="CY174" i="9"/>
  <c r="CW174" i="9"/>
  <c r="DD174" i="9"/>
  <c r="CY23" i="9"/>
  <c r="CW23" i="9"/>
  <c r="CZ23" i="9"/>
  <c r="DD23" i="9"/>
  <c r="DB23" i="9"/>
  <c r="DN300" i="9"/>
  <c r="DX300" i="9"/>
  <c r="CW172" i="9"/>
  <c r="CY172" i="9"/>
  <c r="CZ172" i="9"/>
  <c r="DD172" i="9"/>
  <c r="DB172" i="9"/>
  <c r="DN40" i="9"/>
  <c r="DX40" i="9"/>
  <c r="CW12" i="9"/>
  <c r="CY12" i="9"/>
  <c r="CZ12" i="9"/>
  <c r="DD12" i="9"/>
  <c r="CW151" i="9"/>
  <c r="CY151" i="9"/>
  <c r="CZ151" i="9"/>
  <c r="DD151" i="9"/>
  <c r="DB151" i="9"/>
  <c r="CZ30" i="9"/>
  <c r="CW30" i="9"/>
  <c r="CY30" i="9"/>
  <c r="DD30" i="9"/>
  <c r="CZ195" i="9"/>
  <c r="CY195" i="9"/>
  <c r="CW195" i="9"/>
  <c r="DD195" i="9"/>
  <c r="DB195" i="9"/>
  <c r="CZ238" i="9"/>
  <c r="CY238" i="9"/>
  <c r="CW238" i="9"/>
  <c r="DD238" i="9"/>
  <c r="DB238" i="9"/>
  <c r="CY296" i="9"/>
  <c r="CW296" i="9"/>
  <c r="CZ296" i="9"/>
  <c r="DD296" i="9"/>
  <c r="DB296" i="9"/>
  <c r="DB157" i="9"/>
  <c r="DB130" i="9"/>
  <c r="CY99" i="9"/>
  <c r="CW99" i="9"/>
  <c r="DD99" i="9"/>
  <c r="CZ99" i="9"/>
  <c r="CY105" i="9"/>
  <c r="CW105" i="9"/>
  <c r="DD105" i="9"/>
  <c r="CZ105" i="9"/>
  <c r="DB105" i="9"/>
  <c r="DO112" i="9"/>
  <c r="DB166" i="9"/>
  <c r="CY166" i="9"/>
  <c r="CW166" i="9"/>
  <c r="DD166" i="9"/>
  <c r="CZ166" i="9"/>
  <c r="CZ178" i="9"/>
  <c r="CY178" i="9"/>
  <c r="CW178" i="9"/>
  <c r="DD178" i="9"/>
  <c r="CZ98" i="9"/>
  <c r="CW98" i="9"/>
  <c r="CY98" i="9"/>
  <c r="DD98" i="9"/>
  <c r="DB98" i="9"/>
  <c r="DO93" i="9"/>
  <c r="CZ51" i="9"/>
  <c r="CW51" i="9"/>
  <c r="CY51" i="9"/>
  <c r="CX328" i="9"/>
  <c r="DD51" i="9"/>
  <c r="DB51" i="9"/>
  <c r="BW378" i="9"/>
  <c r="DB129" i="9"/>
  <c r="DB207" i="9"/>
  <c r="CY207" i="9"/>
  <c r="CW207" i="9"/>
  <c r="DD207" i="9"/>
  <c r="CZ207" i="9"/>
  <c r="DD305" i="9"/>
  <c r="CW305" i="9"/>
  <c r="CY305" i="9"/>
  <c r="CZ305" i="9"/>
  <c r="DB305" i="9"/>
  <c r="CY5" i="9"/>
  <c r="CW5" i="9"/>
  <c r="CX404" i="9"/>
  <c r="CX320" i="9"/>
  <c r="DD5" i="9"/>
  <c r="CZ5" i="9"/>
  <c r="CN320" i="9"/>
  <c r="CK414" i="9" s="1"/>
  <c r="DN8" i="9"/>
  <c r="DX8" i="9"/>
  <c r="DM107" i="9"/>
  <c r="DL107" i="9"/>
  <c r="DJ107" i="9"/>
  <c r="DQ107" i="9"/>
  <c r="DO107" i="9"/>
  <c r="CY217" i="9"/>
  <c r="CW217" i="9"/>
  <c r="CZ217" i="9"/>
  <c r="DD217" i="9"/>
  <c r="CX336" i="9"/>
  <c r="CX337" i="9"/>
  <c r="CX338" i="9"/>
  <c r="CN355" i="9"/>
  <c r="CM355" i="9" s="1"/>
  <c r="CK355" i="9" s="1"/>
  <c r="CN354" i="9"/>
  <c r="CM354" i="9" s="1"/>
  <c r="CK354" i="9" s="1"/>
  <c r="CN356" i="9"/>
  <c r="CM356" i="9" s="1"/>
  <c r="CK356" i="9" s="1"/>
  <c r="DO218" i="9"/>
  <c r="DO199" i="9"/>
  <c r="DL271" i="9"/>
  <c r="DJ271" i="9"/>
  <c r="DM271" i="9"/>
  <c r="DQ271" i="9"/>
  <c r="DO271" i="9"/>
  <c r="DL61" i="9"/>
  <c r="DJ61" i="9"/>
  <c r="DM61" i="9"/>
  <c r="DQ61" i="9"/>
  <c r="CW148" i="9"/>
  <c r="CY148" i="9"/>
  <c r="DD148" i="9"/>
  <c r="CZ148" i="9"/>
  <c r="DB148" i="9"/>
  <c r="CY139" i="9"/>
  <c r="CW139" i="9"/>
  <c r="CZ139" i="9"/>
  <c r="DD139" i="9"/>
  <c r="DB152" i="9"/>
  <c r="DO87" i="9"/>
  <c r="CN357" i="9"/>
  <c r="CN360" i="9"/>
  <c r="CM360" i="9" s="1"/>
  <c r="CK360" i="9" s="1"/>
  <c r="CN359" i="9"/>
  <c r="CM359" i="9" s="1"/>
  <c r="CK359" i="9" s="1"/>
  <c r="CN358" i="9"/>
  <c r="CM358" i="9" s="1"/>
  <c r="CK358" i="9" s="1"/>
  <c r="BZ371" i="9"/>
  <c r="BX351" i="9"/>
  <c r="BX371" i="9" s="1"/>
  <c r="CB372" i="9"/>
  <c r="CB369" i="9" s="1"/>
  <c r="DB190" i="9"/>
  <c r="CZ301" i="9"/>
  <c r="CY301" i="9"/>
  <c r="CW301" i="9"/>
  <c r="DD301" i="9"/>
  <c r="DB301" i="9"/>
  <c r="DM91" i="9"/>
  <c r="DL91" i="9"/>
  <c r="DJ91" i="9"/>
  <c r="DQ91" i="9"/>
  <c r="DO91" i="9"/>
  <c r="CY233" i="9"/>
  <c r="CW233" i="9"/>
  <c r="CZ233" i="9"/>
  <c r="DD233" i="9"/>
  <c r="DB233" i="9"/>
  <c r="DB63" i="9"/>
  <c r="DB106" i="9"/>
  <c r="DN70" i="9"/>
  <c r="DX70" i="9"/>
  <c r="DN198" i="9"/>
  <c r="DX198" i="9"/>
  <c r="CZ79" i="9"/>
  <c r="CW79" i="9"/>
  <c r="CY79" i="9"/>
  <c r="DD79" i="9"/>
  <c r="DB104" i="9"/>
  <c r="CY104" i="9"/>
  <c r="CW104" i="9"/>
  <c r="CZ104" i="9"/>
  <c r="DD104" i="9"/>
  <c r="CZ118" i="9"/>
  <c r="CW118" i="9"/>
  <c r="CY118" i="9"/>
  <c r="DD118" i="9"/>
  <c r="DB118" i="9"/>
  <c r="DB80" i="9"/>
  <c r="CY80" i="9"/>
  <c r="CW80" i="9"/>
  <c r="CZ80" i="9"/>
  <c r="DD80" i="9"/>
  <c r="DB36" i="9"/>
  <c r="CW36" i="9"/>
  <c r="CY36" i="9"/>
  <c r="DD36" i="9"/>
  <c r="CZ36" i="9"/>
  <c r="CZ50" i="9"/>
  <c r="CW50" i="9"/>
  <c r="CY50" i="9"/>
  <c r="DD50" i="9"/>
  <c r="DB50" i="9"/>
  <c r="CY316" i="9"/>
  <c r="CW316" i="9"/>
  <c r="DD316" i="9"/>
  <c r="CZ316" i="9"/>
  <c r="DB316" i="9"/>
  <c r="CY121" i="9"/>
  <c r="CW121" i="9"/>
  <c r="DD121" i="9"/>
  <c r="CZ121" i="9"/>
  <c r="DB121" i="9"/>
  <c r="DB175" i="9"/>
  <c r="CY175" i="9"/>
  <c r="CW175" i="9"/>
  <c r="DD175" i="9"/>
  <c r="CZ175" i="9"/>
  <c r="DB26" i="9"/>
  <c r="CY125" i="9"/>
  <c r="CW125" i="9"/>
  <c r="CZ125" i="9"/>
  <c r="DD125" i="9"/>
  <c r="CY225" i="9"/>
  <c r="CW225" i="9"/>
  <c r="CZ225" i="9"/>
  <c r="DD225" i="9"/>
  <c r="DB225" i="9"/>
  <c r="DJ167" i="9"/>
  <c r="DL167" i="9"/>
  <c r="DQ167" i="9"/>
  <c r="DM167" i="9"/>
  <c r="DO167" i="9"/>
  <c r="Z40" i="2"/>
  <c r="AK458" i="9"/>
  <c r="AK457" i="9" s="1"/>
  <c r="L41" i="2"/>
  <c r="K41" i="2"/>
  <c r="AB365" i="9"/>
  <c r="W107" i="13"/>
  <c r="F24" i="4"/>
  <c r="AY107" i="13"/>
  <c r="AY111" i="13"/>
  <c r="E23" i="4"/>
  <c r="AR105" i="13"/>
  <c r="AR113" i="13"/>
  <c r="E24" i="4"/>
  <c r="AY106" i="13"/>
  <c r="AR112" i="13"/>
  <c r="D23" i="4"/>
  <c r="D25" i="4" s="1"/>
  <c r="D31" i="4" s="1"/>
  <c r="AR111" i="13"/>
  <c r="C23" i="4"/>
  <c r="C25" i="4" s="1"/>
  <c r="AY112" i="13"/>
  <c r="F23" i="4"/>
  <c r="AK106" i="13"/>
  <c r="K24" i="10"/>
  <c r="AK112" i="13"/>
  <c r="L23" i="10"/>
  <c r="AK111" i="13"/>
  <c r="K23" i="10"/>
  <c r="K25" i="10" s="1"/>
  <c r="AD111" i="13"/>
  <c r="I23" i="10"/>
  <c r="I25" i="10" s="1"/>
  <c r="AK107" i="13"/>
  <c r="AK105" i="13" s="1"/>
  <c r="L24" i="10"/>
  <c r="H11" i="17"/>
  <c r="C83" i="4"/>
  <c r="W378" i="9"/>
  <c r="W390" i="9"/>
  <c r="CY337" i="9" l="1"/>
  <c r="DW315" i="9"/>
  <c r="EB315" i="9"/>
  <c r="DY315" i="9"/>
  <c r="DZ315" i="9"/>
  <c r="EA315" i="9" s="1"/>
  <c r="ED315" i="9"/>
  <c r="CK453" i="9"/>
  <c r="CJ378" i="9"/>
  <c r="BW353" i="9"/>
  <c r="BW361" i="9"/>
  <c r="V40" i="2"/>
  <c r="DJ333" i="9"/>
  <c r="DJ332" i="9" s="1"/>
  <c r="DI345" i="9"/>
  <c r="DJ345" i="9" s="1"/>
  <c r="DJ344" i="9" s="1"/>
  <c r="CJ397" i="9"/>
  <c r="CJ395" i="9"/>
  <c r="CJ396" i="9"/>
  <c r="DN167" i="9"/>
  <c r="DX167" i="9"/>
  <c r="DA125" i="9"/>
  <c r="DK125" i="9"/>
  <c r="DA121" i="9"/>
  <c r="DK121" i="9"/>
  <c r="DO121" i="9" s="1"/>
  <c r="DA36" i="9"/>
  <c r="DK36" i="9"/>
  <c r="DA104" i="9"/>
  <c r="DK104" i="9"/>
  <c r="DO104" i="9" s="1"/>
  <c r="DW198" i="9"/>
  <c r="DY198" i="9"/>
  <c r="DZ198" i="9"/>
  <c r="EA198" i="9" s="1"/>
  <c r="ED198" i="9"/>
  <c r="EB198" i="9"/>
  <c r="DN91" i="9"/>
  <c r="DX91" i="9"/>
  <c r="BX401" i="9"/>
  <c r="BV459" i="9" s="1"/>
  <c r="L13" i="10"/>
  <c r="DN61" i="9"/>
  <c r="DX61" i="9"/>
  <c r="EB167" i="9"/>
  <c r="DA316" i="9"/>
  <c r="DK316" i="9"/>
  <c r="DA50" i="9"/>
  <c r="DK50" i="9"/>
  <c r="DA79" i="9"/>
  <c r="DK79" i="9"/>
  <c r="DW70" i="9"/>
  <c r="DY70" i="9"/>
  <c r="ED70" i="9"/>
  <c r="DZ70" i="9"/>
  <c r="EA70" i="9" s="1"/>
  <c r="DA233" i="9"/>
  <c r="DK233" i="9"/>
  <c r="DA301" i="9"/>
  <c r="DK301" i="9"/>
  <c r="CO360" i="9"/>
  <c r="CO358" i="9"/>
  <c r="CO359" i="9"/>
  <c r="CM357" i="9"/>
  <c r="CK357" i="9" s="1"/>
  <c r="DA139" i="9"/>
  <c r="DK139" i="9"/>
  <c r="DA148" i="9"/>
  <c r="DK148" i="9"/>
  <c r="DO148" i="9" s="1"/>
  <c r="DN271" i="9"/>
  <c r="DX271" i="9"/>
  <c r="CY338" i="9"/>
  <c r="DA217" i="9"/>
  <c r="DK217" i="9"/>
  <c r="CY362" i="9"/>
  <c r="CY363" i="9"/>
  <c r="CY361" i="9"/>
  <c r="CY364" i="9"/>
  <c r="DW8" i="9"/>
  <c r="DY8" i="9"/>
  <c r="ED8" i="9"/>
  <c r="DZ8" i="9"/>
  <c r="EA8" i="9" s="1"/>
  <c r="DA305" i="9"/>
  <c r="DK305" i="9"/>
  <c r="DA207" i="9"/>
  <c r="DK207" i="9"/>
  <c r="DO207" i="9" s="1"/>
  <c r="DD378" i="9"/>
  <c r="CX378" i="9" s="1"/>
  <c r="CY353" i="9"/>
  <c r="DA51" i="9"/>
  <c r="DK51" i="9"/>
  <c r="DO51" i="9" s="1"/>
  <c r="DA98" i="9"/>
  <c r="DK98" i="9"/>
  <c r="DA178" i="9"/>
  <c r="DK178" i="9"/>
  <c r="DA105" i="9"/>
  <c r="DK105" i="9"/>
  <c r="DA99" i="9"/>
  <c r="DK99" i="9"/>
  <c r="DA296" i="9"/>
  <c r="DK296" i="9"/>
  <c r="DA195" i="9"/>
  <c r="DK195" i="9"/>
  <c r="DA30" i="9"/>
  <c r="DK30" i="9"/>
  <c r="DD320" i="9"/>
  <c r="CY320" i="9"/>
  <c r="DW40" i="9"/>
  <c r="DY40" i="9"/>
  <c r="ED40" i="9"/>
  <c r="DZ40" i="9"/>
  <c r="EA40" i="9" s="1"/>
  <c r="EB40" i="9"/>
  <c r="DA172" i="9"/>
  <c r="DK172" i="9"/>
  <c r="DA23" i="9"/>
  <c r="DK23" i="9"/>
  <c r="DA174" i="9"/>
  <c r="DK174" i="9"/>
  <c r="DA43" i="9"/>
  <c r="DK43" i="9"/>
  <c r="DA165" i="9"/>
  <c r="DK165" i="9"/>
  <c r="DA17" i="9"/>
  <c r="DK17" i="9"/>
  <c r="DN210" i="9"/>
  <c r="DX210" i="9"/>
  <c r="DA34" i="9"/>
  <c r="DK34" i="9"/>
  <c r="DN11" i="9"/>
  <c r="DX11" i="9"/>
  <c r="BW357" i="9"/>
  <c r="DA286" i="9"/>
  <c r="DK286" i="9"/>
  <c r="DA173" i="9"/>
  <c r="DK173" i="9"/>
  <c r="DA257" i="9"/>
  <c r="DK257" i="9"/>
  <c r="DA75" i="9"/>
  <c r="DK75" i="9"/>
  <c r="DA188" i="9"/>
  <c r="DK188" i="9"/>
  <c r="DN27" i="9"/>
  <c r="DX27" i="9"/>
  <c r="DN77" i="9"/>
  <c r="DX77" i="9"/>
  <c r="DA244" i="9"/>
  <c r="DK244" i="9"/>
  <c r="DA159" i="9"/>
  <c r="DK159" i="9"/>
  <c r="DA246" i="9"/>
  <c r="DK246" i="9"/>
  <c r="DA261" i="9"/>
  <c r="DK261" i="9"/>
  <c r="DA150" i="9"/>
  <c r="DK150" i="9"/>
  <c r="DA280" i="9"/>
  <c r="DK280" i="9"/>
  <c r="DN87" i="9"/>
  <c r="DX87" i="9"/>
  <c r="DA64" i="9"/>
  <c r="DK64" i="9"/>
  <c r="DO64" i="9" s="1"/>
  <c r="DN155" i="9"/>
  <c r="DX155" i="9"/>
  <c r="DA171" i="9"/>
  <c r="DK171" i="9"/>
  <c r="DN311" i="9"/>
  <c r="DX311" i="9"/>
  <c r="DW243" i="9"/>
  <c r="DY243" i="9"/>
  <c r="ED243" i="9"/>
  <c r="DZ243" i="9"/>
  <c r="EA243" i="9" s="1"/>
  <c r="EB243" i="9"/>
  <c r="DA66" i="9"/>
  <c r="DK66" i="9"/>
  <c r="DA191" i="9"/>
  <c r="DK191" i="9"/>
  <c r="DA202" i="9"/>
  <c r="DK202" i="9"/>
  <c r="DA181" i="9"/>
  <c r="DK181" i="9"/>
  <c r="DA208" i="9"/>
  <c r="DK208" i="9"/>
  <c r="DA304" i="9"/>
  <c r="DK304" i="9"/>
  <c r="DA110" i="9"/>
  <c r="DK110" i="9"/>
  <c r="DA250" i="9"/>
  <c r="DK250" i="9"/>
  <c r="DA239" i="9"/>
  <c r="DK239" i="9"/>
  <c r="DA154" i="9"/>
  <c r="DK154" i="9"/>
  <c r="DN93" i="9"/>
  <c r="DX93" i="9"/>
  <c r="DA130" i="9"/>
  <c r="DK130" i="9"/>
  <c r="DA272" i="9"/>
  <c r="DK272" i="9"/>
  <c r="DA47" i="9"/>
  <c r="DK47" i="9"/>
  <c r="DW237" i="9"/>
  <c r="DY237" i="9"/>
  <c r="ED237" i="9"/>
  <c r="DZ237" i="9"/>
  <c r="EA237" i="9" s="1"/>
  <c r="P48" i="2"/>
  <c r="P41" i="2"/>
  <c r="DA234" i="9"/>
  <c r="DK234" i="9"/>
  <c r="DA147" i="9"/>
  <c r="DK147" i="9"/>
  <c r="DA29" i="9"/>
  <c r="DK29" i="9"/>
  <c r="DA7" i="9"/>
  <c r="DK7" i="9"/>
  <c r="CK451" i="9"/>
  <c r="AA47" i="2"/>
  <c r="AA40" i="2"/>
  <c r="CO352" i="9"/>
  <c r="CO350" i="9"/>
  <c r="CN369" i="9"/>
  <c r="CO351" i="9"/>
  <c r="CM349" i="9"/>
  <c r="CN370" i="9"/>
  <c r="CM350" i="9"/>
  <c r="DA86" i="9"/>
  <c r="DK86" i="9"/>
  <c r="DA240" i="9"/>
  <c r="DK240" i="9"/>
  <c r="DY253" i="9"/>
  <c r="DW253" i="9"/>
  <c r="ED253" i="9"/>
  <c r="DZ253" i="9"/>
  <c r="EA253" i="9" s="1"/>
  <c r="EB253" i="9"/>
  <c r="DY168" i="9"/>
  <c r="DW168" i="9"/>
  <c r="ED168" i="9"/>
  <c r="DZ168" i="9"/>
  <c r="EA168" i="9" s="1"/>
  <c r="EB8" i="9"/>
  <c r="DA160" i="9"/>
  <c r="DK160" i="9"/>
  <c r="DN69" i="9"/>
  <c r="DX69" i="9"/>
  <c r="DA263" i="9"/>
  <c r="DK263" i="9"/>
  <c r="DA161" i="9"/>
  <c r="DK161" i="9"/>
  <c r="DA214" i="9"/>
  <c r="DK214" i="9"/>
  <c r="DW307" i="9"/>
  <c r="DY307" i="9"/>
  <c r="DZ307" i="9"/>
  <c r="EA307" i="9" s="1"/>
  <c r="ED307" i="9"/>
  <c r="EB307" i="9"/>
  <c r="DA245" i="9"/>
  <c r="DK245" i="9"/>
  <c r="DW180" i="9"/>
  <c r="DY180" i="9"/>
  <c r="DZ180" i="9"/>
  <c r="EA180" i="9" s="1"/>
  <c r="ED180" i="9"/>
  <c r="CY335" i="9"/>
  <c r="DD385" i="9"/>
  <c r="CX385" i="9" s="1"/>
  <c r="DD383" i="9"/>
  <c r="CX383" i="9" s="1"/>
  <c r="DD382" i="9"/>
  <c r="CX382" i="9" s="1"/>
  <c r="DD384" i="9"/>
  <c r="CX384" i="9" s="1"/>
  <c r="DA74" i="9"/>
  <c r="DK74" i="9"/>
  <c r="DN258" i="9"/>
  <c r="DX258" i="9"/>
  <c r="DA288" i="9"/>
  <c r="DK288" i="9"/>
  <c r="DA164" i="9"/>
  <c r="DK164" i="9"/>
  <c r="DA13" i="9"/>
  <c r="DK13" i="9"/>
  <c r="DA19" i="9"/>
  <c r="DK19" i="9"/>
  <c r="DA140" i="9"/>
  <c r="DK140" i="9"/>
  <c r="BX369" i="9"/>
  <c r="BW351" i="9"/>
  <c r="BW352" i="9"/>
  <c r="BW350" i="9"/>
  <c r="DA317" i="9"/>
  <c r="DK317" i="9"/>
  <c r="DA170" i="9"/>
  <c r="DK170" i="9"/>
  <c r="DA135" i="9"/>
  <c r="DK135" i="9"/>
  <c r="DA299" i="9"/>
  <c r="DK299" i="9"/>
  <c r="DD380" i="9"/>
  <c r="CX380" i="9" s="1"/>
  <c r="DD379" i="9"/>
  <c r="CX379" i="9" s="1"/>
  <c r="DD381" i="9"/>
  <c r="CX381" i="9" s="1"/>
  <c r="CY355" i="9"/>
  <c r="CY356" i="9"/>
  <c r="CY354" i="9"/>
  <c r="DA71" i="9"/>
  <c r="DK71" i="9"/>
  <c r="DA122" i="9"/>
  <c r="DK122" i="9"/>
  <c r="DN95" i="9"/>
  <c r="DX95" i="9"/>
  <c r="DA20" i="9"/>
  <c r="DK20" i="9"/>
  <c r="DO20" i="9" s="1"/>
  <c r="DA176" i="9"/>
  <c r="DK176" i="9"/>
  <c r="DA55" i="9"/>
  <c r="DK55" i="9"/>
  <c r="DN242" i="9"/>
  <c r="DX242" i="9"/>
  <c r="DA203" i="9"/>
  <c r="DK203" i="9"/>
  <c r="DA229" i="9"/>
  <c r="DK229" i="9"/>
  <c r="DY269" i="9"/>
  <c r="DW269" i="9"/>
  <c r="ED269" i="9"/>
  <c r="DZ269" i="9"/>
  <c r="EA269" i="9" s="1"/>
  <c r="EB269" i="9"/>
  <c r="DA60" i="9"/>
  <c r="DK60" i="9"/>
  <c r="DA284" i="9"/>
  <c r="DK284" i="9"/>
  <c r="DA252" i="9"/>
  <c r="DK252" i="9"/>
  <c r="DA282" i="9"/>
  <c r="DK282" i="9"/>
  <c r="DA278" i="9"/>
  <c r="DK278" i="9"/>
  <c r="DA10" i="9"/>
  <c r="DK10" i="9"/>
  <c r="DA18" i="9"/>
  <c r="DK18" i="9"/>
  <c r="DN266" i="9"/>
  <c r="DX266" i="9"/>
  <c r="DA294" i="9"/>
  <c r="DK294" i="9"/>
  <c r="DN179" i="9"/>
  <c r="DX179" i="9"/>
  <c r="EB179" i="9" s="1"/>
  <c r="DA46" i="9"/>
  <c r="DK46" i="9"/>
  <c r="DN197" i="9"/>
  <c r="DX197" i="9"/>
  <c r="DA145" i="9"/>
  <c r="DK145" i="9"/>
  <c r="DN142" i="9"/>
  <c r="DX142" i="9"/>
  <c r="DA15" i="9"/>
  <c r="DK15" i="9"/>
  <c r="DN308" i="9"/>
  <c r="DX308" i="9"/>
  <c r="DA265" i="9"/>
  <c r="DK265" i="9"/>
  <c r="DO265" i="9" s="1"/>
  <c r="DA290" i="9"/>
  <c r="DK290" i="9"/>
  <c r="DW38" i="9"/>
  <c r="DY38" i="9"/>
  <c r="ED38" i="9"/>
  <c r="DZ38" i="9"/>
  <c r="EA38" i="9" s="1"/>
  <c r="DA49" i="9"/>
  <c r="DK49" i="9"/>
  <c r="DW58" i="9"/>
  <c r="DY58" i="9"/>
  <c r="DZ58" i="9"/>
  <c r="EA58" i="9" s="1"/>
  <c r="ED58" i="9"/>
  <c r="DA206" i="9"/>
  <c r="DK206" i="9"/>
  <c r="DO206" i="9" s="1"/>
  <c r="DA120" i="9"/>
  <c r="DK120" i="9"/>
  <c r="BX400" i="9"/>
  <c r="BV458" i="9" s="1"/>
  <c r="K13" i="10"/>
  <c r="DN73" i="9"/>
  <c r="DX73" i="9"/>
  <c r="EB73" i="9" s="1"/>
  <c r="CJ386" i="9"/>
  <c r="DN199" i="9"/>
  <c r="DX199" i="9"/>
  <c r="DA113" i="9"/>
  <c r="DK113" i="9"/>
  <c r="BK415" i="9"/>
  <c r="BJ415" i="9" s="1"/>
  <c r="BJ401" i="9"/>
  <c r="BI455" i="9"/>
  <c r="BI457" i="9" s="1"/>
  <c r="BJ402" i="9"/>
  <c r="BJ400" i="9"/>
  <c r="BJ369" i="9"/>
  <c r="DW186" i="9"/>
  <c r="DY186" i="9"/>
  <c r="ED186" i="9"/>
  <c r="DZ186" i="9"/>
  <c r="EA186" i="9" s="1"/>
  <c r="EB186" i="9"/>
  <c r="DA106" i="9"/>
  <c r="DK106" i="9"/>
  <c r="DO106" i="9" s="1"/>
  <c r="BW394" i="9"/>
  <c r="DA131" i="9"/>
  <c r="DK131" i="9"/>
  <c r="DA157" i="9"/>
  <c r="DK157" i="9"/>
  <c r="DA137" i="9"/>
  <c r="DK137" i="9"/>
  <c r="EB180" i="9"/>
  <c r="DA116" i="9"/>
  <c r="DK116" i="9"/>
  <c r="DO116" i="9" s="1"/>
  <c r="DA84" i="9"/>
  <c r="DK84" i="9"/>
  <c r="DA37" i="9"/>
  <c r="DK37" i="9"/>
  <c r="DA33" i="9"/>
  <c r="DK33" i="9"/>
  <c r="DO33" i="9" s="1"/>
  <c r="DA309" i="9"/>
  <c r="DK309" i="9"/>
  <c r="DA232" i="9"/>
  <c r="DK232" i="9"/>
  <c r="DO232" i="9" s="1"/>
  <c r="DA247" i="9"/>
  <c r="DK247" i="9"/>
  <c r="CY327" i="9"/>
  <c r="CX347" i="9"/>
  <c r="CV450" i="9" s="1"/>
  <c r="CY349" i="9"/>
  <c r="CY351" i="9"/>
  <c r="CY352" i="9"/>
  <c r="CY350" i="9"/>
  <c r="DA42" i="9"/>
  <c r="DK42" i="9"/>
  <c r="DA177" i="9"/>
  <c r="DK177" i="9"/>
  <c r="DO177" i="9" s="1"/>
  <c r="DA319" i="9"/>
  <c r="DK319" i="9"/>
  <c r="DN101" i="9"/>
  <c r="DX101" i="9"/>
  <c r="DA152" i="9"/>
  <c r="DK152" i="9"/>
  <c r="DY303" i="9"/>
  <c r="DW303" i="9"/>
  <c r="DZ303" i="9"/>
  <c r="EA303" i="9" s="1"/>
  <c r="ED303" i="9"/>
  <c r="EB303" i="9"/>
  <c r="DA144" i="9"/>
  <c r="DK144" i="9"/>
  <c r="DA92" i="9"/>
  <c r="DK92" i="9"/>
  <c r="DA225" i="9"/>
  <c r="DK225" i="9"/>
  <c r="DO225" i="9" s="1"/>
  <c r="DA175" i="9"/>
  <c r="DK175" i="9"/>
  <c r="DO175" i="9" s="1"/>
  <c r="DO316" i="9"/>
  <c r="DA80" i="9"/>
  <c r="DK80" i="9"/>
  <c r="DO80" i="9" s="1"/>
  <c r="DA118" i="9"/>
  <c r="DK118" i="9"/>
  <c r="EB91" i="9"/>
  <c r="CY336" i="9"/>
  <c r="DD389" i="9"/>
  <c r="CX389" i="9" s="1"/>
  <c r="DD387" i="9"/>
  <c r="DD386" i="9"/>
  <c r="CX386" i="9" s="1"/>
  <c r="DD388" i="9"/>
  <c r="CX388" i="9" s="1"/>
  <c r="DN107" i="9"/>
  <c r="DX107" i="9"/>
  <c r="DA5" i="9"/>
  <c r="CZ320" i="9"/>
  <c r="DK5" i="9"/>
  <c r="CX412" i="9"/>
  <c r="CX407" i="9"/>
  <c r="DO305" i="9"/>
  <c r="CY330" i="9"/>
  <c r="CY331" i="9"/>
  <c r="CY329" i="9"/>
  <c r="EB93" i="9"/>
  <c r="DA166" i="9"/>
  <c r="DK166" i="9"/>
  <c r="DO166" i="9" s="1"/>
  <c r="DO105" i="9"/>
  <c r="DO157" i="9"/>
  <c r="DA238" i="9"/>
  <c r="DK238" i="9"/>
  <c r="DA151" i="9"/>
  <c r="DK151" i="9"/>
  <c r="DA12" i="9"/>
  <c r="DK12" i="9"/>
  <c r="CW320" i="9"/>
  <c r="CX406" i="9" s="1"/>
  <c r="CX405" i="9" s="1"/>
  <c r="DW300" i="9"/>
  <c r="DY300" i="9"/>
  <c r="DZ300" i="9"/>
  <c r="EA300" i="9" s="1"/>
  <c r="ED300" i="9"/>
  <c r="EB300" i="9"/>
  <c r="DO43" i="9"/>
  <c r="DA279" i="9"/>
  <c r="DK279" i="9"/>
  <c r="DA68" i="9"/>
  <c r="DK68" i="9"/>
  <c r="DO68" i="9" s="1"/>
  <c r="AB40" i="2"/>
  <c r="AB47" i="2"/>
  <c r="DA83" i="9"/>
  <c r="DK83" i="9"/>
  <c r="DO34" i="9"/>
  <c r="DA314" i="9"/>
  <c r="DK314" i="9"/>
  <c r="DA182" i="9"/>
  <c r="DK182" i="9"/>
  <c r="DN31" i="9"/>
  <c r="DX31" i="9"/>
  <c r="DN149" i="9"/>
  <c r="DX149" i="9"/>
  <c r="DA274" i="9"/>
  <c r="DK274" i="9"/>
  <c r="DA259" i="9"/>
  <c r="DK259" i="9"/>
  <c r="DO188" i="9"/>
  <c r="DA127" i="9"/>
  <c r="DK127" i="9"/>
  <c r="DA97" i="9"/>
  <c r="DK97" i="9"/>
  <c r="DO97" i="9" s="1"/>
  <c r="DA78" i="9"/>
  <c r="DK78" i="9"/>
  <c r="DA248" i="9"/>
  <c r="DK248" i="9"/>
  <c r="DW32" i="9"/>
  <c r="DY32" i="9"/>
  <c r="ED32" i="9"/>
  <c r="DZ32" i="9"/>
  <c r="EA32" i="9" s="1"/>
  <c r="EB32" i="9"/>
  <c r="DA54" i="9"/>
  <c r="DK54" i="9"/>
  <c r="DA153" i="9"/>
  <c r="DK153" i="9"/>
  <c r="DO244" i="9"/>
  <c r="DA52" i="9"/>
  <c r="DK52" i="9"/>
  <c r="DO52" i="9" s="1"/>
  <c r="DO261" i="9"/>
  <c r="EB155" i="9"/>
  <c r="DA264" i="9"/>
  <c r="DK264" i="9"/>
  <c r="DA57" i="9"/>
  <c r="DK57" i="9"/>
  <c r="DO57" i="9" s="1"/>
  <c r="DA194" i="9"/>
  <c r="DK194" i="9"/>
  <c r="DA310" i="9"/>
  <c r="DK310" i="9"/>
  <c r="DA114" i="9"/>
  <c r="DK114" i="9"/>
  <c r="CJ384" i="9"/>
  <c r="CJ385" i="9"/>
  <c r="CJ383" i="9"/>
  <c r="DN103" i="9"/>
  <c r="DX103" i="9"/>
  <c r="DO191" i="9"/>
  <c r="DA277" i="9"/>
  <c r="DK277" i="9"/>
  <c r="DN275" i="9"/>
  <c r="DX275" i="9"/>
  <c r="DA21" i="9"/>
  <c r="DK21" i="9"/>
  <c r="DA162" i="9"/>
  <c r="DK162" i="9"/>
  <c r="DA291" i="9"/>
  <c r="DK291" i="9"/>
  <c r="DA41" i="9"/>
  <c r="DK41" i="9"/>
  <c r="DA26" i="9"/>
  <c r="DK26" i="9"/>
  <c r="DB320" i="9"/>
  <c r="DO239" i="9"/>
  <c r="DA129" i="9"/>
  <c r="DK129" i="9"/>
  <c r="DO129" i="9" s="1"/>
  <c r="DN187" i="9"/>
  <c r="DX187" i="9"/>
  <c r="DA109" i="9"/>
  <c r="DK109" i="9"/>
  <c r="DA230" i="9"/>
  <c r="DK230" i="9"/>
  <c r="DO47" i="9"/>
  <c r="AX457" i="9"/>
  <c r="O48" i="2"/>
  <c r="O41" i="2"/>
  <c r="R41" i="2" s="1"/>
  <c r="DA44" i="9"/>
  <c r="DK44" i="9"/>
  <c r="DO44" i="9" s="1"/>
  <c r="DA123" i="9"/>
  <c r="DK123" i="9"/>
  <c r="DA94" i="9"/>
  <c r="DK94" i="9"/>
  <c r="DN216" i="9"/>
  <c r="DX216" i="9"/>
  <c r="DA318" i="9"/>
  <c r="DK318" i="9"/>
  <c r="CN371" i="9"/>
  <c r="CM351" i="9"/>
  <c r="CN372" i="9"/>
  <c r="CM352" i="9"/>
  <c r="DA281" i="9"/>
  <c r="DK281" i="9"/>
  <c r="DA96" i="9"/>
  <c r="DK96" i="9"/>
  <c r="DA226" i="9"/>
  <c r="DK226" i="9"/>
  <c r="DN292" i="9"/>
  <c r="DX292" i="9"/>
  <c r="DN85" i="9"/>
  <c r="DX85" i="9"/>
  <c r="DA302" i="9"/>
  <c r="DK302" i="9"/>
  <c r="DN218" i="9"/>
  <c r="DX218" i="9"/>
  <c r="DA236" i="9"/>
  <c r="DK236" i="9"/>
  <c r="DO236" i="9" s="1"/>
  <c r="DA76" i="9"/>
  <c r="DK76" i="9"/>
  <c r="DO76" i="9" s="1"/>
  <c r="DO245" i="9"/>
  <c r="DN65" i="9"/>
  <c r="DX65" i="9"/>
  <c r="DA221" i="9"/>
  <c r="DK221" i="9"/>
  <c r="DA115" i="9"/>
  <c r="DK115" i="9"/>
  <c r="DA228" i="9"/>
  <c r="DK228" i="9"/>
  <c r="DA156" i="9"/>
  <c r="DK156" i="9"/>
  <c r="DA313" i="9"/>
  <c r="DK313" i="9"/>
  <c r="DA134" i="9"/>
  <c r="DK134" i="9"/>
  <c r="CY334" i="9"/>
  <c r="CY333" i="9"/>
  <c r="DA169" i="9"/>
  <c r="DK169" i="9"/>
  <c r="CY359" i="9"/>
  <c r="CY357" i="9"/>
  <c r="CY360" i="9"/>
  <c r="CY358" i="9"/>
  <c r="DA53" i="9"/>
  <c r="DK53" i="9"/>
  <c r="DO53" i="9" s="1"/>
  <c r="DA183" i="9"/>
  <c r="DK183" i="9"/>
  <c r="DO183" i="9"/>
  <c r="DN283" i="9"/>
  <c r="DX283" i="9"/>
  <c r="DA193" i="9"/>
  <c r="DK193" i="9"/>
  <c r="DO193" i="9" s="1"/>
  <c r="DO164" i="9"/>
  <c r="DO170" i="9"/>
  <c r="DO299" i="9"/>
  <c r="CX346" i="9"/>
  <c r="CV453" i="9" s="1"/>
  <c r="CO363" i="9"/>
  <c r="CO364" i="9"/>
  <c r="CM361" i="9"/>
  <c r="CK361" i="9" s="1"/>
  <c r="CO362" i="9"/>
  <c r="DA117" i="9"/>
  <c r="DK117" i="9"/>
  <c r="CO356" i="9"/>
  <c r="CO354" i="9"/>
  <c r="CO355" i="9"/>
  <c r="CM353" i="9"/>
  <c r="CK353" i="9" s="1"/>
  <c r="DA102" i="9"/>
  <c r="DK102" i="9"/>
  <c r="DO131" i="9"/>
  <c r="DA251" i="9"/>
  <c r="DK251" i="9"/>
  <c r="DA200" i="9"/>
  <c r="DK200" i="9"/>
  <c r="DO18" i="9"/>
  <c r="DA138" i="9"/>
  <c r="DK138" i="9"/>
  <c r="DA224" i="9"/>
  <c r="DK224" i="9"/>
  <c r="DO224" i="9" s="1"/>
  <c r="DO229" i="9"/>
  <c r="DN133" i="9"/>
  <c r="DX133" i="9"/>
  <c r="EB133" i="9" s="1"/>
  <c r="DO252" i="9"/>
  <c r="DA89" i="9"/>
  <c r="DK89" i="9"/>
  <c r="DO89" i="9" s="1"/>
  <c r="DA141" i="9"/>
  <c r="DK141" i="9"/>
  <c r="DA231" i="9"/>
  <c r="DK231" i="9"/>
  <c r="DO231" i="9" s="1"/>
  <c r="CJ374" i="9"/>
  <c r="DA270" i="9"/>
  <c r="DK270" i="9"/>
  <c r="DA14" i="9"/>
  <c r="DK14" i="9"/>
  <c r="EB70" i="9"/>
  <c r="DN124" i="9"/>
  <c r="DX124" i="9"/>
  <c r="DO278" i="9"/>
  <c r="DN163" i="9"/>
  <c r="DX163" i="9"/>
  <c r="DA297" i="9"/>
  <c r="DK297" i="9"/>
  <c r="DA212" i="9"/>
  <c r="DK212" i="9"/>
  <c r="DA192" i="9"/>
  <c r="DK192" i="9"/>
  <c r="DO192" i="9" s="1"/>
  <c r="DA56" i="9"/>
  <c r="DK56" i="9"/>
  <c r="DW158" i="9"/>
  <c r="DY158" i="9"/>
  <c r="DZ158" i="9"/>
  <c r="EA158" i="9" s="1"/>
  <c r="ED158" i="9"/>
  <c r="EB158" i="9"/>
  <c r="DA67" i="9"/>
  <c r="DK67" i="9"/>
  <c r="EB308" i="9"/>
  <c r="DA185" i="9"/>
  <c r="DK185" i="9"/>
  <c r="DA227" i="9"/>
  <c r="DK227" i="9"/>
  <c r="DA28" i="9"/>
  <c r="DK28" i="9"/>
  <c r="DO28" i="9" s="1"/>
  <c r="DO120" i="9"/>
  <c r="DA190" i="9"/>
  <c r="DK190" i="9"/>
  <c r="DA128" i="9"/>
  <c r="DK128" i="9"/>
  <c r="DA111" i="9"/>
  <c r="DK111" i="9"/>
  <c r="DA63" i="9"/>
  <c r="DK63" i="9"/>
  <c r="DA241" i="9"/>
  <c r="DK241" i="9"/>
  <c r="DA213" i="9"/>
  <c r="DK213" i="9"/>
  <c r="DO213" i="9" s="1"/>
  <c r="DN59" i="9"/>
  <c r="DX59" i="9"/>
  <c r="DN143" i="9"/>
  <c r="DX143" i="9"/>
  <c r="DO113" i="9"/>
  <c r="DA189" i="9"/>
  <c r="DK189" i="9"/>
  <c r="DA184" i="9"/>
  <c r="DK184" i="9"/>
  <c r="DO184" i="9" s="1"/>
  <c r="DN112" i="9"/>
  <c r="DX112" i="9"/>
  <c r="EB112" i="9" s="1"/>
  <c r="DA312" i="9"/>
  <c r="DK312" i="9"/>
  <c r="DW6" i="9"/>
  <c r="DY6" i="9"/>
  <c r="ED6" i="9"/>
  <c r="DZ6" i="9"/>
  <c r="EA6" i="9" s="1"/>
  <c r="EB6" i="9"/>
  <c r="DA222" i="9"/>
  <c r="DK222" i="9"/>
  <c r="DA254" i="9"/>
  <c r="DK254" i="9"/>
  <c r="DA82" i="9"/>
  <c r="DK82" i="9"/>
  <c r="DA81" i="9"/>
  <c r="DK81" i="9"/>
  <c r="DA90" i="9"/>
  <c r="DK90" i="9"/>
  <c r="DA196" i="9"/>
  <c r="DK196" i="9"/>
  <c r="DA108" i="9"/>
  <c r="DK108" i="9"/>
  <c r="DO108" i="9" s="1"/>
  <c r="DA146" i="9"/>
  <c r="DK146" i="9"/>
  <c r="DA255" i="9"/>
  <c r="DK255" i="9"/>
  <c r="DA25" i="9"/>
  <c r="DK25" i="9"/>
  <c r="DA9" i="9"/>
  <c r="DK9" i="9"/>
  <c r="CL344" i="9"/>
  <c r="CY325" i="9"/>
  <c r="CY326" i="9"/>
  <c r="CX344" i="9"/>
  <c r="CX345" i="9"/>
  <c r="CV452" i="9" s="1"/>
  <c r="DD377" i="9"/>
  <c r="DD375" i="9"/>
  <c r="CX375" i="9" s="1"/>
  <c r="DD376" i="9"/>
  <c r="DD374" i="9"/>
  <c r="DO319" i="9"/>
  <c r="DN35" i="9"/>
  <c r="DX35" i="9"/>
  <c r="EB168" i="9"/>
  <c r="DA22" i="9"/>
  <c r="DK22" i="9"/>
  <c r="DA276" i="9"/>
  <c r="DK276" i="9"/>
  <c r="EB237" i="9"/>
  <c r="DA100" i="9"/>
  <c r="DK100" i="9"/>
  <c r="DO100" i="9" s="1"/>
  <c r="H8" i="17"/>
  <c r="BI158" i="14"/>
  <c r="BI132" i="14"/>
  <c r="BK132" i="14"/>
  <c r="BH145" i="14"/>
  <c r="BP158" i="14"/>
  <c r="BF145" i="14"/>
  <c r="BQ158" i="14"/>
  <c r="BL145" i="14"/>
  <c r="BN145" i="14"/>
  <c r="CI158" i="14"/>
  <c r="CI132" i="14"/>
  <c r="CH145" i="14"/>
  <c r="CP158" i="14"/>
  <c r="CF145" i="14"/>
  <c r="CK132" i="14"/>
  <c r="CL145" i="14"/>
  <c r="CQ158" i="14"/>
  <c r="CN145" i="14"/>
  <c r="CA145" i="12"/>
  <c r="BS145" i="12"/>
  <c r="CC158" i="12"/>
  <c r="CD158" i="12"/>
  <c r="BU145" i="12"/>
  <c r="BY145" i="12"/>
  <c r="BV132" i="12"/>
  <c r="BX132" i="12"/>
  <c r="BL145" i="12"/>
  <c r="BH145" i="12"/>
  <c r="BP158" i="12"/>
  <c r="BQ158" i="12"/>
  <c r="BN145" i="12"/>
  <c r="BF145" i="12"/>
  <c r="BI132" i="12"/>
  <c r="BK132" i="12"/>
  <c r="CL145" i="12"/>
  <c r="CH145" i="12"/>
  <c r="CP158" i="12"/>
  <c r="CQ158" i="12"/>
  <c r="CN145" i="12"/>
  <c r="CF145" i="12"/>
  <c r="CI132" i="12"/>
  <c r="CK132" i="12"/>
  <c r="BV158" i="14"/>
  <c r="BV132" i="14"/>
  <c r="BS145" i="14"/>
  <c r="BU145" i="14"/>
  <c r="BX132" i="14"/>
  <c r="CC158" i="14"/>
  <c r="CD158" i="14"/>
  <c r="BY145" i="14"/>
  <c r="CA145" i="14"/>
  <c r="AR110" i="13"/>
  <c r="F25" i="4"/>
  <c r="F31" i="4" s="1"/>
  <c r="I31" i="10"/>
  <c r="K31" i="10"/>
  <c r="C31" i="4"/>
  <c r="C47" i="4"/>
  <c r="E25" i="4"/>
  <c r="L25" i="10"/>
  <c r="L31" i="10" s="1"/>
  <c r="H9" i="17"/>
  <c r="H10" i="17" s="1"/>
  <c r="F12" i="17"/>
  <c r="F13" i="17" s="1"/>
  <c r="I8" i="17"/>
  <c r="R48" i="2" l="1"/>
  <c r="CO357" i="9"/>
  <c r="CJ394" i="9"/>
  <c r="CX408" i="9"/>
  <c r="CY324" i="9"/>
  <c r="CY332" i="9"/>
  <c r="CY328" i="9"/>
  <c r="DL276" i="9"/>
  <c r="DJ276" i="9"/>
  <c r="DM276" i="9"/>
  <c r="DQ276" i="9"/>
  <c r="DJ22" i="9"/>
  <c r="DL22" i="9"/>
  <c r="DQ22" i="9"/>
  <c r="DM22" i="9"/>
  <c r="DD394" i="9"/>
  <c r="CX374" i="9"/>
  <c r="DL9" i="9"/>
  <c r="DJ9" i="9"/>
  <c r="DM9" i="9"/>
  <c r="DQ9" i="9"/>
  <c r="DJ25" i="9"/>
  <c r="DL25" i="9"/>
  <c r="DM25" i="9"/>
  <c r="DQ25" i="9"/>
  <c r="DO25" i="9"/>
  <c r="DM146" i="9"/>
  <c r="DJ146" i="9"/>
  <c r="DL146" i="9"/>
  <c r="DQ146" i="9"/>
  <c r="DJ81" i="9"/>
  <c r="DL81" i="9"/>
  <c r="DQ81" i="9"/>
  <c r="DM81" i="9"/>
  <c r="DM82" i="9"/>
  <c r="DJ82" i="9"/>
  <c r="DL82" i="9"/>
  <c r="DQ82" i="9"/>
  <c r="DO82" i="9"/>
  <c r="DM222" i="9"/>
  <c r="DL222" i="9"/>
  <c r="DJ222" i="9"/>
  <c r="DQ222" i="9"/>
  <c r="DO222" i="9"/>
  <c r="DJ312" i="9"/>
  <c r="DL312" i="9"/>
  <c r="DQ312" i="9"/>
  <c r="DM312" i="9"/>
  <c r="DO312" i="9"/>
  <c r="DY143" i="9"/>
  <c r="DW143" i="9"/>
  <c r="ED143" i="9"/>
  <c r="DZ143" i="9"/>
  <c r="EA143" i="9" s="1"/>
  <c r="DY59" i="9"/>
  <c r="DW59" i="9"/>
  <c r="ED59" i="9"/>
  <c r="DZ59" i="9"/>
  <c r="EA59" i="9" s="1"/>
  <c r="EB59" i="9"/>
  <c r="DJ190" i="9"/>
  <c r="DL190" i="9"/>
  <c r="DM190" i="9"/>
  <c r="DQ190" i="9"/>
  <c r="DL28" i="9"/>
  <c r="DJ28" i="9"/>
  <c r="DQ28" i="9"/>
  <c r="DM28" i="9"/>
  <c r="DM227" i="9"/>
  <c r="DL227" i="9"/>
  <c r="DJ227" i="9"/>
  <c r="DQ227" i="9"/>
  <c r="DO227" i="9"/>
  <c r="DM67" i="9"/>
  <c r="DJ67" i="9"/>
  <c r="DL67" i="9"/>
  <c r="DQ67" i="9"/>
  <c r="DO67" i="9"/>
  <c r="DL56" i="9"/>
  <c r="DJ56" i="9"/>
  <c r="DM56" i="9"/>
  <c r="DQ56" i="9"/>
  <c r="DY163" i="9"/>
  <c r="DW163" i="9"/>
  <c r="DZ163" i="9"/>
  <c r="EA163" i="9" s="1"/>
  <c r="ED163" i="9"/>
  <c r="EB163" i="9"/>
  <c r="DW124" i="9"/>
  <c r="DY124" i="9"/>
  <c r="DZ124" i="9"/>
  <c r="EA124" i="9" s="1"/>
  <c r="ED124" i="9"/>
  <c r="DL89" i="9"/>
  <c r="DJ89" i="9"/>
  <c r="DQ89" i="9"/>
  <c r="DM89" i="9"/>
  <c r="DM224" i="9"/>
  <c r="DL224" i="9"/>
  <c r="DJ224" i="9"/>
  <c r="DQ224" i="9"/>
  <c r="DM138" i="9"/>
  <c r="DJ138" i="9"/>
  <c r="DL138" i="9"/>
  <c r="DQ138" i="9"/>
  <c r="CJ355" i="9"/>
  <c r="CJ356" i="9"/>
  <c r="CJ354" i="9"/>
  <c r="CO353" i="9"/>
  <c r="DM117" i="9"/>
  <c r="DJ117" i="9"/>
  <c r="DL117" i="9"/>
  <c r="DQ117" i="9"/>
  <c r="DO117" i="9"/>
  <c r="CO361" i="9"/>
  <c r="DL183" i="9"/>
  <c r="DJ183" i="9"/>
  <c r="DQ183" i="9"/>
  <c r="DM183" i="9"/>
  <c r="DA359" i="9"/>
  <c r="CZ359" i="9" s="1"/>
  <c r="CX359" i="9" s="1"/>
  <c r="DA357" i="9"/>
  <c r="DA358" i="9"/>
  <c r="CZ358" i="9" s="1"/>
  <c r="CX358" i="9" s="1"/>
  <c r="DA360" i="9"/>
  <c r="CZ360" i="9" s="1"/>
  <c r="CX360" i="9" s="1"/>
  <c r="DM228" i="9"/>
  <c r="DL228" i="9"/>
  <c r="DJ228" i="9"/>
  <c r="DQ228" i="9"/>
  <c r="DJ115" i="9"/>
  <c r="DL115" i="9"/>
  <c r="DM115" i="9"/>
  <c r="DQ115" i="9"/>
  <c r="DO115" i="9"/>
  <c r="DW85" i="9"/>
  <c r="DY85" i="9"/>
  <c r="ED85" i="9"/>
  <c r="DZ85" i="9"/>
  <c r="EA85" i="9" s="1"/>
  <c r="EB85" i="9"/>
  <c r="DW292" i="9"/>
  <c r="DY292" i="9"/>
  <c r="DZ292" i="9"/>
  <c r="EA292" i="9" s="1"/>
  <c r="ED292" i="9"/>
  <c r="DM226" i="9"/>
  <c r="DL226" i="9"/>
  <c r="DJ226" i="9"/>
  <c r="DQ226" i="9"/>
  <c r="DO226" i="9"/>
  <c r="CM372" i="9"/>
  <c r="CK352" i="9"/>
  <c r="CK372" i="9" s="1"/>
  <c r="CK402" i="9" s="1"/>
  <c r="CI456" i="9" s="1"/>
  <c r="CM371" i="9"/>
  <c r="CK351" i="9"/>
  <c r="CK371" i="9" s="1"/>
  <c r="CK401" i="9" s="1"/>
  <c r="CI459" i="9" s="1"/>
  <c r="DL318" i="9"/>
  <c r="DJ318" i="9"/>
  <c r="DQ318" i="9"/>
  <c r="DM318" i="9"/>
  <c r="DO318" i="9"/>
  <c r="DM123" i="9"/>
  <c r="DJ123" i="9"/>
  <c r="DL123" i="9"/>
  <c r="DQ123" i="9"/>
  <c r="DM109" i="9"/>
  <c r="DL109" i="9"/>
  <c r="DJ109" i="9"/>
  <c r="DQ109" i="9"/>
  <c r="DY187" i="9"/>
  <c r="DW187" i="9"/>
  <c r="ED187" i="9"/>
  <c r="DZ187" i="9"/>
  <c r="EA187" i="9" s="1"/>
  <c r="EB187" i="9"/>
  <c r="DL291" i="9"/>
  <c r="DJ291" i="9"/>
  <c r="DQ291" i="9"/>
  <c r="DM291" i="9"/>
  <c r="DM162" i="9"/>
  <c r="DJ162" i="9"/>
  <c r="DL162" i="9"/>
  <c r="DQ162" i="9"/>
  <c r="DJ21" i="9"/>
  <c r="DL21" i="9"/>
  <c r="DM21" i="9"/>
  <c r="DQ21" i="9"/>
  <c r="DY275" i="9"/>
  <c r="DW275" i="9"/>
  <c r="ED275" i="9"/>
  <c r="DZ275" i="9"/>
  <c r="EA275" i="9" s="1"/>
  <c r="EB275" i="9"/>
  <c r="DY103" i="9"/>
  <c r="DW103" i="9"/>
  <c r="DZ103" i="9"/>
  <c r="EA103" i="9" s="1"/>
  <c r="ED103" i="9"/>
  <c r="EB103" i="9"/>
  <c r="DM114" i="9"/>
  <c r="DJ114" i="9"/>
  <c r="DL114" i="9"/>
  <c r="DQ114" i="9"/>
  <c r="DO114" i="9"/>
  <c r="DJ153" i="9"/>
  <c r="DL153" i="9"/>
  <c r="DM153" i="9"/>
  <c r="DQ153" i="9"/>
  <c r="DO153" i="9"/>
  <c r="DL54" i="9"/>
  <c r="DJ54" i="9"/>
  <c r="DQ54" i="9"/>
  <c r="DM54" i="9"/>
  <c r="DO54" i="9"/>
  <c r="DL248" i="9"/>
  <c r="DJ248" i="9"/>
  <c r="DM248" i="9"/>
  <c r="DQ248" i="9"/>
  <c r="DJ78" i="9"/>
  <c r="DL78" i="9"/>
  <c r="DM78" i="9"/>
  <c r="DQ78" i="9"/>
  <c r="DO78" i="9"/>
  <c r="DL259" i="9"/>
  <c r="DJ259" i="9"/>
  <c r="DM259" i="9"/>
  <c r="DQ259" i="9"/>
  <c r="DO259" i="9"/>
  <c r="DL274" i="9"/>
  <c r="DJ274" i="9"/>
  <c r="DM274" i="9"/>
  <c r="DQ274" i="9"/>
  <c r="DO274" i="9"/>
  <c r="DL314" i="9"/>
  <c r="DJ314" i="9"/>
  <c r="DM314" i="9"/>
  <c r="DQ314" i="9"/>
  <c r="DJ12" i="9"/>
  <c r="DL12" i="9"/>
  <c r="DM12" i="9"/>
  <c r="DQ12" i="9"/>
  <c r="DO12" i="9"/>
  <c r="DJ151" i="9"/>
  <c r="DL151" i="9"/>
  <c r="DQ151" i="9"/>
  <c r="DM151" i="9"/>
  <c r="DO151" i="9"/>
  <c r="DQ5" i="9"/>
  <c r="DK404" i="9"/>
  <c r="DL5" i="9"/>
  <c r="DK320" i="9"/>
  <c r="DJ5" i="9"/>
  <c r="DM5" i="9"/>
  <c r="DO5" i="9"/>
  <c r="DD395" i="9"/>
  <c r="CX387" i="9"/>
  <c r="CX395" i="9" s="1"/>
  <c r="DJ118" i="9"/>
  <c r="DL118" i="9"/>
  <c r="DQ118" i="9"/>
  <c r="DM118" i="9"/>
  <c r="DO118" i="9"/>
  <c r="DL92" i="9"/>
  <c r="DJ92" i="9"/>
  <c r="DM92" i="9"/>
  <c r="DQ92" i="9"/>
  <c r="DM144" i="9"/>
  <c r="DJ144" i="9"/>
  <c r="DL144" i="9"/>
  <c r="DQ144" i="9"/>
  <c r="DJ319" i="9"/>
  <c r="DL319" i="9"/>
  <c r="DQ319" i="9"/>
  <c r="DM319" i="9"/>
  <c r="DA349" i="9"/>
  <c r="DA351" i="9"/>
  <c r="DA352" i="9"/>
  <c r="DA350" i="9"/>
  <c r="CY372" i="9"/>
  <c r="CY369" i="9"/>
  <c r="DJ247" i="9"/>
  <c r="DL247" i="9"/>
  <c r="DM247" i="9"/>
  <c r="DQ247" i="9"/>
  <c r="DO247" i="9"/>
  <c r="DM309" i="9"/>
  <c r="DL309" i="9"/>
  <c r="DJ309" i="9"/>
  <c r="DQ309" i="9"/>
  <c r="DM33" i="9"/>
  <c r="DJ33" i="9"/>
  <c r="DL33" i="9"/>
  <c r="DQ33" i="9"/>
  <c r="DM37" i="9"/>
  <c r="DJ37" i="9"/>
  <c r="DL37" i="9"/>
  <c r="DQ37" i="9"/>
  <c r="DO37" i="9"/>
  <c r="DJ84" i="9"/>
  <c r="DL84" i="9"/>
  <c r="DM84" i="9"/>
  <c r="DQ84" i="9"/>
  <c r="DO146" i="9"/>
  <c r="DO81" i="9"/>
  <c r="DJ137" i="9"/>
  <c r="DL137" i="9"/>
  <c r="DM137" i="9"/>
  <c r="DQ137" i="9"/>
  <c r="DO137" i="9"/>
  <c r="DJ113" i="9"/>
  <c r="DL113" i="9"/>
  <c r="DQ113" i="9"/>
  <c r="DM113" i="9"/>
  <c r="DY199" i="9"/>
  <c r="DW199" i="9"/>
  <c r="ED199" i="9"/>
  <c r="DZ199" i="9"/>
  <c r="EA199" i="9" s="1"/>
  <c r="EB143" i="9"/>
  <c r="DJ120" i="9"/>
  <c r="DL120" i="9"/>
  <c r="DQ120" i="9"/>
  <c r="DM120" i="9"/>
  <c r="DM206" i="9"/>
  <c r="DJ206" i="9"/>
  <c r="DL206" i="9"/>
  <c r="DQ206" i="9"/>
  <c r="DM49" i="9"/>
  <c r="DJ49" i="9"/>
  <c r="DL49" i="9"/>
  <c r="DQ49" i="9"/>
  <c r="DO49" i="9"/>
  <c r="DL265" i="9"/>
  <c r="DJ265" i="9"/>
  <c r="DQ265" i="9"/>
  <c r="DM265" i="9"/>
  <c r="DW308" i="9"/>
  <c r="DY308" i="9"/>
  <c r="DZ308" i="9"/>
  <c r="EA308" i="9" s="1"/>
  <c r="ED308" i="9"/>
  <c r="DJ15" i="9"/>
  <c r="DL15" i="9"/>
  <c r="DM15" i="9"/>
  <c r="DQ15" i="9"/>
  <c r="DO15" i="9"/>
  <c r="DW142" i="9"/>
  <c r="DY142" i="9"/>
  <c r="DZ142" i="9"/>
  <c r="EA142" i="9" s="1"/>
  <c r="ED142" i="9"/>
  <c r="EB142" i="9"/>
  <c r="DJ145" i="9"/>
  <c r="DL145" i="9"/>
  <c r="DM145" i="9"/>
  <c r="DQ145" i="9"/>
  <c r="DO145" i="9"/>
  <c r="DO56" i="9"/>
  <c r="DY197" i="9"/>
  <c r="DW197" i="9"/>
  <c r="ED197" i="9"/>
  <c r="DZ197" i="9"/>
  <c r="EA197" i="9" s="1"/>
  <c r="EB197" i="9"/>
  <c r="DL46" i="9"/>
  <c r="DJ46" i="9"/>
  <c r="DQ46" i="9"/>
  <c r="DM46" i="9"/>
  <c r="DO46" i="9"/>
  <c r="DW266" i="9"/>
  <c r="DY266" i="9"/>
  <c r="ED266" i="9"/>
  <c r="DZ266" i="9"/>
  <c r="EA266" i="9" s="1"/>
  <c r="EB266" i="9"/>
  <c r="DL278" i="9"/>
  <c r="DJ278" i="9"/>
  <c r="DM278" i="9"/>
  <c r="DQ278" i="9"/>
  <c r="EB124" i="9"/>
  <c r="DL252" i="9"/>
  <c r="DJ252" i="9"/>
  <c r="DM252" i="9"/>
  <c r="DQ252" i="9"/>
  <c r="DM60" i="9"/>
  <c r="DL60" i="9"/>
  <c r="DJ60" i="9"/>
  <c r="DQ60" i="9"/>
  <c r="DO138" i="9"/>
  <c r="DY242" i="9"/>
  <c r="DW242" i="9"/>
  <c r="ED242" i="9"/>
  <c r="DZ242" i="9"/>
  <c r="EA242" i="9" s="1"/>
  <c r="EB242" i="9"/>
  <c r="DL176" i="9"/>
  <c r="DJ176" i="9"/>
  <c r="DQ176" i="9"/>
  <c r="DM176" i="9"/>
  <c r="DA356" i="9"/>
  <c r="CZ356" i="9" s="1"/>
  <c r="CX356" i="9" s="1"/>
  <c r="DA355" i="9"/>
  <c r="CZ355" i="9" s="1"/>
  <c r="CX355" i="9" s="1"/>
  <c r="DA354" i="9"/>
  <c r="CZ354" i="9" s="1"/>
  <c r="CX354" i="9" s="1"/>
  <c r="DL170" i="9"/>
  <c r="DJ170" i="9"/>
  <c r="DM170" i="9"/>
  <c r="DQ170" i="9"/>
  <c r="DJ317" i="9"/>
  <c r="DL317" i="9"/>
  <c r="DQ317" i="9"/>
  <c r="DM317" i="9"/>
  <c r="DO317" i="9"/>
  <c r="BW372" i="9"/>
  <c r="BW370" i="9"/>
  <c r="BX399" i="9"/>
  <c r="BW371" i="9"/>
  <c r="DJ13" i="9"/>
  <c r="DL13" i="9"/>
  <c r="DM13" i="9"/>
  <c r="DQ13" i="9"/>
  <c r="DO13" i="9"/>
  <c r="DM164" i="9"/>
  <c r="DJ164" i="9"/>
  <c r="DL164" i="9"/>
  <c r="DQ164" i="9"/>
  <c r="DQ288" i="9"/>
  <c r="DJ288" i="9"/>
  <c r="DL288" i="9"/>
  <c r="DM288" i="9"/>
  <c r="DO288" i="9"/>
  <c r="DJ74" i="9"/>
  <c r="DL74" i="9"/>
  <c r="DM74" i="9"/>
  <c r="DQ74" i="9"/>
  <c r="DO74" i="9"/>
  <c r="DO228" i="9"/>
  <c r="DJ245" i="9"/>
  <c r="DL245" i="9"/>
  <c r="DQ245" i="9"/>
  <c r="DM245" i="9"/>
  <c r="DY69" i="9"/>
  <c r="DW69" i="9"/>
  <c r="ED69" i="9"/>
  <c r="DZ69" i="9"/>
  <c r="EA69" i="9" s="1"/>
  <c r="EB69" i="9"/>
  <c r="DM160" i="9"/>
  <c r="DJ160" i="9"/>
  <c r="DL160" i="9"/>
  <c r="DQ160" i="9"/>
  <c r="DO160" i="9"/>
  <c r="DL240" i="9"/>
  <c r="DJ240" i="9"/>
  <c r="DM240" i="9"/>
  <c r="DQ240" i="9"/>
  <c r="DL86" i="9"/>
  <c r="DJ86" i="9"/>
  <c r="DQ86" i="9"/>
  <c r="DM86" i="9"/>
  <c r="DO86" i="9"/>
  <c r="CM370" i="9"/>
  <c r="CK350" i="9"/>
  <c r="CK370" i="9" s="1"/>
  <c r="CK400" i="9" s="1"/>
  <c r="CI458" i="9" s="1"/>
  <c r="CK349" i="9"/>
  <c r="CM369" i="9"/>
  <c r="CO371" i="9"/>
  <c r="CO372" i="9"/>
  <c r="CO370" i="9"/>
  <c r="AD47" i="2"/>
  <c r="DL7" i="9"/>
  <c r="DJ7" i="9"/>
  <c r="DM7" i="9"/>
  <c r="DQ7" i="9"/>
  <c r="DO7" i="9"/>
  <c r="DJ147" i="9"/>
  <c r="DL147" i="9"/>
  <c r="DQ147" i="9"/>
  <c r="DM147" i="9"/>
  <c r="DO147" i="9"/>
  <c r="DL234" i="9"/>
  <c r="DJ234" i="9"/>
  <c r="DM234" i="9"/>
  <c r="DQ234" i="9"/>
  <c r="DO234" i="9"/>
  <c r="EB292" i="9"/>
  <c r="DL272" i="9"/>
  <c r="DJ272" i="9"/>
  <c r="DM272" i="9"/>
  <c r="DQ272" i="9"/>
  <c r="DJ130" i="9"/>
  <c r="DL130" i="9"/>
  <c r="DM130" i="9"/>
  <c r="DQ130" i="9"/>
  <c r="DO109" i="9"/>
  <c r="DM110" i="9"/>
  <c r="DJ110" i="9"/>
  <c r="DL110" i="9"/>
  <c r="DQ110" i="9"/>
  <c r="DO110" i="9"/>
  <c r="DM208" i="9"/>
  <c r="DJ208" i="9"/>
  <c r="DL208" i="9"/>
  <c r="DQ208" i="9"/>
  <c r="DL181" i="9"/>
  <c r="DJ181" i="9"/>
  <c r="DM181" i="9"/>
  <c r="DQ181" i="9"/>
  <c r="DO181" i="9"/>
  <c r="DO291" i="9"/>
  <c r="DM202" i="9"/>
  <c r="DJ202" i="9"/>
  <c r="DL202" i="9"/>
  <c r="DQ202" i="9"/>
  <c r="DO202" i="9"/>
  <c r="DJ66" i="9"/>
  <c r="DL66" i="9"/>
  <c r="DM66" i="9"/>
  <c r="DQ66" i="9"/>
  <c r="DO66" i="9"/>
  <c r="DO162" i="9"/>
  <c r="DW311" i="9"/>
  <c r="DY311" i="9"/>
  <c r="DZ311" i="9"/>
  <c r="EA311" i="9" s="1"/>
  <c r="ED311" i="9"/>
  <c r="EB311" i="9"/>
  <c r="DM171" i="9"/>
  <c r="DJ171" i="9"/>
  <c r="DL171" i="9"/>
  <c r="DQ171" i="9"/>
  <c r="DO171" i="9"/>
  <c r="DM150" i="9"/>
  <c r="DJ150" i="9"/>
  <c r="DL150" i="9"/>
  <c r="DQ150" i="9"/>
  <c r="DO150" i="9"/>
  <c r="DL261" i="9"/>
  <c r="DJ261" i="9"/>
  <c r="DQ261" i="9"/>
  <c r="DM261" i="9"/>
  <c r="DL246" i="9"/>
  <c r="DJ246" i="9"/>
  <c r="DM246" i="9"/>
  <c r="DQ246" i="9"/>
  <c r="DO246" i="9"/>
  <c r="DL244" i="9"/>
  <c r="DJ244" i="9"/>
  <c r="DM244" i="9"/>
  <c r="DQ244" i="9"/>
  <c r="DO22" i="9"/>
  <c r="DY27" i="9"/>
  <c r="DW27" i="9"/>
  <c r="DZ27" i="9"/>
  <c r="EA27" i="9" s="1"/>
  <c r="ED27" i="9"/>
  <c r="EB27" i="9"/>
  <c r="DL257" i="9"/>
  <c r="DJ257" i="9"/>
  <c r="DQ257" i="9"/>
  <c r="DM257" i="9"/>
  <c r="DM173" i="9"/>
  <c r="DJ173" i="9"/>
  <c r="DL173" i="9"/>
  <c r="DQ173" i="9"/>
  <c r="DO173" i="9"/>
  <c r="DQ286" i="9"/>
  <c r="DL286" i="9"/>
  <c r="DJ286" i="9"/>
  <c r="DM286" i="9"/>
  <c r="DO286" i="9"/>
  <c r="DY11" i="9"/>
  <c r="DW11" i="9"/>
  <c r="DZ11" i="9"/>
  <c r="EA11" i="9" s="1"/>
  <c r="ED11" i="9"/>
  <c r="EB11" i="9"/>
  <c r="DJ17" i="9"/>
  <c r="DL17" i="9"/>
  <c r="DM17" i="9"/>
  <c r="DQ17" i="9"/>
  <c r="DO17" i="9"/>
  <c r="DM43" i="9"/>
  <c r="DJ43" i="9"/>
  <c r="DL43" i="9"/>
  <c r="DQ43" i="9"/>
  <c r="DL174" i="9"/>
  <c r="DJ174" i="9"/>
  <c r="DM174" i="9"/>
  <c r="DQ174" i="9"/>
  <c r="DO174" i="9"/>
  <c r="DJ23" i="9"/>
  <c r="DL23" i="9"/>
  <c r="DM23" i="9"/>
  <c r="DQ23" i="9"/>
  <c r="DO23" i="9"/>
  <c r="DM296" i="9"/>
  <c r="DL296" i="9"/>
  <c r="DJ296" i="9"/>
  <c r="DQ296" i="9"/>
  <c r="DO296" i="9"/>
  <c r="DM99" i="9"/>
  <c r="DL99" i="9"/>
  <c r="DJ99" i="9"/>
  <c r="DQ99" i="9"/>
  <c r="DO99" i="9"/>
  <c r="DM105" i="9"/>
  <c r="DL105" i="9"/>
  <c r="DJ105" i="9"/>
  <c r="DQ105" i="9"/>
  <c r="DM51" i="9"/>
  <c r="DK328" i="9"/>
  <c r="DL51" i="9"/>
  <c r="DJ51" i="9"/>
  <c r="DQ51" i="9"/>
  <c r="DM217" i="9"/>
  <c r="DL217" i="9"/>
  <c r="DJ217" i="9"/>
  <c r="DQ217" i="9"/>
  <c r="DK337" i="9"/>
  <c r="DK338" i="9"/>
  <c r="DK336" i="9"/>
  <c r="DO217" i="9"/>
  <c r="DY271" i="9"/>
  <c r="DW271" i="9"/>
  <c r="ED271" i="9"/>
  <c r="DZ271" i="9"/>
  <c r="EA271" i="9" s="1"/>
  <c r="EB271" i="9"/>
  <c r="CJ360" i="9"/>
  <c r="CJ358" i="9"/>
  <c r="CJ359" i="9"/>
  <c r="DM301" i="9"/>
  <c r="DL301" i="9"/>
  <c r="DJ301" i="9"/>
  <c r="DQ301" i="9"/>
  <c r="DO301" i="9"/>
  <c r="DJ316" i="9"/>
  <c r="DL316" i="9"/>
  <c r="DQ316" i="9"/>
  <c r="DM316" i="9"/>
  <c r="DY61" i="9"/>
  <c r="DW61" i="9"/>
  <c r="ED61" i="9"/>
  <c r="DZ61" i="9"/>
  <c r="EA61" i="9" s="1"/>
  <c r="EB61" i="9"/>
  <c r="DO190" i="9"/>
  <c r="DL36" i="9"/>
  <c r="DJ36" i="9"/>
  <c r="DQ36" i="9"/>
  <c r="DM36" i="9"/>
  <c r="DM121" i="9"/>
  <c r="DJ121" i="9"/>
  <c r="DL121" i="9"/>
  <c r="DQ121" i="9"/>
  <c r="DM125" i="9"/>
  <c r="DJ125" i="9"/>
  <c r="DL125" i="9"/>
  <c r="DQ125" i="9"/>
  <c r="DO125" i="9"/>
  <c r="DL100" i="9"/>
  <c r="DJ100" i="9"/>
  <c r="DM100" i="9"/>
  <c r="DQ100" i="9"/>
  <c r="DY35" i="9"/>
  <c r="DW35" i="9"/>
  <c r="DZ35" i="9"/>
  <c r="EA35" i="9" s="1"/>
  <c r="ED35" i="9"/>
  <c r="DD396" i="9"/>
  <c r="CX376" i="9"/>
  <c r="CX396" i="9" s="1"/>
  <c r="DD397" i="9"/>
  <c r="CX377" i="9"/>
  <c r="CX397" i="9" s="1"/>
  <c r="CV449" i="9"/>
  <c r="CV451" i="9" s="1"/>
  <c r="CX452" i="9" s="1"/>
  <c r="CY347" i="9"/>
  <c r="CY346" i="9"/>
  <c r="CX413" i="9"/>
  <c r="CW413" i="9" s="1"/>
  <c r="CY345" i="9"/>
  <c r="DL255" i="9"/>
  <c r="DJ255" i="9"/>
  <c r="DM255" i="9"/>
  <c r="DQ255" i="9"/>
  <c r="DO255" i="9"/>
  <c r="DL108" i="9"/>
  <c r="DJ108" i="9"/>
  <c r="DM108" i="9"/>
  <c r="DQ108" i="9"/>
  <c r="DM196" i="9"/>
  <c r="DL196" i="9"/>
  <c r="DJ196" i="9"/>
  <c r="DQ196" i="9"/>
  <c r="DM90" i="9"/>
  <c r="DL90" i="9"/>
  <c r="DJ90" i="9"/>
  <c r="DQ90" i="9"/>
  <c r="DO90" i="9"/>
  <c r="DL254" i="9"/>
  <c r="DJ254" i="9"/>
  <c r="DM254" i="9"/>
  <c r="DQ254" i="9"/>
  <c r="DO254" i="9"/>
  <c r="DW112" i="9"/>
  <c r="DY112" i="9"/>
  <c r="DZ112" i="9"/>
  <c r="EA112" i="9" s="1"/>
  <c r="ED112" i="9"/>
  <c r="DM184" i="9"/>
  <c r="DJ184" i="9"/>
  <c r="DL184" i="9"/>
  <c r="DQ184" i="9"/>
  <c r="DM189" i="9"/>
  <c r="DL189" i="9"/>
  <c r="DJ189" i="9"/>
  <c r="DQ189" i="9"/>
  <c r="DM213" i="9"/>
  <c r="DJ213" i="9"/>
  <c r="DL213" i="9"/>
  <c r="DQ213" i="9"/>
  <c r="DJ241" i="9"/>
  <c r="DL241" i="9"/>
  <c r="DQ241" i="9"/>
  <c r="DM241" i="9"/>
  <c r="DM63" i="9"/>
  <c r="DJ63" i="9"/>
  <c r="DL63" i="9"/>
  <c r="DQ63" i="9"/>
  <c r="DJ111" i="9"/>
  <c r="DL111" i="9"/>
  <c r="DQ111" i="9"/>
  <c r="DM111" i="9"/>
  <c r="DJ128" i="9"/>
  <c r="DL128" i="9"/>
  <c r="DQ128" i="9"/>
  <c r="DM128" i="9"/>
  <c r="DO128" i="9"/>
  <c r="DO189" i="9"/>
  <c r="DL185" i="9"/>
  <c r="DJ185" i="9"/>
  <c r="DM185" i="9"/>
  <c r="DQ185" i="9"/>
  <c r="DO185" i="9"/>
  <c r="DM192" i="9"/>
  <c r="DL192" i="9"/>
  <c r="DJ192" i="9"/>
  <c r="DQ192" i="9"/>
  <c r="DM212" i="9"/>
  <c r="DJ212" i="9"/>
  <c r="DL212" i="9"/>
  <c r="DQ212" i="9"/>
  <c r="DM297" i="9"/>
  <c r="DL297" i="9"/>
  <c r="DJ297" i="9"/>
  <c r="DQ297" i="9"/>
  <c r="DO297" i="9"/>
  <c r="DJ14" i="9"/>
  <c r="DL14" i="9"/>
  <c r="DQ14" i="9"/>
  <c r="DM14" i="9"/>
  <c r="DL270" i="9"/>
  <c r="DJ270" i="9"/>
  <c r="DM270" i="9"/>
  <c r="DQ270" i="9"/>
  <c r="DO270" i="9"/>
  <c r="DM231" i="9"/>
  <c r="DL231" i="9"/>
  <c r="DJ231" i="9"/>
  <c r="DQ231" i="9"/>
  <c r="DJ141" i="9"/>
  <c r="DL141" i="9"/>
  <c r="DQ141" i="9"/>
  <c r="DM141" i="9"/>
  <c r="DO141" i="9"/>
  <c r="DY133" i="9"/>
  <c r="DW133" i="9"/>
  <c r="DZ133" i="9"/>
  <c r="EA133" i="9" s="1"/>
  <c r="ED133" i="9"/>
  <c r="DO9" i="9"/>
  <c r="DM200" i="9"/>
  <c r="DJ200" i="9"/>
  <c r="DL200" i="9"/>
  <c r="DQ200" i="9"/>
  <c r="DL251" i="9"/>
  <c r="DJ251" i="9"/>
  <c r="DM251" i="9"/>
  <c r="DQ251" i="9"/>
  <c r="DO251" i="9"/>
  <c r="DL102" i="9"/>
  <c r="DJ102" i="9"/>
  <c r="DQ102" i="9"/>
  <c r="DM102" i="9"/>
  <c r="DO102" i="9"/>
  <c r="CJ363" i="9"/>
  <c r="CJ364" i="9"/>
  <c r="CJ362" i="9"/>
  <c r="DM193" i="9"/>
  <c r="DL193" i="9"/>
  <c r="DJ193" i="9"/>
  <c r="DQ193" i="9"/>
  <c r="DW283" i="9"/>
  <c r="DY283" i="9"/>
  <c r="DZ283" i="9"/>
  <c r="EA283" i="9" s="1"/>
  <c r="ED283" i="9"/>
  <c r="EB283" i="9"/>
  <c r="DM53" i="9"/>
  <c r="DL53" i="9"/>
  <c r="DJ53" i="9"/>
  <c r="DQ53" i="9"/>
  <c r="DM169" i="9"/>
  <c r="DJ169" i="9"/>
  <c r="DL169" i="9"/>
  <c r="DQ169" i="9"/>
  <c r="DK332" i="9"/>
  <c r="DK335" i="9"/>
  <c r="DK334" i="9"/>
  <c r="DL334" i="9" s="1"/>
  <c r="DK333" i="9"/>
  <c r="DL333" i="9" s="1"/>
  <c r="DO169" i="9"/>
  <c r="DM134" i="9"/>
  <c r="DJ134" i="9"/>
  <c r="DL134" i="9"/>
  <c r="DQ134" i="9"/>
  <c r="DO134" i="9"/>
  <c r="DJ313" i="9"/>
  <c r="DL313" i="9"/>
  <c r="DQ313" i="9"/>
  <c r="DM313" i="9"/>
  <c r="DM156" i="9"/>
  <c r="DJ156" i="9"/>
  <c r="DL156" i="9"/>
  <c r="DQ156" i="9"/>
  <c r="DO156" i="9"/>
  <c r="DM221" i="9"/>
  <c r="DL221" i="9"/>
  <c r="DJ221" i="9"/>
  <c r="DQ221" i="9"/>
  <c r="DY65" i="9"/>
  <c r="DW65" i="9"/>
  <c r="ED65" i="9"/>
  <c r="DZ65" i="9"/>
  <c r="EA65" i="9" s="1"/>
  <c r="EB65" i="9"/>
  <c r="DJ76" i="9"/>
  <c r="DL76" i="9"/>
  <c r="DQ76" i="9"/>
  <c r="DM76" i="9"/>
  <c r="DL236" i="9"/>
  <c r="DJ236" i="9"/>
  <c r="DM236" i="9"/>
  <c r="DQ236" i="9"/>
  <c r="DY218" i="9"/>
  <c r="DW218" i="9"/>
  <c r="ED218" i="9"/>
  <c r="DZ218" i="9"/>
  <c r="EA218" i="9" s="1"/>
  <c r="DM302" i="9"/>
  <c r="DL302" i="9"/>
  <c r="DJ302" i="9"/>
  <c r="DQ302" i="9"/>
  <c r="DO302" i="9"/>
  <c r="DL96" i="9"/>
  <c r="DJ96" i="9"/>
  <c r="DM96" i="9"/>
  <c r="DQ96" i="9"/>
  <c r="DL281" i="9"/>
  <c r="DJ281" i="9"/>
  <c r="DQ281" i="9"/>
  <c r="DM281" i="9"/>
  <c r="DO281" i="9"/>
  <c r="DY216" i="9"/>
  <c r="DW216" i="9"/>
  <c r="ED216" i="9"/>
  <c r="DZ216" i="9"/>
  <c r="EA216" i="9" s="1"/>
  <c r="EB216" i="9"/>
  <c r="DL94" i="9"/>
  <c r="DJ94" i="9"/>
  <c r="DQ94" i="9"/>
  <c r="DM94" i="9"/>
  <c r="DO94" i="9"/>
  <c r="DL44" i="9"/>
  <c r="DJ44" i="9"/>
  <c r="DQ44" i="9"/>
  <c r="DM44" i="9"/>
  <c r="DM230" i="9"/>
  <c r="DL230" i="9"/>
  <c r="DJ230" i="9"/>
  <c r="DQ230" i="9"/>
  <c r="DO230" i="9"/>
  <c r="DM129" i="9"/>
  <c r="DJ129" i="9"/>
  <c r="DL129" i="9"/>
  <c r="DQ129" i="9"/>
  <c r="DJ26" i="9"/>
  <c r="DL26" i="9"/>
  <c r="DM26" i="9"/>
  <c r="DQ26" i="9"/>
  <c r="DM41" i="9"/>
  <c r="DJ41" i="9"/>
  <c r="DL41" i="9"/>
  <c r="DQ41" i="9"/>
  <c r="DO41" i="9"/>
  <c r="DL277" i="9"/>
  <c r="DJ277" i="9"/>
  <c r="DQ277" i="9"/>
  <c r="DM277" i="9"/>
  <c r="DO277" i="9"/>
  <c r="CJ382" i="9"/>
  <c r="DL310" i="9"/>
  <c r="DJ310" i="9"/>
  <c r="DM310" i="9"/>
  <c r="DQ310" i="9"/>
  <c r="DM194" i="9"/>
  <c r="DL194" i="9"/>
  <c r="DJ194" i="9"/>
  <c r="DQ194" i="9"/>
  <c r="DO194" i="9"/>
  <c r="DM57" i="9"/>
  <c r="DL57" i="9"/>
  <c r="DJ57" i="9"/>
  <c r="DQ57" i="9"/>
  <c r="DL264" i="9"/>
  <c r="DJ264" i="9"/>
  <c r="DM264" i="9"/>
  <c r="DQ264" i="9"/>
  <c r="DL52" i="9"/>
  <c r="DJ52" i="9"/>
  <c r="DQ52" i="9"/>
  <c r="DM52" i="9"/>
  <c r="DM97" i="9"/>
  <c r="DL97" i="9"/>
  <c r="DJ97" i="9"/>
  <c r="DQ97" i="9"/>
  <c r="DM127" i="9"/>
  <c r="DJ127" i="9"/>
  <c r="DL127" i="9"/>
  <c r="DQ127" i="9"/>
  <c r="DO127" i="9"/>
  <c r="DY149" i="9"/>
  <c r="DW149" i="9"/>
  <c r="DZ149" i="9"/>
  <c r="EA149" i="9" s="1"/>
  <c r="ED149" i="9"/>
  <c r="EB149" i="9"/>
  <c r="DY31" i="9"/>
  <c r="DW31" i="9"/>
  <c r="DZ31" i="9"/>
  <c r="EA31" i="9" s="1"/>
  <c r="ED31" i="9"/>
  <c r="EB31" i="9"/>
  <c r="DM182" i="9"/>
  <c r="DJ182" i="9"/>
  <c r="DL182" i="9"/>
  <c r="DQ182" i="9"/>
  <c r="DO182" i="9"/>
  <c r="DO314" i="9"/>
  <c r="DJ83" i="9"/>
  <c r="DL83" i="9"/>
  <c r="DM83" i="9"/>
  <c r="DQ83" i="9"/>
  <c r="DO83" i="9"/>
  <c r="DJ68" i="9"/>
  <c r="DL68" i="9"/>
  <c r="DQ68" i="9"/>
  <c r="DM68" i="9"/>
  <c r="DL279" i="9"/>
  <c r="DJ279" i="9"/>
  <c r="DQ279" i="9"/>
  <c r="DM279" i="9"/>
  <c r="DA320" i="9"/>
  <c r="CX414" i="9" s="1"/>
  <c r="DL238" i="9"/>
  <c r="DJ238" i="9"/>
  <c r="DM238" i="9"/>
  <c r="DQ238" i="9"/>
  <c r="DO238" i="9"/>
  <c r="DM166" i="9"/>
  <c r="DJ166" i="9"/>
  <c r="DL166" i="9"/>
  <c r="DQ166" i="9"/>
  <c r="DY107" i="9"/>
  <c r="DW107" i="9"/>
  <c r="ED107" i="9"/>
  <c r="DZ107" i="9"/>
  <c r="EA107" i="9" s="1"/>
  <c r="EB107" i="9"/>
  <c r="CW388" i="9"/>
  <c r="CW389" i="9"/>
  <c r="CW387" i="9"/>
  <c r="DM80" i="9"/>
  <c r="DJ80" i="9"/>
  <c r="DL80" i="9"/>
  <c r="DQ80" i="9"/>
  <c r="DM175" i="9"/>
  <c r="DJ175" i="9"/>
  <c r="DL175" i="9"/>
  <c r="DQ175" i="9"/>
  <c r="DM225" i="9"/>
  <c r="DL225" i="9"/>
  <c r="DJ225" i="9"/>
  <c r="DQ225" i="9"/>
  <c r="DO92" i="9"/>
  <c r="DM152" i="9"/>
  <c r="DJ152" i="9"/>
  <c r="DL152" i="9"/>
  <c r="DQ152" i="9"/>
  <c r="DY101" i="9"/>
  <c r="DW101" i="9"/>
  <c r="ED101" i="9"/>
  <c r="DZ101" i="9"/>
  <c r="EA101" i="9" s="1"/>
  <c r="EB101" i="9"/>
  <c r="DL177" i="9"/>
  <c r="DJ177" i="9"/>
  <c r="DM177" i="9"/>
  <c r="DQ177" i="9"/>
  <c r="DL42" i="9"/>
  <c r="DJ42" i="9"/>
  <c r="DQ42" i="9"/>
  <c r="DM42" i="9"/>
  <c r="DK327" i="9"/>
  <c r="DK326" i="9"/>
  <c r="DK324" i="9"/>
  <c r="DK325" i="9"/>
  <c r="CY371" i="9"/>
  <c r="DO42" i="9"/>
  <c r="DM232" i="9"/>
  <c r="DL232" i="9"/>
  <c r="DJ232" i="9"/>
  <c r="DQ232" i="9"/>
  <c r="DO309" i="9"/>
  <c r="DO84" i="9"/>
  <c r="DO196" i="9"/>
  <c r="EB35" i="9"/>
  <c r="DJ116" i="9"/>
  <c r="DL116" i="9"/>
  <c r="DQ116" i="9"/>
  <c r="DM116" i="9"/>
  <c r="DJ157" i="9"/>
  <c r="DL157" i="9"/>
  <c r="DQ157" i="9"/>
  <c r="DM157" i="9"/>
  <c r="DJ131" i="9"/>
  <c r="DL131" i="9"/>
  <c r="DQ131" i="9"/>
  <c r="DM131" i="9"/>
  <c r="DL106" i="9"/>
  <c r="DJ106" i="9"/>
  <c r="DQ106" i="9"/>
  <c r="DM106" i="9"/>
  <c r="BJ399" i="9"/>
  <c r="BK458" i="9"/>
  <c r="BK459" i="9"/>
  <c r="DY73" i="9"/>
  <c r="DW73" i="9"/>
  <c r="ED73" i="9"/>
  <c r="DZ73" i="9"/>
  <c r="EA73" i="9" s="1"/>
  <c r="DO111" i="9"/>
  <c r="DQ290" i="9"/>
  <c r="DL290" i="9"/>
  <c r="DJ290" i="9"/>
  <c r="DM290" i="9"/>
  <c r="DO290" i="9"/>
  <c r="DO241" i="9"/>
  <c r="DO212" i="9"/>
  <c r="DY179" i="9"/>
  <c r="DW179" i="9"/>
  <c r="ED179" i="9"/>
  <c r="DZ179" i="9"/>
  <c r="EA179" i="9" s="1"/>
  <c r="DM294" i="9"/>
  <c r="DL294" i="9"/>
  <c r="DJ294" i="9"/>
  <c r="DQ294" i="9"/>
  <c r="DO294" i="9"/>
  <c r="DJ18" i="9"/>
  <c r="DL18" i="9"/>
  <c r="DQ18" i="9"/>
  <c r="DM18" i="9"/>
  <c r="DL10" i="9"/>
  <c r="DJ10" i="9"/>
  <c r="DQ10" i="9"/>
  <c r="DM10" i="9"/>
  <c r="DO10" i="9"/>
  <c r="DO14" i="9"/>
  <c r="DQ282" i="9"/>
  <c r="DL282" i="9"/>
  <c r="DJ282" i="9"/>
  <c r="DM282" i="9"/>
  <c r="DO282" i="9"/>
  <c r="DQ284" i="9"/>
  <c r="DJ284" i="9"/>
  <c r="DL284" i="9"/>
  <c r="DM284" i="9"/>
  <c r="DO284" i="9"/>
  <c r="DO60" i="9"/>
  <c r="DM229" i="9"/>
  <c r="DL229" i="9"/>
  <c r="DJ229" i="9"/>
  <c r="DQ229" i="9"/>
  <c r="DM203" i="9"/>
  <c r="DJ203" i="9"/>
  <c r="DL203" i="9"/>
  <c r="DQ203" i="9"/>
  <c r="DO203" i="9"/>
  <c r="DO200" i="9"/>
  <c r="DM55" i="9"/>
  <c r="DL55" i="9"/>
  <c r="DJ55" i="9"/>
  <c r="DQ55" i="9"/>
  <c r="DO55" i="9"/>
  <c r="DO176" i="9"/>
  <c r="DJ20" i="9"/>
  <c r="DL20" i="9"/>
  <c r="DM20" i="9"/>
  <c r="DQ20" i="9"/>
  <c r="DY95" i="9"/>
  <c r="DW95" i="9"/>
  <c r="ED95" i="9"/>
  <c r="DZ95" i="9"/>
  <c r="EA95" i="9" s="1"/>
  <c r="EB95" i="9"/>
  <c r="DJ122" i="9"/>
  <c r="DL122" i="9"/>
  <c r="DM122" i="9"/>
  <c r="DQ122" i="9"/>
  <c r="DO122" i="9"/>
  <c r="DM71" i="9"/>
  <c r="DJ71" i="9"/>
  <c r="DL71" i="9"/>
  <c r="DK331" i="9"/>
  <c r="DL331" i="9" s="1"/>
  <c r="DK329" i="9"/>
  <c r="DL329" i="9" s="1"/>
  <c r="DK330" i="9"/>
  <c r="DL330" i="9" s="1"/>
  <c r="DQ71" i="9"/>
  <c r="DO71" i="9"/>
  <c r="DM299" i="9"/>
  <c r="DL299" i="9"/>
  <c r="DJ299" i="9"/>
  <c r="DQ299" i="9"/>
  <c r="DJ135" i="9"/>
  <c r="DL135" i="9"/>
  <c r="DQ135" i="9"/>
  <c r="DM135" i="9"/>
  <c r="DO135" i="9"/>
  <c r="BW349" i="9"/>
  <c r="DM140" i="9"/>
  <c r="DJ140" i="9"/>
  <c r="DL140" i="9"/>
  <c r="DQ140" i="9"/>
  <c r="DO140" i="9"/>
  <c r="DJ19" i="9"/>
  <c r="DL19" i="9"/>
  <c r="DM19" i="9"/>
  <c r="DQ19" i="9"/>
  <c r="DO19" i="9"/>
  <c r="DW258" i="9"/>
  <c r="DY258" i="9"/>
  <c r="ED258" i="9"/>
  <c r="DZ258" i="9"/>
  <c r="EA258" i="9" s="1"/>
  <c r="EB258" i="9"/>
  <c r="DO144" i="9"/>
  <c r="CW385" i="9"/>
  <c r="CW383" i="9"/>
  <c r="CW384" i="9"/>
  <c r="DO313" i="9"/>
  <c r="DO221" i="9"/>
  <c r="DM214" i="9"/>
  <c r="DJ214" i="9"/>
  <c r="DL214" i="9"/>
  <c r="DQ214" i="9"/>
  <c r="DO214" i="9"/>
  <c r="DJ161" i="9"/>
  <c r="DL161" i="9"/>
  <c r="DM161" i="9"/>
  <c r="DQ161" i="9"/>
  <c r="DO161" i="9"/>
  <c r="DL263" i="9"/>
  <c r="DJ263" i="9"/>
  <c r="DM263" i="9"/>
  <c r="DQ263" i="9"/>
  <c r="DO263" i="9"/>
  <c r="DO240" i="9"/>
  <c r="DO96" i="9"/>
  <c r="CO349" i="9"/>
  <c r="AD40" i="2"/>
  <c r="DM29" i="9"/>
  <c r="DJ29" i="9"/>
  <c r="DL29" i="9"/>
  <c r="DQ29" i="9"/>
  <c r="DO29" i="9"/>
  <c r="DO123" i="9"/>
  <c r="DM47" i="9"/>
  <c r="DJ47" i="9"/>
  <c r="DL47" i="9"/>
  <c r="DQ47" i="9"/>
  <c r="DO272" i="9"/>
  <c r="DY93" i="9"/>
  <c r="DW93" i="9"/>
  <c r="ED93" i="9"/>
  <c r="DZ93" i="9"/>
  <c r="EA93" i="9" s="1"/>
  <c r="DM154" i="9"/>
  <c r="DJ154" i="9"/>
  <c r="DL154" i="9"/>
  <c r="DQ154" i="9"/>
  <c r="DO154" i="9"/>
  <c r="DJ239" i="9"/>
  <c r="DL239" i="9"/>
  <c r="DM239" i="9"/>
  <c r="DQ239" i="9"/>
  <c r="DL250" i="9"/>
  <c r="DJ250" i="9"/>
  <c r="DM250" i="9"/>
  <c r="DQ250" i="9"/>
  <c r="DO250" i="9"/>
  <c r="DM304" i="9"/>
  <c r="DL304" i="9"/>
  <c r="DJ304" i="9"/>
  <c r="DQ304" i="9"/>
  <c r="DO304" i="9"/>
  <c r="DO208" i="9"/>
  <c r="DO21" i="9"/>
  <c r="DM191" i="9"/>
  <c r="DL191" i="9"/>
  <c r="DJ191" i="9"/>
  <c r="DQ191" i="9"/>
  <c r="DO310" i="9"/>
  <c r="DO264" i="9"/>
  <c r="DY155" i="9"/>
  <c r="DW155" i="9"/>
  <c r="ED155" i="9"/>
  <c r="DZ155" i="9"/>
  <c r="EA155" i="9" s="1"/>
  <c r="DJ64" i="9"/>
  <c r="DL64" i="9"/>
  <c r="DQ64" i="9"/>
  <c r="DM64" i="9"/>
  <c r="DW87" i="9"/>
  <c r="DY87" i="9"/>
  <c r="DZ87" i="9"/>
  <c r="EA87" i="9" s="1"/>
  <c r="ED87" i="9"/>
  <c r="DQ280" i="9"/>
  <c r="DJ280" i="9"/>
  <c r="DL280" i="9"/>
  <c r="DM280" i="9"/>
  <c r="DO280" i="9"/>
  <c r="DJ159" i="9"/>
  <c r="DL159" i="9"/>
  <c r="DQ159" i="9"/>
  <c r="DM159" i="9"/>
  <c r="DO159" i="9"/>
  <c r="DO276" i="9"/>
  <c r="DY77" i="9"/>
  <c r="DW77" i="9"/>
  <c r="ED77" i="9"/>
  <c r="DZ77" i="9"/>
  <c r="EA77" i="9" s="1"/>
  <c r="EB77" i="9"/>
  <c r="DO248" i="9"/>
  <c r="DL188" i="9"/>
  <c r="DJ188" i="9"/>
  <c r="DQ188" i="9"/>
  <c r="DM188" i="9"/>
  <c r="DM75" i="9"/>
  <c r="DJ75" i="9"/>
  <c r="DL75" i="9"/>
  <c r="DQ75" i="9"/>
  <c r="DO75" i="9"/>
  <c r="DO257" i="9"/>
  <c r="DL34" i="9"/>
  <c r="DJ34" i="9"/>
  <c r="DQ34" i="9"/>
  <c r="DM34" i="9"/>
  <c r="DW210" i="9"/>
  <c r="DY210" i="9"/>
  <c r="DZ210" i="9"/>
  <c r="EA210" i="9" s="1"/>
  <c r="ED210" i="9"/>
  <c r="EB210" i="9"/>
  <c r="DJ165" i="9"/>
  <c r="DL165" i="9"/>
  <c r="DQ165" i="9"/>
  <c r="DM165" i="9"/>
  <c r="DO165" i="9"/>
  <c r="DO279" i="9"/>
  <c r="DL172" i="9"/>
  <c r="DJ172" i="9"/>
  <c r="DQ172" i="9"/>
  <c r="DM172" i="9"/>
  <c r="DO172" i="9"/>
  <c r="DL30" i="9"/>
  <c r="DJ30" i="9"/>
  <c r="DQ30" i="9"/>
  <c r="DM30" i="9"/>
  <c r="DO30" i="9"/>
  <c r="DM195" i="9"/>
  <c r="DL195" i="9"/>
  <c r="DJ195" i="9"/>
  <c r="DQ195" i="9"/>
  <c r="DO195" i="9"/>
  <c r="DO130" i="9"/>
  <c r="DM178" i="9"/>
  <c r="DJ178" i="9"/>
  <c r="DL178" i="9"/>
  <c r="DQ178" i="9"/>
  <c r="DO178" i="9"/>
  <c r="DL98" i="9"/>
  <c r="DJ98" i="9"/>
  <c r="DQ98" i="9"/>
  <c r="DM98" i="9"/>
  <c r="DO98" i="9"/>
  <c r="DA353" i="9"/>
  <c r="CW381" i="9"/>
  <c r="CW379" i="9"/>
  <c r="CW380" i="9"/>
  <c r="DM207" i="9"/>
  <c r="DJ207" i="9"/>
  <c r="DL207" i="9"/>
  <c r="DQ207" i="9"/>
  <c r="DM305" i="9"/>
  <c r="DL305" i="9"/>
  <c r="DJ305" i="9"/>
  <c r="DQ305" i="9"/>
  <c r="CY370" i="9"/>
  <c r="DA362" i="9"/>
  <c r="CZ362" i="9" s="1"/>
  <c r="CX362" i="9" s="1"/>
  <c r="DA363" i="9"/>
  <c r="CZ363" i="9" s="1"/>
  <c r="CX363" i="9" s="1"/>
  <c r="DA361" i="9"/>
  <c r="DA364" i="9"/>
  <c r="CZ364" i="9" s="1"/>
  <c r="CX364" i="9" s="1"/>
  <c r="EB218" i="9"/>
  <c r="DM148" i="9"/>
  <c r="DJ148" i="9"/>
  <c r="DL148" i="9"/>
  <c r="DQ148" i="9"/>
  <c r="DJ139" i="9"/>
  <c r="DL139" i="9"/>
  <c r="DQ139" i="9"/>
  <c r="DM139" i="9"/>
  <c r="DO139" i="9"/>
  <c r="DO152" i="9"/>
  <c r="DM233" i="9"/>
  <c r="DL233" i="9"/>
  <c r="DJ233" i="9"/>
  <c r="DQ233" i="9"/>
  <c r="DO233" i="9"/>
  <c r="DM79" i="9"/>
  <c r="DJ79" i="9"/>
  <c r="DL79" i="9"/>
  <c r="DQ79" i="9"/>
  <c r="DO79" i="9"/>
  <c r="DL50" i="9"/>
  <c r="DJ50" i="9"/>
  <c r="DQ50" i="9"/>
  <c r="DM50" i="9"/>
  <c r="DO50" i="9"/>
  <c r="DO26" i="9"/>
  <c r="EB199" i="9"/>
  <c r="EB87" i="9"/>
  <c r="DY91" i="9"/>
  <c r="DW91" i="9"/>
  <c r="ED91" i="9"/>
  <c r="DZ91" i="9"/>
  <c r="EA91" i="9" s="1"/>
  <c r="DO63" i="9"/>
  <c r="DL104" i="9"/>
  <c r="DJ104" i="9"/>
  <c r="DM104" i="9"/>
  <c r="DQ104" i="9"/>
  <c r="DO36" i="9"/>
  <c r="DY167" i="9"/>
  <c r="DW167" i="9"/>
  <c r="DZ167" i="9"/>
  <c r="EA167" i="9" s="1"/>
  <c r="ED167" i="9"/>
  <c r="E83" i="4"/>
  <c r="BI157" i="14"/>
  <c r="BI131" i="14"/>
  <c r="BK131" i="14"/>
  <c r="BP157" i="14"/>
  <c r="BF144" i="14"/>
  <c r="BQ157" i="14"/>
  <c r="BH144" i="14"/>
  <c r="BL144" i="14"/>
  <c r="BN144" i="14"/>
  <c r="BV157" i="14"/>
  <c r="BV131" i="14"/>
  <c r="BX131" i="14"/>
  <c r="CC157" i="14"/>
  <c r="BU144" i="14"/>
  <c r="BS144" i="14"/>
  <c r="BY144" i="14"/>
  <c r="CD157" i="14"/>
  <c r="CA144" i="14"/>
  <c r="BX158" i="14"/>
  <c r="BW132" i="14"/>
  <c r="CM145" i="14"/>
  <c r="BJ132" i="14"/>
  <c r="BZ145" i="14"/>
  <c r="BY132" i="14"/>
  <c r="CM145" i="12"/>
  <c r="CK158" i="12"/>
  <c r="BM145" i="12"/>
  <c r="BK158" i="12"/>
  <c r="BX158" i="12"/>
  <c r="BZ145" i="12"/>
  <c r="CL132" i="14"/>
  <c r="CK158" i="14"/>
  <c r="CJ132" i="14"/>
  <c r="BM145" i="14"/>
  <c r="BK158" i="14"/>
  <c r="BL132" i="14"/>
  <c r="E31" i="4"/>
  <c r="E47" i="4"/>
  <c r="K43" i="10"/>
  <c r="W377" i="9"/>
  <c r="CW382" i="9" l="1"/>
  <c r="CW378" i="9"/>
  <c r="DL338" i="9"/>
  <c r="DN104" i="9"/>
  <c r="DX104" i="9"/>
  <c r="DN50" i="9"/>
  <c r="DX50" i="9"/>
  <c r="DN233" i="9"/>
  <c r="DX233" i="9"/>
  <c r="DN148" i="9"/>
  <c r="DX148" i="9"/>
  <c r="DN305" i="9"/>
  <c r="DX305" i="9"/>
  <c r="DN207" i="9"/>
  <c r="DX207" i="9"/>
  <c r="DB355" i="9"/>
  <c r="CZ353" i="9"/>
  <c r="CX353" i="9" s="1"/>
  <c r="DB356" i="9"/>
  <c r="DB354" i="9"/>
  <c r="DN98" i="9"/>
  <c r="DX98" i="9"/>
  <c r="DN178" i="9"/>
  <c r="DX178" i="9"/>
  <c r="DN195" i="9"/>
  <c r="DX195" i="9"/>
  <c r="DN30" i="9"/>
  <c r="DX30" i="9"/>
  <c r="DN34" i="9"/>
  <c r="DX34" i="9"/>
  <c r="DN75" i="9"/>
  <c r="DX75" i="9"/>
  <c r="DN280" i="9"/>
  <c r="DX280" i="9"/>
  <c r="DN64" i="9"/>
  <c r="DX64" i="9"/>
  <c r="DN304" i="9"/>
  <c r="DX304" i="9"/>
  <c r="DN154" i="9"/>
  <c r="DX154" i="9"/>
  <c r="DN263" i="9"/>
  <c r="DX263" i="9"/>
  <c r="DN214" i="9"/>
  <c r="DX214" i="9"/>
  <c r="DN19" i="9"/>
  <c r="DX19" i="9"/>
  <c r="DN135" i="9"/>
  <c r="DX135" i="9"/>
  <c r="DN122" i="9"/>
  <c r="DX122" i="9"/>
  <c r="DN284" i="9"/>
  <c r="DX284" i="9"/>
  <c r="BK457" i="9"/>
  <c r="S48" i="2"/>
  <c r="S41" i="2"/>
  <c r="DN106" i="9"/>
  <c r="DX106" i="9"/>
  <c r="DN131" i="9"/>
  <c r="DX131" i="9"/>
  <c r="DN157" i="9"/>
  <c r="DX157" i="9"/>
  <c r="DN116" i="9"/>
  <c r="DX116" i="9"/>
  <c r="DK345" i="9"/>
  <c r="DI452" i="9" s="1"/>
  <c r="DK346" i="9"/>
  <c r="DI453" i="9" s="1"/>
  <c r="DN42" i="9"/>
  <c r="DX42" i="9"/>
  <c r="DN152" i="9"/>
  <c r="DX152" i="9"/>
  <c r="DN80" i="9"/>
  <c r="DX80" i="9"/>
  <c r="DN166" i="9"/>
  <c r="DX166" i="9"/>
  <c r="DN238" i="9"/>
  <c r="DX238" i="9"/>
  <c r="DN194" i="9"/>
  <c r="DX194" i="9"/>
  <c r="DN310" i="9"/>
  <c r="DX310" i="9"/>
  <c r="DN277" i="9"/>
  <c r="DX277" i="9"/>
  <c r="DN41" i="9"/>
  <c r="DX41" i="9"/>
  <c r="DN26" i="9"/>
  <c r="DX26" i="9"/>
  <c r="DN230" i="9"/>
  <c r="DX230" i="9"/>
  <c r="DN94" i="9"/>
  <c r="DX94" i="9"/>
  <c r="DN96" i="9"/>
  <c r="DX96" i="9"/>
  <c r="DN76" i="9"/>
  <c r="DX76" i="9"/>
  <c r="DN156" i="9"/>
  <c r="DX156" i="9"/>
  <c r="DL360" i="9"/>
  <c r="DL359" i="9"/>
  <c r="DL357" i="9"/>
  <c r="DL358" i="9"/>
  <c r="DN169" i="9"/>
  <c r="DX169" i="9"/>
  <c r="DN53" i="9"/>
  <c r="DX53" i="9"/>
  <c r="DN193" i="9"/>
  <c r="DX193" i="9"/>
  <c r="DN141" i="9"/>
  <c r="DX141" i="9"/>
  <c r="DN270" i="9"/>
  <c r="DX270" i="9"/>
  <c r="DN297" i="9"/>
  <c r="DX297" i="9"/>
  <c r="DN212" i="9"/>
  <c r="DX212" i="9"/>
  <c r="DN192" i="9"/>
  <c r="DX192" i="9"/>
  <c r="DN185" i="9"/>
  <c r="DX185" i="9"/>
  <c r="DN128" i="9"/>
  <c r="DX128" i="9"/>
  <c r="DN111" i="9"/>
  <c r="DX111" i="9"/>
  <c r="DN241" i="9"/>
  <c r="DX241" i="9"/>
  <c r="DN189" i="9"/>
  <c r="DX189" i="9"/>
  <c r="DN184" i="9"/>
  <c r="DX184" i="9"/>
  <c r="DN90" i="9"/>
  <c r="DX90" i="9"/>
  <c r="DN196" i="9"/>
  <c r="DX196" i="9"/>
  <c r="DN108" i="9"/>
  <c r="DX108" i="9"/>
  <c r="DN100" i="9"/>
  <c r="DX100" i="9"/>
  <c r="DN36" i="9"/>
  <c r="DX36" i="9"/>
  <c r="DQ388" i="9"/>
  <c r="DK388" i="9" s="1"/>
  <c r="DQ387" i="9"/>
  <c r="DK387" i="9" s="1"/>
  <c r="DQ389" i="9"/>
  <c r="DK389" i="9" s="1"/>
  <c r="DQ386" i="9"/>
  <c r="DK386" i="9" s="1"/>
  <c r="DL362" i="9"/>
  <c r="DL363" i="9"/>
  <c r="DL364" i="9"/>
  <c r="DL361" i="9"/>
  <c r="DQ378" i="9"/>
  <c r="DK378" i="9" s="1"/>
  <c r="DL353" i="9"/>
  <c r="DN51" i="9"/>
  <c r="DX51" i="9"/>
  <c r="DN105" i="9"/>
  <c r="DX105" i="9"/>
  <c r="DN296" i="9"/>
  <c r="DX296" i="9"/>
  <c r="DN174" i="9"/>
  <c r="DX174" i="9"/>
  <c r="DN43" i="9"/>
  <c r="DX43" i="9"/>
  <c r="DN286" i="9"/>
  <c r="DX286" i="9"/>
  <c r="DN173" i="9"/>
  <c r="DX173" i="9"/>
  <c r="DN244" i="9"/>
  <c r="DX244" i="9"/>
  <c r="DN261" i="9"/>
  <c r="DX261" i="9"/>
  <c r="DN150" i="9"/>
  <c r="DX150" i="9"/>
  <c r="DN66" i="9"/>
  <c r="DX66" i="9"/>
  <c r="DN110" i="9"/>
  <c r="DX110" i="9"/>
  <c r="DN240" i="9"/>
  <c r="DX240" i="9"/>
  <c r="DN74" i="9"/>
  <c r="DX74" i="9"/>
  <c r="DN288" i="9"/>
  <c r="DX288" i="9"/>
  <c r="DN13" i="9"/>
  <c r="DX13" i="9"/>
  <c r="BW401" i="9"/>
  <c r="BV455" i="9"/>
  <c r="BV457" i="9" s="1"/>
  <c r="BW402" i="9"/>
  <c r="BW400" i="9"/>
  <c r="BX415" i="9"/>
  <c r="BW415" i="9" s="1"/>
  <c r="DN317" i="9"/>
  <c r="DX317" i="9"/>
  <c r="DN176" i="9"/>
  <c r="DX176" i="9"/>
  <c r="DN278" i="9"/>
  <c r="DX278" i="9"/>
  <c r="EB56" i="9"/>
  <c r="DN265" i="9"/>
  <c r="DX265" i="9"/>
  <c r="DN49" i="9"/>
  <c r="DX49" i="9"/>
  <c r="DN206" i="9"/>
  <c r="DX206" i="9"/>
  <c r="DN113" i="9"/>
  <c r="DX113" i="9"/>
  <c r="DN137" i="9"/>
  <c r="DX137" i="9"/>
  <c r="DN37" i="9"/>
  <c r="DX37" i="9"/>
  <c r="DN33" i="9"/>
  <c r="DX33" i="9"/>
  <c r="DN309" i="9"/>
  <c r="DX309" i="9"/>
  <c r="CZ350" i="9"/>
  <c r="DA370" i="9"/>
  <c r="DA371" i="9"/>
  <c r="CZ351" i="9"/>
  <c r="DN144" i="9"/>
  <c r="DX144" i="9"/>
  <c r="DN92" i="9"/>
  <c r="DX92" i="9"/>
  <c r="DM320" i="9"/>
  <c r="DN5" i="9"/>
  <c r="DX5" i="9"/>
  <c r="DK407" i="9"/>
  <c r="DK412" i="9"/>
  <c r="DN274" i="9"/>
  <c r="DX274" i="9"/>
  <c r="DN78" i="9"/>
  <c r="DX78" i="9"/>
  <c r="DN248" i="9"/>
  <c r="DX248" i="9"/>
  <c r="DN54" i="9"/>
  <c r="DX54" i="9"/>
  <c r="DN153" i="9"/>
  <c r="DX153" i="9"/>
  <c r="DN114" i="9"/>
  <c r="DX114" i="9"/>
  <c r="DN21" i="9"/>
  <c r="DX21" i="9"/>
  <c r="DN162" i="9"/>
  <c r="DX162" i="9"/>
  <c r="DN318" i="9"/>
  <c r="DX318" i="9"/>
  <c r="DN226" i="9"/>
  <c r="DX226" i="9"/>
  <c r="DN89" i="9"/>
  <c r="DX89" i="9"/>
  <c r="DN56" i="9"/>
  <c r="DX56" i="9"/>
  <c r="DN28" i="9"/>
  <c r="DX28" i="9"/>
  <c r="DN190" i="9"/>
  <c r="DX190" i="9"/>
  <c r="EB190" i="9" s="1"/>
  <c r="DN82" i="9"/>
  <c r="DX82" i="9"/>
  <c r="DN146" i="9"/>
  <c r="DX146" i="9"/>
  <c r="CX453" i="9"/>
  <c r="CX394" i="9"/>
  <c r="CW376" i="9"/>
  <c r="CW377" i="9"/>
  <c r="CW375" i="9"/>
  <c r="DN22" i="9"/>
  <c r="DX22" i="9"/>
  <c r="EB50" i="9"/>
  <c r="DN79" i="9"/>
  <c r="DX79" i="9"/>
  <c r="EB152" i="9"/>
  <c r="DN139" i="9"/>
  <c r="DX139" i="9"/>
  <c r="DB364" i="9"/>
  <c r="CZ361" i="9"/>
  <c r="CX361" i="9" s="1"/>
  <c r="DB363" i="9"/>
  <c r="DB362" i="9"/>
  <c r="EB98" i="9"/>
  <c r="EB30" i="9"/>
  <c r="DN172" i="9"/>
  <c r="DX172" i="9"/>
  <c r="DN165" i="9"/>
  <c r="DX165" i="9"/>
  <c r="DN188" i="9"/>
  <c r="DX188" i="9"/>
  <c r="EB248" i="9"/>
  <c r="DN159" i="9"/>
  <c r="DX159" i="9"/>
  <c r="EB159" i="9" s="1"/>
  <c r="EB280" i="9"/>
  <c r="EB310" i="9"/>
  <c r="DN191" i="9"/>
  <c r="DX191" i="9"/>
  <c r="DN250" i="9"/>
  <c r="DX250" i="9"/>
  <c r="DN239" i="9"/>
  <c r="DX239" i="9"/>
  <c r="DN47" i="9"/>
  <c r="DX47" i="9"/>
  <c r="DN29" i="9"/>
  <c r="DX29" i="9"/>
  <c r="EB240" i="9"/>
  <c r="DN161" i="9"/>
  <c r="DX161" i="9"/>
  <c r="DN140" i="9"/>
  <c r="DX140" i="9"/>
  <c r="EB135" i="9"/>
  <c r="DN299" i="9"/>
  <c r="DX299" i="9"/>
  <c r="DQ379" i="9"/>
  <c r="DK379" i="9" s="1"/>
  <c r="DQ380" i="9"/>
  <c r="DK380" i="9" s="1"/>
  <c r="DQ381" i="9"/>
  <c r="DK381" i="9" s="1"/>
  <c r="DL328" i="9"/>
  <c r="DL354" i="9"/>
  <c r="DL356" i="9"/>
  <c r="DL355" i="9"/>
  <c r="DN71" i="9"/>
  <c r="DX71" i="9"/>
  <c r="EB71" i="9" s="1"/>
  <c r="DN20" i="9"/>
  <c r="DX20" i="9"/>
  <c r="DN55" i="9"/>
  <c r="DX55" i="9"/>
  <c r="DN203" i="9"/>
  <c r="DX203" i="9"/>
  <c r="DN229" i="9"/>
  <c r="DX229" i="9"/>
  <c r="EB284" i="9"/>
  <c r="DN282" i="9"/>
  <c r="DX282" i="9"/>
  <c r="DN10" i="9"/>
  <c r="DX10" i="9"/>
  <c r="EB10" i="9" s="1"/>
  <c r="DN18" i="9"/>
  <c r="DX18" i="9"/>
  <c r="DN294" i="9"/>
  <c r="DX294" i="9"/>
  <c r="EB241" i="9"/>
  <c r="DN290" i="9"/>
  <c r="DX290" i="9"/>
  <c r="EB290" i="9" s="1"/>
  <c r="T41" i="2"/>
  <c r="T48" i="2"/>
  <c r="EB196" i="9"/>
  <c r="EB309" i="9"/>
  <c r="DN232" i="9"/>
  <c r="DX232" i="9"/>
  <c r="DK344" i="9"/>
  <c r="DL327" i="9"/>
  <c r="DL325" i="9"/>
  <c r="DL326" i="9"/>
  <c r="DK347" i="9"/>
  <c r="DI450" i="9" s="1"/>
  <c r="DQ374" i="9"/>
  <c r="DQ375" i="9"/>
  <c r="DQ377" i="9"/>
  <c r="DQ376" i="9"/>
  <c r="DL349" i="9"/>
  <c r="DL369" i="9" s="1"/>
  <c r="DL351" i="9"/>
  <c r="DL352" i="9"/>
  <c r="DL372" i="9" s="1"/>
  <c r="DL350" i="9"/>
  <c r="DN177" i="9"/>
  <c r="DX177" i="9"/>
  <c r="EB92" i="9"/>
  <c r="DN225" i="9"/>
  <c r="DX225" i="9"/>
  <c r="DN175" i="9"/>
  <c r="DX175" i="9"/>
  <c r="CW386" i="9"/>
  <c r="DN279" i="9"/>
  <c r="DX279" i="9"/>
  <c r="DN68" i="9"/>
  <c r="DX68" i="9"/>
  <c r="DN83" i="9"/>
  <c r="DX83" i="9"/>
  <c r="DN182" i="9"/>
  <c r="DX182" i="9"/>
  <c r="DN127" i="9"/>
  <c r="DX127" i="9"/>
  <c r="DN97" i="9"/>
  <c r="DX97" i="9"/>
  <c r="DN52" i="9"/>
  <c r="DX52" i="9"/>
  <c r="DN264" i="9"/>
  <c r="DX264" i="9"/>
  <c r="DN57" i="9"/>
  <c r="DX57" i="9"/>
  <c r="EB277" i="9"/>
  <c r="DN129" i="9"/>
  <c r="DX129" i="9"/>
  <c r="DN44" i="9"/>
  <c r="DX44" i="9"/>
  <c r="EB94" i="9"/>
  <c r="DN281" i="9"/>
  <c r="DX281" i="9"/>
  <c r="EB281" i="9" s="1"/>
  <c r="DN302" i="9"/>
  <c r="DX302" i="9"/>
  <c r="DN236" i="9"/>
  <c r="DX236" i="9"/>
  <c r="DN221" i="9"/>
  <c r="DX221" i="9"/>
  <c r="DN313" i="9"/>
  <c r="DX313" i="9"/>
  <c r="DN134" i="9"/>
  <c r="DX134" i="9"/>
  <c r="DL335" i="9"/>
  <c r="DL332" i="9" s="1"/>
  <c r="DQ384" i="9"/>
  <c r="DK384" i="9" s="1"/>
  <c r="DQ383" i="9"/>
  <c r="DK383" i="9" s="1"/>
  <c r="DQ382" i="9"/>
  <c r="DK382" i="9" s="1"/>
  <c r="DQ385" i="9"/>
  <c r="DK385" i="9" s="1"/>
  <c r="CJ361" i="9"/>
  <c r="DN102" i="9"/>
  <c r="DX102" i="9"/>
  <c r="DN251" i="9"/>
  <c r="DX251" i="9"/>
  <c r="DN200" i="9"/>
  <c r="DX200" i="9"/>
  <c r="EB141" i="9"/>
  <c r="DN231" i="9"/>
  <c r="DX231" i="9"/>
  <c r="DN14" i="9"/>
  <c r="DX14" i="9"/>
  <c r="EB189" i="9"/>
  <c r="EB128" i="9"/>
  <c r="DN63" i="9"/>
  <c r="DX63" i="9"/>
  <c r="DN213" i="9"/>
  <c r="DX213" i="9"/>
  <c r="DN254" i="9"/>
  <c r="DX254" i="9"/>
  <c r="DN255" i="9"/>
  <c r="DX255" i="9"/>
  <c r="CY344" i="9"/>
  <c r="CX451" i="9"/>
  <c r="AE47" i="2"/>
  <c r="AE40" i="2"/>
  <c r="DN125" i="9"/>
  <c r="DX125" i="9"/>
  <c r="DN121" i="9"/>
  <c r="DX121" i="9"/>
  <c r="DN316" i="9"/>
  <c r="DX316" i="9"/>
  <c r="DN301" i="9"/>
  <c r="DX301" i="9"/>
  <c r="CJ357" i="9"/>
  <c r="DL337" i="9"/>
  <c r="DL336" i="9" s="1"/>
  <c r="DN217" i="9"/>
  <c r="DX217" i="9"/>
  <c r="DN99" i="9"/>
  <c r="DX99" i="9"/>
  <c r="DN23" i="9"/>
  <c r="DX23" i="9"/>
  <c r="DN17" i="9"/>
  <c r="DX17" i="9"/>
  <c r="EB286" i="9"/>
  <c r="DN257" i="9"/>
  <c r="DX257" i="9"/>
  <c r="DN246" i="9"/>
  <c r="DX246" i="9"/>
  <c r="DN171" i="9"/>
  <c r="DX171" i="9"/>
  <c r="EB162" i="9"/>
  <c r="DN202" i="9"/>
  <c r="DX202" i="9"/>
  <c r="DN181" i="9"/>
  <c r="DX181" i="9"/>
  <c r="DN208" i="9"/>
  <c r="DX208" i="9"/>
  <c r="DN130" i="9"/>
  <c r="DX130" i="9"/>
  <c r="DN272" i="9"/>
  <c r="DX272" i="9"/>
  <c r="EB272" i="9" s="1"/>
  <c r="DN234" i="9"/>
  <c r="DX234" i="9"/>
  <c r="DN147" i="9"/>
  <c r="DX147" i="9"/>
  <c r="DN7" i="9"/>
  <c r="DX7" i="9"/>
  <c r="CO369" i="9"/>
  <c r="CJ352" i="9"/>
  <c r="CK369" i="9"/>
  <c r="CJ351" i="9"/>
  <c r="CJ350" i="9"/>
  <c r="DN86" i="9"/>
  <c r="DX86" i="9"/>
  <c r="DN160" i="9"/>
  <c r="DX160" i="9"/>
  <c r="DN245" i="9"/>
  <c r="DX245" i="9"/>
  <c r="EB288" i="9"/>
  <c r="DN164" i="9"/>
  <c r="DX164" i="9"/>
  <c r="BW369" i="9"/>
  <c r="EB317" i="9"/>
  <c r="DN170" i="9"/>
  <c r="DX170" i="9"/>
  <c r="DN60" i="9"/>
  <c r="DX60" i="9"/>
  <c r="DN252" i="9"/>
  <c r="DX252" i="9"/>
  <c r="DN46" i="9"/>
  <c r="DX46" i="9"/>
  <c r="DN145" i="9"/>
  <c r="DX145" i="9"/>
  <c r="DN15" i="9"/>
  <c r="DX15" i="9"/>
  <c r="DN120" i="9"/>
  <c r="DX120" i="9"/>
  <c r="EB146" i="9"/>
  <c r="DN84" i="9"/>
  <c r="DX84" i="9"/>
  <c r="DN247" i="9"/>
  <c r="DX247" i="9"/>
  <c r="CZ352" i="9"/>
  <c r="DA372" i="9"/>
  <c r="DB351" i="9"/>
  <c r="CZ349" i="9"/>
  <c r="DB352" i="9"/>
  <c r="DB350" i="9"/>
  <c r="DA369" i="9"/>
  <c r="DN319" i="9"/>
  <c r="DX319" i="9"/>
  <c r="DN118" i="9"/>
  <c r="DX118" i="9"/>
  <c r="DO320" i="9"/>
  <c r="EB5" i="9"/>
  <c r="DJ320" i="9"/>
  <c r="DK406" i="9" s="1"/>
  <c r="DK408" i="9" s="1"/>
  <c r="DL320" i="9"/>
  <c r="DQ320" i="9"/>
  <c r="DN151" i="9"/>
  <c r="DX151" i="9"/>
  <c r="DN12" i="9"/>
  <c r="DX12" i="9"/>
  <c r="DN314" i="9"/>
  <c r="DX314" i="9"/>
  <c r="DN259" i="9"/>
  <c r="DX259" i="9"/>
  <c r="EB54" i="9"/>
  <c r="DN291" i="9"/>
  <c r="DX291" i="9"/>
  <c r="DN109" i="9"/>
  <c r="DX109" i="9"/>
  <c r="DN123" i="9"/>
  <c r="DX123" i="9"/>
  <c r="EB318" i="9"/>
  <c r="DN115" i="9"/>
  <c r="DX115" i="9"/>
  <c r="DN228" i="9"/>
  <c r="DX228" i="9"/>
  <c r="EB228" i="9" s="1"/>
  <c r="DB359" i="9"/>
  <c r="CZ357" i="9"/>
  <c r="CX357" i="9" s="1"/>
  <c r="DB360" i="9"/>
  <c r="DB358" i="9"/>
  <c r="DN183" i="9"/>
  <c r="DX183" i="9"/>
  <c r="DN117" i="9"/>
  <c r="DX117" i="9"/>
  <c r="CJ353" i="9"/>
  <c r="DN138" i="9"/>
  <c r="DX138" i="9"/>
  <c r="EB138" i="9" s="1"/>
  <c r="DN224" i="9"/>
  <c r="DX224" i="9"/>
  <c r="DN67" i="9"/>
  <c r="DX67" i="9"/>
  <c r="DN227" i="9"/>
  <c r="DX227" i="9"/>
  <c r="DN312" i="9"/>
  <c r="DX312" i="9"/>
  <c r="DN222" i="9"/>
  <c r="DX222" i="9"/>
  <c r="DN81" i="9"/>
  <c r="DX81" i="9"/>
  <c r="DN25" i="9"/>
  <c r="DX25" i="9"/>
  <c r="DN9" i="9"/>
  <c r="DX9" i="9"/>
  <c r="DN276" i="9"/>
  <c r="DX276" i="9"/>
  <c r="I11" i="17"/>
  <c r="BK145" i="14"/>
  <c r="BX145" i="12"/>
  <c r="CK145" i="12"/>
  <c r="CK145" i="14"/>
  <c r="BZ144" i="14"/>
  <c r="BY131" i="14"/>
  <c r="BY130" i="14" s="1"/>
  <c r="BK157" i="14"/>
  <c r="BJ131" i="14"/>
  <c r="BJ130" i="14" s="1"/>
  <c r="BK145" i="12"/>
  <c r="BX145" i="14"/>
  <c r="BX157" i="14"/>
  <c r="BW131" i="14"/>
  <c r="BW130" i="14" s="1"/>
  <c r="BM144" i="14"/>
  <c r="BL131" i="14"/>
  <c r="BL130" i="14" s="1"/>
  <c r="I9" i="17"/>
  <c r="I10" i="17" s="1"/>
  <c r="G12" i="17"/>
  <c r="G13" i="17" s="1"/>
  <c r="W376" i="9"/>
  <c r="W375" i="9"/>
  <c r="DL370" i="9" l="1"/>
  <c r="DB361" i="9"/>
  <c r="CW374" i="9"/>
  <c r="DL371" i="9"/>
  <c r="DB353" i="9"/>
  <c r="DB357" i="9"/>
  <c r="DY9" i="9"/>
  <c r="DW9" i="9"/>
  <c r="ED9" i="9"/>
  <c r="DZ9" i="9"/>
  <c r="EA9" i="9" s="1"/>
  <c r="DW312" i="9"/>
  <c r="DY312" i="9"/>
  <c r="ED312" i="9"/>
  <c r="DZ312" i="9"/>
  <c r="EA312" i="9" s="1"/>
  <c r="DY224" i="9"/>
  <c r="DW224" i="9"/>
  <c r="ED224" i="9"/>
  <c r="DZ224" i="9"/>
  <c r="EA224" i="9" s="1"/>
  <c r="EB224" i="9"/>
  <c r="DY183" i="9"/>
  <c r="DW183" i="9"/>
  <c r="DZ183" i="9"/>
  <c r="EA183" i="9" s="1"/>
  <c r="ED183" i="9"/>
  <c r="EB183" i="9"/>
  <c r="CW360" i="9"/>
  <c r="CW358" i="9"/>
  <c r="CW359" i="9"/>
  <c r="DY123" i="9"/>
  <c r="DW123" i="9"/>
  <c r="ED123" i="9"/>
  <c r="DZ123" i="9"/>
  <c r="EA123" i="9" s="1"/>
  <c r="DY109" i="9"/>
  <c r="DW109" i="9"/>
  <c r="ED109" i="9"/>
  <c r="DZ109" i="9"/>
  <c r="EA109" i="9" s="1"/>
  <c r="DW314" i="9"/>
  <c r="DY314" i="9"/>
  <c r="DZ314" i="9"/>
  <c r="EA314" i="9" s="1"/>
  <c r="ED314" i="9"/>
  <c r="DY118" i="9"/>
  <c r="DW118" i="9"/>
  <c r="ED118" i="9"/>
  <c r="DZ118" i="9"/>
  <c r="EA118" i="9" s="1"/>
  <c r="DB372" i="9"/>
  <c r="DB370" i="9"/>
  <c r="DB371" i="9"/>
  <c r="CX352" i="9"/>
  <c r="CX372" i="9" s="1"/>
  <c r="CX402" i="9" s="1"/>
  <c r="CV456" i="9" s="1"/>
  <c r="CZ372" i="9"/>
  <c r="DY145" i="9"/>
  <c r="DW145" i="9"/>
  <c r="ED145" i="9"/>
  <c r="DZ145" i="9"/>
  <c r="EA145" i="9" s="1"/>
  <c r="EB145" i="9"/>
  <c r="DW170" i="9"/>
  <c r="DY170" i="9"/>
  <c r="ED170" i="9"/>
  <c r="DZ170" i="9"/>
  <c r="EA170" i="9" s="1"/>
  <c r="EB170" i="9"/>
  <c r="DW245" i="9"/>
  <c r="DY245" i="9"/>
  <c r="ED245" i="9"/>
  <c r="DZ245" i="9"/>
  <c r="EA245" i="9" s="1"/>
  <c r="EB245" i="9"/>
  <c r="DY7" i="9"/>
  <c r="DW7" i="9"/>
  <c r="DZ7" i="9"/>
  <c r="EA7" i="9" s="1"/>
  <c r="ED7" i="9"/>
  <c r="EB7" i="9"/>
  <c r="DY130" i="9"/>
  <c r="DW130" i="9"/>
  <c r="DZ130" i="9"/>
  <c r="EA130" i="9" s="1"/>
  <c r="ED130" i="9"/>
  <c r="EB109" i="9"/>
  <c r="DW202" i="9"/>
  <c r="DY202" i="9"/>
  <c r="DZ202" i="9"/>
  <c r="EA202" i="9" s="1"/>
  <c r="ED202" i="9"/>
  <c r="EB202" i="9"/>
  <c r="DY257" i="9"/>
  <c r="DW257" i="9"/>
  <c r="ED257" i="9"/>
  <c r="DZ257" i="9"/>
  <c r="EA257" i="9" s="1"/>
  <c r="DY99" i="9"/>
  <c r="DW99" i="9"/>
  <c r="DZ99" i="9"/>
  <c r="EA99" i="9" s="1"/>
  <c r="ED99" i="9"/>
  <c r="EB99" i="9"/>
  <c r="DN363" i="9"/>
  <c r="DM363" i="9" s="1"/>
  <c r="DK363" i="9" s="1"/>
  <c r="DN364" i="9"/>
  <c r="DM364" i="9" s="1"/>
  <c r="DK364" i="9" s="1"/>
  <c r="DN362" i="9"/>
  <c r="DM362" i="9" s="1"/>
  <c r="DK362" i="9" s="1"/>
  <c r="DY213" i="9"/>
  <c r="DW213" i="9"/>
  <c r="ED213" i="9"/>
  <c r="DZ213" i="9"/>
  <c r="EA213" i="9" s="1"/>
  <c r="EB213" i="9"/>
  <c r="DW14" i="9"/>
  <c r="DY14" i="9"/>
  <c r="ED14" i="9"/>
  <c r="DZ14" i="9"/>
  <c r="EA14" i="9" s="1"/>
  <c r="DW200" i="9"/>
  <c r="DY200" i="9"/>
  <c r="DZ200" i="9"/>
  <c r="EA200" i="9" s="1"/>
  <c r="ED200" i="9"/>
  <c r="DY81" i="9"/>
  <c r="DW81" i="9"/>
  <c r="DZ81" i="9"/>
  <c r="EA81" i="9" s="1"/>
  <c r="ED81" i="9"/>
  <c r="DY222" i="9"/>
  <c r="DW222" i="9"/>
  <c r="ED222" i="9"/>
  <c r="DZ222" i="9"/>
  <c r="EA222" i="9" s="1"/>
  <c r="EB222" i="9"/>
  <c r="DY67" i="9"/>
  <c r="DW67" i="9"/>
  <c r="DZ67" i="9"/>
  <c r="EA67" i="9" s="1"/>
  <c r="ED67" i="9"/>
  <c r="EB67" i="9"/>
  <c r="DY117" i="9"/>
  <c r="DW117" i="9"/>
  <c r="ED117" i="9"/>
  <c r="DZ117" i="9"/>
  <c r="EA117" i="9" s="1"/>
  <c r="EB117" i="9"/>
  <c r="DY259" i="9"/>
  <c r="DW259" i="9"/>
  <c r="ED259" i="9"/>
  <c r="DZ259" i="9"/>
  <c r="EA259" i="9" s="1"/>
  <c r="EB259" i="9"/>
  <c r="DY151" i="9"/>
  <c r="DW151" i="9"/>
  <c r="DZ151" i="9"/>
  <c r="EA151" i="9" s="1"/>
  <c r="ED151" i="9"/>
  <c r="DB349" i="9"/>
  <c r="CX349" i="9"/>
  <c r="CZ369" i="9"/>
  <c r="DW247" i="9"/>
  <c r="DY247" i="9"/>
  <c r="ED247" i="9"/>
  <c r="DZ247" i="9"/>
  <c r="EA247" i="9" s="1"/>
  <c r="EB247" i="9"/>
  <c r="DW120" i="9"/>
  <c r="DY120" i="9"/>
  <c r="DZ120" i="9"/>
  <c r="EA120" i="9" s="1"/>
  <c r="ED120" i="9"/>
  <c r="EB120" i="9"/>
  <c r="DY15" i="9"/>
  <c r="DW15" i="9"/>
  <c r="DZ15" i="9"/>
  <c r="EA15" i="9" s="1"/>
  <c r="ED15" i="9"/>
  <c r="EB15" i="9"/>
  <c r="DW46" i="9"/>
  <c r="DY46" i="9"/>
  <c r="ED46" i="9"/>
  <c r="DZ46" i="9"/>
  <c r="EA46" i="9" s="1"/>
  <c r="DW252" i="9"/>
  <c r="DY252" i="9"/>
  <c r="ED252" i="9"/>
  <c r="DZ252" i="9"/>
  <c r="EA252" i="9" s="1"/>
  <c r="EB252" i="9"/>
  <c r="DW60" i="9"/>
  <c r="DY60" i="9"/>
  <c r="DZ60" i="9"/>
  <c r="EA60" i="9" s="1"/>
  <c r="ED60" i="9"/>
  <c r="DW86" i="9"/>
  <c r="DY86" i="9"/>
  <c r="ED86" i="9"/>
  <c r="DZ86" i="9"/>
  <c r="EA86" i="9" s="1"/>
  <c r="CJ349" i="9"/>
  <c r="CJ372" i="9"/>
  <c r="CJ370" i="9"/>
  <c r="CK399" i="9"/>
  <c r="CJ371" i="9"/>
  <c r="DY147" i="9"/>
  <c r="DW147" i="9"/>
  <c r="DZ147" i="9"/>
  <c r="EA147" i="9" s="1"/>
  <c r="ED147" i="9"/>
  <c r="DY234" i="9"/>
  <c r="DW234" i="9"/>
  <c r="ED234" i="9"/>
  <c r="DZ234" i="9"/>
  <c r="EA234" i="9" s="1"/>
  <c r="EB234" i="9"/>
  <c r="DW208" i="9"/>
  <c r="DY208" i="9"/>
  <c r="DZ208" i="9"/>
  <c r="EA208" i="9" s="1"/>
  <c r="ED208" i="9"/>
  <c r="DY181" i="9"/>
  <c r="DW181" i="9"/>
  <c r="ED181" i="9"/>
  <c r="DZ181" i="9"/>
  <c r="EA181" i="9" s="1"/>
  <c r="EB181" i="9"/>
  <c r="DY246" i="9"/>
  <c r="DW246" i="9"/>
  <c r="ED246" i="9"/>
  <c r="DZ246" i="9"/>
  <c r="EA246" i="9" s="1"/>
  <c r="EB246" i="9"/>
  <c r="DY23" i="9"/>
  <c r="DW23" i="9"/>
  <c r="DZ23" i="9"/>
  <c r="EA23" i="9" s="1"/>
  <c r="ED23" i="9"/>
  <c r="EB23" i="9"/>
  <c r="DW217" i="9"/>
  <c r="DY217" i="9"/>
  <c r="ED217" i="9"/>
  <c r="DZ217" i="9"/>
  <c r="EA217" i="9" s="1"/>
  <c r="DX336" i="9"/>
  <c r="DY301" i="9"/>
  <c r="DW301" i="9"/>
  <c r="ED301" i="9"/>
  <c r="DZ301" i="9"/>
  <c r="EA301" i="9" s="1"/>
  <c r="EB301" i="9"/>
  <c r="DY121" i="9"/>
  <c r="DW121" i="9"/>
  <c r="ED121" i="9"/>
  <c r="DZ121" i="9"/>
  <c r="EA121" i="9" s="1"/>
  <c r="EB121" i="9"/>
  <c r="DY125" i="9"/>
  <c r="DW125" i="9"/>
  <c r="ED125" i="9"/>
  <c r="DZ125" i="9"/>
  <c r="EA125" i="9" s="1"/>
  <c r="EB125" i="9"/>
  <c r="DW254" i="9"/>
  <c r="DY254" i="9"/>
  <c r="ED254" i="9"/>
  <c r="DZ254" i="9"/>
  <c r="EA254" i="9" s="1"/>
  <c r="EB254" i="9"/>
  <c r="EB9" i="9"/>
  <c r="DY102" i="9"/>
  <c r="DW102" i="9"/>
  <c r="ED102" i="9"/>
  <c r="DZ102" i="9"/>
  <c r="EA102" i="9" s="1"/>
  <c r="DJ384" i="9"/>
  <c r="DJ385" i="9"/>
  <c r="DJ383" i="9"/>
  <c r="DJ382" i="9" s="1"/>
  <c r="DW313" i="9"/>
  <c r="DY313" i="9"/>
  <c r="ED313" i="9"/>
  <c r="DZ313" i="9"/>
  <c r="EA313" i="9" s="1"/>
  <c r="DW221" i="9"/>
  <c r="DY221" i="9"/>
  <c r="ED221" i="9"/>
  <c r="DZ221" i="9"/>
  <c r="EA221" i="9" s="1"/>
  <c r="DW236" i="9"/>
  <c r="DY236" i="9"/>
  <c r="ED236" i="9"/>
  <c r="DZ236" i="9"/>
  <c r="EA236" i="9" s="1"/>
  <c r="EB236" i="9"/>
  <c r="DW302" i="9"/>
  <c r="DY302" i="9"/>
  <c r="DZ302" i="9"/>
  <c r="EA302" i="9" s="1"/>
  <c r="ED302" i="9"/>
  <c r="EB302" i="9"/>
  <c r="DW44" i="9"/>
  <c r="DY44" i="9"/>
  <c r="DZ44" i="9"/>
  <c r="EA44" i="9" s="1"/>
  <c r="ED44" i="9"/>
  <c r="EB44" i="9"/>
  <c r="DY129" i="9"/>
  <c r="DW129" i="9"/>
  <c r="ED129" i="9"/>
  <c r="DZ129" i="9"/>
  <c r="EA129" i="9" s="1"/>
  <c r="EB129" i="9"/>
  <c r="DN353" i="9"/>
  <c r="DW182" i="9"/>
  <c r="DY182" i="9"/>
  <c r="ED182" i="9"/>
  <c r="DZ182" i="9"/>
  <c r="EA182" i="9" s="1"/>
  <c r="EB182" i="9"/>
  <c r="DY68" i="9"/>
  <c r="DW68" i="9"/>
  <c r="DZ68" i="9"/>
  <c r="EA68" i="9" s="1"/>
  <c r="ED68" i="9"/>
  <c r="EB68" i="9"/>
  <c r="DW279" i="9"/>
  <c r="DY279" i="9"/>
  <c r="ED279" i="9"/>
  <c r="DZ279" i="9"/>
  <c r="EA279" i="9" s="1"/>
  <c r="DY177" i="9"/>
  <c r="DW177" i="9"/>
  <c r="ED177" i="9"/>
  <c r="DZ177" i="9"/>
  <c r="EA177" i="9" s="1"/>
  <c r="EB177" i="9"/>
  <c r="DQ396" i="9"/>
  <c r="DK376" i="9"/>
  <c r="DK396" i="9" s="1"/>
  <c r="DQ395" i="9"/>
  <c r="DK375" i="9"/>
  <c r="DK395" i="9" s="1"/>
  <c r="DL324" i="9"/>
  <c r="DK413" i="9"/>
  <c r="DI449" i="9"/>
  <c r="DI451" i="9" s="1"/>
  <c r="DL347" i="9"/>
  <c r="DL346" i="9"/>
  <c r="DL345" i="9"/>
  <c r="DW294" i="9"/>
  <c r="DY294" i="9"/>
  <c r="DZ294" i="9"/>
  <c r="EA294" i="9" s="1"/>
  <c r="ED294" i="9"/>
  <c r="EB294" i="9"/>
  <c r="DW282" i="9"/>
  <c r="DY282" i="9"/>
  <c r="ED282" i="9"/>
  <c r="DZ282" i="9"/>
  <c r="EA282" i="9" s="1"/>
  <c r="DY55" i="9"/>
  <c r="DW55" i="9"/>
  <c r="ED55" i="9"/>
  <c r="DZ55" i="9"/>
  <c r="EA55" i="9" s="1"/>
  <c r="EB55" i="9"/>
  <c r="DN354" i="9"/>
  <c r="DM354" i="9" s="1"/>
  <c r="DK354" i="9" s="1"/>
  <c r="DN356" i="9"/>
  <c r="DM356" i="9" s="1"/>
  <c r="DK356" i="9" s="1"/>
  <c r="DN355" i="9"/>
  <c r="DM355" i="9" s="1"/>
  <c r="DK355" i="9" s="1"/>
  <c r="DY299" i="9"/>
  <c r="DW299" i="9"/>
  <c r="DZ299" i="9"/>
  <c r="EA299" i="9" s="1"/>
  <c r="ED299" i="9"/>
  <c r="EB299" i="9"/>
  <c r="EB221" i="9"/>
  <c r="DY47" i="9"/>
  <c r="DW47" i="9"/>
  <c r="DZ47" i="9"/>
  <c r="EA47" i="9" s="1"/>
  <c r="ED47" i="9"/>
  <c r="EB47" i="9"/>
  <c r="EB208" i="9"/>
  <c r="DY165" i="9"/>
  <c r="DW165" i="9"/>
  <c r="DZ165" i="9"/>
  <c r="EA165" i="9" s="1"/>
  <c r="ED165" i="9"/>
  <c r="EB279" i="9"/>
  <c r="EB130" i="9"/>
  <c r="CW363" i="9"/>
  <c r="CW364" i="9"/>
  <c r="CW362" i="9"/>
  <c r="DY139" i="9"/>
  <c r="DW139" i="9"/>
  <c r="ED139" i="9"/>
  <c r="DZ139" i="9"/>
  <c r="EA139" i="9" s="1"/>
  <c r="DW22" i="9"/>
  <c r="DY22" i="9"/>
  <c r="ED22" i="9"/>
  <c r="DZ22" i="9"/>
  <c r="EA22" i="9" s="1"/>
  <c r="AF47" i="2"/>
  <c r="AH47" i="2" s="1"/>
  <c r="AF40" i="2"/>
  <c r="AH40" i="2" s="1"/>
  <c r="EB312" i="9"/>
  <c r="DN361" i="9"/>
  <c r="DW318" i="9"/>
  <c r="DY318" i="9"/>
  <c r="DZ318" i="9"/>
  <c r="EA318" i="9" s="1"/>
  <c r="ED318" i="9"/>
  <c r="DW162" i="9"/>
  <c r="DY162" i="9"/>
  <c r="ED162" i="9"/>
  <c r="DZ162" i="9"/>
  <c r="EA162" i="9" s="1"/>
  <c r="DY21" i="9"/>
  <c r="DW21" i="9"/>
  <c r="ED21" i="9"/>
  <c r="DZ21" i="9"/>
  <c r="EA21" i="9" s="1"/>
  <c r="DW114" i="9"/>
  <c r="DY114" i="9"/>
  <c r="DZ114" i="9"/>
  <c r="EA114" i="9" s="1"/>
  <c r="ED114" i="9"/>
  <c r="EB114" i="9"/>
  <c r="DW54" i="9"/>
  <c r="DY54" i="9"/>
  <c r="ED54" i="9"/>
  <c r="DZ54" i="9"/>
  <c r="EA54" i="9" s="1"/>
  <c r="DW248" i="9"/>
  <c r="DY248" i="9"/>
  <c r="ED248" i="9"/>
  <c r="DZ248" i="9"/>
  <c r="EA248" i="9" s="1"/>
  <c r="DW78" i="9"/>
  <c r="DY78" i="9"/>
  <c r="ED78" i="9"/>
  <c r="DZ78" i="9"/>
  <c r="EA78" i="9" s="1"/>
  <c r="EB78" i="9"/>
  <c r="EB151" i="9"/>
  <c r="DJ413" i="9"/>
  <c r="DX404" i="9"/>
  <c r="DY5" i="9"/>
  <c r="DX320" i="9"/>
  <c r="DW5" i="9"/>
  <c r="ED5" i="9"/>
  <c r="DZ5" i="9"/>
  <c r="DW92" i="9"/>
  <c r="DY92" i="9"/>
  <c r="DZ92" i="9"/>
  <c r="EA92" i="9" s="1"/>
  <c r="ED92" i="9"/>
  <c r="DW144" i="9"/>
  <c r="DY144" i="9"/>
  <c r="DZ144" i="9"/>
  <c r="EA144" i="9" s="1"/>
  <c r="ED144" i="9"/>
  <c r="CX351" i="9"/>
  <c r="CX371" i="9" s="1"/>
  <c r="CX401" i="9" s="1"/>
  <c r="CV459" i="9" s="1"/>
  <c r="CZ371" i="9"/>
  <c r="DW309" i="9"/>
  <c r="DY309" i="9"/>
  <c r="ED309" i="9"/>
  <c r="DZ309" i="9"/>
  <c r="EA309" i="9" s="1"/>
  <c r="DY33" i="9"/>
  <c r="DW33" i="9"/>
  <c r="ED33" i="9"/>
  <c r="DZ33" i="9"/>
  <c r="EA33" i="9" s="1"/>
  <c r="EB33" i="9"/>
  <c r="DY37" i="9"/>
  <c r="DW37" i="9"/>
  <c r="ED37" i="9"/>
  <c r="DZ37" i="9"/>
  <c r="EA37" i="9" s="1"/>
  <c r="EB37" i="9"/>
  <c r="DY137" i="9"/>
  <c r="DW137" i="9"/>
  <c r="ED137" i="9"/>
  <c r="DZ137" i="9"/>
  <c r="EA137" i="9" s="1"/>
  <c r="EB137" i="9"/>
  <c r="DY265" i="9"/>
  <c r="DW265" i="9"/>
  <c r="ED265" i="9"/>
  <c r="DZ265" i="9"/>
  <c r="EA265" i="9" s="1"/>
  <c r="EB265" i="9"/>
  <c r="DW278" i="9"/>
  <c r="DY278" i="9"/>
  <c r="ED278" i="9"/>
  <c r="DZ278" i="9"/>
  <c r="EA278" i="9" s="1"/>
  <c r="EB278" i="9"/>
  <c r="DW176" i="9"/>
  <c r="DY176" i="9"/>
  <c r="DZ176" i="9"/>
  <c r="EA176" i="9" s="1"/>
  <c r="ED176" i="9"/>
  <c r="DW317" i="9"/>
  <c r="DY317" i="9"/>
  <c r="ED317" i="9"/>
  <c r="DZ317" i="9"/>
  <c r="EA317" i="9" s="1"/>
  <c r="DW288" i="9"/>
  <c r="DY288" i="9"/>
  <c r="DZ288" i="9"/>
  <c r="EA288" i="9" s="1"/>
  <c r="ED288" i="9"/>
  <c r="DW74" i="9"/>
  <c r="DY74" i="9"/>
  <c r="DZ74" i="9"/>
  <c r="EA74" i="9" s="1"/>
  <c r="ED74" i="9"/>
  <c r="EB74" i="9"/>
  <c r="DW110" i="9"/>
  <c r="DY110" i="9"/>
  <c r="ED110" i="9"/>
  <c r="DZ110" i="9"/>
  <c r="EA110" i="9" s="1"/>
  <c r="EB110" i="9"/>
  <c r="DW66" i="9"/>
  <c r="DY66" i="9"/>
  <c r="ED66" i="9"/>
  <c r="DZ66" i="9"/>
  <c r="EA66" i="9" s="1"/>
  <c r="EB66" i="9"/>
  <c r="DY261" i="9"/>
  <c r="DW261" i="9"/>
  <c r="ED261" i="9"/>
  <c r="DZ261" i="9"/>
  <c r="EA261" i="9" s="1"/>
  <c r="EB261" i="9"/>
  <c r="DW244" i="9"/>
  <c r="DY244" i="9"/>
  <c r="ED244" i="9"/>
  <c r="DZ244" i="9"/>
  <c r="EA244" i="9" s="1"/>
  <c r="EB244" i="9"/>
  <c r="EB22" i="9"/>
  <c r="DW286" i="9"/>
  <c r="DY286" i="9"/>
  <c r="ED286" i="9"/>
  <c r="DZ286" i="9"/>
  <c r="EA286" i="9" s="1"/>
  <c r="DY43" i="9"/>
  <c r="DW43" i="9"/>
  <c r="ED43" i="9"/>
  <c r="DZ43" i="9"/>
  <c r="EA43" i="9" s="1"/>
  <c r="EB43" i="9"/>
  <c r="DW174" i="9"/>
  <c r="DY174" i="9"/>
  <c r="DZ174" i="9"/>
  <c r="EA174" i="9" s="1"/>
  <c r="ED174" i="9"/>
  <c r="EB174" i="9"/>
  <c r="DY105" i="9"/>
  <c r="DW105" i="9"/>
  <c r="ED105" i="9"/>
  <c r="DZ105" i="9"/>
  <c r="EA105" i="9" s="1"/>
  <c r="EB105" i="9"/>
  <c r="DY51" i="9"/>
  <c r="DW51" i="9"/>
  <c r="DX328" i="9"/>
  <c r="DZ51" i="9"/>
  <c r="EA51" i="9" s="1"/>
  <c r="ED51" i="9"/>
  <c r="EB51" i="9"/>
  <c r="DJ388" i="9"/>
  <c r="DJ389" i="9"/>
  <c r="DJ387" i="9"/>
  <c r="DJ386" i="9" s="1"/>
  <c r="EB217" i="9"/>
  <c r="DW184" i="9"/>
  <c r="DY184" i="9"/>
  <c r="DZ184" i="9"/>
  <c r="EA184" i="9" s="1"/>
  <c r="ED184" i="9"/>
  <c r="EB184" i="9"/>
  <c r="DY189" i="9"/>
  <c r="DW189" i="9"/>
  <c r="ED189" i="9"/>
  <c r="DZ189" i="9"/>
  <c r="EA189" i="9" s="1"/>
  <c r="DW241" i="9"/>
  <c r="DY241" i="9"/>
  <c r="ED241" i="9"/>
  <c r="DZ241" i="9"/>
  <c r="EA241" i="9" s="1"/>
  <c r="DY111" i="9"/>
  <c r="DW111" i="9"/>
  <c r="DZ111" i="9"/>
  <c r="EA111" i="9" s="1"/>
  <c r="ED111" i="9"/>
  <c r="DW128" i="9"/>
  <c r="DY128" i="9"/>
  <c r="DZ128" i="9"/>
  <c r="EA128" i="9" s="1"/>
  <c r="ED128" i="9"/>
  <c r="DY185" i="9"/>
  <c r="DW185" i="9"/>
  <c r="ED185" i="9"/>
  <c r="DZ185" i="9"/>
  <c r="EA185" i="9" s="1"/>
  <c r="EB185" i="9"/>
  <c r="DW270" i="9"/>
  <c r="DY270" i="9"/>
  <c r="ED270" i="9"/>
  <c r="DZ270" i="9"/>
  <c r="EA270" i="9" s="1"/>
  <c r="EB270" i="9"/>
  <c r="DY193" i="9"/>
  <c r="DW193" i="9"/>
  <c r="ED193" i="9"/>
  <c r="DZ193" i="9"/>
  <c r="EA193" i="9" s="1"/>
  <c r="EB193" i="9"/>
  <c r="DY53" i="9"/>
  <c r="DW53" i="9"/>
  <c r="ED53" i="9"/>
  <c r="DZ53" i="9"/>
  <c r="EA53" i="9" s="1"/>
  <c r="EB53" i="9"/>
  <c r="DY169" i="9"/>
  <c r="DW169" i="9"/>
  <c r="ED169" i="9"/>
  <c r="DZ169" i="9"/>
  <c r="EA169" i="9" s="1"/>
  <c r="DX332" i="9"/>
  <c r="EB169" i="9"/>
  <c r="DY76" i="9"/>
  <c r="DW76" i="9"/>
  <c r="DZ76" i="9"/>
  <c r="EA76" i="9" s="1"/>
  <c r="ED76" i="9"/>
  <c r="EB76" i="9"/>
  <c r="DW96" i="9"/>
  <c r="DY96" i="9"/>
  <c r="DZ96" i="9"/>
  <c r="EA96" i="9" s="1"/>
  <c r="ED96" i="9"/>
  <c r="DW26" i="9"/>
  <c r="DY26" i="9"/>
  <c r="ED26" i="9"/>
  <c r="DZ26" i="9"/>
  <c r="EA26" i="9" s="1"/>
  <c r="DY41" i="9"/>
  <c r="DW41" i="9"/>
  <c r="ED41" i="9"/>
  <c r="DZ41" i="9"/>
  <c r="EA41" i="9" s="1"/>
  <c r="EB41" i="9"/>
  <c r="EB314" i="9"/>
  <c r="DW166" i="9"/>
  <c r="DY166" i="9"/>
  <c r="ED166" i="9"/>
  <c r="DZ166" i="9"/>
  <c r="EA166" i="9" s="1"/>
  <c r="EB166" i="9"/>
  <c r="DW80" i="9"/>
  <c r="DY80" i="9"/>
  <c r="ED80" i="9"/>
  <c r="DZ80" i="9"/>
  <c r="EA80" i="9" s="1"/>
  <c r="EB80" i="9"/>
  <c r="DW152" i="9"/>
  <c r="DY152" i="9"/>
  <c r="DZ152" i="9"/>
  <c r="EA152" i="9" s="1"/>
  <c r="ED152" i="9"/>
  <c r="DW42" i="9"/>
  <c r="DY42" i="9"/>
  <c r="DZ42" i="9"/>
  <c r="EA42" i="9" s="1"/>
  <c r="ED42" i="9"/>
  <c r="DX324" i="9"/>
  <c r="EB42" i="9"/>
  <c r="DW116" i="9"/>
  <c r="DY116" i="9"/>
  <c r="ED116" i="9"/>
  <c r="DZ116" i="9"/>
  <c r="EA116" i="9" s="1"/>
  <c r="EB116" i="9"/>
  <c r="DY157" i="9"/>
  <c r="DW157" i="9"/>
  <c r="DZ157" i="9"/>
  <c r="EA157" i="9" s="1"/>
  <c r="ED157" i="9"/>
  <c r="EB157" i="9"/>
  <c r="DY131" i="9"/>
  <c r="DW131" i="9"/>
  <c r="DZ131" i="9"/>
  <c r="EA131" i="9" s="1"/>
  <c r="ED131" i="9"/>
  <c r="EB131" i="9"/>
  <c r="DY106" i="9"/>
  <c r="DW106" i="9"/>
  <c r="DZ106" i="9"/>
  <c r="EA106" i="9" s="1"/>
  <c r="ED106" i="9"/>
  <c r="EB106" i="9"/>
  <c r="V41" i="2"/>
  <c r="DW284" i="9"/>
  <c r="DY284" i="9"/>
  <c r="DZ284" i="9"/>
  <c r="EA284" i="9" s="1"/>
  <c r="ED284" i="9"/>
  <c r="EB60" i="9"/>
  <c r="EB176" i="9"/>
  <c r="EB144" i="9"/>
  <c r="DW214" i="9"/>
  <c r="DY214" i="9"/>
  <c r="DZ214" i="9"/>
  <c r="EA214" i="9" s="1"/>
  <c r="ED214" i="9"/>
  <c r="EB214" i="9"/>
  <c r="EB96" i="9"/>
  <c r="DW154" i="9"/>
  <c r="DY154" i="9"/>
  <c r="ED154" i="9"/>
  <c r="DZ154" i="9"/>
  <c r="EA154" i="9" s="1"/>
  <c r="EB154" i="9"/>
  <c r="EB21" i="9"/>
  <c r="DY64" i="9"/>
  <c r="DW64" i="9"/>
  <c r="ED64" i="9"/>
  <c r="DZ64" i="9"/>
  <c r="EA64" i="9" s="1"/>
  <c r="EB64" i="9"/>
  <c r="DW280" i="9"/>
  <c r="DY280" i="9"/>
  <c r="DZ280" i="9"/>
  <c r="EA280" i="9" s="1"/>
  <c r="ED280" i="9"/>
  <c r="DW34" i="9"/>
  <c r="DY34" i="9"/>
  <c r="ED34" i="9"/>
  <c r="DZ34" i="9"/>
  <c r="EA34" i="9" s="1"/>
  <c r="EB34" i="9"/>
  <c r="EB165" i="9"/>
  <c r="DW30" i="9"/>
  <c r="DY30" i="9"/>
  <c r="ED30" i="9"/>
  <c r="DZ30" i="9"/>
  <c r="EA30" i="9" s="1"/>
  <c r="DY195" i="9"/>
  <c r="DW195" i="9"/>
  <c r="ED195" i="9"/>
  <c r="DZ195" i="9"/>
  <c r="EA195" i="9" s="1"/>
  <c r="EB195" i="9"/>
  <c r="DY98" i="9"/>
  <c r="DW98" i="9"/>
  <c r="DZ98" i="9"/>
  <c r="EA98" i="9" s="1"/>
  <c r="ED98" i="9"/>
  <c r="CW356" i="9"/>
  <c r="CW354" i="9"/>
  <c r="CW355" i="9"/>
  <c r="DY207" i="9"/>
  <c r="DW207" i="9"/>
  <c r="ED207" i="9"/>
  <c r="DZ207" i="9"/>
  <c r="EA207" i="9" s="1"/>
  <c r="EB207" i="9"/>
  <c r="DY305" i="9"/>
  <c r="DW305" i="9"/>
  <c r="ED305" i="9"/>
  <c r="DZ305" i="9"/>
  <c r="EA305" i="9" s="1"/>
  <c r="EB305" i="9"/>
  <c r="DW148" i="9"/>
  <c r="DY148" i="9"/>
  <c r="ED148" i="9"/>
  <c r="DZ148" i="9"/>
  <c r="EA148" i="9" s="1"/>
  <c r="EB148" i="9"/>
  <c r="EB139" i="9"/>
  <c r="DW50" i="9"/>
  <c r="DY50" i="9"/>
  <c r="ED50" i="9"/>
  <c r="DZ50" i="9"/>
  <c r="EA50" i="9" s="1"/>
  <c r="EB26" i="9"/>
  <c r="DW276" i="9"/>
  <c r="DY276" i="9"/>
  <c r="ED276" i="9"/>
  <c r="DZ276" i="9"/>
  <c r="EA276" i="9" s="1"/>
  <c r="DY25" i="9"/>
  <c r="DW25" i="9"/>
  <c r="ED25" i="9"/>
  <c r="DZ25" i="9"/>
  <c r="EA25" i="9" s="1"/>
  <c r="EB25" i="9"/>
  <c r="DW227" i="9"/>
  <c r="DY227" i="9"/>
  <c r="ED227" i="9"/>
  <c r="DZ227" i="9"/>
  <c r="EA227" i="9" s="1"/>
  <c r="EB227" i="9"/>
  <c r="DW138" i="9"/>
  <c r="DY138" i="9"/>
  <c r="ED138" i="9"/>
  <c r="DZ138" i="9"/>
  <c r="EA138" i="9" s="1"/>
  <c r="DY228" i="9"/>
  <c r="DW228" i="9"/>
  <c r="ED228" i="9"/>
  <c r="DZ228" i="9"/>
  <c r="EA228" i="9" s="1"/>
  <c r="DY115" i="9"/>
  <c r="DW115" i="9"/>
  <c r="ED115" i="9"/>
  <c r="DZ115" i="9"/>
  <c r="EA115" i="9" s="1"/>
  <c r="EB115" i="9"/>
  <c r="DW291" i="9"/>
  <c r="DY291" i="9"/>
  <c r="DZ291" i="9"/>
  <c r="EA291" i="9" s="1"/>
  <c r="ED291" i="9"/>
  <c r="DW12" i="9"/>
  <c r="DY12" i="9"/>
  <c r="ED12" i="9"/>
  <c r="DZ12" i="9"/>
  <c r="EA12" i="9" s="1"/>
  <c r="EB12" i="9"/>
  <c r="DW319" i="9"/>
  <c r="DY319" i="9"/>
  <c r="DZ319" i="9"/>
  <c r="EA319" i="9" s="1"/>
  <c r="ED319" i="9"/>
  <c r="EB319" i="9"/>
  <c r="DW84" i="9"/>
  <c r="DY84" i="9"/>
  <c r="DZ84" i="9"/>
  <c r="EA84" i="9" s="1"/>
  <c r="ED84" i="9"/>
  <c r="DW164" i="9"/>
  <c r="DY164" i="9"/>
  <c r="ED164" i="9"/>
  <c r="DZ164" i="9"/>
  <c r="EA164" i="9" s="1"/>
  <c r="EB164" i="9"/>
  <c r="DW160" i="9"/>
  <c r="DY160" i="9"/>
  <c r="DZ160" i="9"/>
  <c r="EA160" i="9" s="1"/>
  <c r="ED160" i="9"/>
  <c r="EB160" i="9"/>
  <c r="DW272" i="9"/>
  <c r="DY272" i="9"/>
  <c r="ED272" i="9"/>
  <c r="DZ272" i="9"/>
  <c r="EA272" i="9" s="1"/>
  <c r="DY171" i="9"/>
  <c r="DW171" i="9"/>
  <c r="ED171" i="9"/>
  <c r="DZ171" i="9"/>
  <c r="EA171" i="9" s="1"/>
  <c r="EB171" i="9"/>
  <c r="DY17" i="9"/>
  <c r="DW17" i="9"/>
  <c r="ED17" i="9"/>
  <c r="DZ17" i="9"/>
  <c r="EA17" i="9" s="1"/>
  <c r="EB17" i="9"/>
  <c r="DW316" i="9"/>
  <c r="DY316" i="9"/>
  <c r="ED316" i="9"/>
  <c r="DZ316" i="9"/>
  <c r="EA316" i="9" s="1"/>
  <c r="EB316" i="9"/>
  <c r="DY255" i="9"/>
  <c r="DW255" i="9"/>
  <c r="ED255" i="9"/>
  <c r="DZ255" i="9"/>
  <c r="EA255" i="9" s="1"/>
  <c r="EB255" i="9"/>
  <c r="DY63" i="9"/>
  <c r="DW63" i="9"/>
  <c r="DZ63" i="9"/>
  <c r="EA63" i="9" s="1"/>
  <c r="ED63" i="9"/>
  <c r="DW231" i="9"/>
  <c r="DY231" i="9"/>
  <c r="ED231" i="9"/>
  <c r="DZ231" i="9"/>
  <c r="EA231" i="9" s="1"/>
  <c r="EB231" i="9"/>
  <c r="DY251" i="9"/>
  <c r="DW251" i="9"/>
  <c r="ED251" i="9"/>
  <c r="DZ251" i="9"/>
  <c r="EA251" i="9" s="1"/>
  <c r="EB251" i="9"/>
  <c r="DW134" i="9"/>
  <c r="DY134" i="9"/>
  <c r="ED134" i="9"/>
  <c r="DZ134" i="9"/>
  <c r="EA134" i="9" s="1"/>
  <c r="EB134" i="9"/>
  <c r="DW281" i="9"/>
  <c r="DY281" i="9"/>
  <c r="ED281" i="9"/>
  <c r="DZ281" i="9"/>
  <c r="EA281" i="9" s="1"/>
  <c r="DN349" i="9"/>
  <c r="DY57" i="9"/>
  <c r="DW57" i="9"/>
  <c r="ED57" i="9"/>
  <c r="DZ57" i="9"/>
  <c r="EA57" i="9" s="1"/>
  <c r="EB57" i="9"/>
  <c r="DW264" i="9"/>
  <c r="DY264" i="9"/>
  <c r="ED264" i="9"/>
  <c r="DZ264" i="9"/>
  <c r="EA264" i="9" s="1"/>
  <c r="DY52" i="9"/>
  <c r="DW52" i="9"/>
  <c r="ED52" i="9"/>
  <c r="DZ52" i="9"/>
  <c r="EA52" i="9" s="1"/>
  <c r="EB52" i="9"/>
  <c r="DY97" i="9"/>
  <c r="DW97" i="9"/>
  <c r="ED97" i="9"/>
  <c r="DZ97" i="9"/>
  <c r="EA97" i="9" s="1"/>
  <c r="EB97" i="9"/>
  <c r="DY127" i="9"/>
  <c r="DW127" i="9"/>
  <c r="ED127" i="9"/>
  <c r="DZ127" i="9"/>
  <c r="EA127" i="9" s="1"/>
  <c r="EB127" i="9"/>
  <c r="DW83" i="9"/>
  <c r="DY83" i="9"/>
  <c r="DZ83" i="9"/>
  <c r="EA83" i="9" s="1"/>
  <c r="ED83" i="9"/>
  <c r="EB83" i="9"/>
  <c r="DY175" i="9"/>
  <c r="DW175" i="9"/>
  <c r="ED175" i="9"/>
  <c r="DZ175" i="9"/>
  <c r="EA175" i="9" s="1"/>
  <c r="EB175" i="9"/>
  <c r="DW225" i="9"/>
  <c r="DY225" i="9"/>
  <c r="ED225" i="9"/>
  <c r="DZ225" i="9"/>
  <c r="EA225" i="9" s="1"/>
  <c r="EB225" i="9"/>
  <c r="DQ397" i="9"/>
  <c r="DK377" i="9"/>
  <c r="DK397" i="9" s="1"/>
  <c r="DQ394" i="9"/>
  <c r="DK374" i="9"/>
  <c r="DY232" i="9"/>
  <c r="DW232" i="9"/>
  <c r="ED232" i="9"/>
  <c r="DZ232" i="9"/>
  <c r="EA232" i="9" s="1"/>
  <c r="EB232" i="9"/>
  <c r="DW290" i="9"/>
  <c r="DY290" i="9"/>
  <c r="ED290" i="9"/>
  <c r="DZ290" i="9"/>
  <c r="EA290" i="9" s="1"/>
  <c r="DW18" i="9"/>
  <c r="DY18" i="9"/>
  <c r="ED18" i="9"/>
  <c r="DZ18" i="9"/>
  <c r="EA18" i="9" s="1"/>
  <c r="EB18" i="9"/>
  <c r="DW10" i="9"/>
  <c r="DY10" i="9"/>
  <c r="ED10" i="9"/>
  <c r="DZ10" i="9"/>
  <c r="EA10" i="9" s="1"/>
  <c r="EB14" i="9"/>
  <c r="DW229" i="9"/>
  <c r="DY229" i="9"/>
  <c r="ED229" i="9"/>
  <c r="DZ229" i="9"/>
  <c r="EA229" i="9" s="1"/>
  <c r="EB229" i="9"/>
  <c r="DY203" i="9"/>
  <c r="DW203" i="9"/>
  <c r="ED203" i="9"/>
  <c r="DZ203" i="9"/>
  <c r="EA203" i="9" s="1"/>
  <c r="EB203" i="9"/>
  <c r="DW20" i="9"/>
  <c r="DY20" i="9"/>
  <c r="ED20" i="9"/>
  <c r="DZ20" i="9"/>
  <c r="EA20" i="9" s="1"/>
  <c r="EB20" i="9"/>
  <c r="DY71" i="9"/>
  <c r="DW71" i="9"/>
  <c r="DX331" i="9"/>
  <c r="DY331" i="9" s="1"/>
  <c r="ED71" i="9"/>
  <c r="DZ71" i="9"/>
  <c r="EA71" i="9" s="1"/>
  <c r="DW140" i="9"/>
  <c r="DY140" i="9"/>
  <c r="DZ140" i="9"/>
  <c r="EA140" i="9" s="1"/>
  <c r="ED140" i="9"/>
  <c r="EB140" i="9"/>
  <c r="DY161" i="9"/>
  <c r="DW161" i="9"/>
  <c r="ED161" i="9"/>
  <c r="DZ161" i="9"/>
  <c r="EA161" i="9" s="1"/>
  <c r="EB161" i="9"/>
  <c r="DY29" i="9"/>
  <c r="DW29" i="9"/>
  <c r="ED29" i="9"/>
  <c r="DZ29" i="9"/>
  <c r="EA29" i="9" s="1"/>
  <c r="EB29" i="9"/>
  <c r="DW239" i="9"/>
  <c r="DY239" i="9"/>
  <c r="ED239" i="9"/>
  <c r="DZ239" i="9"/>
  <c r="EA239" i="9" s="1"/>
  <c r="EB239" i="9"/>
  <c r="DW250" i="9"/>
  <c r="DY250" i="9"/>
  <c r="ED250" i="9"/>
  <c r="DZ250" i="9"/>
  <c r="EA250" i="9" s="1"/>
  <c r="EB250" i="9"/>
  <c r="DY191" i="9"/>
  <c r="DW191" i="9"/>
  <c r="ED191" i="9"/>
  <c r="DZ191" i="9"/>
  <c r="EA191" i="9" s="1"/>
  <c r="EB191" i="9"/>
  <c r="DY159" i="9"/>
  <c r="DW159" i="9"/>
  <c r="ED159" i="9"/>
  <c r="DZ159" i="9"/>
  <c r="EA159" i="9" s="1"/>
  <c r="EB276" i="9"/>
  <c r="DY188" i="9"/>
  <c r="DW188" i="9"/>
  <c r="ED188" i="9"/>
  <c r="DZ188" i="9"/>
  <c r="EA188" i="9" s="1"/>
  <c r="EB188" i="9"/>
  <c r="EB257" i="9"/>
  <c r="DW172" i="9"/>
  <c r="DY172" i="9"/>
  <c r="ED172" i="9"/>
  <c r="DZ172" i="9"/>
  <c r="EA172" i="9" s="1"/>
  <c r="DY79" i="9"/>
  <c r="DW79" i="9"/>
  <c r="DZ79" i="9"/>
  <c r="EA79" i="9" s="1"/>
  <c r="ED79" i="9"/>
  <c r="EB79" i="9"/>
  <c r="EB63" i="9"/>
  <c r="CW397" i="9"/>
  <c r="CW395" i="9"/>
  <c r="CW396" i="9"/>
  <c r="DW146" i="9"/>
  <c r="DY146" i="9"/>
  <c r="ED146" i="9"/>
  <c r="DZ146" i="9"/>
  <c r="EA146" i="9" s="1"/>
  <c r="DW82" i="9"/>
  <c r="DY82" i="9"/>
  <c r="ED82" i="9"/>
  <c r="DZ82" i="9"/>
  <c r="EA82" i="9" s="1"/>
  <c r="EB82" i="9"/>
  <c r="DW190" i="9"/>
  <c r="DY190" i="9"/>
  <c r="DZ190" i="9"/>
  <c r="EA190" i="9" s="1"/>
  <c r="ED190" i="9"/>
  <c r="DW28" i="9"/>
  <c r="DY28" i="9"/>
  <c r="ED28" i="9"/>
  <c r="DZ28" i="9"/>
  <c r="EA28" i="9" s="1"/>
  <c r="EB28" i="9"/>
  <c r="DY56" i="9"/>
  <c r="DW56" i="9"/>
  <c r="DZ56" i="9"/>
  <c r="EA56" i="9" s="1"/>
  <c r="ED56" i="9"/>
  <c r="DY89" i="9"/>
  <c r="DW89" i="9"/>
  <c r="ED89" i="9"/>
  <c r="DZ89" i="9"/>
  <c r="EA89" i="9" s="1"/>
  <c r="EB89" i="9"/>
  <c r="DY226" i="9"/>
  <c r="DW226" i="9"/>
  <c r="ED226" i="9"/>
  <c r="DZ226" i="9"/>
  <c r="EA226" i="9" s="1"/>
  <c r="EB226" i="9"/>
  <c r="DY153" i="9"/>
  <c r="DW153" i="9"/>
  <c r="ED153" i="9"/>
  <c r="DZ153" i="9"/>
  <c r="EA153" i="9" s="1"/>
  <c r="EB153" i="9"/>
  <c r="DW274" i="9"/>
  <c r="DY274" i="9"/>
  <c r="ED274" i="9"/>
  <c r="DZ274" i="9"/>
  <c r="EA274" i="9" s="1"/>
  <c r="EB274" i="9"/>
  <c r="DK405" i="9"/>
  <c r="DN320" i="9"/>
  <c r="DK414" i="9" s="1"/>
  <c r="EB118" i="9"/>
  <c r="CX350" i="9"/>
  <c r="CX370" i="9" s="1"/>
  <c r="CX400" i="9" s="1"/>
  <c r="CV458" i="9" s="1"/>
  <c r="CZ370" i="9"/>
  <c r="EB81" i="9"/>
  <c r="DY113" i="9"/>
  <c r="DW113" i="9"/>
  <c r="ED113" i="9"/>
  <c r="DZ113" i="9"/>
  <c r="EA113" i="9" s="1"/>
  <c r="EB113" i="9"/>
  <c r="DW206" i="9"/>
  <c r="DY206" i="9"/>
  <c r="DZ206" i="9"/>
  <c r="EA206" i="9" s="1"/>
  <c r="ED206" i="9"/>
  <c r="EB206" i="9"/>
  <c r="DY49" i="9"/>
  <c r="DW49" i="9"/>
  <c r="ED49" i="9"/>
  <c r="DZ49" i="9"/>
  <c r="EA49" i="9" s="1"/>
  <c r="EB49" i="9"/>
  <c r="EB46" i="9"/>
  <c r="BW399" i="9"/>
  <c r="BX458" i="9"/>
  <c r="BX459" i="9"/>
  <c r="DY13" i="9"/>
  <c r="DW13" i="9"/>
  <c r="ED13" i="9"/>
  <c r="DZ13" i="9"/>
  <c r="EA13" i="9" s="1"/>
  <c r="EB13" i="9"/>
  <c r="DW240" i="9"/>
  <c r="DY240" i="9"/>
  <c r="ED240" i="9"/>
  <c r="DZ240" i="9"/>
  <c r="EA240" i="9" s="1"/>
  <c r="EB86" i="9"/>
  <c r="EB147" i="9"/>
  <c r="EB291" i="9"/>
  <c r="DW150" i="9"/>
  <c r="DY150" i="9"/>
  <c r="ED150" i="9"/>
  <c r="DZ150" i="9"/>
  <c r="EA150" i="9" s="1"/>
  <c r="EB150" i="9"/>
  <c r="DY173" i="9"/>
  <c r="DW173" i="9"/>
  <c r="ED173" i="9"/>
  <c r="DZ173" i="9"/>
  <c r="EA173" i="9" s="1"/>
  <c r="EB173" i="9"/>
  <c r="DW296" i="9"/>
  <c r="DY296" i="9"/>
  <c r="DZ296" i="9"/>
  <c r="EA296" i="9" s="1"/>
  <c r="ED296" i="9"/>
  <c r="EB296" i="9"/>
  <c r="DJ380" i="9"/>
  <c r="DJ381" i="9"/>
  <c r="DJ379" i="9"/>
  <c r="DW36" i="9"/>
  <c r="DY36" i="9"/>
  <c r="DZ36" i="9"/>
  <c r="EA36" i="9" s="1"/>
  <c r="ED36" i="9"/>
  <c r="DW100" i="9"/>
  <c r="DY100" i="9"/>
  <c r="ED100" i="9"/>
  <c r="DZ100" i="9"/>
  <c r="EA100" i="9" s="1"/>
  <c r="EB100" i="9"/>
  <c r="DW108" i="9"/>
  <c r="DY108" i="9"/>
  <c r="DZ108" i="9"/>
  <c r="EA108" i="9" s="1"/>
  <c r="ED108" i="9"/>
  <c r="EB108" i="9"/>
  <c r="DW196" i="9"/>
  <c r="DY196" i="9"/>
  <c r="DZ196" i="9"/>
  <c r="EA196" i="9" s="1"/>
  <c r="ED196" i="9"/>
  <c r="DW90" i="9"/>
  <c r="DY90" i="9"/>
  <c r="ED90" i="9"/>
  <c r="DZ90" i="9"/>
  <c r="EA90" i="9" s="1"/>
  <c r="EB90" i="9"/>
  <c r="DW192" i="9"/>
  <c r="DY192" i="9"/>
  <c r="DZ192" i="9"/>
  <c r="EA192" i="9" s="1"/>
  <c r="ED192" i="9"/>
  <c r="EB192" i="9"/>
  <c r="DW212" i="9"/>
  <c r="DY212" i="9"/>
  <c r="DZ212" i="9"/>
  <c r="EA212" i="9" s="1"/>
  <c r="ED212" i="9"/>
  <c r="DY297" i="9"/>
  <c r="DW297" i="9"/>
  <c r="ED297" i="9"/>
  <c r="DZ297" i="9"/>
  <c r="EA297" i="9" s="1"/>
  <c r="EB297" i="9"/>
  <c r="DY141" i="9"/>
  <c r="DW141" i="9"/>
  <c r="DZ141" i="9"/>
  <c r="EA141" i="9" s="1"/>
  <c r="ED141" i="9"/>
  <c r="EB102" i="9"/>
  <c r="DN357" i="9"/>
  <c r="DN359" i="9"/>
  <c r="DM359" i="9" s="1"/>
  <c r="DK359" i="9" s="1"/>
  <c r="DN360" i="9"/>
  <c r="DM360" i="9" s="1"/>
  <c r="DK360" i="9" s="1"/>
  <c r="DN358" i="9"/>
  <c r="DM358" i="9" s="1"/>
  <c r="DK358" i="9" s="1"/>
  <c r="DW156" i="9"/>
  <c r="DY156" i="9"/>
  <c r="DZ156" i="9"/>
  <c r="EA156" i="9" s="1"/>
  <c r="ED156" i="9"/>
  <c r="EB156" i="9"/>
  <c r="DY94" i="9"/>
  <c r="DW94" i="9"/>
  <c r="ED94" i="9"/>
  <c r="DZ94" i="9"/>
  <c r="EA94" i="9" s="1"/>
  <c r="DY230" i="9"/>
  <c r="DW230" i="9"/>
  <c r="ED230" i="9"/>
  <c r="DZ230" i="9"/>
  <c r="EA230" i="9" s="1"/>
  <c r="EB230" i="9"/>
  <c r="DY277" i="9"/>
  <c r="DW277" i="9"/>
  <c r="ED277" i="9"/>
  <c r="DZ277" i="9"/>
  <c r="EA277" i="9" s="1"/>
  <c r="DW310" i="9"/>
  <c r="DY310" i="9"/>
  <c r="DZ310" i="9"/>
  <c r="EA310" i="9" s="1"/>
  <c r="ED310" i="9"/>
  <c r="DW194" i="9"/>
  <c r="DY194" i="9"/>
  <c r="DZ194" i="9"/>
  <c r="EA194" i="9" s="1"/>
  <c r="ED194" i="9"/>
  <c r="EB194" i="9"/>
  <c r="DY238" i="9"/>
  <c r="DW238" i="9"/>
  <c r="ED238" i="9"/>
  <c r="DZ238" i="9"/>
  <c r="EA238" i="9" s="1"/>
  <c r="EB238" i="9"/>
  <c r="DN350" i="9"/>
  <c r="DN352" i="9"/>
  <c r="DN351" i="9"/>
  <c r="EB84" i="9"/>
  <c r="V48" i="2"/>
  <c r="EB111" i="9"/>
  <c r="EB212" i="9"/>
  <c r="EB282" i="9"/>
  <c r="EB200" i="9"/>
  <c r="DY122" i="9"/>
  <c r="DW122" i="9"/>
  <c r="DZ122" i="9"/>
  <c r="EA122" i="9" s="1"/>
  <c r="ED122" i="9"/>
  <c r="EB122" i="9"/>
  <c r="DY135" i="9"/>
  <c r="DW135" i="9"/>
  <c r="DZ135" i="9"/>
  <c r="EA135" i="9" s="1"/>
  <c r="ED135" i="9"/>
  <c r="DY19" i="9"/>
  <c r="DW19" i="9"/>
  <c r="DZ19" i="9"/>
  <c r="EA19" i="9" s="1"/>
  <c r="ED19" i="9"/>
  <c r="EB19" i="9"/>
  <c r="EB313" i="9"/>
  <c r="DY263" i="9"/>
  <c r="DW263" i="9"/>
  <c r="ED263" i="9"/>
  <c r="DZ263" i="9"/>
  <c r="EA263" i="9" s="1"/>
  <c r="EB263" i="9"/>
  <c r="EB123" i="9"/>
  <c r="DW304" i="9"/>
  <c r="DY304" i="9"/>
  <c r="DZ304" i="9"/>
  <c r="EA304" i="9" s="1"/>
  <c r="ED304" i="9"/>
  <c r="EB304" i="9"/>
  <c r="EB264" i="9"/>
  <c r="DY75" i="9"/>
  <c r="DW75" i="9"/>
  <c r="ED75" i="9"/>
  <c r="DZ75" i="9"/>
  <c r="EA75" i="9" s="1"/>
  <c r="EB75" i="9"/>
  <c r="EB172" i="9"/>
  <c r="DW178" i="9"/>
  <c r="DY178" i="9"/>
  <c r="ED178" i="9"/>
  <c r="DZ178" i="9"/>
  <c r="EA178" i="9" s="1"/>
  <c r="EB178" i="9"/>
  <c r="DW233" i="9"/>
  <c r="DY233" i="9"/>
  <c r="ED233" i="9"/>
  <c r="DZ233" i="9"/>
  <c r="EA233" i="9" s="1"/>
  <c r="EB233" i="9"/>
  <c r="DW104" i="9"/>
  <c r="DY104" i="9"/>
  <c r="DZ104" i="9"/>
  <c r="EA104" i="9" s="1"/>
  <c r="ED104" i="9"/>
  <c r="EB104" i="9"/>
  <c r="EB36" i="9"/>
  <c r="G83" i="4"/>
  <c r="BW145" i="14"/>
  <c r="BX144" i="14"/>
  <c r="BK144" i="14"/>
  <c r="CJ145" i="14"/>
  <c r="BJ145" i="14"/>
  <c r="J11" i="17"/>
  <c r="W374" i="9"/>
  <c r="CW357" i="9" l="1"/>
  <c r="DK452" i="9"/>
  <c r="DK453" i="9"/>
  <c r="DL344" i="9"/>
  <c r="AJ47" i="2"/>
  <c r="AJ40" i="2"/>
  <c r="EB320" i="9"/>
  <c r="DM351" i="9"/>
  <c r="DN371" i="9"/>
  <c r="DM350" i="9"/>
  <c r="DN370" i="9"/>
  <c r="DO358" i="9"/>
  <c r="DO360" i="9"/>
  <c r="DO359" i="9"/>
  <c r="DM357" i="9"/>
  <c r="DK357" i="9" s="1"/>
  <c r="DJ360" i="9" s="1"/>
  <c r="W48" i="2"/>
  <c r="W41" i="2"/>
  <c r="EA356" i="9"/>
  <c r="DY356" i="9"/>
  <c r="DN369" i="9"/>
  <c r="DM349" i="9"/>
  <c r="DO352" i="9"/>
  <c r="DO350" i="9"/>
  <c r="DO351" i="9"/>
  <c r="DY349" i="9"/>
  <c r="EA357" i="9"/>
  <c r="ED378" i="9"/>
  <c r="DX378" i="9" s="1"/>
  <c r="DY353" i="9"/>
  <c r="ED320" i="9"/>
  <c r="DX412" i="9"/>
  <c r="DX407" i="9"/>
  <c r="ED374" i="9"/>
  <c r="DX374" i="9" s="1"/>
  <c r="EA364" i="9"/>
  <c r="EA361" i="9"/>
  <c r="DY361" i="9"/>
  <c r="DY364" i="9"/>
  <c r="CJ369" i="9"/>
  <c r="CX369" i="9"/>
  <c r="CW351" i="9"/>
  <c r="CW352" i="9"/>
  <c r="CW350" i="9"/>
  <c r="DM352" i="9"/>
  <c r="DN372" i="9"/>
  <c r="DO372" i="9" s="1"/>
  <c r="DJ358" i="9"/>
  <c r="DJ359" i="9"/>
  <c r="DJ378" i="9"/>
  <c r="BX457" i="9"/>
  <c r="X48" i="2"/>
  <c r="Z48" i="2" s="1"/>
  <c r="X41" i="2"/>
  <c r="CW394" i="9"/>
  <c r="ED381" i="9"/>
  <c r="DX381" i="9" s="1"/>
  <c r="DJ376" i="9"/>
  <c r="DK394" i="9"/>
  <c r="DJ377" i="9"/>
  <c r="DJ375" i="9"/>
  <c r="DJ374" i="9" s="1"/>
  <c r="CW353" i="9"/>
  <c r="DX344" i="9"/>
  <c r="ED382" i="9"/>
  <c r="DY357" i="9"/>
  <c r="EA353" i="9"/>
  <c r="DZ320" i="9"/>
  <c r="EA5" i="9"/>
  <c r="EA320" i="9" s="1"/>
  <c r="DW320" i="9"/>
  <c r="DX406" i="9" s="1"/>
  <c r="DX405" i="9" s="1"/>
  <c r="DY320" i="9"/>
  <c r="DO364" i="9"/>
  <c r="DM361" i="9"/>
  <c r="DK361" i="9" s="1"/>
  <c r="DO362" i="9"/>
  <c r="DO363" i="9"/>
  <c r="CW361" i="9"/>
  <c r="DK451" i="9"/>
  <c r="AI40" i="2"/>
  <c r="AL40" i="2" s="1"/>
  <c r="AI47" i="2"/>
  <c r="AL47" i="2" s="1"/>
  <c r="DM353" i="9"/>
  <c r="DK353" i="9" s="1"/>
  <c r="DJ356" i="9" s="1"/>
  <c r="DO356" i="9"/>
  <c r="DO354" i="9"/>
  <c r="DO355" i="9"/>
  <c r="EA349" i="9"/>
  <c r="ED386" i="9"/>
  <c r="DX386" i="9" s="1"/>
  <c r="ED389" i="9"/>
  <c r="DX389" i="9" s="1"/>
  <c r="CJ402" i="9"/>
  <c r="CJ400" i="9"/>
  <c r="CI455" i="9"/>
  <c r="CI457" i="9" s="1"/>
  <c r="CJ401" i="9"/>
  <c r="CK415" i="9"/>
  <c r="CJ415" i="9" s="1"/>
  <c r="DB369" i="9"/>
  <c r="BW144" i="14"/>
  <c r="BW143" i="14" s="1"/>
  <c r="BJ144" i="14"/>
  <c r="BJ143" i="14" s="1"/>
  <c r="J9" i="17"/>
  <c r="H12" i="17"/>
  <c r="H13" i="17" s="1"/>
  <c r="CK458" i="9" l="1"/>
  <c r="CK459" i="9"/>
  <c r="DJ364" i="9"/>
  <c r="DJ362" i="9"/>
  <c r="DX414" i="9"/>
  <c r="EB356" i="9"/>
  <c r="DZ353" i="9"/>
  <c r="DX353" i="9" s="1"/>
  <c r="ED394" i="9"/>
  <c r="DX382" i="9"/>
  <c r="DX413" i="9"/>
  <c r="DV449" i="9"/>
  <c r="DJ396" i="9"/>
  <c r="DJ397" i="9"/>
  <c r="DJ395" i="9"/>
  <c r="DJ363" i="9"/>
  <c r="CW372" i="9"/>
  <c r="CW370" i="9"/>
  <c r="CX399" i="9"/>
  <c r="CW371" i="9"/>
  <c r="EB364" i="9"/>
  <c r="DZ361" i="9"/>
  <c r="DX361" i="9" s="1"/>
  <c r="DW376" i="9"/>
  <c r="DX394" i="9"/>
  <c r="DW377" i="9"/>
  <c r="DW375" i="9"/>
  <c r="DW374" i="9" s="1"/>
  <c r="DJ355" i="9"/>
  <c r="DX408" i="9"/>
  <c r="DW381" i="9"/>
  <c r="DW379" i="9"/>
  <c r="DW378" i="9" s="1"/>
  <c r="DW380" i="9"/>
  <c r="DZ357" i="9"/>
  <c r="DX357" i="9" s="1"/>
  <c r="DY369" i="9"/>
  <c r="Z41" i="2"/>
  <c r="DM370" i="9"/>
  <c r="DK350" i="9"/>
  <c r="DK370" i="9" s="1"/>
  <c r="DK400" i="9" s="1"/>
  <c r="DI458" i="9" s="1"/>
  <c r="DK351" i="9"/>
  <c r="DK371" i="9" s="1"/>
  <c r="DK401" i="9" s="1"/>
  <c r="DI459" i="9" s="1"/>
  <c r="DM371" i="9"/>
  <c r="DW389" i="9"/>
  <c r="DW387" i="9"/>
  <c r="DW386" i="9" s="1"/>
  <c r="DW388" i="9"/>
  <c r="CJ399" i="9"/>
  <c r="EA369" i="9"/>
  <c r="DZ349" i="9"/>
  <c r="DO353" i="9"/>
  <c r="DO361" i="9"/>
  <c r="DJ357" i="9"/>
  <c r="DK352" i="9"/>
  <c r="DK372" i="9" s="1"/>
  <c r="DK402" i="9" s="1"/>
  <c r="DI456" i="9" s="1"/>
  <c r="DM372" i="9"/>
  <c r="CW349" i="9"/>
  <c r="DZ364" i="9"/>
  <c r="DX364" i="9" s="1"/>
  <c r="DJ354" i="9"/>
  <c r="DJ353" i="9" s="1"/>
  <c r="DW413" i="9"/>
  <c r="DO349" i="9"/>
  <c r="DM369" i="9"/>
  <c r="DK349" i="9"/>
  <c r="DZ356" i="9"/>
  <c r="DX356" i="9" s="1"/>
  <c r="DO357" i="9"/>
  <c r="DO370" i="9"/>
  <c r="DO371" i="9"/>
  <c r="K11" i="17"/>
  <c r="K64" i="10"/>
  <c r="K9" i="17"/>
  <c r="I12" i="17"/>
  <c r="I13" i="17" s="1"/>
  <c r="I83" i="4"/>
  <c r="DO369" i="9" l="1"/>
  <c r="DJ394" i="9"/>
  <c r="DK369" i="9"/>
  <c r="DJ352" i="9"/>
  <c r="DJ350" i="9"/>
  <c r="DJ349" i="9" s="1"/>
  <c r="DJ351" i="9"/>
  <c r="DW397" i="9"/>
  <c r="DW395" i="9"/>
  <c r="DW396" i="9"/>
  <c r="DW364" i="9"/>
  <c r="CW369" i="9"/>
  <c r="DW356" i="9"/>
  <c r="DJ361" i="9"/>
  <c r="AB48" i="2"/>
  <c r="AB41" i="2"/>
  <c r="DX349" i="9"/>
  <c r="DZ369" i="9"/>
  <c r="CW402" i="9"/>
  <c r="CW400" i="9"/>
  <c r="CV455" i="9"/>
  <c r="CV457" i="9" s="1"/>
  <c r="CW401" i="9"/>
  <c r="CX415" i="9"/>
  <c r="CW415" i="9" s="1"/>
  <c r="DW384" i="9"/>
  <c r="DW385" i="9"/>
  <c r="DW383" i="9"/>
  <c r="CK457" i="9"/>
  <c r="AA48" i="2"/>
  <c r="AD48" i="2" s="1"/>
  <c r="AA41" i="2"/>
  <c r="AD41" i="2" s="1"/>
  <c r="K63" i="10"/>
  <c r="J12" i="17"/>
  <c r="J13" i="17" s="1"/>
  <c r="DW394" i="9" l="1"/>
  <c r="DW382" i="9"/>
  <c r="CW399" i="9"/>
  <c r="DX369" i="9"/>
  <c r="CX458" i="9"/>
  <c r="CX459" i="9"/>
  <c r="DK399" i="9"/>
  <c r="DJ372" i="9"/>
  <c r="DJ371" i="9"/>
  <c r="DJ370" i="9"/>
  <c r="DK415" i="9" l="1"/>
  <c r="DJ415" i="9" s="1"/>
  <c r="DJ402" i="9"/>
  <c r="DI455" i="9"/>
  <c r="DI457" i="9" s="1"/>
  <c r="DJ401" i="9"/>
  <c r="DJ400" i="9"/>
  <c r="CX457" i="9"/>
  <c r="AE48" i="2"/>
  <c r="AE41" i="2"/>
  <c r="DX399" i="9"/>
  <c r="DJ369" i="9"/>
  <c r="AF41" i="2"/>
  <c r="AF48" i="2"/>
  <c r="K12" i="17"/>
  <c r="K13" i="17" s="1"/>
  <c r="W411" i="9"/>
  <c r="W395" i="9"/>
  <c r="DJ399" i="9" l="1"/>
  <c r="DV455" i="9"/>
  <c r="DX415" i="9"/>
  <c r="DW415" i="9" s="1"/>
  <c r="AH41" i="2"/>
  <c r="AH48" i="2"/>
  <c r="DK458" i="9"/>
  <c r="DK459" i="9"/>
  <c r="W388" i="9"/>
  <c r="W386" i="9" s="1"/>
  <c r="DK457" i="9" l="1"/>
  <c r="AI41" i="2"/>
  <c r="AI48" i="2"/>
  <c r="AJ48" i="2"/>
  <c r="AJ41" i="2"/>
  <c r="W397" i="9"/>
  <c r="AL41" i="2" l="1"/>
  <c r="AL48" i="2"/>
  <c r="W396" i="9"/>
  <c r="W394" i="9" s="1"/>
  <c r="W197" i="14" l="1"/>
  <c r="W198" i="14" l="1"/>
  <c r="W165" i="14"/>
  <c r="CI157" i="14" l="1"/>
  <c r="CI131" i="14"/>
  <c r="CP157" i="14"/>
  <c r="CF144" i="14"/>
  <c r="CH144" i="14"/>
  <c r="CK131" i="14"/>
  <c r="CL144" i="14"/>
  <c r="CQ157" i="14"/>
  <c r="CN144" i="14"/>
  <c r="W166" i="14"/>
  <c r="CL131" i="14" l="1"/>
  <c r="CL130" i="14" s="1"/>
  <c r="CJ131" i="14"/>
  <c r="CJ130" i="14" s="1"/>
  <c r="CM144" i="14"/>
  <c r="CK157" i="14"/>
  <c r="BD27" i="13"/>
  <c r="AX108" i="13" s="1"/>
  <c r="AY108" i="13" s="1"/>
  <c r="AY105" i="13" s="1"/>
  <c r="CK144" i="14" l="1"/>
  <c r="BD101" i="13"/>
  <c r="AX113" i="13" s="1"/>
  <c r="CJ144" i="14" l="1"/>
  <c r="CJ143" i="14" s="1"/>
  <c r="AY113" i="13"/>
  <c r="AY110" i="13" s="1"/>
  <c r="E79" i="4"/>
  <c r="I48" i="10" l="1"/>
  <c r="K48" i="10"/>
  <c r="G48" i="10"/>
  <c r="BV135" i="14" l="1"/>
  <c r="BX135" i="14"/>
  <c r="BV136" i="12"/>
  <c r="BX136" i="12"/>
  <c r="BV135" i="12"/>
  <c r="BW135" i="12" s="1"/>
  <c r="BX135" i="12"/>
  <c r="BV136" i="14"/>
  <c r="BX136" i="14"/>
  <c r="BY136" i="14" l="1"/>
  <c r="BX140" i="14"/>
  <c r="BY135" i="12"/>
  <c r="BW136" i="12"/>
  <c r="BV140" i="12"/>
  <c r="BW140" i="12" s="1"/>
  <c r="BW135" i="14"/>
  <c r="BV139" i="14"/>
  <c r="BW136" i="14"/>
  <c r="BV140" i="14"/>
  <c r="BW134" i="12"/>
  <c r="BX140" i="12"/>
  <c r="BY136" i="12"/>
  <c r="BY135" i="14"/>
  <c r="BY134" i="14" s="1"/>
  <c r="BX139" i="14"/>
  <c r="BY140" i="12" l="1"/>
  <c r="L10" i="10"/>
  <c r="BY134" i="12"/>
  <c r="BX190" i="14"/>
  <c r="BX194" i="14" s="1"/>
  <c r="BW194" i="14" s="1"/>
  <c r="BY140" i="14"/>
  <c r="BW140" i="14"/>
  <c r="BX189" i="14"/>
  <c r="BX193" i="14" s="1"/>
  <c r="BW193" i="14" s="1"/>
  <c r="BY139" i="14"/>
  <c r="BW139" i="14"/>
  <c r="BW134" i="14"/>
  <c r="BW192" i="14" l="1"/>
  <c r="BY138" i="14"/>
  <c r="BS148" i="14"/>
  <c r="BS152" i="14" s="1"/>
  <c r="BU148" i="14"/>
  <c r="BU152" i="14" s="1"/>
  <c r="CC161" i="14"/>
  <c r="CC165" i="14" s="1"/>
  <c r="BY148" i="14"/>
  <c r="BY152" i="14" s="1"/>
  <c r="CD161" i="14"/>
  <c r="CA148" i="14"/>
  <c r="BS149" i="14"/>
  <c r="BS153" i="14" s="1"/>
  <c r="BU149" i="14"/>
  <c r="BU153" i="14" s="1"/>
  <c r="CC162" i="14"/>
  <c r="CD162" i="14"/>
  <c r="CD166" i="14" s="1"/>
  <c r="BY149" i="14"/>
  <c r="BY153" i="14" s="1"/>
  <c r="CA149" i="14"/>
  <c r="BW190" i="14"/>
  <c r="L77" i="10"/>
  <c r="CC161" i="12"/>
  <c r="BU148" i="12"/>
  <c r="BS148" i="12"/>
  <c r="BY148" i="12"/>
  <c r="CD161" i="12"/>
  <c r="CA148" i="12"/>
  <c r="BU149" i="12"/>
  <c r="BU153" i="12" s="1"/>
  <c r="BS149" i="12"/>
  <c r="BS153" i="12" s="1"/>
  <c r="CC162" i="12"/>
  <c r="CD162" i="12"/>
  <c r="CD166" i="12" s="1"/>
  <c r="BY149" i="12"/>
  <c r="BY153" i="12" s="1"/>
  <c r="CA149" i="12"/>
  <c r="BW138" i="14"/>
  <c r="BW189" i="14"/>
  <c r="K77" i="10"/>
  <c r="BW188" i="14" l="1"/>
  <c r="BZ148" i="12"/>
  <c r="BX148" i="12" s="1"/>
  <c r="BX162" i="12"/>
  <c r="BX166" i="12" s="1"/>
  <c r="L18" i="10" s="1"/>
  <c r="CC166" i="12"/>
  <c r="BX161" i="12"/>
  <c r="BX198" i="14"/>
  <c r="L78" i="10"/>
  <c r="BX162" i="14"/>
  <c r="BX166" i="14" s="1"/>
  <c r="L19" i="10" s="1"/>
  <c r="L20" i="10" s="1"/>
  <c r="CC166" i="14"/>
  <c r="BX161" i="14"/>
  <c r="BX165" i="14" s="1"/>
  <c r="K19" i="10" s="1"/>
  <c r="CD165" i="14"/>
  <c r="BX197" i="14"/>
  <c r="K11" i="10" s="1"/>
  <c r="K78" i="10"/>
  <c r="K80" i="10" s="1"/>
  <c r="BZ149" i="12"/>
  <c r="CA153" i="12"/>
  <c r="BW148" i="12"/>
  <c r="BZ149" i="14"/>
  <c r="CA153" i="14"/>
  <c r="BZ148" i="14"/>
  <c r="CA152" i="14"/>
  <c r="L11" i="10" l="1"/>
  <c r="L12" i="10" s="1"/>
  <c r="BX148" i="14"/>
  <c r="BZ152" i="14"/>
  <c r="BX149" i="14"/>
  <c r="BZ153" i="14"/>
  <c r="BX149" i="12"/>
  <c r="BZ153" i="12"/>
  <c r="B79" i="10"/>
  <c r="BX153" i="12" l="1"/>
  <c r="BW149" i="12"/>
  <c r="BW147" i="12" s="1"/>
  <c r="BW149" i="14"/>
  <c r="BX153" i="14"/>
  <c r="BW148" i="14"/>
  <c r="BW147" i="14" s="1"/>
  <c r="BX152" i="14"/>
  <c r="AP101" i="13"/>
  <c r="AJ113" i="13" s="1"/>
  <c r="C79" i="4" s="1"/>
  <c r="AI27" i="13"/>
  <c r="AC108" i="13" s="1"/>
  <c r="AD108" i="13" s="1"/>
  <c r="BX170" i="14" l="1"/>
  <c r="BW170" i="14" s="1"/>
  <c r="BW152" i="14"/>
  <c r="K15" i="10"/>
  <c r="BX171" i="14"/>
  <c r="BW171" i="14" s="1"/>
  <c r="BW153" i="14"/>
  <c r="L15" i="10"/>
  <c r="BX171" i="12"/>
  <c r="BW171" i="12" s="1"/>
  <c r="BW153" i="12"/>
  <c r="L14" i="10"/>
  <c r="AH27" i="13"/>
  <c r="AC107" i="13" s="1"/>
  <c r="J24" i="10" s="1"/>
  <c r="AI101" i="13"/>
  <c r="AC113" i="13" s="1"/>
  <c r="I65" i="10" s="1"/>
  <c r="AB27" i="13"/>
  <c r="V108" i="13" s="1"/>
  <c r="W108" i="13" s="1"/>
  <c r="Z101" i="13"/>
  <c r="V111" i="13" s="1"/>
  <c r="AK113" i="13"/>
  <c r="AK110" i="13" s="1"/>
  <c r="K65" i="10"/>
  <c r="K66" i="10" s="1"/>
  <c r="AH101" i="13"/>
  <c r="AC112" i="13" s="1"/>
  <c r="Z27" i="13"/>
  <c r="V106" i="13" s="1"/>
  <c r="AB101" i="13"/>
  <c r="V113" i="13" s="1"/>
  <c r="AA101" i="13"/>
  <c r="V112" i="13" s="1"/>
  <c r="AD107" i="13" l="1"/>
  <c r="AD105" i="13" s="1"/>
  <c r="L16" i="10"/>
  <c r="L21" i="10" s="1"/>
  <c r="BW151" i="14"/>
  <c r="BW169" i="14"/>
  <c r="AD113" i="13"/>
  <c r="W113" i="13"/>
  <c r="G65" i="10"/>
  <c r="AD112" i="13"/>
  <c r="J23" i="10"/>
  <c r="J25" i="10" s="1"/>
  <c r="W112" i="13"/>
  <c r="H23" i="10"/>
  <c r="H25" i="10" s="1"/>
  <c r="W106" i="13"/>
  <c r="W105" i="13" s="1"/>
  <c r="G24" i="10"/>
  <c r="W111" i="13"/>
  <c r="G23" i="10"/>
  <c r="G25" i="10" s="1"/>
  <c r="L30" i="10" l="1"/>
  <c r="L32" i="10" s="1"/>
  <c r="L34" i="10" s="1"/>
  <c r="L37" i="10" s="1"/>
  <c r="H98" i="7"/>
  <c r="L5" i="11" s="1"/>
  <c r="F68" i="11" s="1"/>
  <c r="AD110" i="13"/>
  <c r="G43" i="10"/>
  <c r="J31" i="10"/>
  <c r="I43" i="10"/>
  <c r="W110" i="13"/>
  <c r="G31" i="10"/>
  <c r="H31" i="10"/>
  <c r="F90" i="7" l="1"/>
  <c r="J24" i="17"/>
  <c r="J25" i="17" s="1"/>
  <c r="K23" i="17"/>
  <c r="K25" i="17" s="1"/>
  <c r="I26" i="17"/>
  <c r="I28" i="17" s="1"/>
  <c r="K26" i="17"/>
  <c r="K28" i="17" s="1"/>
  <c r="J6" i="17" l="1"/>
  <c r="J7" i="17" s="1"/>
  <c r="J8" i="17"/>
  <c r="J10" i="17" s="1"/>
  <c r="K6" i="17"/>
  <c r="K7" i="17" s="1"/>
  <c r="K8" i="17"/>
  <c r="K10" i="17" s="1"/>
  <c r="V439" i="9" l="1"/>
  <c r="X440" i="9" s="1"/>
  <c r="H34" i="2" s="1"/>
  <c r="V426" i="9"/>
  <c r="V444" i="9" s="1"/>
  <c r="V445" i="9" s="1"/>
  <c r="V435" i="9"/>
  <c r="V430" i="9"/>
  <c r="V159" i="14"/>
  <c r="V167" i="14" s="1"/>
  <c r="X133" i="14"/>
  <c r="U146" i="14"/>
  <c r="S146" i="14"/>
  <c r="V440" i="9"/>
  <c r="X441" i="9" s="1"/>
  <c r="I34" i="2" s="1"/>
  <c r="V420" i="9"/>
  <c r="V425" i="9"/>
  <c r="V421" i="9"/>
  <c r="V441" i="9"/>
  <c r="V431" i="9"/>
  <c r="AA146" i="14"/>
  <c r="Y146" i="14"/>
  <c r="Y154" i="14" s="1"/>
  <c r="AC159" i="14"/>
  <c r="V419" i="9"/>
  <c r="V429" i="9"/>
  <c r="V424" i="9"/>
  <c r="V434" i="9"/>
  <c r="AD159" i="14"/>
  <c r="AD167" i="14" s="1"/>
  <c r="V133" i="14"/>
  <c r="W133" i="14" s="1"/>
  <c r="AC391" i="9"/>
  <c r="X391" i="9" s="1"/>
  <c r="BR15" i="13"/>
  <c r="BQ17" i="13"/>
  <c r="BR40" i="13"/>
  <c r="BR20" i="13"/>
  <c r="BR83" i="13"/>
  <c r="BK42" i="13"/>
  <c r="BK31" i="13"/>
  <c r="BK69" i="13"/>
  <c r="BP35" i="13"/>
  <c r="BP60" i="13"/>
  <c r="BP85" i="13"/>
  <c r="BI55" i="13"/>
  <c r="BI33" i="13"/>
  <c r="BI67" i="13"/>
  <c r="BQ48" i="13"/>
  <c r="BQ34" i="13"/>
  <c r="BQ67" i="13"/>
  <c r="BJ61" i="13"/>
  <c r="BJ31" i="13"/>
  <c r="BR33" i="13"/>
  <c r="BR78" i="13"/>
  <c r="BR67" i="13"/>
  <c r="BK59" i="13"/>
  <c r="BK15" i="13"/>
  <c r="BK68" i="13"/>
  <c r="BP55" i="13"/>
  <c r="BP36" i="13"/>
  <c r="BP82" i="13"/>
  <c r="BI60" i="13"/>
  <c r="BI42" i="13"/>
  <c r="BQ36" i="13"/>
  <c r="BQ69" i="13"/>
  <c r="BQ74" i="13"/>
  <c r="BJ44" i="13"/>
  <c r="BJ15" i="13"/>
  <c r="BJ67" i="13"/>
  <c r="BR81" i="13"/>
  <c r="BR34" i="13"/>
  <c r="BR76" i="13"/>
  <c r="BK74" i="13"/>
  <c r="BK63" i="13"/>
  <c r="BP17" i="13"/>
  <c r="BP48" i="13"/>
  <c r="BP77" i="13"/>
  <c r="BI43" i="13"/>
  <c r="BI85" i="13"/>
  <c r="BI78" i="13"/>
  <c r="BQ60" i="13"/>
  <c r="BQ42" i="13"/>
  <c r="BQ75" i="13"/>
  <c r="BJ77" i="13"/>
  <c r="BJ39" i="13"/>
  <c r="BR36" i="13"/>
  <c r="BR16" i="13"/>
  <c r="BR75" i="13"/>
  <c r="BK38" i="13"/>
  <c r="BK20" i="13"/>
  <c r="BK84" i="13"/>
  <c r="BP42" i="13"/>
  <c r="BP33" i="13"/>
  <c r="BP74" i="13"/>
  <c r="BI56" i="13"/>
  <c r="BI34" i="13"/>
  <c r="BQ31" i="13"/>
  <c r="BQ81" i="13"/>
  <c r="BQ82" i="13"/>
  <c r="BJ56" i="13"/>
  <c r="BJ38" i="13"/>
  <c r="BJ75" i="13"/>
  <c r="BR74" i="13"/>
  <c r="BR63" i="13"/>
  <c r="BK57" i="13"/>
  <c r="BK83" i="13"/>
  <c r="BK60" i="13"/>
  <c r="BP38" i="13"/>
  <c r="BP15" i="13"/>
  <c r="BP70" i="13"/>
  <c r="BI48" i="13"/>
  <c r="BI61" i="13"/>
  <c r="BQ35" i="13"/>
  <c r="BQ85" i="13"/>
  <c r="BQ47" i="13"/>
  <c r="BJ33" i="13"/>
  <c r="BJ42" i="13"/>
  <c r="BJ83" i="13"/>
  <c r="BR49" i="13"/>
  <c r="BR17" i="13"/>
  <c r="BR44" i="13"/>
  <c r="BK46" i="13"/>
  <c r="BK35" i="13"/>
  <c r="BK77" i="13"/>
  <c r="BP34" i="13"/>
  <c r="BP84" i="13"/>
  <c r="BP54" i="13"/>
  <c r="BI44" i="13"/>
  <c r="BI57" i="13"/>
  <c r="BI83" i="13"/>
  <c r="BQ39" i="13"/>
  <c r="BQ15" i="13"/>
  <c r="BQ55" i="13"/>
  <c r="BJ41" i="13"/>
  <c r="BJ46" i="13"/>
  <c r="BJ68" i="13"/>
  <c r="BR57" i="13"/>
  <c r="BR31" i="13"/>
  <c r="BR48" i="13"/>
  <c r="BK50" i="13"/>
  <c r="BK39" i="13"/>
  <c r="BK81" i="13"/>
  <c r="BP43" i="13"/>
  <c r="BP76" i="13"/>
  <c r="BP50" i="13"/>
  <c r="BI40" i="13"/>
  <c r="BI49" i="13"/>
  <c r="BI75" i="13"/>
  <c r="BQ43" i="13"/>
  <c r="BQ16" i="13"/>
  <c r="BQ59" i="13"/>
  <c r="BJ49" i="13"/>
  <c r="BJ50" i="13"/>
  <c r="BJ76" i="13"/>
  <c r="BR61" i="13"/>
  <c r="BR35" i="13"/>
  <c r="BR56" i="13"/>
  <c r="BK54" i="13"/>
  <c r="BK43" i="13"/>
  <c r="BK85" i="13"/>
  <c r="BP63" i="13"/>
  <c r="BP44" i="13"/>
  <c r="BI16" i="13"/>
  <c r="BI76" i="13"/>
  <c r="BI50" i="13"/>
  <c r="BQ44" i="13"/>
  <c r="BQ20" i="13"/>
  <c r="BQ63" i="13"/>
  <c r="BJ57" i="13"/>
  <c r="BJ54" i="13"/>
  <c r="BJ84" i="13"/>
  <c r="BR46" i="13"/>
  <c r="BR42" i="13"/>
  <c r="BK17" i="13"/>
  <c r="BK82" i="13"/>
  <c r="BK40" i="13"/>
  <c r="BP59" i="13"/>
  <c r="BP40" i="13"/>
  <c r="BI15" i="13"/>
  <c r="BI68" i="13"/>
  <c r="BI46" i="13"/>
  <c r="BQ61" i="13"/>
  <c r="BQ70" i="13"/>
  <c r="BJ40" i="13"/>
  <c r="BJ82" i="13"/>
  <c r="BJ63" i="13"/>
  <c r="BR77" i="13"/>
  <c r="BR43" i="13"/>
  <c r="BR68" i="13"/>
  <c r="BK70" i="13"/>
  <c r="BK55" i="13"/>
  <c r="BP31" i="13"/>
  <c r="BP56" i="13"/>
  <c r="BP81" i="13"/>
  <c r="BI47" i="13"/>
  <c r="BI17" i="13"/>
  <c r="BI82" i="13"/>
  <c r="BQ56" i="13"/>
  <c r="BQ38" i="13"/>
  <c r="BQ71" i="13"/>
  <c r="BJ69" i="13"/>
  <c r="BJ35" i="13"/>
  <c r="BR41" i="13"/>
  <c r="BR82" i="13"/>
  <c r="BR71" i="13"/>
  <c r="BK34" i="13"/>
  <c r="BK16" i="13"/>
  <c r="BK76" i="13"/>
  <c r="BP47" i="13"/>
  <c r="BP41" i="13"/>
  <c r="BP78" i="13"/>
  <c r="BI59" i="13"/>
  <c r="BI38" i="13"/>
  <c r="BQ40" i="13"/>
  <c r="BQ77" i="13"/>
  <c r="BQ78" i="13"/>
  <c r="BJ48" i="13"/>
  <c r="BJ34" i="13"/>
  <c r="BJ71" i="13"/>
  <c r="BR85" i="13"/>
  <c r="BR38" i="13"/>
  <c r="BR84" i="13"/>
  <c r="BK78" i="13"/>
  <c r="BK36" i="13"/>
  <c r="BP20" i="13"/>
  <c r="BP83" i="13"/>
  <c r="BP69" i="13"/>
  <c r="BI39" i="13"/>
  <c r="BI81" i="13"/>
  <c r="BI74" i="13"/>
  <c r="BQ68" i="13"/>
  <c r="BQ33" i="13"/>
  <c r="BQ83" i="13"/>
  <c r="BJ81" i="13"/>
  <c r="BJ43" i="13"/>
  <c r="BR69" i="13"/>
  <c r="BR39" i="13"/>
  <c r="BR60" i="13"/>
  <c r="BK61" i="13"/>
  <c r="BK47" i="13"/>
  <c r="BP16" i="13"/>
  <c r="BP75" i="13"/>
  <c r="BP61" i="13"/>
  <c r="BI35" i="13"/>
  <c r="BI77" i="13"/>
  <c r="BI70" i="13"/>
  <c r="BQ76" i="13"/>
  <c r="BQ41" i="13"/>
  <c r="BJ16" i="13"/>
  <c r="BJ85" i="13"/>
  <c r="BJ47" i="13"/>
  <c r="BR50" i="13"/>
  <c r="BR47" i="13"/>
  <c r="BK33" i="13"/>
  <c r="BK67" i="13"/>
  <c r="BK44" i="13"/>
  <c r="BP71" i="13"/>
  <c r="BP57" i="13"/>
  <c r="BI31" i="13"/>
  <c r="BI69" i="13"/>
  <c r="BI63" i="13"/>
  <c r="BQ84" i="13"/>
  <c r="BQ46" i="13"/>
  <c r="BJ20" i="13"/>
  <c r="BJ70" i="13"/>
  <c r="BJ55" i="13"/>
  <c r="BR54" i="13"/>
  <c r="BR55" i="13"/>
  <c r="BK41" i="13"/>
  <c r="BK71" i="13"/>
  <c r="BK48" i="13"/>
  <c r="BP67" i="13"/>
  <c r="BP49" i="13"/>
  <c r="BI20" i="13"/>
  <c r="BI84" i="13"/>
  <c r="BI54" i="13"/>
  <c r="BQ49" i="13"/>
  <c r="BQ50" i="13"/>
  <c r="BJ17" i="13"/>
  <c r="BJ74" i="13"/>
  <c r="BJ60" i="13"/>
  <c r="BR70" i="13"/>
  <c r="BR59" i="13"/>
  <c r="BK49" i="13"/>
  <c r="BK75" i="13"/>
  <c r="BK56" i="13"/>
  <c r="BP39" i="13"/>
  <c r="BP68" i="13"/>
  <c r="BP46" i="13"/>
  <c r="BI36" i="13"/>
  <c r="BI41" i="13"/>
  <c r="BI71" i="13"/>
  <c r="BQ57" i="13"/>
  <c r="BQ54" i="13"/>
  <c r="BJ36" i="13"/>
  <c r="BJ78" i="13"/>
  <c r="BJ59" i="13"/>
  <c r="CI135" i="14" l="1"/>
  <c r="CK135" i="14"/>
  <c r="CI135" i="12"/>
  <c r="CJ135" i="12" s="1"/>
  <c r="CK135" i="12"/>
  <c r="X431" i="9"/>
  <c r="X421" i="9"/>
  <c r="I13" i="2" s="1"/>
  <c r="X424" i="9"/>
  <c r="G19" i="2" s="1"/>
  <c r="X425" i="9"/>
  <c r="H19" i="2" s="1"/>
  <c r="V446" i="9"/>
  <c r="X420" i="9"/>
  <c r="H13" i="2" s="1"/>
  <c r="X419" i="9"/>
  <c r="G13" i="2" s="1"/>
  <c r="AA154" i="14"/>
  <c r="Z146" i="14"/>
  <c r="X426" i="9"/>
  <c r="I19" i="2" s="1"/>
  <c r="V447" i="9"/>
  <c r="X434" i="9"/>
  <c r="G29" i="2" s="1"/>
  <c r="X435" i="9"/>
  <c r="H29" i="2" s="1"/>
  <c r="X429" i="9"/>
  <c r="G24" i="2" s="1"/>
  <c r="X430" i="9"/>
  <c r="H24" i="2" s="1"/>
  <c r="X159" i="14"/>
  <c r="X167" i="14" s="1"/>
  <c r="W167" i="14" s="1"/>
  <c r="W164" i="14" s="1"/>
  <c r="AC167" i="14"/>
  <c r="X141" i="14"/>
  <c r="Y133" i="14"/>
  <c r="X438" i="9"/>
  <c r="BI101" i="13"/>
  <c r="BE111" i="13" s="1"/>
  <c r="BI27" i="13"/>
  <c r="BE106" i="13" s="1"/>
  <c r="BP27" i="13"/>
  <c r="BL106" i="13" s="1"/>
  <c r="BQ101" i="13"/>
  <c r="BL112" i="13" s="1"/>
  <c r="BK27" i="13"/>
  <c r="BE108" i="13" s="1"/>
  <c r="BF108" i="13" s="1"/>
  <c r="BP101" i="13"/>
  <c r="BL111" i="13" s="1"/>
  <c r="BR101" i="13"/>
  <c r="BL113" i="13" s="1"/>
  <c r="BQ27" i="13"/>
  <c r="BL107" i="13" s="1"/>
  <c r="BJ27" i="13"/>
  <c r="BE107" i="13" s="1"/>
  <c r="BJ101" i="13"/>
  <c r="BE112" i="13" s="1"/>
  <c r="BK101" i="13"/>
  <c r="BE113" i="13" s="1"/>
  <c r="BR27" i="13"/>
  <c r="BL108" i="13" s="1"/>
  <c r="BM108" i="13" s="1"/>
  <c r="I24" i="2" l="1"/>
  <c r="CL135" i="12"/>
  <c r="CL135" i="14"/>
  <c r="CK139" i="14"/>
  <c r="CJ135" i="14"/>
  <c r="CI139" i="14"/>
  <c r="X331" i="9"/>
  <c r="Y331" i="9" s="1"/>
  <c r="Y356" i="9"/>
  <c r="AC381" i="9"/>
  <c r="U356" i="9"/>
  <c r="S356" i="9"/>
  <c r="AA356" i="9"/>
  <c r="V331" i="9"/>
  <c r="W331" i="9" s="1"/>
  <c r="AD381" i="9"/>
  <c r="X330" i="9"/>
  <c r="V330" i="9"/>
  <c r="W330" i="9" s="1"/>
  <c r="S355" i="9"/>
  <c r="AC380" i="9"/>
  <c r="Y355" i="9"/>
  <c r="AA355" i="9"/>
  <c r="AD380" i="9"/>
  <c r="U355" i="9"/>
  <c r="Y330" i="9"/>
  <c r="W413" i="9"/>
  <c r="X191" i="14"/>
  <c r="X195" i="14" s="1"/>
  <c r="W141" i="14"/>
  <c r="Y141" i="14"/>
  <c r="X428" i="9"/>
  <c r="X433" i="9"/>
  <c r="C12" i="17" s="1"/>
  <c r="X146" i="14"/>
  <c r="Z154" i="14"/>
  <c r="X418" i="9"/>
  <c r="X446" i="9"/>
  <c r="G46" i="2" s="1"/>
  <c r="X447" i="9"/>
  <c r="X423" i="9"/>
  <c r="G79" i="4"/>
  <c r="BF113" i="13"/>
  <c r="H24" i="4"/>
  <c r="BF107" i="13"/>
  <c r="I79" i="4"/>
  <c r="BM113" i="13"/>
  <c r="BM112" i="13"/>
  <c r="J23" i="4"/>
  <c r="G24" i="4"/>
  <c r="BF106" i="13"/>
  <c r="BF105" i="13" s="1"/>
  <c r="BF112" i="13"/>
  <c r="H23" i="4"/>
  <c r="J24" i="4"/>
  <c r="BM107" i="13"/>
  <c r="I23" i="4"/>
  <c r="BM111" i="13"/>
  <c r="I24" i="4"/>
  <c r="BM106" i="13"/>
  <c r="BF111" i="13"/>
  <c r="G23" i="4"/>
  <c r="H39" i="2" l="1"/>
  <c r="H46" i="2"/>
  <c r="X327" i="9"/>
  <c r="G39" i="2"/>
  <c r="AD377" i="9"/>
  <c r="AC377" i="9"/>
  <c r="S352" i="9"/>
  <c r="AA352" i="9"/>
  <c r="Y352" i="9"/>
  <c r="V327" i="9"/>
  <c r="U352" i="9"/>
  <c r="C69" i="10"/>
  <c r="Y327" i="9"/>
  <c r="C8" i="17"/>
  <c r="C9" i="17"/>
  <c r="C11" i="17"/>
  <c r="C13" i="17" s="1"/>
  <c r="C6" i="17"/>
  <c r="C5" i="17"/>
  <c r="CI136" i="14"/>
  <c r="CK136" i="14"/>
  <c r="AS145" i="12"/>
  <c r="BA145" i="12"/>
  <c r="BC158" i="12"/>
  <c r="BD158" i="12"/>
  <c r="AY145" i="12"/>
  <c r="AU145" i="12"/>
  <c r="AV132" i="12"/>
  <c r="AX132" i="12"/>
  <c r="CK189" i="14"/>
  <c r="CK193" i="14" s="1"/>
  <c r="CJ193" i="14" s="1"/>
  <c r="CJ139" i="14"/>
  <c r="CL139" i="14"/>
  <c r="CI136" i="12"/>
  <c r="CK136" i="12"/>
  <c r="AV158" i="14"/>
  <c r="AY145" i="14"/>
  <c r="AX132" i="14"/>
  <c r="AV132" i="14"/>
  <c r="BD158" i="14"/>
  <c r="AS145" i="14"/>
  <c r="AU145" i="14"/>
  <c r="BA145" i="14"/>
  <c r="BC158" i="14"/>
  <c r="G25" i="4"/>
  <c r="G31" i="4" s="1"/>
  <c r="H25" i="4"/>
  <c r="H31" i="4" s="1"/>
  <c r="AD375" i="9"/>
  <c r="AA350" i="9"/>
  <c r="X325" i="9"/>
  <c r="U350" i="9"/>
  <c r="V325" i="9"/>
  <c r="Y350" i="9"/>
  <c r="AC375" i="9"/>
  <c r="S350" i="9"/>
  <c r="X154" i="14"/>
  <c r="W154" i="14" s="1"/>
  <c r="W146" i="14"/>
  <c r="X377" i="9"/>
  <c r="AB352" i="9"/>
  <c r="Z352" i="9"/>
  <c r="Z356" i="9"/>
  <c r="X356" i="9" s="1"/>
  <c r="W356" i="9" s="1"/>
  <c r="AB356" i="9"/>
  <c r="N13" i="2"/>
  <c r="W327" i="9"/>
  <c r="AB355" i="9"/>
  <c r="Z355" i="9"/>
  <c r="X355" i="9" s="1"/>
  <c r="W355" i="9" s="1"/>
  <c r="X380" i="9"/>
  <c r="X381" i="9"/>
  <c r="X445" i="9"/>
  <c r="W191" i="14"/>
  <c r="W195" i="14"/>
  <c r="BF110" i="13"/>
  <c r="BM110" i="13"/>
  <c r="G47" i="4"/>
  <c r="BM105" i="13"/>
  <c r="I25" i="4"/>
  <c r="J25" i="4"/>
  <c r="J31" i="4" s="1"/>
  <c r="X326" i="9" l="1"/>
  <c r="Y326" i="9" s="1"/>
  <c r="Y351" i="9"/>
  <c r="S351" i="9"/>
  <c r="AC376" i="9"/>
  <c r="AD376" i="9"/>
  <c r="AA351" i="9"/>
  <c r="V326" i="9"/>
  <c r="W326" i="9" s="1"/>
  <c r="U351" i="9"/>
  <c r="J13" i="2"/>
  <c r="C10" i="17"/>
  <c r="C7" i="17"/>
  <c r="CP161" i="14"/>
  <c r="CP165" i="14" s="1"/>
  <c r="CF148" i="14"/>
  <c r="CF152" i="14" s="1"/>
  <c r="CH148" i="14"/>
  <c r="CH152" i="14" s="1"/>
  <c r="CQ161" i="14"/>
  <c r="CL148" i="14"/>
  <c r="CL152" i="14" s="1"/>
  <c r="CN148" i="14"/>
  <c r="AV157" i="14"/>
  <c r="BD157" i="14"/>
  <c r="AX131" i="14"/>
  <c r="AV131" i="14"/>
  <c r="AY144" i="14"/>
  <c r="AU144" i="14"/>
  <c r="AS144" i="14"/>
  <c r="BA144" i="14"/>
  <c r="BC157" i="14"/>
  <c r="AX158" i="14"/>
  <c r="AY132" i="14"/>
  <c r="CK140" i="12"/>
  <c r="CL140" i="12" s="1"/>
  <c r="CL136" i="12"/>
  <c r="CL134" i="12" s="1"/>
  <c r="CJ189" i="14"/>
  <c r="AZ145" i="12"/>
  <c r="CL136" i="14"/>
  <c r="CL134" i="14" s="1"/>
  <c r="CK140" i="14"/>
  <c r="CF148" i="12"/>
  <c r="CP161" i="12"/>
  <c r="CH148" i="12"/>
  <c r="CQ161" i="12"/>
  <c r="CL148" i="12"/>
  <c r="CN148" i="12"/>
  <c r="AZ145" i="14"/>
  <c r="AW132" i="14"/>
  <c r="CJ136" i="12"/>
  <c r="CJ134" i="12" s="1"/>
  <c r="CI140" i="12"/>
  <c r="CJ140" i="12" s="1"/>
  <c r="AX158" i="12"/>
  <c r="CJ136" i="14"/>
  <c r="CJ134" i="14" s="1"/>
  <c r="CI140" i="14"/>
  <c r="X375" i="9"/>
  <c r="X172" i="14"/>
  <c r="W172" i="14" s="1"/>
  <c r="X199" i="14"/>
  <c r="W199" i="14" s="1"/>
  <c r="W196" i="14" s="1"/>
  <c r="W325" i="9"/>
  <c r="AB350" i="9"/>
  <c r="Z350" i="9"/>
  <c r="X352" i="9"/>
  <c r="Y325" i="9"/>
  <c r="Y324" i="9" s="1"/>
  <c r="I31" i="4"/>
  <c r="I47" i="4"/>
  <c r="W324" i="9" l="1"/>
  <c r="Z351" i="9"/>
  <c r="X351" i="9" s="1"/>
  <c r="W351" i="9" s="1"/>
  <c r="AB351" i="9"/>
  <c r="AB349" i="9" s="1"/>
  <c r="X376" i="9"/>
  <c r="X350" i="9"/>
  <c r="AA360" i="9"/>
  <c r="Y360" i="9"/>
  <c r="X335" i="9"/>
  <c r="AC385" i="9"/>
  <c r="S360" i="9"/>
  <c r="AD385" i="9"/>
  <c r="V335" i="9"/>
  <c r="U360" i="9"/>
  <c r="CM148" i="12"/>
  <c r="CK148" i="12" s="1"/>
  <c r="CJ148" i="12" s="1"/>
  <c r="AX145" i="12"/>
  <c r="AZ144" i="14"/>
  <c r="AW131" i="14"/>
  <c r="AW130" i="14" s="1"/>
  <c r="CM148" i="14"/>
  <c r="CN152" i="14"/>
  <c r="CK161" i="14"/>
  <c r="CK165" i="14" s="1"/>
  <c r="CQ165" i="14"/>
  <c r="AX145" i="14"/>
  <c r="CK161" i="12"/>
  <c r="CK190" i="14"/>
  <c r="CK194" i="14" s="1"/>
  <c r="CJ194" i="14" s="1"/>
  <c r="CJ192" i="14" s="1"/>
  <c r="CJ140" i="14"/>
  <c r="CJ138" i="14" s="1"/>
  <c r="CL140" i="14"/>
  <c r="CL138" i="14" s="1"/>
  <c r="CK197" i="14"/>
  <c r="C11" i="4" s="1"/>
  <c r="AX157" i="14"/>
  <c r="AY131" i="14"/>
  <c r="AY130" i="14" s="1"/>
  <c r="W352" i="9"/>
  <c r="W350" i="9"/>
  <c r="Y131" i="12"/>
  <c r="Y130" i="12" s="1"/>
  <c r="W131" i="12"/>
  <c r="W130" i="12" s="1"/>
  <c r="W367" i="9"/>
  <c r="W335" i="9" l="1"/>
  <c r="Y335" i="9"/>
  <c r="X385" i="9"/>
  <c r="Z360" i="9"/>
  <c r="AB360" i="9"/>
  <c r="CH149" i="12"/>
  <c r="CH153" i="12" s="1"/>
  <c r="CF149" i="12"/>
  <c r="CF153" i="12" s="1"/>
  <c r="CP162" i="12"/>
  <c r="CL149" i="12"/>
  <c r="CL153" i="12" s="1"/>
  <c r="CQ162" i="12"/>
  <c r="CQ166" i="12" s="1"/>
  <c r="CN149" i="12"/>
  <c r="AX144" i="14"/>
  <c r="CF149" i="14"/>
  <c r="CF153" i="14" s="1"/>
  <c r="CH149" i="14"/>
  <c r="CH153" i="14" s="1"/>
  <c r="CP162" i="14"/>
  <c r="CP166" i="14" s="1"/>
  <c r="CL149" i="14"/>
  <c r="CL153" i="14" s="1"/>
  <c r="CQ162" i="14"/>
  <c r="CN149" i="14"/>
  <c r="CJ190" i="14"/>
  <c r="CJ188" i="14" s="1"/>
  <c r="AW145" i="14"/>
  <c r="CK148" i="14"/>
  <c r="CM152" i="14"/>
  <c r="W349" i="9"/>
  <c r="W385" i="9" l="1"/>
  <c r="X360" i="9"/>
  <c r="W360" i="9" s="1"/>
  <c r="CJ148" i="14"/>
  <c r="CK152" i="14"/>
  <c r="CK162" i="14"/>
  <c r="CK166" i="14" s="1"/>
  <c r="CQ166" i="14"/>
  <c r="CM149" i="12"/>
  <c r="CN153" i="12"/>
  <c r="CK198" i="14"/>
  <c r="D11" i="4" s="1"/>
  <c r="CM149" i="14"/>
  <c r="CN153" i="14"/>
  <c r="AW144" i="14"/>
  <c r="AW143" i="14" s="1"/>
  <c r="CK162" i="12"/>
  <c r="CK166" i="12" s="1"/>
  <c r="CP166" i="12"/>
  <c r="CK149" i="14" l="1"/>
  <c r="CM153" i="14"/>
  <c r="CK149" i="12"/>
  <c r="CM153" i="12"/>
  <c r="CK170" i="14"/>
  <c r="CJ170" i="14" s="1"/>
  <c r="CJ152" i="14"/>
  <c r="H81" i="7" l="1"/>
  <c r="CK153" i="12"/>
  <c r="CJ149" i="12"/>
  <c r="CJ147" i="12" s="1"/>
  <c r="CJ149" i="14"/>
  <c r="CJ147" i="14" s="1"/>
  <c r="CK153" i="14"/>
  <c r="G64" i="10" l="1"/>
  <c r="C78" i="4"/>
  <c r="CK171" i="14"/>
  <c r="CJ171" i="14" s="1"/>
  <c r="CJ169" i="14" s="1"/>
  <c r="CJ153" i="14"/>
  <c r="CJ151" i="14" s="1"/>
  <c r="CK171" i="12"/>
  <c r="CJ171" i="12" s="1"/>
  <c r="CJ153" i="12"/>
  <c r="G63" i="10" l="1"/>
  <c r="G66" i="10" l="1"/>
  <c r="AV136" i="14" l="1"/>
  <c r="AX136" i="14"/>
  <c r="AV135" i="14"/>
  <c r="AX135" i="14"/>
  <c r="AV136" i="12"/>
  <c r="AX136" i="12"/>
  <c r="AV135" i="12"/>
  <c r="AX135" i="12"/>
  <c r="AY135" i="12" l="1"/>
  <c r="AX140" i="12"/>
  <c r="AY136" i="12"/>
  <c r="AY135" i="14"/>
  <c r="AX139" i="14"/>
  <c r="AY136" i="14"/>
  <c r="AX140" i="14"/>
  <c r="AW135" i="12"/>
  <c r="AW136" i="12"/>
  <c r="AV140" i="12"/>
  <c r="AW140" i="12" s="1"/>
  <c r="AW135" i="14"/>
  <c r="AV139" i="14"/>
  <c r="AW136" i="14"/>
  <c r="AV140" i="14"/>
  <c r="AY140" i="12" l="1"/>
  <c r="D10" i="4"/>
  <c r="AW134" i="12"/>
  <c r="AX190" i="14"/>
  <c r="AW140" i="14"/>
  <c r="AY140" i="14"/>
  <c r="AX189" i="14"/>
  <c r="AW139" i="14"/>
  <c r="AY139" i="14"/>
  <c r="AW134" i="14"/>
  <c r="AY134" i="14"/>
  <c r="AY134" i="12"/>
  <c r="H10" i="10"/>
  <c r="D91" i="4" l="1"/>
  <c r="AX194" i="14"/>
  <c r="AW194" i="14" s="1"/>
  <c r="C91" i="4"/>
  <c r="AX193" i="14"/>
  <c r="AW193" i="14" s="1"/>
  <c r="AW192" i="14" s="1"/>
  <c r="AY138" i="14"/>
  <c r="AW138" i="14"/>
  <c r="AY148" i="14"/>
  <c r="AY152" i="14" s="1"/>
  <c r="BD161" i="14"/>
  <c r="BD165" i="14" s="1"/>
  <c r="BC161" i="14"/>
  <c r="BA148" i="14"/>
  <c r="AS148" i="14"/>
  <c r="AS152" i="14" s="1"/>
  <c r="AU148" i="14"/>
  <c r="AU152" i="14" s="1"/>
  <c r="BD162" i="14"/>
  <c r="BD166" i="14" s="1"/>
  <c r="AY149" i="14"/>
  <c r="AY153" i="14" s="1"/>
  <c r="BA149" i="14"/>
  <c r="AS149" i="14"/>
  <c r="AS153" i="14" s="1"/>
  <c r="AU149" i="14"/>
  <c r="AU153" i="14" s="1"/>
  <c r="BC162" i="14"/>
  <c r="BD161" i="12"/>
  <c r="AU148" i="12"/>
  <c r="AY148" i="12"/>
  <c r="AS148" i="12"/>
  <c r="BC161" i="12"/>
  <c r="BA148" i="12"/>
  <c r="AY149" i="12"/>
  <c r="AY153" i="12" s="1"/>
  <c r="AS149" i="12"/>
  <c r="AS153" i="12" s="1"/>
  <c r="BC162" i="12"/>
  <c r="BD162" i="12"/>
  <c r="BD166" i="12" s="1"/>
  <c r="AU149" i="12"/>
  <c r="AU153" i="12" s="1"/>
  <c r="BA149" i="12"/>
  <c r="AP161" i="12"/>
  <c r="AF148" i="12"/>
  <c r="AQ161" i="12"/>
  <c r="AH148" i="12"/>
  <c r="AL148" i="12"/>
  <c r="AN148" i="12"/>
  <c r="C92" i="4"/>
  <c r="AW189" i="14"/>
  <c r="D92" i="4"/>
  <c r="C93" i="4" s="1"/>
  <c r="AW190" i="14"/>
  <c r="G77" i="10"/>
  <c r="H77" i="10"/>
  <c r="AW188" i="14" l="1"/>
  <c r="AM148" i="12"/>
  <c r="AZ149" i="12"/>
  <c r="BA153" i="12"/>
  <c r="AZ148" i="12"/>
  <c r="AX162" i="14"/>
  <c r="AX166" i="14" s="1"/>
  <c r="D19" i="4" s="1"/>
  <c r="BC166" i="14"/>
  <c r="AZ148" i="14"/>
  <c r="BA152" i="14"/>
  <c r="AX198" i="14"/>
  <c r="H11" i="10" s="1"/>
  <c r="AX197" i="14"/>
  <c r="G11" i="10" s="1"/>
  <c r="G78" i="10"/>
  <c r="AK161" i="12"/>
  <c r="AX162" i="12"/>
  <c r="AX166" i="12" s="1"/>
  <c r="D18" i="4" s="1"/>
  <c r="BC166" i="12"/>
  <c r="AX161" i="12"/>
  <c r="AZ149" i="14"/>
  <c r="BA153" i="14"/>
  <c r="AX161" i="14"/>
  <c r="AX165" i="14" s="1"/>
  <c r="C19" i="4" s="1"/>
  <c r="BC165" i="14"/>
  <c r="H78" i="10"/>
  <c r="H18" i="10" l="1"/>
  <c r="H12" i="10"/>
  <c r="G80" i="10"/>
  <c r="AX149" i="14"/>
  <c r="AZ153" i="14"/>
  <c r="AX148" i="12"/>
  <c r="AX149" i="12"/>
  <c r="AZ153" i="12"/>
  <c r="AK148" i="12"/>
  <c r="AX148" i="14"/>
  <c r="AZ152" i="14"/>
  <c r="H19" i="10"/>
  <c r="G19" i="10"/>
  <c r="H20" i="10" l="1"/>
  <c r="AW148" i="14"/>
  <c r="AX152" i="14"/>
  <c r="C15" i="4" s="1"/>
  <c r="AJ148" i="12"/>
  <c r="AX153" i="12"/>
  <c r="D14" i="4" s="1"/>
  <c r="AW149" i="12"/>
  <c r="AW148" i="12"/>
  <c r="AW149" i="14"/>
  <c r="AX153" i="14"/>
  <c r="D15" i="4" s="1"/>
  <c r="AW147" i="12" l="1"/>
  <c r="AX171" i="14"/>
  <c r="AW171" i="14" s="1"/>
  <c r="AW153" i="14"/>
  <c r="AX170" i="14"/>
  <c r="AW170" i="14" s="1"/>
  <c r="AW152" i="14"/>
  <c r="AX171" i="12"/>
  <c r="AW171" i="12" s="1"/>
  <c r="AW153" i="12"/>
  <c r="AW147" i="14"/>
  <c r="H15" i="10"/>
  <c r="G15" i="10"/>
  <c r="H14" i="10"/>
  <c r="AW169" i="14" l="1"/>
  <c r="AW151" i="14"/>
  <c r="H16" i="10"/>
  <c r="H21" i="10" s="1"/>
  <c r="F98" i="7" l="1"/>
  <c r="J5" i="11" s="1"/>
  <c r="D68" i="11" s="1"/>
  <c r="F81" i="7" s="1"/>
  <c r="H30" i="10"/>
  <c r="H32" i="10" s="1"/>
  <c r="H34" i="10" s="1"/>
  <c r="H37" i="10" s="1"/>
  <c r="E81" i="7" l="1"/>
  <c r="DI132" i="12"/>
  <c r="DK133" i="14"/>
  <c r="DK141" i="14" s="1"/>
  <c r="DN146" i="14"/>
  <c r="DN154" i="14" s="1"/>
  <c r="DF146" i="14"/>
  <c r="DH146" i="14"/>
  <c r="DL146" i="14"/>
  <c r="DL154" i="14" s="1"/>
  <c r="DP159" i="14"/>
  <c r="DP167" i="14" s="1"/>
  <c r="DQ159" i="14"/>
  <c r="C77" i="4"/>
  <c r="C80" i="4" s="1"/>
  <c r="CX133" i="14"/>
  <c r="CX141" i="14" s="1"/>
  <c r="CY141" i="14" s="1"/>
  <c r="DA146" i="14"/>
  <c r="DA154" i="14" s="1"/>
  <c r="CS146" i="14"/>
  <c r="CU146" i="14"/>
  <c r="CY146" i="14"/>
  <c r="CY154" i="14" s="1"/>
  <c r="DC159" i="14"/>
  <c r="DC167" i="14" s="1"/>
  <c r="DD159" i="14"/>
  <c r="DD167" i="14" s="1"/>
  <c r="DX133" i="14"/>
  <c r="DX141" i="14" s="1"/>
  <c r="DX191" i="14" s="1"/>
  <c r="DX195" i="14" s="1"/>
  <c r="DW195" i="14" s="1"/>
  <c r="EA146" i="14"/>
  <c r="EA154" i="14" s="1"/>
  <c r="DS146" i="14"/>
  <c r="DU146" i="14"/>
  <c r="DY146" i="14"/>
  <c r="DY154" i="14" s="1"/>
  <c r="EC159" i="14"/>
  <c r="EC167" i="14" s="1"/>
  <c r="ED159" i="14"/>
  <c r="ED167" i="14" s="1"/>
  <c r="CX191" i="14"/>
  <c r="DL133" i="14"/>
  <c r="DI159" i="14"/>
  <c r="DI167" i="14" s="1"/>
  <c r="DV159" i="14"/>
  <c r="DV167" i="14" s="1"/>
  <c r="CV159" i="14"/>
  <c r="CV167" i="14" s="1"/>
  <c r="DQ167" i="14"/>
  <c r="CW191" i="14" l="1"/>
  <c r="CX195" i="14"/>
  <c r="CW195" i="14" s="1"/>
  <c r="CW141" i="14"/>
  <c r="CY133" i="14"/>
  <c r="DY141" i="14"/>
  <c r="DW141" i="14"/>
  <c r="DY133" i="14"/>
  <c r="DW191" i="14"/>
  <c r="E90" i="7"/>
  <c r="DX199" i="14"/>
  <c r="DX159" i="14"/>
  <c r="DX167" i="14" s="1"/>
  <c r="DM146" i="14"/>
  <c r="DK146" i="14" s="1"/>
  <c r="CX159" i="14"/>
  <c r="CX167" i="14" s="1"/>
  <c r="DK159" i="14"/>
  <c r="DK167" i="14" s="1"/>
  <c r="DK191" i="14"/>
  <c r="DK195" i="14" s="1"/>
  <c r="DJ195" i="14" s="1"/>
  <c r="DJ141" i="14"/>
  <c r="DZ146" i="14"/>
  <c r="CZ146" i="14"/>
  <c r="DK132" i="12"/>
  <c r="DN145" i="12"/>
  <c r="DH145" i="12"/>
  <c r="DQ158" i="12"/>
  <c r="DF145" i="12"/>
  <c r="DL145" i="12"/>
  <c r="DP158" i="12"/>
  <c r="DL141" i="14"/>
  <c r="DM154" i="14" l="1"/>
  <c r="CX199" i="14"/>
  <c r="DK154" i="14"/>
  <c r="DJ146" i="14"/>
  <c r="DX146" i="14"/>
  <c r="DZ154" i="14"/>
  <c r="CX146" i="14"/>
  <c r="CZ154" i="14"/>
  <c r="DA144" i="14"/>
  <c r="CU144" i="14"/>
  <c r="DC157" i="14"/>
  <c r="CV131" i="14"/>
  <c r="CW131" i="14" s="1"/>
  <c r="CX131" i="14"/>
  <c r="CY131" i="14" s="1"/>
  <c r="CS144" i="14"/>
  <c r="CY144" i="14"/>
  <c r="DD157" i="14"/>
  <c r="CV157" i="14"/>
  <c r="DJ191" i="14"/>
  <c r="DK132" i="14"/>
  <c r="DN145" i="14"/>
  <c r="DH145" i="14"/>
  <c r="DQ158" i="14"/>
  <c r="DI158" i="14"/>
  <c r="DF145" i="14"/>
  <c r="DL145" i="14"/>
  <c r="DP158" i="14"/>
  <c r="DI132" i="14"/>
  <c r="DM145" i="12"/>
  <c r="DF144" i="14"/>
  <c r="DL144" i="14"/>
  <c r="DP157" i="14"/>
  <c r="DK131" i="14"/>
  <c r="DN144" i="14"/>
  <c r="DH144" i="14"/>
  <c r="DQ157" i="14"/>
  <c r="DI157" i="14"/>
  <c r="DI131" i="14"/>
  <c r="DK158" i="12"/>
  <c r="DK172" i="14" l="1"/>
  <c r="DJ172" i="14" s="1"/>
  <c r="DJ154" i="14"/>
  <c r="DK199" i="14"/>
  <c r="CX157" i="14"/>
  <c r="CZ144" i="14"/>
  <c r="CX144" i="14" s="1"/>
  <c r="CW144" i="14" s="1"/>
  <c r="CX154" i="14"/>
  <c r="CW146" i="14"/>
  <c r="DX154" i="14"/>
  <c r="DW146" i="14"/>
  <c r="CX132" i="14"/>
  <c r="CY132" i="14" s="1"/>
  <c r="CY130" i="14" s="1"/>
  <c r="CS145" i="14"/>
  <c r="DD158" i="14"/>
  <c r="CV158" i="14"/>
  <c r="CV132" i="14"/>
  <c r="CW132" i="14" s="1"/>
  <c r="CW130" i="14" s="1"/>
  <c r="CY145" i="14"/>
  <c r="DC158" i="14"/>
  <c r="CX158" i="14" s="1"/>
  <c r="DA145" i="14"/>
  <c r="CU145" i="14"/>
  <c r="CX132" i="12"/>
  <c r="CS145" i="12"/>
  <c r="DC158" i="12"/>
  <c r="CY145" i="12"/>
  <c r="DD158" i="12"/>
  <c r="CV132" i="12"/>
  <c r="DA145" i="12"/>
  <c r="CU145" i="12"/>
  <c r="DJ131" i="14"/>
  <c r="DM144" i="14"/>
  <c r="DK157" i="14"/>
  <c r="DK145" i="12"/>
  <c r="DK158" i="14"/>
  <c r="DM145" i="14"/>
  <c r="DL131" i="14"/>
  <c r="DJ132" i="14"/>
  <c r="DL132" i="14"/>
  <c r="DW154" i="14" l="1"/>
  <c r="DX172" i="14"/>
  <c r="DW172" i="14" s="1"/>
  <c r="CZ145" i="12"/>
  <c r="CX145" i="12" s="1"/>
  <c r="CX158" i="12"/>
  <c r="CZ145" i="14"/>
  <c r="CX145" i="14" s="1"/>
  <c r="CW145" i="14" s="1"/>
  <c r="CW143" i="14" s="1"/>
  <c r="CX172" i="14"/>
  <c r="CW172" i="14" s="1"/>
  <c r="CW154" i="14"/>
  <c r="DL130" i="14"/>
  <c r="DK145" i="14"/>
  <c r="DK144" i="14"/>
  <c r="DJ130" i="14"/>
  <c r="DJ144" i="14" l="1"/>
  <c r="DJ145" i="14"/>
  <c r="DJ143" i="14" l="1"/>
  <c r="BK136" i="12" l="1"/>
  <c r="BI136" i="12"/>
  <c r="I64" i="10"/>
  <c r="BK135" i="14"/>
  <c r="BI135" i="14"/>
  <c r="BK136" i="14"/>
  <c r="BI136" i="14"/>
  <c r="BK135" i="12"/>
  <c r="BI135" i="12"/>
  <c r="BJ135" i="12" l="1"/>
  <c r="BJ136" i="14"/>
  <c r="BI140" i="14"/>
  <c r="BK139" i="14"/>
  <c r="BL135" i="14"/>
  <c r="BI140" i="12"/>
  <c r="BJ140" i="12" s="1"/>
  <c r="BJ136" i="12"/>
  <c r="BL135" i="12"/>
  <c r="BK140" i="14"/>
  <c r="BL136" i="14"/>
  <c r="BJ135" i="14"/>
  <c r="BI139" i="14"/>
  <c r="BK140" i="12"/>
  <c r="BL136" i="12"/>
  <c r="BJ134" i="14" l="1"/>
  <c r="I63" i="10"/>
  <c r="I66" i="10" s="1"/>
  <c r="J10" i="10"/>
  <c r="BL140" i="12"/>
  <c r="BK190" i="14"/>
  <c r="BJ140" i="14"/>
  <c r="BL140" i="14"/>
  <c r="G78" i="4"/>
  <c r="BL134" i="12"/>
  <c r="BK189" i="14"/>
  <c r="BJ139" i="14"/>
  <c r="BL139" i="14"/>
  <c r="BJ134" i="12"/>
  <c r="I78" i="4"/>
  <c r="BL134" i="14"/>
  <c r="I77" i="10" l="1"/>
  <c r="BK193" i="14"/>
  <c r="BJ193" i="14" s="1"/>
  <c r="J77" i="10"/>
  <c r="BK194" i="14"/>
  <c r="BJ194" i="14" s="1"/>
  <c r="BL138" i="14"/>
  <c r="BJ138" i="14"/>
  <c r="BN149" i="14"/>
  <c r="BH149" i="14"/>
  <c r="BH153" i="14" s="1"/>
  <c r="BP162" i="14"/>
  <c r="BL149" i="14"/>
  <c r="BL153" i="14" s="1"/>
  <c r="BQ162" i="14"/>
  <c r="BQ166" i="14" s="1"/>
  <c r="BF149" i="14"/>
  <c r="BF153" i="14" s="1"/>
  <c r="E78" i="4"/>
  <c r="BK198" i="14"/>
  <c r="BJ190" i="14"/>
  <c r="CX136" i="12"/>
  <c r="CV136" i="12"/>
  <c r="BN148" i="12"/>
  <c r="BH148" i="12"/>
  <c r="BP161" i="12"/>
  <c r="BF148" i="12"/>
  <c r="BL148" i="12"/>
  <c r="BQ161" i="12"/>
  <c r="BF148" i="14"/>
  <c r="BF152" i="14" s="1"/>
  <c r="BL148" i="14"/>
  <c r="BL152" i="14" s="1"/>
  <c r="BQ161" i="14"/>
  <c r="BQ165" i="14" s="1"/>
  <c r="BN148" i="14"/>
  <c r="BH148" i="14"/>
  <c r="BH152" i="14" s="1"/>
  <c r="BP161" i="14"/>
  <c r="BK197" i="14"/>
  <c r="I11" i="10" s="1"/>
  <c r="BJ189" i="14"/>
  <c r="BJ188" i="14" s="1"/>
  <c r="BF149" i="12"/>
  <c r="BF153" i="12" s="1"/>
  <c r="BL149" i="12"/>
  <c r="BL153" i="12" s="1"/>
  <c r="BQ162" i="12"/>
  <c r="BQ166" i="12" s="1"/>
  <c r="BN149" i="12"/>
  <c r="BH149" i="12"/>
  <c r="BH153" i="12" s="1"/>
  <c r="BP162" i="12"/>
  <c r="CX136" i="14"/>
  <c r="CV136" i="14"/>
  <c r="BJ192" i="14" l="1"/>
  <c r="J11" i="10"/>
  <c r="J12" i="10" s="1"/>
  <c r="G77" i="4"/>
  <c r="G80" i="4" s="1"/>
  <c r="I78" i="10"/>
  <c r="J78" i="10"/>
  <c r="DK135" i="12"/>
  <c r="DI135" i="12"/>
  <c r="CX135" i="14"/>
  <c r="CV135" i="14"/>
  <c r="BK161" i="14"/>
  <c r="BK165" i="14" s="1"/>
  <c r="I19" i="10" s="1"/>
  <c r="BP165" i="14"/>
  <c r="BM148" i="14"/>
  <c r="BN152" i="14"/>
  <c r="CY136" i="12"/>
  <c r="CX140" i="12"/>
  <c r="DK136" i="14"/>
  <c r="DI136" i="14"/>
  <c r="BK162" i="14"/>
  <c r="BK166" i="14" s="1"/>
  <c r="J19" i="10" s="1"/>
  <c r="BP166" i="14"/>
  <c r="BM149" i="14"/>
  <c r="BN153" i="14"/>
  <c r="CW136" i="14"/>
  <c r="CV140" i="14"/>
  <c r="CX140" i="14"/>
  <c r="CY136" i="14"/>
  <c r="DK135" i="14"/>
  <c r="DI135" i="14"/>
  <c r="BK162" i="12"/>
  <c r="BK166" i="12" s="1"/>
  <c r="J18" i="10" s="1"/>
  <c r="BP166" i="12"/>
  <c r="BM149" i="12"/>
  <c r="BN153" i="12"/>
  <c r="CX135" i="12"/>
  <c r="CV135" i="12"/>
  <c r="BK161" i="12"/>
  <c r="BM148" i="12"/>
  <c r="CW136" i="12"/>
  <c r="CV140" i="12"/>
  <c r="CW140" i="12" s="1"/>
  <c r="DK136" i="12"/>
  <c r="DI136" i="12"/>
  <c r="J20" i="10" l="1"/>
  <c r="E77" i="4"/>
  <c r="E80" i="4" s="1"/>
  <c r="I80" i="10"/>
  <c r="DL136" i="12"/>
  <c r="DK140" i="12"/>
  <c r="CW135" i="12"/>
  <c r="CW134" i="12" s="1"/>
  <c r="DJ135" i="14"/>
  <c r="DI139" i="14"/>
  <c r="DL135" i="14"/>
  <c r="DK139" i="14"/>
  <c r="CX190" i="14"/>
  <c r="CY140" i="14"/>
  <c r="CW140" i="14"/>
  <c r="DJ136" i="14"/>
  <c r="DI140" i="14"/>
  <c r="CY135" i="14"/>
  <c r="CY134" i="14" s="1"/>
  <c r="CX139" i="14"/>
  <c r="DJ135" i="12"/>
  <c r="DI140" i="12"/>
  <c r="DJ140" i="12" s="1"/>
  <c r="DJ136" i="12"/>
  <c r="BK148" i="12"/>
  <c r="CY135" i="12"/>
  <c r="CY134" i="12" s="1"/>
  <c r="BK149" i="12"/>
  <c r="BM153" i="12"/>
  <c r="BM153" i="14"/>
  <c r="BK149" i="14"/>
  <c r="DL136" i="14"/>
  <c r="DK140" i="14"/>
  <c r="F10" i="4"/>
  <c r="CY140" i="12"/>
  <c r="BK148" i="14"/>
  <c r="BM152" i="14"/>
  <c r="CW135" i="14"/>
  <c r="CW134" i="14" s="1"/>
  <c r="CV139" i="14"/>
  <c r="DL135" i="12"/>
  <c r="DL134" i="12" s="1"/>
  <c r="F91" i="4" l="1"/>
  <c r="CX194" i="14"/>
  <c r="CW194" i="14" s="1"/>
  <c r="DJ134" i="12"/>
  <c r="BK152" i="14"/>
  <c r="BJ148" i="14"/>
  <c r="CS149" i="12"/>
  <c r="CS153" i="12" s="1"/>
  <c r="CY149" i="12"/>
  <c r="CY153" i="12" s="1"/>
  <c r="DD162" i="12"/>
  <c r="DD166" i="12" s="1"/>
  <c r="DA149" i="12"/>
  <c r="CU149" i="12"/>
  <c r="CU153" i="12" s="1"/>
  <c r="DC162" i="12"/>
  <c r="BK153" i="12"/>
  <c r="BJ149" i="12"/>
  <c r="BJ148" i="12"/>
  <c r="DA148" i="14"/>
  <c r="CU148" i="14"/>
  <c r="CU152" i="14" s="1"/>
  <c r="CY148" i="14"/>
  <c r="CY152" i="14" s="1"/>
  <c r="DC161" i="14"/>
  <c r="CS148" i="14"/>
  <c r="CS152" i="14" s="1"/>
  <c r="DD161" i="14"/>
  <c r="DD165" i="14" s="1"/>
  <c r="CY139" i="14"/>
  <c r="CY138" i="14" s="1"/>
  <c r="CW139" i="14"/>
  <c r="CW138" i="14" s="1"/>
  <c r="CX189" i="14"/>
  <c r="CW190" i="14"/>
  <c r="DK189" i="14"/>
  <c r="DL139" i="14"/>
  <c r="DJ139" i="14"/>
  <c r="H10" i="4"/>
  <c r="DL140" i="12"/>
  <c r="DJ140" i="14"/>
  <c r="DK190" i="14"/>
  <c r="DL140" i="14"/>
  <c r="DA149" i="14"/>
  <c r="CU149" i="14"/>
  <c r="CU153" i="14" s="1"/>
  <c r="DD162" i="14"/>
  <c r="DD166" i="14" s="1"/>
  <c r="CS149" i="14"/>
  <c r="CS153" i="14" s="1"/>
  <c r="CY149" i="14"/>
  <c r="CY153" i="14" s="1"/>
  <c r="DC162" i="14"/>
  <c r="BK153" i="14"/>
  <c r="BJ149" i="14"/>
  <c r="DA148" i="12"/>
  <c r="CS148" i="12"/>
  <c r="CY148" i="12"/>
  <c r="DD161" i="12"/>
  <c r="CU148" i="12"/>
  <c r="DC161" i="12"/>
  <c r="DL134" i="14"/>
  <c r="DJ134" i="14"/>
  <c r="H91" i="4" l="1"/>
  <c r="DK194" i="14"/>
  <c r="DJ194" i="14" s="1"/>
  <c r="G91" i="4"/>
  <c r="DK193" i="14"/>
  <c r="DJ193" i="14" s="1"/>
  <c r="DJ192" i="14" s="1"/>
  <c r="E91" i="4"/>
  <c r="CX193" i="14"/>
  <c r="CW193" i="14" s="1"/>
  <c r="CW192" i="14" s="1"/>
  <c r="BJ147" i="12"/>
  <c r="F92" i="4"/>
  <c r="CZ148" i="12"/>
  <c r="J15" i="10"/>
  <c r="BK171" i="14"/>
  <c r="BJ171" i="14" s="1"/>
  <c r="BJ153" i="14"/>
  <c r="CZ149" i="14"/>
  <c r="DA153" i="14"/>
  <c r="DJ190" i="14"/>
  <c r="DJ138" i="14"/>
  <c r="DJ189" i="14"/>
  <c r="CX198" i="14"/>
  <c r="F11" i="4" s="1"/>
  <c r="DF148" i="12"/>
  <c r="DL148" i="12"/>
  <c r="DQ161" i="12"/>
  <c r="DN148" i="12"/>
  <c r="DH148" i="12"/>
  <c r="DP161" i="12"/>
  <c r="CX161" i="14"/>
  <c r="CX165" i="14" s="1"/>
  <c r="E19" i="4" s="1"/>
  <c r="DC165" i="14"/>
  <c r="CX162" i="12"/>
  <c r="CX166" i="12" s="1"/>
  <c r="F18" i="4" s="1"/>
  <c r="DC166" i="12"/>
  <c r="CZ149" i="12"/>
  <c r="DA153" i="12"/>
  <c r="BJ147" i="14"/>
  <c r="DN149" i="12"/>
  <c r="DH149" i="12"/>
  <c r="DH153" i="12" s="1"/>
  <c r="DP162" i="12"/>
  <c r="DF149" i="12"/>
  <c r="DF153" i="12" s="1"/>
  <c r="DL149" i="12"/>
  <c r="DL153" i="12" s="1"/>
  <c r="DQ162" i="12"/>
  <c r="DQ166" i="12" s="1"/>
  <c r="DF149" i="14"/>
  <c r="DF153" i="14" s="1"/>
  <c r="DL149" i="14"/>
  <c r="DL153" i="14" s="1"/>
  <c r="DP162" i="14"/>
  <c r="DN149" i="14"/>
  <c r="DH149" i="14"/>
  <c r="DH153" i="14" s="1"/>
  <c r="DQ162" i="14"/>
  <c r="DQ166" i="14" s="1"/>
  <c r="CX161" i="12"/>
  <c r="CX162" i="14"/>
  <c r="CX166" i="14" s="1"/>
  <c r="F19" i="4" s="1"/>
  <c r="DC166" i="14"/>
  <c r="DL138" i="14"/>
  <c r="CX197" i="14"/>
  <c r="E11" i="4" s="1"/>
  <c r="CW189" i="14"/>
  <c r="CW188" i="14" s="1"/>
  <c r="DN148" i="14"/>
  <c r="DH148" i="14"/>
  <c r="DH152" i="14" s="1"/>
  <c r="DQ161" i="14"/>
  <c r="DQ165" i="14" s="1"/>
  <c r="DF148" i="14"/>
  <c r="DF152" i="14" s="1"/>
  <c r="DL148" i="14"/>
  <c r="DL152" i="14" s="1"/>
  <c r="DP161" i="14"/>
  <c r="CZ148" i="14"/>
  <c r="DA152" i="14"/>
  <c r="J14" i="10"/>
  <c r="J16" i="10" s="1"/>
  <c r="J21" i="10" s="1"/>
  <c r="G98" i="7" s="1"/>
  <c r="BJ153" i="12"/>
  <c r="BK171" i="12"/>
  <c r="BJ171" i="12" s="1"/>
  <c r="I15" i="10"/>
  <c r="BK170" i="14"/>
  <c r="BJ170" i="14" s="1"/>
  <c r="BJ152" i="14"/>
  <c r="BJ151" i="14" s="1"/>
  <c r="BJ169" i="14" l="1"/>
  <c r="DJ188" i="14"/>
  <c r="G92" i="4"/>
  <c r="H92" i="4"/>
  <c r="E92" i="4"/>
  <c r="E93" i="4" s="1"/>
  <c r="DK161" i="14"/>
  <c r="DK165" i="14" s="1"/>
  <c r="G19" i="4" s="1"/>
  <c r="DP165" i="14"/>
  <c r="DM149" i="12"/>
  <c r="DN153" i="12"/>
  <c r="DK198" i="14"/>
  <c r="H11" i="4" s="1"/>
  <c r="CX148" i="14"/>
  <c r="CZ152" i="14"/>
  <c r="DK162" i="14"/>
  <c r="DK166" i="14" s="1"/>
  <c r="H19" i="4" s="1"/>
  <c r="DP166" i="14"/>
  <c r="DK162" i="12"/>
  <c r="DK166" i="12" s="1"/>
  <c r="H18" i="4" s="1"/>
  <c r="DP166" i="12"/>
  <c r="J30" i="10"/>
  <c r="J32" i="10" s="1"/>
  <c r="J34" i="10" s="1"/>
  <c r="J37" i="10" s="1"/>
  <c r="K5" i="11"/>
  <c r="DM148" i="14"/>
  <c r="DN152" i="14"/>
  <c r="DM149" i="14"/>
  <c r="DN153" i="14"/>
  <c r="CX149" i="12"/>
  <c r="CZ153" i="12"/>
  <c r="DK161" i="12"/>
  <c r="DM148" i="12"/>
  <c r="DK197" i="14"/>
  <c r="G11" i="4" s="1"/>
  <c r="CX149" i="14"/>
  <c r="CZ153" i="14"/>
  <c r="CX148" i="12"/>
  <c r="G93" i="4" l="1"/>
  <c r="CW148" i="12"/>
  <c r="CW149" i="14"/>
  <c r="CX153" i="14"/>
  <c r="CW149" i="12"/>
  <c r="CX153" i="12"/>
  <c r="DK149" i="14"/>
  <c r="DM153" i="14"/>
  <c r="CW148" i="14"/>
  <c r="CX152" i="14"/>
  <c r="DK148" i="12"/>
  <c r="DK148" i="14"/>
  <c r="DM152" i="14"/>
  <c r="E68" i="11"/>
  <c r="G81" i="7" s="1"/>
  <c r="DK149" i="12"/>
  <c r="DM153" i="12"/>
  <c r="CW147" i="14" l="1"/>
  <c r="E15" i="4"/>
  <c r="CX170" i="14"/>
  <c r="CW170" i="14" s="1"/>
  <c r="CW152" i="14"/>
  <c r="F15" i="4"/>
  <c r="CW153" i="14"/>
  <c r="CX171" i="14"/>
  <c r="CW171" i="14" s="1"/>
  <c r="DJ149" i="12"/>
  <c r="DK153" i="12"/>
  <c r="DJ148" i="14"/>
  <c r="DK152" i="14"/>
  <c r="DJ148" i="12"/>
  <c r="DJ147" i="12" s="1"/>
  <c r="DJ149" i="14"/>
  <c r="DK153" i="14"/>
  <c r="F14" i="4"/>
  <c r="CX171" i="12"/>
  <c r="CW171" i="12" s="1"/>
  <c r="CW153" i="12"/>
  <c r="CW147" i="12"/>
  <c r="DJ147" i="14" l="1"/>
  <c r="CW169" i="14"/>
  <c r="H15" i="4"/>
  <c r="DK171" i="14"/>
  <c r="DJ171" i="14" s="1"/>
  <c r="DJ153" i="14"/>
  <c r="G15" i="4"/>
  <c r="DJ152" i="14"/>
  <c r="DK170" i="14"/>
  <c r="DJ170" i="14" s="1"/>
  <c r="DJ153" i="12"/>
  <c r="H14" i="4"/>
  <c r="DK171" i="12"/>
  <c r="DJ171" i="12" s="1"/>
  <c r="CW151" i="14"/>
  <c r="DJ151" i="14" l="1"/>
  <c r="DJ169" i="14"/>
  <c r="E77" i="7" l="1"/>
  <c r="C64" i="10"/>
  <c r="E64" i="10"/>
  <c r="W368" i="9"/>
  <c r="W365" i="9" s="1"/>
  <c r="Y343" i="9"/>
  <c r="Y342" i="9"/>
  <c r="Y340" i="9" s="1"/>
  <c r="W343" i="9"/>
  <c r="W340" i="9" s="1"/>
  <c r="U364" i="9" l="1"/>
  <c r="AC389" i="9"/>
  <c r="S364" i="9"/>
  <c r="Y364" i="9"/>
  <c r="AD389" i="9"/>
  <c r="AA364" i="9"/>
  <c r="AB364" i="9" l="1"/>
  <c r="Z364" i="9"/>
  <c r="X389" i="9"/>
  <c r="X364" i="9" l="1"/>
  <c r="W364" i="9" l="1"/>
  <c r="DH144" i="12" l="1"/>
  <c r="DH152" i="12" s="1"/>
  <c r="CS144" i="12"/>
  <c r="CS152" i="12" s="1"/>
  <c r="BH144" i="12"/>
  <c r="BH152" i="12" s="1"/>
  <c r="BD157" i="12"/>
  <c r="BD165" i="12" s="1"/>
  <c r="CU144" i="12"/>
  <c r="CU152" i="12" s="1"/>
  <c r="AU144" i="12"/>
  <c r="AU152" i="12" s="1"/>
  <c r="DQ157" i="12"/>
  <c r="DQ165" i="12" s="1"/>
  <c r="BF144" i="12"/>
  <c r="BF152" i="12" s="1"/>
  <c r="BQ157" i="12"/>
  <c r="BQ165" i="12" s="1"/>
  <c r="CF144" i="12"/>
  <c r="CF152" i="12" s="1"/>
  <c r="DK131" i="12"/>
  <c r="DK139" i="12" s="1"/>
  <c r="DF144" i="12"/>
  <c r="DF152" i="12" s="1"/>
  <c r="AS144" i="12"/>
  <c r="AS152" i="12" s="1"/>
  <c r="DL144" i="12"/>
  <c r="DL152" i="12" s="1"/>
  <c r="CX131" i="12"/>
  <c r="CX139" i="12" s="1"/>
  <c r="E10" i="4" s="1"/>
  <c r="CY144" i="12"/>
  <c r="CY152" i="12" s="1"/>
  <c r="DD157" i="12"/>
  <c r="DD165" i="12" s="1"/>
  <c r="DP157" i="12"/>
  <c r="DP165" i="12" s="1"/>
  <c r="BL144" i="12"/>
  <c r="BL152" i="12" s="1"/>
  <c r="DC157" i="12"/>
  <c r="DC165" i="12" s="1"/>
  <c r="BK131" i="12"/>
  <c r="BK139" i="12" s="1"/>
  <c r="I10" i="10" s="1"/>
  <c r="I12" i="10" s="1"/>
  <c r="CD157" i="12"/>
  <c r="CD165" i="12" s="1"/>
  <c r="DI131" i="12"/>
  <c r="DI139" i="12" s="1"/>
  <c r="DJ139" i="12" s="1"/>
  <c r="DJ138" i="12" s="1"/>
  <c r="BP157" i="12"/>
  <c r="AY144" i="12"/>
  <c r="AY152" i="12" s="1"/>
  <c r="CP157" i="12"/>
  <c r="CP165" i="12" s="1"/>
  <c r="DN144" i="12"/>
  <c r="DN152" i="12" s="1"/>
  <c r="BY144" i="12"/>
  <c r="BY152" i="12" s="1"/>
  <c r="BS144" i="12"/>
  <c r="BS152" i="12" s="1"/>
  <c r="BU144" i="12"/>
  <c r="BU152" i="12" s="1"/>
  <c r="CA144" i="12"/>
  <c r="CA152" i="12" s="1"/>
  <c r="CV131" i="12"/>
  <c r="CV139" i="12" s="1"/>
  <c r="CW139" i="12" s="1"/>
  <c r="CW138" i="12" s="1"/>
  <c r="CC157" i="12"/>
  <c r="CC165" i="12" s="1"/>
  <c r="BV131" i="12"/>
  <c r="BV139" i="12" s="1"/>
  <c r="BW139" i="12" s="1"/>
  <c r="BW138" i="12" s="1"/>
  <c r="BA144" i="12"/>
  <c r="BA152" i="12" s="1"/>
  <c r="BC157" i="12"/>
  <c r="BC165" i="12" s="1"/>
  <c r="AX131" i="12"/>
  <c r="AX139" i="12" s="1"/>
  <c r="BI131" i="12"/>
  <c r="BI139" i="12" s="1"/>
  <c r="BJ139" i="12" s="1"/>
  <c r="BJ138" i="12" s="1"/>
  <c r="CK131" i="12"/>
  <c r="CK139" i="12" s="1"/>
  <c r="BN144" i="12"/>
  <c r="BN152" i="12" s="1"/>
  <c r="CQ157" i="12"/>
  <c r="CI131" i="12"/>
  <c r="CI139" i="12" s="1"/>
  <c r="CJ139" i="12" s="1"/>
  <c r="CJ138" i="12" s="1"/>
  <c r="DA144" i="12"/>
  <c r="DA152" i="12" s="1"/>
  <c r="CL144" i="12"/>
  <c r="CL152" i="12" s="1"/>
  <c r="CN144" i="12"/>
  <c r="CN152" i="12" s="1"/>
  <c r="AV131" i="12"/>
  <c r="AV139" i="12" s="1"/>
  <c r="AW139" i="12" s="1"/>
  <c r="AW138" i="12" s="1"/>
  <c r="BX131" i="12"/>
  <c r="BX139" i="12" s="1"/>
  <c r="K10" i="10" s="1"/>
  <c r="K12" i="10" s="1"/>
  <c r="CH144" i="12"/>
  <c r="CH152" i="12" s="1"/>
  <c r="CK157" i="12" l="1"/>
  <c r="CK165" i="12" s="1"/>
  <c r="C18" i="4" s="1"/>
  <c r="DK157" i="12"/>
  <c r="DK165" i="12" s="1"/>
  <c r="G18" i="4" s="1"/>
  <c r="C10" i="4"/>
  <c r="CL139" i="12"/>
  <c r="CL138" i="12" s="1"/>
  <c r="G10" i="10"/>
  <c r="G12" i="10" s="1"/>
  <c r="AY139" i="12"/>
  <c r="AY138" i="12" s="1"/>
  <c r="CM144" i="12"/>
  <c r="CZ144" i="12"/>
  <c r="CQ165" i="12"/>
  <c r="BM144" i="12"/>
  <c r="AX157" i="12"/>
  <c r="AX165" i="12" s="1"/>
  <c r="G18" i="10" s="1"/>
  <c r="G20" i="10" s="1"/>
  <c r="AZ144" i="12"/>
  <c r="BX157" i="12"/>
  <c r="BX165" i="12" s="1"/>
  <c r="K18" i="10" s="1"/>
  <c r="K20" i="10" s="1"/>
  <c r="BZ144" i="12"/>
  <c r="DM144" i="12"/>
  <c r="BY139" i="12"/>
  <c r="BY138" i="12" s="1"/>
  <c r="BP165" i="12"/>
  <c r="BK157" i="12"/>
  <c r="BK165" i="12" s="1"/>
  <c r="I18" i="10" s="1"/>
  <c r="I20" i="10" s="1"/>
  <c r="G10" i="4"/>
  <c r="DL139" i="12"/>
  <c r="DL138" i="12" s="1"/>
  <c r="BL139" i="12"/>
  <c r="BL138" i="12" s="1"/>
  <c r="CX157" i="12"/>
  <c r="CX165" i="12" s="1"/>
  <c r="E18" i="4" s="1"/>
  <c r="CY139" i="12"/>
  <c r="CY138" i="12" s="1"/>
  <c r="DM152" i="12" l="1"/>
  <c r="DK144" i="12"/>
  <c r="DK152" i="12" s="1"/>
  <c r="BM152" i="12"/>
  <c r="BK144" i="12"/>
  <c r="BK152" i="12" s="1"/>
  <c r="CZ152" i="12"/>
  <c r="CX144" i="12"/>
  <c r="CX152" i="12" s="1"/>
  <c r="BX144" i="12"/>
  <c r="BX152" i="12" s="1"/>
  <c r="BZ152" i="12"/>
  <c r="AZ152" i="12"/>
  <c r="AX144" i="12"/>
  <c r="AX152" i="12" s="1"/>
  <c r="CM152" i="12"/>
  <c r="CK144" i="12"/>
  <c r="CK152" i="12" s="1"/>
  <c r="CJ152" i="12" l="1"/>
  <c r="CJ151" i="12" s="1"/>
  <c r="C14" i="4"/>
  <c r="CK170" i="12"/>
  <c r="CJ170" i="12" s="1"/>
  <c r="CJ169" i="12" s="1"/>
  <c r="G14" i="10"/>
  <c r="G16" i="10" s="1"/>
  <c r="G21" i="10" s="1"/>
  <c r="G42" i="10" s="1"/>
  <c r="G44" i="10" s="1"/>
  <c r="G46" i="10" s="1"/>
  <c r="G49" i="10" s="1"/>
  <c r="AW152" i="12"/>
  <c r="AW151" i="12" s="1"/>
  <c r="AX170" i="12"/>
  <c r="AW170" i="12" s="1"/>
  <c r="AW169" i="12" s="1"/>
  <c r="I14" i="10"/>
  <c r="I16" i="10" s="1"/>
  <c r="I21" i="10" s="1"/>
  <c r="I42" i="10" s="1"/>
  <c r="I44" i="10" s="1"/>
  <c r="I46" i="10" s="1"/>
  <c r="I49" i="10" s="1"/>
  <c r="BJ152" i="12"/>
  <c r="BJ151" i="12" s="1"/>
  <c r="BK170" i="12"/>
  <c r="BJ170" i="12" s="1"/>
  <c r="BJ169" i="12" s="1"/>
  <c r="G14" i="4"/>
  <c r="DJ152" i="12"/>
  <c r="DJ151" i="12" s="1"/>
  <c r="DK170" i="12"/>
  <c r="DJ170" i="12" s="1"/>
  <c r="DJ169" i="12" s="1"/>
  <c r="CW152" i="12"/>
  <c r="CW151" i="12" s="1"/>
  <c r="E14" i="4"/>
  <c r="CX170" i="12"/>
  <c r="CW170" i="12" s="1"/>
  <c r="CW169" i="12" s="1"/>
  <c r="K14" i="10"/>
  <c r="K16" i="10" s="1"/>
  <c r="K21" i="10" s="1"/>
  <c r="K42" i="10" s="1"/>
  <c r="K44" i="10" s="1"/>
  <c r="K46" i="10" s="1"/>
  <c r="K49" i="10" s="1"/>
  <c r="BX170" i="12"/>
  <c r="BW170" i="12" s="1"/>
  <c r="BW169" i="12" s="1"/>
  <c r="BW152" i="12"/>
  <c r="BW151" i="12" s="1"/>
  <c r="H97" i="7" l="1"/>
  <c r="F5" i="11" s="1"/>
  <c r="F67" i="11" s="1"/>
  <c r="H77" i="7" s="1"/>
  <c r="K67" i="10"/>
  <c r="K56" i="10"/>
  <c r="H99" i="7"/>
  <c r="F36" i="11" s="1"/>
  <c r="F70" i="11" s="1"/>
  <c r="H90" i="7" s="1"/>
  <c r="L56" i="10"/>
  <c r="K30" i="10"/>
  <c r="K32" i="10" s="1"/>
  <c r="K34" i="10" s="1"/>
  <c r="K37" i="10" s="1"/>
  <c r="G99" i="7"/>
  <c r="E36" i="11" s="1"/>
  <c r="E70" i="11" s="1"/>
  <c r="I67" i="10"/>
  <c r="J56" i="10"/>
  <c r="I30" i="10"/>
  <c r="I32" i="10" s="1"/>
  <c r="I34" i="10" s="1"/>
  <c r="I37" i="10" s="1"/>
  <c r="G97" i="7"/>
  <c r="E5" i="11" s="1"/>
  <c r="E67" i="11" s="1"/>
  <c r="G77" i="7" s="1"/>
  <c r="I56" i="10"/>
  <c r="F99" i="7"/>
  <c r="D36" i="11" s="1"/>
  <c r="F97" i="7"/>
  <c r="D5" i="11" s="1"/>
  <c r="D67" i="11" s="1"/>
  <c r="F77" i="7" s="1"/>
  <c r="H56" i="10"/>
  <c r="G67" i="10"/>
  <c r="G30" i="10"/>
  <c r="G32" i="10" s="1"/>
  <c r="G34" i="10" s="1"/>
  <c r="G37" i="10" s="1"/>
  <c r="G56" i="10"/>
  <c r="J29" i="2"/>
  <c r="AD387" i="9"/>
  <c r="V338" i="9"/>
  <c r="S362" i="9"/>
  <c r="S363" i="9"/>
  <c r="AD388" i="9"/>
  <c r="U363" i="9"/>
  <c r="Y362" i="9"/>
  <c r="AA363" i="9"/>
  <c r="V337" i="9"/>
  <c r="Y363" i="9"/>
  <c r="U362" i="9"/>
  <c r="AC388" i="9"/>
  <c r="AC387" i="9"/>
  <c r="AA362" i="9"/>
  <c r="X337" i="9"/>
  <c r="X338" i="9"/>
  <c r="D70" i="11" l="1"/>
  <c r="AB362" i="9"/>
  <c r="W338" i="9"/>
  <c r="Y338" i="9"/>
  <c r="Y337" i="9"/>
  <c r="Z362" i="9"/>
  <c r="X387" i="9"/>
  <c r="X388" i="9"/>
  <c r="W337" i="9"/>
  <c r="Z363" i="9"/>
  <c r="AB363" i="9"/>
  <c r="AB361" i="9" l="1"/>
  <c r="X362" i="9"/>
  <c r="W336" i="9"/>
  <c r="Y336" i="9"/>
  <c r="X363" i="9"/>
  <c r="W362" i="9" l="1"/>
  <c r="W363" i="9"/>
  <c r="W361" i="9" l="1"/>
  <c r="J34" i="2"/>
  <c r="AD393" i="9"/>
  <c r="AD397" i="9" s="1"/>
  <c r="U368" i="9"/>
  <c r="U372" i="9" s="1"/>
  <c r="S368" i="9"/>
  <c r="S372" i="9" s="1"/>
  <c r="S367" i="9"/>
  <c r="Y368" i="9"/>
  <c r="Y372" i="9" s="1"/>
  <c r="V343" i="9"/>
  <c r="AC393" i="9"/>
  <c r="AC397" i="9" s="1"/>
  <c r="AC392" i="9"/>
  <c r="X343" i="9"/>
  <c r="X347" i="9" s="1"/>
  <c r="U367" i="9"/>
  <c r="AD392" i="9"/>
  <c r="Y367" i="9"/>
  <c r="V342" i="9"/>
  <c r="AA367" i="9"/>
  <c r="AA368" i="9"/>
  <c r="X342" i="9"/>
  <c r="AA372" i="9" l="1"/>
  <c r="AB372" i="9" s="1"/>
  <c r="Z367" i="9"/>
  <c r="V347" i="9"/>
  <c r="W347" i="9" s="1"/>
  <c r="Z368" i="9"/>
  <c r="Z372" i="9" s="1"/>
  <c r="Y347" i="9"/>
  <c r="V450" i="9"/>
  <c r="V451" i="9" s="1"/>
  <c r="X392" i="9"/>
  <c r="X393" i="9"/>
  <c r="X397" i="9" s="1"/>
  <c r="X367" i="9" l="1"/>
  <c r="X368" i="9"/>
  <c r="X372" i="9" l="1"/>
  <c r="W372" i="9" s="1"/>
  <c r="C63" i="10"/>
  <c r="C66" i="10" s="1"/>
  <c r="X402" i="9"/>
  <c r="V456" i="9" s="1"/>
  <c r="V457" i="9" s="1"/>
  <c r="W402" i="9" l="1"/>
  <c r="J39" i="2" l="1"/>
  <c r="AD157" i="12"/>
  <c r="Y144" i="12"/>
  <c r="S144" i="12"/>
  <c r="V131" i="12"/>
  <c r="U144" i="12"/>
  <c r="AC157" i="12"/>
  <c r="AA144" i="12"/>
  <c r="X131" i="12"/>
  <c r="V132" i="14"/>
  <c r="Y145" i="14"/>
  <c r="U145" i="14"/>
  <c r="AA145" i="14"/>
  <c r="X132" i="14"/>
  <c r="V158" i="14"/>
  <c r="S145" i="14"/>
  <c r="AD158" i="14"/>
  <c r="AC158" i="14"/>
  <c r="V131" i="14"/>
  <c r="J46" i="2"/>
  <c r="S144" i="14"/>
  <c r="Y144" i="14"/>
  <c r="V157" i="14"/>
  <c r="U144" i="14"/>
  <c r="AD157" i="14"/>
  <c r="AA144" i="14"/>
  <c r="X131" i="14"/>
  <c r="AC157" i="14"/>
  <c r="S145" i="12"/>
  <c r="Y145" i="12"/>
  <c r="AC158" i="12"/>
  <c r="V132" i="12"/>
  <c r="X132" i="12"/>
  <c r="U145" i="12"/>
  <c r="AD158" i="12"/>
  <c r="AA145" i="12"/>
  <c r="Z145" i="12" l="1"/>
  <c r="X157" i="14"/>
  <c r="Z144" i="14"/>
  <c r="X158" i="14"/>
  <c r="Y132" i="14"/>
  <c r="W132" i="14"/>
  <c r="Z144" i="12"/>
  <c r="X158" i="12"/>
  <c r="Y131" i="14"/>
  <c r="W131" i="14"/>
  <c r="Z145" i="14"/>
  <c r="X157" i="12"/>
  <c r="Y130" i="14" l="1"/>
  <c r="W130" i="14"/>
  <c r="X144" i="12"/>
  <c r="X144" i="14"/>
  <c r="X145" i="12"/>
  <c r="X145" i="14"/>
  <c r="W144" i="14" l="1"/>
  <c r="W145" i="14"/>
  <c r="W143" i="14" l="1"/>
  <c r="E63" i="10" l="1"/>
  <c r="E66" i="10" s="1"/>
  <c r="AN145" i="14"/>
  <c r="AN145" i="12"/>
  <c r="AQ158" i="12" l="1"/>
  <c r="AL145" i="12"/>
  <c r="AP158" i="12"/>
  <c r="AH145" i="12"/>
  <c r="AP158" i="14"/>
  <c r="AF145" i="14"/>
  <c r="AI132" i="12"/>
  <c r="AK132" i="12"/>
  <c r="AK132" i="14"/>
  <c r="AH145" i="14"/>
  <c r="AI158" i="14"/>
  <c r="AI132" i="14"/>
  <c r="AL145" i="14"/>
  <c r="AQ158" i="14"/>
  <c r="AF145" i="12"/>
  <c r="AL132" i="14" l="1"/>
  <c r="AM145" i="12"/>
  <c r="AM145" i="14"/>
  <c r="AJ132" i="14"/>
  <c r="AK158" i="14"/>
  <c r="AK158" i="12"/>
  <c r="AK145" i="14" l="1"/>
  <c r="AK145" i="12"/>
  <c r="AJ145" i="14" l="1"/>
  <c r="AN144" i="12" l="1"/>
  <c r="AN152" i="12" s="1"/>
  <c r="AQ157" i="14"/>
  <c r="AN144" i="14" l="1"/>
  <c r="AH144" i="14"/>
  <c r="AL144" i="14"/>
  <c r="AI131" i="14"/>
  <c r="N46" i="2"/>
  <c r="AF144" i="14"/>
  <c r="AI157" i="14"/>
  <c r="AK131" i="14"/>
  <c r="AP157" i="14"/>
  <c r="AH144" i="12"/>
  <c r="AH152" i="12" s="1"/>
  <c r="N39" i="2"/>
  <c r="AQ157" i="12"/>
  <c r="AQ165" i="12" s="1"/>
  <c r="AF144" i="12"/>
  <c r="AF152" i="12" s="1"/>
  <c r="AP157" i="12"/>
  <c r="AK131" i="12"/>
  <c r="AL144" i="12"/>
  <c r="AL152" i="12" s="1"/>
  <c r="AI131" i="12"/>
  <c r="AP165" i="12" l="1"/>
  <c r="AK157" i="12"/>
  <c r="AK165" i="12" s="1"/>
  <c r="E18" i="10" s="1"/>
  <c r="AM144" i="12"/>
  <c r="AL131" i="14"/>
  <c r="AL130" i="14" s="1"/>
  <c r="AJ131" i="14"/>
  <c r="AJ130" i="14" s="1"/>
  <c r="AK157" i="14"/>
  <c r="AM144" i="14"/>
  <c r="AK144" i="14" l="1"/>
  <c r="AM152" i="12"/>
  <c r="AK144" i="12"/>
  <c r="AK152" i="12" s="1"/>
  <c r="E14" i="10" l="1"/>
  <c r="AJ152" i="12"/>
  <c r="AK170" i="12"/>
  <c r="AJ170" i="12" s="1"/>
  <c r="AJ144" i="14"/>
  <c r="AJ143" i="14" s="1"/>
  <c r="N34" i="2" l="1"/>
  <c r="N29" i="2" l="1"/>
  <c r="K48" i="2" l="1"/>
  <c r="AQ161" i="14" l="1"/>
  <c r="AQ165" i="14" s="1"/>
  <c r="AL148" i="14"/>
  <c r="AL152" i="14" s="1"/>
  <c r="AN148" i="14"/>
  <c r="AH148" i="14"/>
  <c r="AH152" i="14" s="1"/>
  <c r="AP161" i="14"/>
  <c r="AF148" i="14"/>
  <c r="AF152" i="14" s="1"/>
  <c r="AK161" i="14" l="1"/>
  <c r="AK165" i="14" s="1"/>
  <c r="E19" i="10" s="1"/>
  <c r="E20" i="10" s="1"/>
  <c r="AP165" i="14"/>
  <c r="AM148" i="14"/>
  <c r="AN152" i="14"/>
  <c r="AK148" i="14" l="1"/>
  <c r="AM152" i="14"/>
  <c r="AJ148" i="14" l="1"/>
  <c r="AK152" i="14"/>
  <c r="J19" i="2"/>
  <c r="AD379" i="9"/>
  <c r="S354" i="9"/>
  <c r="V329" i="9"/>
  <c r="W329" i="9" s="1"/>
  <c r="W328" i="9" s="1"/>
  <c r="AA354" i="9"/>
  <c r="AB354" i="9" s="1"/>
  <c r="AB353" i="9" s="1"/>
  <c r="U354" i="9"/>
  <c r="Y354" i="9"/>
  <c r="AC379" i="9"/>
  <c r="X329" i="9"/>
  <c r="Y329" i="9" s="1"/>
  <c r="Y328" i="9" s="1"/>
  <c r="AJ152" i="14" l="1"/>
  <c r="AK170" i="14"/>
  <c r="AJ170" i="14" s="1"/>
  <c r="E15" i="10"/>
  <c r="Z354" i="9"/>
  <c r="X354" i="9" s="1"/>
  <c r="X379" i="9"/>
  <c r="W354" i="9" l="1"/>
  <c r="W353" i="9" s="1"/>
  <c r="N19" i="2" l="1"/>
  <c r="E16" i="10" l="1"/>
  <c r="E21" i="10" s="1"/>
  <c r="E9" i="10"/>
  <c r="K40" i="2" l="1"/>
  <c r="K47" i="2"/>
  <c r="AK135" i="12"/>
  <c r="AI135" i="12"/>
  <c r="L48" i="2" l="1"/>
  <c r="AI135" i="14"/>
  <c r="AK135" i="14"/>
  <c r="AQ162" i="12"/>
  <c r="AQ166" i="12" s="1"/>
  <c r="AL149" i="12"/>
  <c r="AL153" i="12" s="1"/>
  <c r="AP162" i="12"/>
  <c r="AH149" i="12"/>
  <c r="AH153" i="12" s="1"/>
  <c r="AF149" i="12"/>
  <c r="AF153" i="12" s="1"/>
  <c r="AN149" i="12"/>
  <c r="N41" i="2"/>
  <c r="AL135" i="12"/>
  <c r="AK139" i="12"/>
  <c r="AJ135" i="12"/>
  <c r="AI139" i="12"/>
  <c r="AJ139" i="12" s="1"/>
  <c r="N24" i="2"/>
  <c r="AL135" i="14" l="1"/>
  <c r="AK139" i="14"/>
  <c r="AQ162" i="14"/>
  <c r="AQ166" i="14" s="1"/>
  <c r="AF149" i="14"/>
  <c r="AF153" i="14" s="1"/>
  <c r="AH149" i="14"/>
  <c r="AH153" i="14" s="1"/>
  <c r="AN149" i="14"/>
  <c r="AP162" i="14"/>
  <c r="AL149" i="14"/>
  <c r="AL153" i="14" s="1"/>
  <c r="N48" i="2"/>
  <c r="AJ135" i="14"/>
  <c r="AI139" i="14"/>
  <c r="AM149" i="12"/>
  <c r="AN153" i="12"/>
  <c r="E10" i="10"/>
  <c r="AL139" i="12"/>
  <c r="AK162" i="12"/>
  <c r="AK166" i="12" s="1"/>
  <c r="F18" i="10" s="1"/>
  <c r="AP166" i="12"/>
  <c r="AK162" i="14" l="1"/>
  <c r="AK166" i="14" s="1"/>
  <c r="F19" i="10" s="1"/>
  <c r="F20" i="10" s="1"/>
  <c r="AP166" i="14"/>
  <c r="AM149" i="14"/>
  <c r="AN153" i="14"/>
  <c r="AL139" i="14"/>
  <c r="AK189" i="14"/>
  <c r="AJ139" i="14"/>
  <c r="AK149" i="12"/>
  <c r="AM153" i="12"/>
  <c r="F9" i="10"/>
  <c r="L47" i="2"/>
  <c r="E77" i="10" l="1"/>
  <c r="AK193" i="14"/>
  <c r="AJ193" i="14" s="1"/>
  <c r="AI136" i="14"/>
  <c r="AK136" i="14"/>
  <c r="N47" i="2"/>
  <c r="AJ189" i="14"/>
  <c r="AK149" i="14"/>
  <c r="AM153" i="14"/>
  <c r="L40" i="2"/>
  <c r="AJ149" i="12"/>
  <c r="AJ147" i="12" s="1"/>
  <c r="AK153" i="12"/>
  <c r="E78" i="10" l="1"/>
  <c r="AK197" i="14"/>
  <c r="AL136" i="14"/>
  <c r="AL134" i="14" s="1"/>
  <c r="AK140" i="14"/>
  <c r="AJ149" i="14"/>
  <c r="AJ147" i="14" s="1"/>
  <c r="AK153" i="14"/>
  <c r="AJ136" i="14"/>
  <c r="AJ134" i="14" s="1"/>
  <c r="AI140" i="14"/>
  <c r="F14" i="10"/>
  <c r="AK171" i="12"/>
  <c r="AJ171" i="12" s="1"/>
  <c r="AJ169" i="12" s="1"/>
  <c r="AJ153" i="12"/>
  <c r="AJ151" i="12" s="1"/>
  <c r="AK136" i="12"/>
  <c r="AI136" i="12"/>
  <c r="N40" i="2"/>
  <c r="W383" i="9"/>
  <c r="W384" i="9"/>
  <c r="S358" i="9"/>
  <c r="S370" i="9" s="1"/>
  <c r="U358" i="9"/>
  <c r="U370" i="9" s="1"/>
  <c r="X333" i="9"/>
  <c r="X345" i="9" s="1"/>
  <c r="AC383" i="9"/>
  <c r="AC395" i="9" s="1"/>
  <c r="AD383" i="9"/>
  <c r="AD395" i="9" s="1"/>
  <c r="Y358" i="9"/>
  <c r="Y370" i="9" s="1"/>
  <c r="V333" i="9"/>
  <c r="V345" i="9" s="1"/>
  <c r="W345" i="9" s="1"/>
  <c r="AA358" i="9"/>
  <c r="AA370" i="9" s="1"/>
  <c r="AB370" i="9" s="1"/>
  <c r="E11" i="10" l="1"/>
  <c r="E12" i="10" s="1"/>
  <c r="AJ153" i="14"/>
  <c r="AJ151" i="14" s="1"/>
  <c r="AK171" i="14"/>
  <c r="AJ171" i="14" s="1"/>
  <c r="AJ169" i="14" s="1"/>
  <c r="F15" i="10"/>
  <c r="F16" i="10" s="1"/>
  <c r="F21" i="10" s="1"/>
  <c r="AL140" i="14"/>
  <c r="AL138" i="14" s="1"/>
  <c r="AK190" i="14"/>
  <c r="AJ140" i="14"/>
  <c r="AJ138" i="14" s="1"/>
  <c r="AL136" i="12"/>
  <c r="AL134" i="12" s="1"/>
  <c r="AK140" i="12"/>
  <c r="AJ136" i="12"/>
  <c r="AJ134" i="12" s="1"/>
  <c r="AI140" i="12"/>
  <c r="AJ140" i="12" s="1"/>
  <c r="AJ138" i="12" s="1"/>
  <c r="W382" i="9"/>
  <c r="AB358" i="9"/>
  <c r="Z358" i="9"/>
  <c r="Z370" i="9" s="1"/>
  <c r="W333" i="9"/>
  <c r="V452" i="9"/>
  <c r="C9" i="10"/>
  <c r="Y345" i="9"/>
  <c r="Y333" i="9"/>
  <c r="X383" i="9"/>
  <c r="X395" i="9" s="1"/>
  <c r="C17" i="10" s="1"/>
  <c r="F77" i="10" l="1"/>
  <c r="AK194" i="14"/>
  <c r="AJ194" i="14" s="1"/>
  <c r="AJ192" i="14" s="1"/>
  <c r="E30" i="10"/>
  <c r="E32" i="10" s="1"/>
  <c r="E34" i="10" s="1"/>
  <c r="E37" i="10" s="1"/>
  <c r="E97" i="7"/>
  <c r="C5" i="11" s="1"/>
  <c r="C67" i="11" s="1"/>
  <c r="AJ190" i="14"/>
  <c r="AJ188" i="14" s="1"/>
  <c r="AL140" i="12"/>
  <c r="AL138" i="12" s="1"/>
  <c r="F10" i="10"/>
  <c r="X358" i="9"/>
  <c r="X370" i="9" s="1"/>
  <c r="C13" i="10" s="1"/>
  <c r="X452" i="9"/>
  <c r="F78" i="10" l="1"/>
  <c r="E80" i="10" s="1"/>
  <c r="AK198" i="14"/>
  <c r="G40" i="2"/>
  <c r="X135" i="12" s="1"/>
  <c r="G47" i="2"/>
  <c r="W358" i="9"/>
  <c r="W370" i="9"/>
  <c r="X400" i="9"/>
  <c r="F11" i="10" l="1"/>
  <c r="F12" i="10" s="1"/>
  <c r="E99" i="7" s="1"/>
  <c r="C36" i="11" s="1"/>
  <c r="C70" i="11" s="1"/>
  <c r="V135" i="12"/>
  <c r="W135" i="12" s="1"/>
  <c r="V135" i="14"/>
  <c r="X135" i="14"/>
  <c r="Y135" i="12"/>
  <c r="X139" i="12"/>
  <c r="W400" i="9"/>
  <c r="V458" i="9"/>
  <c r="E42" i="10" l="1"/>
  <c r="E44" i="10" s="1"/>
  <c r="E46" i="10" s="1"/>
  <c r="E49" i="10" s="1"/>
  <c r="F56" i="10"/>
  <c r="E67" i="10"/>
  <c r="E56" i="10"/>
  <c r="E98" i="7"/>
  <c r="I5" i="11" s="1"/>
  <c r="C68" i="11" s="1"/>
  <c r="F30" i="10"/>
  <c r="F32" i="10" s="1"/>
  <c r="F34" i="10" s="1"/>
  <c r="F37" i="10" s="1"/>
  <c r="V139" i="12"/>
  <c r="W139" i="12" s="1"/>
  <c r="Y135" i="14"/>
  <c r="X139" i="14"/>
  <c r="W135" i="14"/>
  <c r="V139" i="14"/>
  <c r="Y139" i="12"/>
  <c r="C10" i="10"/>
  <c r="X458" i="9"/>
  <c r="G48" i="2" l="1"/>
  <c r="G41" i="2"/>
  <c r="AV161" i="14"/>
  <c r="AV165" i="14" s="1"/>
  <c r="BV161" i="14"/>
  <c r="BV165" i="14" s="1"/>
  <c r="CV161" i="14"/>
  <c r="CV165" i="14" s="1"/>
  <c r="DV161" i="14"/>
  <c r="Y148" i="14"/>
  <c r="Y152" i="14" s="1"/>
  <c r="S148" i="14"/>
  <c r="S152" i="14" s="1"/>
  <c r="AD161" i="14"/>
  <c r="AD165" i="14" s="1"/>
  <c r="AI161" i="14"/>
  <c r="AI165" i="14" s="1"/>
  <c r="BI161" i="14"/>
  <c r="BI165" i="14" s="1"/>
  <c r="CI161" i="14"/>
  <c r="CI165" i="14" s="1"/>
  <c r="DI161" i="14"/>
  <c r="DI165" i="14" s="1"/>
  <c r="V161" i="14"/>
  <c r="V165" i="14" s="1"/>
  <c r="AA148" i="14"/>
  <c r="U148" i="14"/>
  <c r="U152" i="14" s="1"/>
  <c r="AC161" i="14"/>
  <c r="Y139" i="14"/>
  <c r="W139" i="14"/>
  <c r="X189" i="14"/>
  <c r="C77" i="10" l="1"/>
  <c r="X193" i="14"/>
  <c r="S148" i="12"/>
  <c r="S152" i="12" s="1"/>
  <c r="AC161" i="12"/>
  <c r="U148" i="12"/>
  <c r="U152" i="12" s="1"/>
  <c r="AD161" i="12"/>
  <c r="AD165" i="12" s="1"/>
  <c r="Y148" i="12"/>
  <c r="Y152" i="12" s="1"/>
  <c r="AA148" i="12"/>
  <c r="X161" i="14"/>
  <c r="X165" i="14" s="1"/>
  <c r="C19" i="10" s="1"/>
  <c r="AC165" i="14"/>
  <c r="Z148" i="14"/>
  <c r="AA152" i="14"/>
  <c r="W189" i="14"/>
  <c r="W193" i="14" l="1"/>
  <c r="C78" i="10"/>
  <c r="Z148" i="12"/>
  <c r="AA152" i="12"/>
  <c r="X161" i="12"/>
  <c r="X165" i="12" s="1"/>
  <c r="C18" i="10" s="1"/>
  <c r="C20" i="10" s="1"/>
  <c r="AC165" i="12"/>
  <c r="X148" i="14"/>
  <c r="Z152" i="14"/>
  <c r="X197" i="14"/>
  <c r="C11" i="10" l="1"/>
  <c r="C12" i="10" s="1"/>
  <c r="X148" i="12"/>
  <c r="Z152" i="12"/>
  <c r="W148" i="14"/>
  <c r="X152" i="14"/>
  <c r="W148" i="12" l="1"/>
  <c r="X152" i="12"/>
  <c r="C15" i="10"/>
  <c r="X170" i="14"/>
  <c r="W170" i="14" s="1"/>
  <c r="W152" i="14"/>
  <c r="J24" i="2"/>
  <c r="Y359" i="9"/>
  <c r="Y371" i="9" s="1"/>
  <c r="U359" i="9"/>
  <c r="U371" i="9" s="1"/>
  <c r="V334" i="9"/>
  <c r="W334" i="9" s="1"/>
  <c r="W332" i="9" s="1"/>
  <c r="AC384" i="9"/>
  <c r="AC396" i="9" s="1"/>
  <c r="AD384" i="9"/>
  <c r="S359" i="9"/>
  <c r="S371" i="9" s="1"/>
  <c r="X334" i="9"/>
  <c r="Y334" i="9" s="1"/>
  <c r="Y332" i="9" s="1"/>
  <c r="AA359" i="9"/>
  <c r="AA371" i="9" s="1"/>
  <c r="AB371" i="9" s="1"/>
  <c r="AB369" i="9" s="1"/>
  <c r="W152" i="12" l="1"/>
  <c r="C14" i="10"/>
  <c r="X170" i="12"/>
  <c r="W170" i="12" s="1"/>
  <c r="C16" i="10"/>
  <c r="C21" i="10" s="1"/>
  <c r="C30" i="10" s="1"/>
  <c r="C32" i="10" s="1"/>
  <c r="C34" i="10" s="1"/>
  <c r="C37" i="10" s="1"/>
  <c r="X384" i="9"/>
  <c r="X396" i="9" s="1"/>
  <c r="D17" i="10" s="1"/>
  <c r="V346" i="9"/>
  <c r="W346" i="9" s="1"/>
  <c r="W344" i="9" s="1"/>
  <c r="AB359" i="9"/>
  <c r="AB357" i="9" s="1"/>
  <c r="Z359" i="9"/>
  <c r="X346" i="9"/>
  <c r="AD396" i="9"/>
  <c r="D97" i="7" l="1"/>
  <c r="B5" i="11" s="1"/>
  <c r="B11" i="11" s="1"/>
  <c r="Z371" i="9"/>
  <c r="X359" i="9"/>
  <c r="D9" i="10"/>
  <c r="Y346" i="9"/>
  <c r="Y344" i="9" s="1"/>
  <c r="V453" i="9"/>
  <c r="X453" i="9" s="1"/>
  <c r="H47" i="2" s="1"/>
  <c r="B8" i="11" l="1"/>
  <c r="B9" i="11" s="1"/>
  <c r="B10" i="11" s="1"/>
  <c r="C7" i="11" s="1"/>
  <c r="C8" i="11" s="1"/>
  <c r="C9" i="11" s="1"/>
  <c r="C10" i="11" s="1"/>
  <c r="D7" i="11" s="1"/>
  <c r="D8" i="11" s="1"/>
  <c r="D9" i="11" s="1"/>
  <c r="D10" i="11" s="1"/>
  <c r="E7" i="11" s="1"/>
  <c r="E8" i="11" s="1"/>
  <c r="E9" i="11" s="1"/>
  <c r="E10" i="11" s="1"/>
  <c r="F7" i="11" s="1"/>
  <c r="F8" i="11" s="1"/>
  <c r="F9" i="11" s="1"/>
  <c r="F10" i="11" s="1"/>
  <c r="B67" i="11"/>
  <c r="B27" i="11"/>
  <c r="X136" i="14"/>
  <c r="V136" i="14"/>
  <c r="J47" i="2"/>
  <c r="X451" i="9"/>
  <c r="H40" i="2"/>
  <c r="X371" i="9"/>
  <c r="D13" i="10" s="1"/>
  <c r="W359" i="9"/>
  <c r="W357" i="9" s="1"/>
  <c r="B12" i="11" l="1"/>
  <c r="W136" i="14"/>
  <c r="W134" i="14" s="1"/>
  <c r="V140" i="14"/>
  <c r="Y136" i="14"/>
  <c r="Y134" i="14" s="1"/>
  <c r="X140" i="14"/>
  <c r="V136" i="12"/>
  <c r="X136" i="12"/>
  <c r="J40" i="2"/>
  <c r="W371" i="9"/>
  <c r="W369" i="9" s="1"/>
  <c r="X401" i="9"/>
  <c r="B28" i="11" l="1"/>
  <c r="B17" i="11"/>
  <c r="B13" i="11"/>
  <c r="Y140" i="14"/>
  <c r="Y138" i="14" s="1"/>
  <c r="W140" i="14"/>
  <c r="W138" i="14" s="1"/>
  <c r="X190" i="14"/>
  <c r="Y136" i="12"/>
  <c r="Y134" i="12" s="1"/>
  <c r="X140" i="12"/>
  <c r="W136" i="12"/>
  <c r="W134" i="12" s="1"/>
  <c r="V140" i="12"/>
  <c r="W140" i="12" s="1"/>
  <c r="W138" i="12" s="1"/>
  <c r="V459" i="9"/>
  <c r="X459" i="9" s="1"/>
  <c r="H48" i="2" s="1"/>
  <c r="W401" i="9"/>
  <c r="W399" i="9" s="1"/>
  <c r="D77" i="10" l="1"/>
  <c r="X194" i="14"/>
  <c r="B21" i="11"/>
  <c r="B20" i="11"/>
  <c r="D21" i="11"/>
  <c r="C21" i="11"/>
  <c r="E21" i="11"/>
  <c r="AV162" i="14"/>
  <c r="AV166" i="14" s="1"/>
  <c r="BV162" i="14"/>
  <c r="BV166" i="14" s="1"/>
  <c r="CV162" i="14"/>
  <c r="CV166" i="14" s="1"/>
  <c r="DV162" i="14"/>
  <c r="U149" i="14"/>
  <c r="U153" i="14" s="1"/>
  <c r="Y149" i="14"/>
  <c r="Y153" i="14" s="1"/>
  <c r="V162" i="14"/>
  <c r="V166" i="14" s="1"/>
  <c r="S149" i="14"/>
  <c r="S153" i="14" s="1"/>
  <c r="AI162" i="14"/>
  <c r="AI166" i="14" s="1"/>
  <c r="BI162" i="14"/>
  <c r="BI166" i="14" s="1"/>
  <c r="CI162" i="14"/>
  <c r="CI166" i="14" s="1"/>
  <c r="DI162" i="14"/>
  <c r="DI166" i="14" s="1"/>
  <c r="AA149" i="14"/>
  <c r="AC162" i="14"/>
  <c r="AD162" i="14"/>
  <c r="AD166" i="14" s="1"/>
  <c r="J48" i="2"/>
  <c r="W190" i="14"/>
  <c r="W188" i="14" s="1"/>
  <c r="X457" i="9"/>
  <c r="H41" i="2"/>
  <c r="Y140" i="12"/>
  <c r="Y138" i="12" s="1"/>
  <c r="D10" i="10"/>
  <c r="W194" i="14" l="1"/>
  <c r="W192" i="14" s="1"/>
  <c r="D78" i="10"/>
  <c r="C80" i="10" s="1"/>
  <c r="C81" i="10" s="1"/>
  <c r="C22" i="11"/>
  <c r="C24" i="11" s="1"/>
  <c r="E22" i="11"/>
  <c r="E24" i="11" s="1"/>
  <c r="D22" i="11"/>
  <c r="D24" i="11" s="1"/>
  <c r="B23" i="11"/>
  <c r="B25" i="11" s="1"/>
  <c r="B22" i="11"/>
  <c r="B24" i="11" s="1"/>
  <c r="X162" i="14"/>
  <c r="X166" i="14" s="1"/>
  <c r="D19" i="10" s="1"/>
  <c r="AC166" i="14"/>
  <c r="Z149" i="14"/>
  <c r="AA153" i="14"/>
  <c r="X198" i="14"/>
  <c r="Y149" i="12"/>
  <c r="Y153" i="12" s="1"/>
  <c r="S149" i="12"/>
  <c r="S153" i="12" s="1"/>
  <c r="AC162" i="12"/>
  <c r="J41" i="2"/>
  <c r="U149" i="12"/>
  <c r="U153" i="12" s="1"/>
  <c r="AD162" i="12"/>
  <c r="AD166" i="12" s="1"/>
  <c r="AA149" i="12"/>
  <c r="D11" i="10" l="1"/>
  <c r="D12" i="10" s="1"/>
  <c r="B26" i="11"/>
  <c r="C20" i="11" s="1"/>
  <c r="C23" i="11" s="1"/>
  <c r="C25" i="11" s="1"/>
  <c r="X149" i="14"/>
  <c r="Z153" i="14"/>
  <c r="Z149" i="12"/>
  <c r="AA153" i="12"/>
  <c r="X162" i="12"/>
  <c r="X166" i="12" s="1"/>
  <c r="D18" i="10" s="1"/>
  <c r="D20" i="10" s="1"/>
  <c r="AC166" i="12"/>
  <c r="C26" i="11" l="1"/>
  <c r="D20" i="11" s="1"/>
  <c r="D23" i="11" s="1"/>
  <c r="D25" i="11" s="1"/>
  <c r="D26" i="11" s="1"/>
  <c r="E20" i="11" s="1"/>
  <c r="E23" i="11" s="1"/>
  <c r="E25" i="11" s="1"/>
  <c r="E26" i="11" s="1"/>
  <c r="W149" i="14"/>
  <c r="W147" i="14" s="1"/>
  <c r="X153" i="14"/>
  <c r="X149" i="12"/>
  <c r="Z153" i="12"/>
  <c r="B29" i="11" l="1"/>
  <c r="B30" i="11" s="1"/>
  <c r="X171" i="14"/>
  <c r="W171" i="14" s="1"/>
  <c r="W169" i="14" s="1"/>
  <c r="W153" i="14"/>
  <c r="W151" i="14" s="1"/>
  <c r="D15" i="10"/>
  <c r="W149" i="12"/>
  <c r="W147" i="12" s="1"/>
  <c r="X153" i="12"/>
  <c r="D31" i="11" l="1"/>
  <c r="J67" i="11" s="1"/>
  <c r="E31" i="11"/>
  <c r="K67" i="11" s="1"/>
  <c r="B31" i="11"/>
  <c r="H67" i="11" s="1"/>
  <c r="C31" i="11"/>
  <c r="I67" i="11" s="1"/>
  <c r="W153" i="12"/>
  <c r="W151" i="12" s="1"/>
  <c r="D14" i="10"/>
  <c r="D16" i="10" s="1"/>
  <c r="D21" i="10" s="1"/>
  <c r="X171" i="12"/>
  <c r="W171" i="12" s="1"/>
  <c r="W169" i="12" s="1"/>
  <c r="C57" i="10" l="1"/>
  <c r="C42" i="10"/>
  <c r="C44" i="10" s="1"/>
  <c r="C46" i="10" s="1"/>
  <c r="C49" i="10" s="1"/>
  <c r="J78" i="7"/>
  <c r="J94" i="7"/>
  <c r="E35" i="4" s="1"/>
  <c r="L78" i="7"/>
  <c r="L94" i="7"/>
  <c r="I35" i="4" s="1"/>
  <c r="I94" i="7"/>
  <c r="C35" i="4" s="1"/>
  <c r="I78" i="7"/>
  <c r="K94" i="7"/>
  <c r="G35" i="4" s="1"/>
  <c r="K78" i="7"/>
  <c r="C56" i="10"/>
  <c r="D99" i="7"/>
  <c r="B36" i="11" s="1"/>
  <c r="C58" i="10"/>
  <c r="D98" i="7"/>
  <c r="H5" i="11" s="1"/>
  <c r="C67" i="10"/>
  <c r="D56" i="10"/>
  <c r="D30" i="10"/>
  <c r="D32" i="10" s="1"/>
  <c r="D34" i="10" s="1"/>
  <c r="D37" i="10" s="1"/>
  <c r="K51" i="10" l="1"/>
  <c r="B39" i="11"/>
  <c r="B40" i="11" s="1"/>
  <c r="B70" i="11"/>
  <c r="B42" i="11"/>
  <c r="B68" i="11"/>
  <c r="H8" i="11"/>
  <c r="H9" i="11" s="1"/>
  <c r="H11" i="11"/>
  <c r="B58" i="11" l="1"/>
  <c r="B41" i="11"/>
  <c r="C38" i="11" s="1"/>
  <c r="C39" i="11" s="1"/>
  <c r="C40" i="11" s="1"/>
  <c r="C41" i="11" s="1"/>
  <c r="D38" i="11" s="1"/>
  <c r="H10" i="11"/>
  <c r="I7" i="11" s="1"/>
  <c r="I8" i="11" s="1"/>
  <c r="I9" i="11" s="1"/>
  <c r="I10" i="11" s="1"/>
  <c r="J7" i="11" s="1"/>
  <c r="J8" i="11" s="1"/>
  <c r="J9" i="11" s="1"/>
  <c r="J10" i="11" s="1"/>
  <c r="K7" i="11" s="1"/>
  <c r="K8" i="11" s="1"/>
  <c r="K9" i="11" s="1"/>
  <c r="K10" i="11" s="1"/>
  <c r="L7" i="11" s="1"/>
  <c r="L8" i="11" s="1"/>
  <c r="L9" i="11" s="1"/>
  <c r="L10" i="11" s="1"/>
  <c r="H27" i="11"/>
  <c r="D39" i="11" l="1"/>
  <c r="D40" i="11" s="1"/>
  <c r="D41" i="11" s="1"/>
  <c r="E38" i="11" s="1"/>
  <c r="E39" i="11" s="1"/>
  <c r="E40" i="11" s="1"/>
  <c r="H12" i="11"/>
  <c r="E41" i="11" l="1"/>
  <c r="F38" i="11" s="1"/>
  <c r="F39" i="11" s="1"/>
  <c r="F40" i="11" s="1"/>
  <c r="F41" i="11" s="1"/>
  <c r="H28" i="11"/>
  <c r="H17" i="11"/>
  <c r="H13" i="11"/>
  <c r="B43" i="11" l="1"/>
  <c r="K21" i="11"/>
  <c r="H21" i="11"/>
  <c r="J21" i="11"/>
  <c r="H20" i="11"/>
  <c r="I21" i="11"/>
  <c r="B59" i="11" l="1"/>
  <c r="B48" i="11"/>
  <c r="B44" i="11"/>
  <c r="H23" i="11"/>
  <c r="H25" i="11" s="1"/>
  <c r="H22" i="11"/>
  <c r="H24" i="11" s="1"/>
  <c r="I22" i="11"/>
  <c r="I24" i="11" s="1"/>
  <c r="J22" i="11"/>
  <c r="J24" i="11" s="1"/>
  <c r="K22" i="11"/>
  <c r="K24" i="11" s="1"/>
  <c r="B52" i="11" l="1"/>
  <c r="B51" i="11"/>
  <c r="E52" i="11"/>
  <c r="C52" i="11"/>
  <c r="D52" i="11"/>
  <c r="H26" i="11"/>
  <c r="I20" i="11" s="1"/>
  <c r="I23" i="11" s="1"/>
  <c r="I25" i="11" s="1"/>
  <c r="I26" i="11" s="1"/>
  <c r="J20" i="11" s="1"/>
  <c r="J23" i="11" s="1"/>
  <c r="J25" i="11" s="1"/>
  <c r="J26" i="11" s="1"/>
  <c r="K20" i="11" s="1"/>
  <c r="K23" i="11" s="1"/>
  <c r="K25" i="11" s="1"/>
  <c r="K26" i="11" s="1"/>
  <c r="C53" i="11" l="1"/>
  <c r="C55" i="11" s="1"/>
  <c r="D53" i="11"/>
  <c r="D55" i="11" s="1"/>
  <c r="E53" i="11"/>
  <c r="E55" i="11" s="1"/>
  <c r="B54" i="11"/>
  <c r="B53" i="11"/>
  <c r="B55" i="11" s="1"/>
  <c r="H29" i="11"/>
  <c r="H30" i="11" s="1"/>
  <c r="B56" i="11" l="1"/>
  <c r="B57" i="11" s="1"/>
  <c r="C51" i="11" s="1"/>
  <c r="C54" i="11" s="1"/>
  <c r="C56" i="11" s="1"/>
  <c r="C57" i="11" s="1"/>
  <c r="D51" i="11" s="1"/>
  <c r="D54" i="11" s="1"/>
  <c r="K31" i="11"/>
  <c r="K68" i="11" s="1"/>
  <c r="I31" i="11"/>
  <c r="I68" i="11" s="1"/>
  <c r="J31" i="11"/>
  <c r="J68" i="11" s="1"/>
  <c r="H31" i="11"/>
  <c r="H68" i="11" s="1"/>
  <c r="D56" i="11" l="1"/>
  <c r="D57" i="11" s="1"/>
  <c r="E51" i="11" s="1"/>
  <c r="E54" i="11" s="1"/>
  <c r="I82" i="7"/>
  <c r="I95" i="7"/>
  <c r="D35" i="4" s="1"/>
  <c r="J95" i="7"/>
  <c r="F35" i="4" s="1"/>
  <c r="J82" i="7"/>
  <c r="K95" i="7"/>
  <c r="H35" i="4" s="1"/>
  <c r="K82" i="7"/>
  <c r="L82" i="7"/>
  <c r="L95" i="7"/>
  <c r="J35" i="4" s="1"/>
  <c r="E56" i="11" l="1"/>
  <c r="E57" i="11" s="1"/>
  <c r="AN46" i="2"/>
  <c r="DV158" i="14"/>
  <c r="DV166" i="14" s="1"/>
  <c r="AM46" i="2"/>
  <c r="DV157" i="14" s="1"/>
  <c r="DV165" i="14" s="1"/>
  <c r="AM39" i="2"/>
  <c r="EA144" i="12"/>
  <c r="DS144" i="12"/>
  <c r="DU144" i="12"/>
  <c r="DY144" i="12"/>
  <c r="DZ144" i="12"/>
  <c r="DX144" i="12" s="1"/>
  <c r="AO13" i="2"/>
  <c r="EA352" i="9"/>
  <c r="DS352" i="9"/>
  <c r="DU352" i="9"/>
  <c r="DY352" i="9"/>
  <c r="AO24" i="2"/>
  <c r="EA360" i="9"/>
  <c r="DS360" i="9"/>
  <c r="DU360" i="9"/>
  <c r="DY360" i="9"/>
  <c r="DZ360" i="9" s="1"/>
  <c r="DX360" i="9" s="1"/>
  <c r="DW360" i="9" s="1"/>
  <c r="EC377" i="9"/>
  <c r="ED377" i="9"/>
  <c r="EC385" i="9"/>
  <c r="ED385" i="9"/>
  <c r="DX385" i="9" s="1"/>
  <c r="AM13" i="2"/>
  <c r="EA350" i="9"/>
  <c r="DS350" i="9"/>
  <c r="DU350" i="9"/>
  <c r="DY350" i="9"/>
  <c r="AM19" i="2"/>
  <c r="EA354" i="9"/>
  <c r="DS354" i="9"/>
  <c r="DU354" i="9"/>
  <c r="DY354" i="9"/>
  <c r="AM24" i="2"/>
  <c r="EA358" i="9"/>
  <c r="DS358" i="9"/>
  <c r="DU358" i="9"/>
  <c r="DY358" i="9"/>
  <c r="AN13" i="2"/>
  <c r="AP13" i="2" s="1"/>
  <c r="AN19" i="2"/>
  <c r="AP19" i="2" s="1"/>
  <c r="AN24" i="2"/>
  <c r="AP24" i="2" s="1"/>
  <c r="AM29" i="2"/>
  <c r="AN29" i="2"/>
  <c r="AP29" i="2" s="1"/>
  <c r="AN39" i="2"/>
  <c r="AP39" i="2" s="1"/>
  <c r="DX327" i="9"/>
  <c r="DX335" i="9"/>
  <c r="DX325" i="9"/>
  <c r="DX329" i="9"/>
  <c r="DX333" i="9"/>
  <c r="DX337" i="9"/>
  <c r="DX326" i="9"/>
  <c r="DX330" i="9"/>
  <c r="DX334" i="9"/>
  <c r="DX338" i="9"/>
  <c r="DX346" i="9" s="1"/>
  <c r="AP46" i="2"/>
  <c r="EC375" i="9"/>
  <c r="ED375" i="9"/>
  <c r="DX375" i="9"/>
  <c r="EC379" i="9"/>
  <c r="ED379" i="9"/>
  <c r="DX379" i="9" s="1"/>
  <c r="EC383" i="9"/>
  <c r="ED383" i="9"/>
  <c r="DX383" i="9" s="1"/>
  <c r="EC387" i="9"/>
  <c r="ED387" i="9"/>
  <c r="EC157" i="12"/>
  <c r="ED157" i="12"/>
  <c r="DX131" i="12"/>
  <c r="DX132" i="12"/>
  <c r="DV131" i="12"/>
  <c r="DV132" i="12"/>
  <c r="EA144" i="14"/>
  <c r="DS144" i="14"/>
  <c r="DU144" i="14"/>
  <c r="DY144" i="14"/>
  <c r="EC376" i="9"/>
  <c r="ED376" i="9"/>
  <c r="DX376" i="9" s="1"/>
  <c r="EC380" i="9"/>
  <c r="ED380" i="9"/>
  <c r="DX380" i="9" s="1"/>
  <c r="EC384" i="9"/>
  <c r="ED384" i="9"/>
  <c r="EC388" i="9"/>
  <c r="ED388" i="9"/>
  <c r="DX388" i="9" s="1"/>
  <c r="EA145" i="12"/>
  <c r="DS145" i="12"/>
  <c r="DU145" i="12"/>
  <c r="DY145" i="12"/>
  <c r="EA145" i="14"/>
  <c r="DS145" i="14"/>
  <c r="DU145" i="14"/>
  <c r="DY145" i="14"/>
  <c r="DX131" i="14"/>
  <c r="DX132" i="14"/>
  <c r="EC158" i="12"/>
  <c r="ED158" i="12"/>
  <c r="EC157" i="14"/>
  <c r="ED157" i="14"/>
  <c r="EC158" i="14"/>
  <c r="ED158" i="14"/>
  <c r="DY131" i="14"/>
  <c r="DY132" i="14"/>
  <c r="DV131" i="14"/>
  <c r="DW131" i="14" s="1"/>
  <c r="DV132" i="14"/>
  <c r="DW132" i="14" s="1"/>
  <c r="EA351" i="9"/>
  <c r="DS351" i="9"/>
  <c r="DU351" i="9"/>
  <c r="DY351" i="9"/>
  <c r="EA355" i="9"/>
  <c r="DS355" i="9"/>
  <c r="DU355" i="9"/>
  <c r="DY355" i="9"/>
  <c r="EA359" i="9"/>
  <c r="DS359" i="9"/>
  <c r="DU359" i="9"/>
  <c r="DY359" i="9"/>
  <c r="EA363" i="9"/>
  <c r="DS363" i="9"/>
  <c r="DU363" i="9"/>
  <c r="DY363" i="9"/>
  <c r="EB359" i="9"/>
  <c r="EB358" i="9"/>
  <c r="DY334" i="9"/>
  <c r="DV334" i="9"/>
  <c r="DW334" i="9" s="1"/>
  <c r="DY338" i="9"/>
  <c r="DV338" i="9"/>
  <c r="DW338" i="9" s="1"/>
  <c r="DV326" i="9"/>
  <c r="DW326" i="9" s="1"/>
  <c r="DY372" i="9"/>
  <c r="DY335" i="9"/>
  <c r="DV335" i="9"/>
  <c r="DW335" i="9" s="1"/>
  <c r="DV327" i="9"/>
  <c r="DW327" i="9" s="1"/>
  <c r="DY371" i="9"/>
  <c r="DY330" i="9"/>
  <c r="DV330" i="9"/>
  <c r="DW330" i="9" s="1"/>
  <c r="EB360" i="9"/>
  <c r="EB357" i="9" s="1"/>
  <c r="DV325" i="9"/>
  <c r="DW325" i="9" s="1"/>
  <c r="DV329" i="9"/>
  <c r="DW329" i="9" s="1"/>
  <c r="DV333" i="9"/>
  <c r="DW333" i="9" s="1"/>
  <c r="DV337" i="9"/>
  <c r="DW337" i="9" s="1"/>
  <c r="DY325" i="9"/>
  <c r="DY326" i="9"/>
  <c r="DY327" i="9"/>
  <c r="EB354" i="9"/>
  <c r="EB355" i="9"/>
  <c r="EB353" i="9" s="1"/>
  <c r="EB363" i="9"/>
  <c r="EB350" i="9"/>
  <c r="DY333" i="9"/>
  <c r="DY332" i="9" s="1"/>
  <c r="DY329" i="9"/>
  <c r="DY328" i="9" s="1"/>
  <c r="DS371" i="9"/>
  <c r="DU371" i="9"/>
  <c r="EB351" i="9"/>
  <c r="EB352" i="9"/>
  <c r="EC397" i="9"/>
  <c r="ED397" i="9"/>
  <c r="DS372" i="9"/>
  <c r="DU372" i="9"/>
  <c r="EA371" i="9"/>
  <c r="EB371" i="9" s="1"/>
  <c r="EA372" i="9"/>
  <c r="EB372" i="9" s="1"/>
  <c r="EC396" i="9"/>
  <c r="EC395" i="9"/>
  <c r="ED396" i="9"/>
  <c r="DS362" i="9"/>
  <c r="DS370" i="9" s="1"/>
  <c r="DU362" i="9"/>
  <c r="DU370" i="9" s="1"/>
  <c r="DY362" i="9"/>
  <c r="DY370" i="9" s="1"/>
  <c r="DY337" i="9"/>
  <c r="DY336" i="9" s="1"/>
  <c r="ED395" i="9"/>
  <c r="EA362" i="9"/>
  <c r="EA370" i="9"/>
  <c r="EB370" i="9" s="1"/>
  <c r="EB362" i="9"/>
  <c r="EB361" i="9"/>
  <c r="DX158" i="12" l="1"/>
  <c r="DZ145" i="14"/>
  <c r="DX145" i="14" s="1"/>
  <c r="DW145" i="14" s="1"/>
  <c r="DZ145" i="12"/>
  <c r="DX145" i="12" s="1"/>
  <c r="DW328" i="9"/>
  <c r="DZ350" i="9"/>
  <c r="DX350" i="9" s="1"/>
  <c r="DW350" i="9" s="1"/>
  <c r="DX158" i="14"/>
  <c r="B60" i="11"/>
  <c r="B61" i="11" s="1"/>
  <c r="D62" i="11" s="1"/>
  <c r="J70" i="11" s="1"/>
  <c r="EB349" i="9"/>
  <c r="DY324" i="9"/>
  <c r="DY130" i="14"/>
  <c r="DX384" i="9"/>
  <c r="DX396" i="9" s="1"/>
  <c r="DV346" i="9"/>
  <c r="DW346" i="9" s="1"/>
  <c r="DZ358" i="9"/>
  <c r="DX358" i="9" s="1"/>
  <c r="DW358" i="9" s="1"/>
  <c r="DW357" i="9" s="1"/>
  <c r="DZ352" i="9"/>
  <c r="DW336" i="9"/>
  <c r="DW130" i="14"/>
  <c r="DX352" i="9"/>
  <c r="DX372" i="9" s="1"/>
  <c r="DZ372" i="9"/>
  <c r="EB369" i="9"/>
  <c r="DW324" i="9"/>
  <c r="DZ363" i="9"/>
  <c r="DX363" i="9" s="1"/>
  <c r="DW363" i="9" s="1"/>
  <c r="DZ359" i="9"/>
  <c r="DX359" i="9" s="1"/>
  <c r="DW359" i="9" s="1"/>
  <c r="DZ355" i="9"/>
  <c r="DX355" i="9" s="1"/>
  <c r="DW355" i="9" s="1"/>
  <c r="DZ351" i="9"/>
  <c r="DX157" i="14"/>
  <c r="DX345" i="9"/>
  <c r="DY345" i="9" s="1"/>
  <c r="DX347" i="9"/>
  <c r="DY347" i="9" s="1"/>
  <c r="DZ354" i="9"/>
  <c r="DX354" i="9" s="1"/>
  <c r="DW354" i="9" s="1"/>
  <c r="DX377" i="9"/>
  <c r="DX397" i="9" s="1"/>
  <c r="DV347" i="9"/>
  <c r="DW347" i="9" s="1"/>
  <c r="DV345" i="9"/>
  <c r="DW345" i="9" s="1"/>
  <c r="DZ144" i="14"/>
  <c r="DX144" i="14" s="1"/>
  <c r="DW144" i="14" s="1"/>
  <c r="DW143" i="14" s="1"/>
  <c r="DX157" i="12"/>
  <c r="DX387" i="9"/>
  <c r="DX395" i="9" s="1"/>
  <c r="DX351" i="9"/>
  <c r="DY346" i="9"/>
  <c r="DV453" i="9"/>
  <c r="DV452" i="9"/>
  <c r="DV450" i="9"/>
  <c r="DV451" i="9" s="1"/>
  <c r="DX452" i="9" s="1"/>
  <c r="DW353" i="9"/>
  <c r="DW352" i="9"/>
  <c r="DW332" i="9"/>
  <c r="DZ362" i="9"/>
  <c r="C62" i="11"/>
  <c r="I70" i="11" s="1"/>
  <c r="E62" i="11"/>
  <c r="K70" i="11" s="1"/>
  <c r="B62" i="11"/>
  <c r="H70" i="11" s="1"/>
  <c r="DW344" i="9" l="1"/>
  <c r="DZ371" i="9"/>
  <c r="DX362" i="9"/>
  <c r="DZ370" i="9"/>
  <c r="DY344" i="9"/>
  <c r="DX402" i="9"/>
  <c r="DW372" i="9"/>
  <c r="AM47" i="2"/>
  <c r="AM40" i="2"/>
  <c r="DX453" i="9"/>
  <c r="DX451" i="9" s="1"/>
  <c r="I77" i="4"/>
  <c r="I80" i="4" s="1"/>
  <c r="DX371" i="9"/>
  <c r="DW351" i="9"/>
  <c r="DW349" i="9" s="1"/>
  <c r="L96" i="7"/>
  <c r="I51" i="4" s="1"/>
  <c r="L91" i="7"/>
  <c r="K96" i="7"/>
  <c r="G51" i="4" s="1"/>
  <c r="K91" i="7"/>
  <c r="I91" i="7"/>
  <c r="I96" i="7"/>
  <c r="C51" i="4" s="1"/>
  <c r="J96" i="7"/>
  <c r="E51" i="4" s="1"/>
  <c r="J91" i="7"/>
  <c r="DX135" i="14" l="1"/>
  <c r="DV135" i="14"/>
  <c r="DW402" i="9"/>
  <c r="DV456" i="9"/>
  <c r="DV457" i="9" s="1"/>
  <c r="DX401" i="9"/>
  <c r="DW371" i="9"/>
  <c r="AN40" i="2"/>
  <c r="AN47" i="2"/>
  <c r="AP40" i="2"/>
  <c r="DX135" i="12"/>
  <c r="DV135" i="12"/>
  <c r="DX370" i="9"/>
  <c r="DW362" i="9"/>
  <c r="DW361" i="9" s="1"/>
  <c r="DW370" i="9" l="1"/>
  <c r="DW369" i="9" s="1"/>
  <c r="DX400" i="9"/>
  <c r="DX139" i="12"/>
  <c r="DY135" i="12"/>
  <c r="DV136" i="14"/>
  <c r="DX136" i="14"/>
  <c r="DX139" i="14"/>
  <c r="DY135" i="14"/>
  <c r="DW135" i="12"/>
  <c r="DV139" i="12"/>
  <c r="DW139" i="12" s="1"/>
  <c r="DX136" i="12"/>
  <c r="DV136" i="12"/>
  <c r="DV459" i="9"/>
  <c r="DW401" i="9"/>
  <c r="DV139" i="14"/>
  <c r="DW135" i="14"/>
  <c r="AP47" i="2"/>
  <c r="DV140" i="12" l="1"/>
  <c r="DW140" i="12" s="1"/>
  <c r="DW136" i="12"/>
  <c r="DW138" i="12"/>
  <c r="DX140" i="14"/>
  <c r="DY136" i="14"/>
  <c r="DY134" i="14" s="1"/>
  <c r="DW400" i="9"/>
  <c r="DW399" i="9" s="1"/>
  <c r="DV458" i="9"/>
  <c r="DY136" i="12"/>
  <c r="DY134" i="12" s="1"/>
  <c r="DX140" i="12"/>
  <c r="DW134" i="12"/>
  <c r="DX189" i="14"/>
  <c r="DY139" i="14"/>
  <c r="DW139" i="14"/>
  <c r="DW136" i="14"/>
  <c r="DW134" i="14" s="1"/>
  <c r="DV140" i="14"/>
  <c r="DY139" i="12"/>
  <c r="I10" i="4"/>
  <c r="I91" i="4" l="1"/>
  <c r="DX193" i="14"/>
  <c r="DW193" i="14" s="1"/>
  <c r="DW189" i="14"/>
  <c r="DY140" i="12"/>
  <c r="DY138" i="12" s="1"/>
  <c r="J10" i="4"/>
  <c r="DX459" i="9"/>
  <c r="DX458" i="9"/>
  <c r="DW140" i="14"/>
  <c r="DW138" i="14" s="1"/>
  <c r="DX190" i="14"/>
  <c r="DY140" i="14"/>
  <c r="DY138" i="14" s="1"/>
  <c r="J91" i="4" l="1"/>
  <c r="DX194" i="14"/>
  <c r="DW194" i="14" s="1"/>
  <c r="DW192" i="14" s="1"/>
  <c r="I92" i="4"/>
  <c r="I9" i="4"/>
  <c r="H13" i="4"/>
  <c r="H16" i="4" s="1"/>
  <c r="J17" i="4"/>
  <c r="C13" i="4"/>
  <c r="C16" i="4" s="1"/>
  <c r="J13" i="4"/>
  <c r="C9" i="4"/>
  <c r="C12" i="4" s="1"/>
  <c r="I13" i="4"/>
  <c r="C17" i="4"/>
  <c r="C20" i="4" s="1"/>
  <c r="J9" i="4"/>
  <c r="D13" i="4"/>
  <c r="D16" i="4" s="1"/>
  <c r="G13" i="4"/>
  <c r="G16" i="4" s="1"/>
  <c r="G9" i="4"/>
  <c r="G12" i="4" s="1"/>
  <c r="D9" i="4"/>
  <c r="D12" i="4" s="1"/>
  <c r="G17" i="4"/>
  <c r="G20" i="4" s="1"/>
  <c r="D17" i="4"/>
  <c r="D20" i="4" s="1"/>
  <c r="F9" i="4"/>
  <c r="F12" i="4" s="1"/>
  <c r="F13" i="4"/>
  <c r="F16" i="4" s="1"/>
  <c r="H9" i="4"/>
  <c r="H12" i="4" s="1"/>
  <c r="H17" i="4"/>
  <c r="H20" i="4" s="1"/>
  <c r="E9" i="4"/>
  <c r="E12" i="4" s="1"/>
  <c r="I17" i="4"/>
  <c r="F17" i="4"/>
  <c r="F20" i="4" s="1"/>
  <c r="E17" i="4"/>
  <c r="E20" i="4" s="1"/>
  <c r="E13" i="4"/>
  <c r="E16" i="4" s="1"/>
  <c r="E21" i="4" s="1"/>
  <c r="AN48" i="2"/>
  <c r="AN41" i="2"/>
  <c r="DX197" i="14"/>
  <c r="I11" i="4" s="1"/>
  <c r="DX198" i="14"/>
  <c r="J11" i="4" s="1"/>
  <c r="DW190" i="14"/>
  <c r="DW188" i="14" s="1"/>
  <c r="DX457" i="9"/>
  <c r="AM48" i="2"/>
  <c r="AM41" i="2"/>
  <c r="E30" i="4" l="1"/>
  <c r="E32" i="4" s="1"/>
  <c r="E34" i="4" s="1"/>
  <c r="E72" i="4" s="1"/>
  <c r="J92" i="4"/>
  <c r="I93" i="4" s="1"/>
  <c r="C94" i="4" s="1"/>
  <c r="E36" i="4"/>
  <c r="E71" i="4" s="1"/>
  <c r="J12" i="4"/>
  <c r="I12" i="4"/>
  <c r="DY148" i="14"/>
  <c r="DY152" i="14" s="1"/>
  <c r="DU148" i="14"/>
  <c r="DU152" i="14" s="1"/>
  <c r="DS148" i="14"/>
  <c r="DS152" i="14" s="1"/>
  <c r="ED161" i="14"/>
  <c r="ED165" i="14" s="1"/>
  <c r="EA148" i="14"/>
  <c r="EC161" i="14"/>
  <c r="AP48" i="2"/>
  <c r="EA149" i="14"/>
  <c r="DU149" i="14"/>
  <c r="DU153" i="14" s="1"/>
  <c r="ED162" i="14"/>
  <c r="ED166" i="14" s="1"/>
  <c r="EC162" i="14"/>
  <c r="DS149" i="14"/>
  <c r="DS153" i="14" s="1"/>
  <c r="DY149" i="14"/>
  <c r="DY153" i="14" s="1"/>
  <c r="F21" i="4"/>
  <c r="E46" i="4" s="1"/>
  <c r="E48" i="4" s="1"/>
  <c r="E50" i="4" s="1"/>
  <c r="E52" i="4" s="1"/>
  <c r="G21" i="4"/>
  <c r="G30" i="4" s="1"/>
  <c r="G32" i="4" s="1"/>
  <c r="G34" i="4" s="1"/>
  <c r="EA148" i="12"/>
  <c r="DU148" i="12"/>
  <c r="DU152" i="12" s="1"/>
  <c r="AP41" i="2"/>
  <c r="DS148" i="12"/>
  <c r="DS152" i="12" s="1"/>
  <c r="DY148" i="12"/>
  <c r="DY152" i="12" s="1"/>
  <c r="EC161" i="12"/>
  <c r="ED161" i="12"/>
  <c r="ED165" i="12" s="1"/>
  <c r="EC162" i="12"/>
  <c r="EA149" i="12"/>
  <c r="DS149" i="12"/>
  <c r="DS153" i="12" s="1"/>
  <c r="DY149" i="12"/>
  <c r="DY153" i="12" s="1"/>
  <c r="ED162" i="12"/>
  <c r="ED166" i="12" s="1"/>
  <c r="DU149" i="12"/>
  <c r="DU153" i="12" s="1"/>
  <c r="E81" i="4"/>
  <c r="D21" i="4"/>
  <c r="D30" i="4" s="1"/>
  <c r="D32" i="4" s="1"/>
  <c r="D34" i="4" s="1"/>
  <c r="C21" i="4"/>
  <c r="H21" i="4"/>
  <c r="H30" i="4" s="1"/>
  <c r="H32" i="4" s="1"/>
  <c r="H34" i="4" s="1"/>
  <c r="C63" i="4" l="1"/>
  <c r="G72" i="4"/>
  <c r="G36" i="4"/>
  <c r="G71" i="4" s="1"/>
  <c r="D72" i="4"/>
  <c r="D36" i="4"/>
  <c r="E63" i="4"/>
  <c r="E74" i="4" s="1"/>
  <c r="F74" i="4" s="1"/>
  <c r="C30" i="4"/>
  <c r="C32" i="4" s="1"/>
  <c r="C34" i="4" s="1"/>
  <c r="F30" i="4"/>
  <c r="F32" i="4" s="1"/>
  <c r="F34" i="4" s="1"/>
  <c r="H72" i="4"/>
  <c r="H36" i="4"/>
  <c r="H71" i="4" s="1"/>
  <c r="D71" i="4"/>
  <c r="F63" i="4"/>
  <c r="G63" i="4"/>
  <c r="DX162" i="12"/>
  <c r="DX166" i="12" s="1"/>
  <c r="J18" i="4" s="1"/>
  <c r="EC166" i="12"/>
  <c r="DX161" i="12"/>
  <c r="DX165" i="12" s="1"/>
  <c r="I18" i="4" s="1"/>
  <c r="EC165" i="12"/>
  <c r="DZ149" i="14"/>
  <c r="EA153" i="14"/>
  <c r="EC165" i="14"/>
  <c r="DX161" i="14"/>
  <c r="DX165" i="14" s="1"/>
  <c r="I19" i="4" s="1"/>
  <c r="G46" i="4"/>
  <c r="G48" i="4" s="1"/>
  <c r="G50" i="4" s="1"/>
  <c r="C46" i="4"/>
  <c r="C48" i="4" s="1"/>
  <c r="C50" i="4" s="1"/>
  <c r="C52" i="4" s="1"/>
  <c r="C81" i="4"/>
  <c r="D63" i="4"/>
  <c r="H63" i="4"/>
  <c r="G81" i="4"/>
  <c r="E75" i="4"/>
  <c r="F75" i="4" s="1"/>
  <c r="EA153" i="12"/>
  <c r="DZ149" i="12"/>
  <c r="EA152" i="12"/>
  <c r="DZ148" i="12"/>
  <c r="EC166" i="14"/>
  <c r="DX162" i="14"/>
  <c r="DX166" i="14" s="1"/>
  <c r="J19" i="4" s="1"/>
  <c r="J20" i="4" s="1"/>
  <c r="DZ148" i="14"/>
  <c r="EA152" i="14"/>
  <c r="C72" i="4" l="1"/>
  <c r="C36" i="4"/>
  <c r="C71" i="4" s="1"/>
  <c r="F72" i="4"/>
  <c r="F36" i="4"/>
  <c r="F71" i="4" s="1"/>
  <c r="I20" i="4"/>
  <c r="G75" i="4"/>
  <c r="H75" i="4" s="1"/>
  <c r="G52" i="4"/>
  <c r="G74" i="4" s="1"/>
  <c r="H74" i="4" s="1"/>
  <c r="DZ153" i="14"/>
  <c r="DX149" i="14"/>
  <c r="C75" i="4"/>
  <c r="D75" i="4" s="1"/>
  <c r="DX148" i="12"/>
  <c r="DZ152" i="12"/>
  <c r="DZ153" i="12"/>
  <c r="DX149" i="12"/>
  <c r="DZ152" i="14"/>
  <c r="DX148" i="14"/>
  <c r="C74" i="4"/>
  <c r="D74" i="4" s="1"/>
  <c r="DX152" i="12" l="1"/>
  <c r="DW148" i="12"/>
  <c r="DW149" i="14"/>
  <c r="DX153" i="14"/>
  <c r="DW148" i="14"/>
  <c r="DW147" i="14" s="1"/>
  <c r="DX152" i="14"/>
  <c r="DW149" i="12"/>
  <c r="DX153" i="12"/>
  <c r="DX171" i="12" l="1"/>
  <c r="DW171" i="12" s="1"/>
  <c r="DW153" i="12"/>
  <c r="J14" i="4"/>
  <c r="DW153" i="14"/>
  <c r="DX171" i="14"/>
  <c r="DW171" i="14" s="1"/>
  <c r="J15" i="4"/>
  <c r="DW147" i="12"/>
  <c r="DX170" i="14"/>
  <c r="DW170" i="14" s="1"/>
  <c r="I15" i="4"/>
  <c r="DW152" i="14"/>
  <c r="DW151" i="14" s="1"/>
  <c r="DX170" i="12"/>
  <c r="DW170" i="12" s="1"/>
  <c r="DW169" i="12" s="1"/>
  <c r="I14" i="4"/>
  <c r="DW152" i="12"/>
  <c r="DW169" i="14" l="1"/>
  <c r="DW151" i="12"/>
  <c r="I16" i="4"/>
  <c r="I21" i="4" s="1"/>
  <c r="J16" i="4"/>
  <c r="J21" i="4" s="1"/>
  <c r="J30" i="4" l="1"/>
  <c r="J32" i="4" s="1"/>
  <c r="J34" i="4" s="1"/>
  <c r="C65" i="4"/>
  <c r="I30" i="4"/>
  <c r="I32" i="4" s="1"/>
  <c r="I34" i="4" s="1"/>
  <c r="I46" i="4"/>
  <c r="I48" i="4" s="1"/>
  <c r="I50" i="4" s="1"/>
  <c r="I63" i="4"/>
  <c r="C64" i="4"/>
  <c r="J63" i="4"/>
  <c r="I81" i="4"/>
  <c r="I72" i="4" l="1"/>
  <c r="I36" i="4"/>
  <c r="J72" i="4"/>
  <c r="J36" i="4"/>
  <c r="I75" i="4"/>
  <c r="J75" i="4" s="1"/>
  <c r="I52" i="4"/>
  <c r="J71" i="4" l="1"/>
  <c r="G37" i="4"/>
  <c r="G41" i="4" s="1"/>
  <c r="I71" i="4"/>
  <c r="C37" i="4"/>
  <c r="C41" i="4" s="1"/>
  <c r="I74" i="4"/>
  <c r="J74" i="4" s="1"/>
  <c r="C53" i="4"/>
  <c r="C58" i="4" s="1"/>
  <c r="G58" i="4" s="1"/>
</calcChain>
</file>

<file path=xl/sharedStrings.xml><?xml version="1.0" encoding="utf-8"?>
<sst xmlns="http://schemas.openxmlformats.org/spreadsheetml/2006/main" count="5222" uniqueCount="1106">
  <si>
    <t>Nr.</t>
  </si>
  <si>
    <t xml:space="preserve">Bezeichnung </t>
  </si>
  <si>
    <t>Zeile</t>
  </si>
  <si>
    <t>Kostenaufteilungsschlüssel 
auf Kostenträger in %</t>
  </si>
  <si>
    <t>Schmutz-
wasser-
beseitigung</t>
  </si>
  <si>
    <t>Regenwasserbeseitigung</t>
  </si>
  <si>
    <t>Summe in %
(muss stets
100% sein)</t>
  </si>
  <si>
    <t>Grundstücks-flächen</t>
  </si>
  <si>
    <t>Straßen-
flächen</t>
  </si>
  <si>
    <t>1</t>
  </si>
  <si>
    <t>Anlagevermögen</t>
  </si>
  <si>
    <t>1.1</t>
  </si>
  <si>
    <t>Kanalsystem</t>
  </si>
  <si>
    <t>1.2</t>
  </si>
  <si>
    <t>Kanal - Schmutzwasser</t>
  </si>
  <si>
    <t>kas</t>
  </si>
  <si>
    <t>1.3</t>
  </si>
  <si>
    <t>Kanal - Mischwasser</t>
  </si>
  <si>
    <t>kam</t>
  </si>
  <si>
    <t>1.4</t>
  </si>
  <si>
    <t>Kanal - Regenwasser</t>
  </si>
  <si>
    <t>kar</t>
  </si>
  <si>
    <t>1.5</t>
  </si>
  <si>
    <t>Kanal - nicht zuordenbar</t>
  </si>
  <si>
    <t>kaz</t>
  </si>
  <si>
    <t>1.6</t>
  </si>
  <si>
    <t>Kläranlage</t>
  </si>
  <si>
    <t>1.7</t>
  </si>
  <si>
    <t>Kläranlage - Schmutzwasser (z.B.Schlammbehandlung)</t>
  </si>
  <si>
    <t>kls</t>
  </si>
  <si>
    <t>1.8</t>
  </si>
  <si>
    <t>Kläranlage - Mech.-hydraul.Teil - Schmutzwasser</t>
  </si>
  <si>
    <t>klm</t>
  </si>
  <si>
    <t>1.9</t>
  </si>
  <si>
    <t>Kläranlage - Mech.-hydraul.Teil - Regenwasser</t>
  </si>
  <si>
    <t>klr</t>
  </si>
  <si>
    <t>1.10</t>
  </si>
  <si>
    <t>Kläranlage - allgemein (= Regelzuordnung)</t>
  </si>
  <si>
    <t>klk</t>
  </si>
  <si>
    <t>1.11</t>
  </si>
  <si>
    <t>Kläranlage - nicht zuordenbar</t>
  </si>
  <si>
    <t>klz</t>
  </si>
  <si>
    <t>1.12</t>
  </si>
  <si>
    <t>Sonderbauwerke</t>
  </si>
  <si>
    <t>1.13</t>
  </si>
  <si>
    <t>Sonderbauwerke -Schmutzwasser</t>
  </si>
  <si>
    <t>sos</t>
  </si>
  <si>
    <t>1.14</t>
  </si>
  <si>
    <t>Sonderbauwerke - Mischwasser</t>
  </si>
  <si>
    <t>som</t>
  </si>
  <si>
    <t>1.15</t>
  </si>
  <si>
    <t>Sonderbauwerke - Regenwasser</t>
  </si>
  <si>
    <t>sor</t>
  </si>
  <si>
    <t>1.16</t>
  </si>
  <si>
    <t>Sonderbauwerke - nicht zuordenbar</t>
  </si>
  <si>
    <t>soz</t>
  </si>
  <si>
    <t>1.17</t>
  </si>
  <si>
    <t>Hausanschlüsse</t>
  </si>
  <si>
    <t>1.18</t>
  </si>
  <si>
    <t>Hausanschlüsse - Schmutzwasser</t>
  </si>
  <si>
    <t>has</t>
  </si>
  <si>
    <t>1.19</t>
  </si>
  <si>
    <t>Hausanschlüsse - Mischwasser</t>
  </si>
  <si>
    <t>ham</t>
  </si>
  <si>
    <t>1.20</t>
  </si>
  <si>
    <t>Hausanschlüsse - Regenwasser (Grundstücke)</t>
  </si>
  <si>
    <t>har</t>
  </si>
  <si>
    <t>1.21</t>
  </si>
  <si>
    <t>Hausanschlüsse - nicht zuordenbar</t>
  </si>
  <si>
    <t>haz</t>
  </si>
  <si>
    <t>1.22</t>
  </si>
  <si>
    <t xml:space="preserve">Sonstige Anlagegüter </t>
  </si>
  <si>
    <t>1.23</t>
  </si>
  <si>
    <t>Sonstige Anlagegüter -Schmutzwasser</t>
  </si>
  <si>
    <t>sas</t>
  </si>
  <si>
    <t>1.24</t>
  </si>
  <si>
    <t>Sonstige Anlagegüter - Mischwasser</t>
  </si>
  <si>
    <t>sam</t>
  </si>
  <si>
    <t>1.25</t>
  </si>
  <si>
    <t>Sonstige Anlagegüter - Regenwasser</t>
  </si>
  <si>
    <t>sar</t>
  </si>
  <si>
    <t>1.26</t>
  </si>
  <si>
    <t>Sonstige Anlagegüter - nicht zuordenbar</t>
  </si>
  <si>
    <t>saz</t>
  </si>
  <si>
    <t>2</t>
  </si>
  <si>
    <t>Beiträge</t>
  </si>
  <si>
    <t>2.1</t>
  </si>
  <si>
    <t xml:space="preserve">Verbesserungsbeitr "bes" </t>
  </si>
  <si>
    <t>bes</t>
  </si>
  <si>
    <t>2.2</t>
  </si>
  <si>
    <t xml:space="preserve">Verbesserungsbeitr "bem" </t>
  </si>
  <si>
    <t>bem</t>
  </si>
  <si>
    <t>2.3</t>
  </si>
  <si>
    <t xml:space="preserve">Verbesserungsbeitr "ber" </t>
  </si>
  <si>
    <t>ber</t>
  </si>
  <si>
    <t>2.4</t>
  </si>
  <si>
    <t>Verbesserungsbeitr. "bek" (Kläranlage)</t>
  </si>
  <si>
    <t>bek</t>
  </si>
  <si>
    <t>2.5</t>
  </si>
  <si>
    <t>Herstellungbeiträge -Verteil. Auflösung-</t>
  </si>
  <si>
    <t>bez</t>
  </si>
  <si>
    <t>2.6</t>
  </si>
  <si>
    <t>Herstellungsbeiträge -Verteil. Zinsen-</t>
  </si>
  <si>
    <t>3</t>
  </si>
  <si>
    <t>Zuwendungen</t>
  </si>
  <si>
    <t>3.1</t>
  </si>
  <si>
    <t>Zuwendungen für Schmutzwasser</t>
  </si>
  <si>
    <t>zus</t>
  </si>
  <si>
    <t>3.2</t>
  </si>
  <si>
    <t>Zuwendungen für Mischwasser</t>
  </si>
  <si>
    <t>zum</t>
  </si>
  <si>
    <t>3.3</t>
  </si>
  <si>
    <t>Zuwendungen für Regenwasser</t>
  </si>
  <si>
    <t>zur</t>
  </si>
  <si>
    <t>3.4</t>
  </si>
  <si>
    <t xml:space="preserve">Zuwendungen für Kläranlage </t>
  </si>
  <si>
    <t>zuk</t>
  </si>
  <si>
    <t>3.5</t>
  </si>
  <si>
    <t>Zuw.-nicht zuordenbar -Verteil.Auflösung</t>
  </si>
  <si>
    <t>zuz</t>
  </si>
  <si>
    <t>3.6</t>
  </si>
  <si>
    <t>Zuw.-nicht zuordenbar -Verteil.Zinsen</t>
  </si>
  <si>
    <t>4</t>
  </si>
  <si>
    <t xml:space="preserve">Unterhalt und Betrieb </t>
  </si>
  <si>
    <t>4.1</t>
  </si>
  <si>
    <t>Schmutzwasserbeseitigung</t>
  </si>
  <si>
    <t>uns</t>
  </si>
  <si>
    <t>4.2</t>
  </si>
  <si>
    <t>Mischwasserbeseitigung</t>
  </si>
  <si>
    <t>unm</t>
  </si>
  <si>
    <t>4.3</t>
  </si>
  <si>
    <t>Regenwasserbeseitigung - Grundst. u. Straßen</t>
  </si>
  <si>
    <t>unr</t>
  </si>
  <si>
    <t>4.4</t>
  </si>
  <si>
    <t>unk</t>
  </si>
  <si>
    <t>5</t>
  </si>
  <si>
    <t>5.2</t>
  </si>
  <si>
    <t>Jahr</t>
  </si>
  <si>
    <t>Abschreibungen</t>
  </si>
  <si>
    <t>Restbuchwerte und 
bisherige Abschreibungen</t>
  </si>
  <si>
    <t>Abschreibungs-
satz 
in %</t>
  </si>
  <si>
    <t>Abschreibungs.
betrag linear 
jährlich</t>
  </si>
  <si>
    <t>Herstellungs-/ Anschaffungs-kosten 
in €  
bis zum</t>
  </si>
  <si>
    <t xml:space="preserve">Anlagevermögen  (Zugänge, Abschreibungen, Restbuchwerte) </t>
  </si>
  <si>
    <t>Werte für Zinsberech. Halbwertmethode</t>
  </si>
  <si>
    <t>Anl.
Nr.</t>
  </si>
  <si>
    <t>Bezeichnung 1</t>
  </si>
  <si>
    <t>Bezeichnung 2</t>
  </si>
  <si>
    <t>Zuord-nungs- Schlüssel</t>
  </si>
  <si>
    <t>Herstellungs-/ Anschaffungs-kosten 
in €</t>
  </si>
  <si>
    <t>Reswert
in € (optional)</t>
  </si>
  <si>
    <t>Leerspalte nicht löschen</t>
  </si>
  <si>
    <t>Zugang/
Abgang(-) 
in €
im Jahr</t>
  </si>
  <si>
    <t>Zugang/ Abgang(-) f. Restbuchw-Berechnung</t>
  </si>
  <si>
    <t>Jahresmittel-wert aus Zugang/
Abgang(-)
im Jahr</t>
  </si>
  <si>
    <t>Mittelwert aus Zugang /Abg(-) f. Restbuchw.-Berechnung</t>
  </si>
  <si>
    <t>Berichtigte An-sch-Kost zur Berechn. des mittleren Abschr-satzes</t>
  </si>
  <si>
    <t>Abschrei-bungen 
in € 
im Jahr</t>
  </si>
  <si>
    <t>Abschrei-bungen f.Restbuchw.-Berechnung</t>
  </si>
  <si>
    <t>Restbuch-
werte 
in € 
zum</t>
  </si>
  <si>
    <t>Restbuch wert f. Restbuchw--Berechnung</t>
  </si>
  <si>
    <t>Abschrei-bungen insgesamt 
in € 
bis zum</t>
  </si>
  <si>
    <t>Grund-
stücks-
werte 
in €
zum</t>
  </si>
  <si>
    <t>Abschreib-bares Anlage-vermögen 
in € 
zum</t>
  </si>
  <si>
    <t>Jahre</t>
  </si>
  <si>
    <t>%</t>
  </si>
  <si>
    <t>Summe</t>
  </si>
  <si>
    <t>Herstellungs-/ Anschaffungs-Datum
(Inbetrieb-nahme)</t>
  </si>
  <si>
    <t>Kanalsystem (Summe Schl: kas, kam, kar, kaz)</t>
  </si>
  <si>
    <t xml:space="preserve"> - hiervon Schmutzwasser</t>
  </si>
  <si>
    <t xml:space="preserve"> - hiervon Regenw.-Grundst.</t>
  </si>
  <si>
    <t xml:space="preserve"> - hiervon Regenw.-Straßen</t>
  </si>
  <si>
    <t>Kläranlage (Summe Schl: kls, klm, klr, klk, klz)</t>
  </si>
  <si>
    <t>Sonderbauwerke  (Summe Schl: sos, som, soz)</t>
  </si>
  <si>
    <t>Hausanschlüsse  (Summe Schl: has, ham, har,haz)</t>
  </si>
  <si>
    <t xml:space="preserve"> - hiervon Regenw.-Straßen (entfällt)</t>
  </si>
  <si>
    <t xml:space="preserve">Sonstige Anlagegüter (Summe Schl: sas, sam, sar, saz) </t>
  </si>
  <si>
    <t>Abschreibungen AHK insgesamt</t>
  </si>
  <si>
    <t xml:space="preserve"> - hiervon RW Grundstücke</t>
  </si>
  <si>
    <t xml:space="preserve"> - hiervon RW Straßen</t>
  </si>
  <si>
    <t>Abschr.in €</t>
  </si>
  <si>
    <t xml:space="preserve">Mustereinträge </t>
  </si>
  <si>
    <t>Grundstücke</t>
  </si>
  <si>
    <t>Grundstück Kläranlage</t>
  </si>
  <si>
    <t>Grundstück RÜB 1 und 2</t>
  </si>
  <si>
    <t>Grundstück RÜB 3 und 4</t>
  </si>
  <si>
    <t>Grundstück SW-Pumpwerk</t>
  </si>
  <si>
    <t>Dingliche Sicherung Leitungsrechte MW-Kanal</t>
  </si>
  <si>
    <t>Grundstück RÜB 5</t>
  </si>
  <si>
    <t>Kanäle Mischwasser</t>
  </si>
  <si>
    <t>Ortskanäle 1960 bis 1975 - Teil</t>
  </si>
  <si>
    <t>Ortskanäle 1</t>
  </si>
  <si>
    <t>Ortskanäle 2</t>
  </si>
  <si>
    <t>Ortskanäle 3</t>
  </si>
  <si>
    <t>Ortskanäle 4</t>
  </si>
  <si>
    <t>Ortskanäle 5</t>
  </si>
  <si>
    <t>Ortskanäle 6</t>
  </si>
  <si>
    <t>Ortskanäle A-Straße</t>
  </si>
  <si>
    <t>Ortskanäle B-Straße</t>
  </si>
  <si>
    <t>Ortskanäle C-Straße</t>
  </si>
  <si>
    <t>Ortskanäle D-Straße</t>
  </si>
  <si>
    <t>Ortskanäle E-Straße</t>
  </si>
  <si>
    <t>Ortskanäle F-Straße</t>
  </si>
  <si>
    <t>Ortskanäle G-Straße</t>
  </si>
  <si>
    <t>Kanäle Regenwasser</t>
  </si>
  <si>
    <t>Regenwasserkanäle Straße 21</t>
  </si>
  <si>
    <t>Regenwasserkanäle Straße 22</t>
  </si>
  <si>
    <t>Regenwasserkanäle Straße 23</t>
  </si>
  <si>
    <t>Regenwasserkanäle Straße 24</t>
  </si>
  <si>
    <t>Regenwasserkanäle Straße 25</t>
  </si>
  <si>
    <t>Regenwasserkanäle Straße 26</t>
  </si>
  <si>
    <t>Regenwasserkanäle Straße 27</t>
  </si>
  <si>
    <t>Kanäle Schmutzwasser</t>
  </si>
  <si>
    <t>Schmutzwasserkanäle Straße 21</t>
  </si>
  <si>
    <t>Schmutzwasserkanäle Straße 22</t>
  </si>
  <si>
    <t>Schmutzwasserkanäle Straße 23</t>
  </si>
  <si>
    <t>Schmutzwasserkanäle Straße 24</t>
  </si>
  <si>
    <t>Schmutzwasserkanäle Straße 25</t>
  </si>
  <si>
    <t>Schmutzwasserkanäle Straße 26</t>
  </si>
  <si>
    <t>Schmutzwasserkanäle Straße 27</t>
  </si>
  <si>
    <t>Kläranlage mechanisch-hydraulischer Teil</t>
  </si>
  <si>
    <t>Hydraul.Anlagen-Kläranlage alt (noch in Betrieb)</t>
  </si>
  <si>
    <t>RÜB auf Kläranlage - baulicher Teil</t>
  </si>
  <si>
    <t>RÜB auf Kläranlage - masch.-techn. Teil</t>
  </si>
  <si>
    <t>RÜB auf Kläranlage - elektrotechnischer Teil</t>
  </si>
  <si>
    <t>Zulauf - Bahnpressung</t>
  </si>
  <si>
    <t>Regenwasserhebewerk</t>
  </si>
  <si>
    <t>Vorklärbecken - Bauwerk</t>
  </si>
  <si>
    <t>Rechenanlage - bautechnischer Teil</t>
  </si>
  <si>
    <t>Sandfang - bautechnischer Teil</t>
  </si>
  <si>
    <t>Regenrückhaltebecken - Umbauarb.baul. Teil</t>
  </si>
  <si>
    <t>Regenrückhaltebecken - Umbau. baul. Teil</t>
  </si>
  <si>
    <t>Kanäle - Rohrleitungen - Gerinne</t>
  </si>
  <si>
    <t>Feinrechen mechanischer Teil</t>
  </si>
  <si>
    <t>Rechenharke mit Rost f.Reinrechen alt</t>
  </si>
  <si>
    <t>Erneuerung Rechenanlage - masch.techn. Teil</t>
  </si>
  <si>
    <t>Erneuerung Sandfang - masch.techn. Teil</t>
  </si>
  <si>
    <t>Erneuerung Vorklärbecken - masch.techn. Teil</t>
  </si>
  <si>
    <t>RÜB 17 - Umbauarbeiten - masch.techn. Teil</t>
  </si>
  <si>
    <t>x kls</t>
  </si>
  <si>
    <t>Kläranlage biologisch-chemischer Teil, Schlammbehandlung</t>
  </si>
  <si>
    <t>Schlammleitungen</t>
  </si>
  <si>
    <t>Biolog.Anlagen alte Kläranlage (noch in Betrieb)</t>
  </si>
  <si>
    <t>Schlammentwässerungsgebäude - baul. Teil</t>
  </si>
  <si>
    <t>Vollautomatische Dosieranlage</t>
  </si>
  <si>
    <t>Frequenzumwandler Kammerfilterpresse</t>
  </si>
  <si>
    <t>Gasmessgerät Ex-Tec Combi</t>
  </si>
  <si>
    <t>Labor</t>
  </si>
  <si>
    <t xml:space="preserve">Lutz-Pumpe </t>
  </si>
  <si>
    <t>BHKW-Steuerung</t>
  </si>
  <si>
    <t>Aufrüstung Pumpensteuerung</t>
  </si>
  <si>
    <t>Eigenstromversorgungsanlage</t>
  </si>
  <si>
    <t>Ing.Leistungen - Energieoptimierung</t>
  </si>
  <si>
    <t>Gebläsesteuerung umrüsten</t>
  </si>
  <si>
    <t>Belebungsbecken -neu 9.800 cbm- mech.techn.Teil</t>
  </si>
  <si>
    <t>Belebungsbecken -neu 9.800 cbm- baul. Teil</t>
  </si>
  <si>
    <t>Belebungsbecken -neu 9.800 cbm- elektrot. Teil</t>
  </si>
  <si>
    <t>Erneuerung-Treppenhaus Faulbehälter</t>
  </si>
  <si>
    <t>Erneuerung-Faulbehälter II - Bauwerk</t>
  </si>
  <si>
    <t>Erneuerung-Faulbehälter III - Bauwerk</t>
  </si>
  <si>
    <t>Erneuerung-Faubehälter I -3.200 cbm- baultechn.Teil</t>
  </si>
  <si>
    <t>Gasbehälter -Gasfackel- bautechnischer Teil</t>
  </si>
  <si>
    <t>Gasbehälter -Gasfackel- maschinentechn. Teil</t>
  </si>
  <si>
    <t>Vergrößerung Nachklärbecken -6.800 cbm- baul.Teil</t>
  </si>
  <si>
    <t>Nachklälrung - maschinentechn. Teil</t>
  </si>
  <si>
    <t>BHKW-maschinentechnischer Teil</t>
  </si>
  <si>
    <t>Erneuerung Faulbehälter I - maschinentechn. Teil</t>
  </si>
  <si>
    <t>Verbesserung Schlammentwässerung - masch-techn.Teil</t>
  </si>
  <si>
    <t>Vor-, Nacheindicker - masch.techn. Teil</t>
  </si>
  <si>
    <t>Rechenanlage - PW - masch.techn. Teil</t>
  </si>
  <si>
    <t>Dritte Reinigungsstufe - masch.techn. Teil</t>
  </si>
  <si>
    <t>Pump-, Hebewerk Rücklaufschlamm - masch.techn.Teil</t>
  </si>
  <si>
    <t>Belebungsbecken - masch.techn. Teil</t>
  </si>
  <si>
    <t>Labor - Ergänzung</t>
  </si>
  <si>
    <t>Vergrößerung Schlammentwässerungshalle</t>
  </si>
  <si>
    <t>Kläranlage - Sonstige Ausgaben</t>
  </si>
  <si>
    <t>Treppenhaus - Keller</t>
  </si>
  <si>
    <t>Werkstatt</t>
  </si>
  <si>
    <t>Wohnhaus</t>
  </si>
  <si>
    <t>Wohnhaus - Betriebsgebäude III</t>
  </si>
  <si>
    <t>Erschließungskosten - Erdgas</t>
  </si>
  <si>
    <t>Erschließungskosten - Wasseranschluss</t>
  </si>
  <si>
    <t>Erschließungskosten - Strom</t>
  </si>
  <si>
    <t>Bauvorbereitung - Abbruch+Bodenaustausch</t>
  </si>
  <si>
    <t>Baunebenkosten - Ing. Leistung</t>
  </si>
  <si>
    <t>Vermessungsarbeiten - KA Erweiterung</t>
  </si>
  <si>
    <t>Waschhalle - masch.techn. Teil</t>
  </si>
  <si>
    <t>Waschhalle - Bauwerk</t>
  </si>
  <si>
    <t>Waschhalle - Planungskosten, Gutachten</t>
  </si>
  <si>
    <t>Einfriedung - Mauer</t>
  </si>
  <si>
    <t>Landschaftsgestaltung</t>
  </si>
  <si>
    <t>Straßen, Wege - innerhalb des Grundstücks</t>
  </si>
  <si>
    <t>Sonstige Außenanlagen</t>
  </si>
  <si>
    <t>Zusätzliche Maßnahmen</t>
  </si>
  <si>
    <t>Hangbepflanzun - KA</t>
  </si>
  <si>
    <t>Elektroinstallation - Steuerelektronik</t>
  </si>
  <si>
    <t>Update PLS-System</t>
  </si>
  <si>
    <t>Ersatzteile für PLS</t>
  </si>
  <si>
    <t>Windows-NT KA u. Fernwirkanlage</t>
  </si>
  <si>
    <t>Brunnen - Außenanlage</t>
  </si>
  <si>
    <t>Neues Betriebsgebäude - baulicher Teil</t>
  </si>
  <si>
    <t>Bewegliches Vermögen - Kläranlage</t>
  </si>
  <si>
    <t>Lichtpausmaschine ROWE</t>
  </si>
  <si>
    <t>Mikroskop Olympia EH 2</t>
  </si>
  <si>
    <t>Subaru Travel MB AN 187</t>
  </si>
  <si>
    <t>Fiat Talento Kamerawagen</t>
  </si>
  <si>
    <t>Jetmaster Faun Spülwagen</t>
  </si>
  <si>
    <t>Funkanlagen</t>
  </si>
  <si>
    <t>Böckmann Anhänger MB - C 197</t>
  </si>
  <si>
    <t>Kanalfräser mit verstellbarem Käfig</t>
  </si>
  <si>
    <t>Kanalreinigungsdüse Aqua-Bull</t>
  </si>
  <si>
    <t>Schneefräse</t>
  </si>
  <si>
    <t>Vibroplatte Wacker</t>
  </si>
  <si>
    <t>Motormäher Goldoni</t>
  </si>
  <si>
    <t>Kanalfernauge TV-Anlage mit Zubehör</t>
  </si>
  <si>
    <t>Kopiergerät Sharp</t>
  </si>
  <si>
    <t>Postalla D2 Frankiermaschine</t>
  </si>
  <si>
    <t>Werkzeuge</t>
  </si>
  <si>
    <t>Unimog MB W 39</t>
  </si>
  <si>
    <t>Schneeschleuder f. Unimog</t>
  </si>
  <si>
    <t>Schneepflug f. Unimog</t>
  </si>
  <si>
    <t>Ladekran f. Unimog</t>
  </si>
  <si>
    <t>Werkzeuge und Geräte</t>
  </si>
  <si>
    <t>Pkw-Kfz</t>
  </si>
  <si>
    <t>EDV-Anlage</t>
  </si>
  <si>
    <t>Sonderbauwerke - Schmutzwasserbehandlung</t>
  </si>
  <si>
    <t>Bauwerk Pumpwerk - baulicher Teil</t>
  </si>
  <si>
    <t>Pumpwerk masch.techn. Teil</t>
  </si>
  <si>
    <t>Pumpwerk elektrotechnischer Teil</t>
  </si>
  <si>
    <t>Sonderbauwerke - Mischwasserbehandlung</t>
  </si>
  <si>
    <t>RÜB 01 - baulicher Teil</t>
  </si>
  <si>
    <t>RÜB 02 - baulicher Teil</t>
  </si>
  <si>
    <t>RÜB 03 - baulicher Teil</t>
  </si>
  <si>
    <t>RÜB 04 - baulicher Teil</t>
  </si>
  <si>
    <t>RÜB 05 - baulicher Teil</t>
  </si>
  <si>
    <t>RÜB 01 - masch.techn. Teil</t>
  </si>
  <si>
    <t>RÜB 02 -  masch.techn. Teil</t>
  </si>
  <si>
    <t>RÜB 03 -  masch.techn. Teil</t>
  </si>
  <si>
    <t>RÜB 04 -  masch.techn. Teil</t>
  </si>
  <si>
    <t>RÜB 05 -  masch.techn. Teil</t>
  </si>
  <si>
    <t>RÜB 01 - elektrotechnischer Teil</t>
  </si>
  <si>
    <t>RÜB 02 - elektrotechnischer Teil</t>
  </si>
  <si>
    <t>RÜB 03 - elektrotechnischer Teil</t>
  </si>
  <si>
    <t>RÜB 04 - elektrotechnischer Teil</t>
  </si>
  <si>
    <t>RÜB 05 - elektrotechnischer Teil</t>
  </si>
  <si>
    <t>Hausanschlüsse/öffentlicher Teil - Mischwasser</t>
  </si>
  <si>
    <t>Hausanschlüsse Ortskanäle 1960 - 1975</t>
  </si>
  <si>
    <t>Hausanschlüsse Ortskanäle - 1</t>
  </si>
  <si>
    <t>Hausanschlüsse Ortskanäle - 2</t>
  </si>
  <si>
    <t>Hausanschlüsse Ortskanäle - 3</t>
  </si>
  <si>
    <t>Hausanschlüsse Ortskanäle - 4</t>
  </si>
  <si>
    <t>Hausanschlüsse Ortskanäle - 5</t>
  </si>
  <si>
    <t>Hausanschlüsse Ortskanäle - 6</t>
  </si>
  <si>
    <t>Hausanschlüsse Ortskanäle Straße A</t>
  </si>
  <si>
    <t>Hausanschlüsse Ortskanäle Straße B</t>
  </si>
  <si>
    <t>Hausanschlüsse Ortskanäle Straße C</t>
  </si>
  <si>
    <t>Hausanschlüsse Ortskanäle Straße D</t>
  </si>
  <si>
    <t>Hausanschlüsse Ortskanäle Straße E</t>
  </si>
  <si>
    <t>Hausanschlüsse Ortskanäle Straße F</t>
  </si>
  <si>
    <t>Hausanschlüsse Ortskanäle Straße G</t>
  </si>
  <si>
    <t>Hausanschlüsse/öffentlicher Teil - Regenwasser</t>
  </si>
  <si>
    <t>Hausanschlüsse Regenwasserkanäle Straße 21</t>
  </si>
  <si>
    <t>Hausanschlüsse Regenwasserkanäle Straße 22</t>
  </si>
  <si>
    <t>Hausanschlüsse Regenwasserkanäle Straße 23</t>
  </si>
  <si>
    <t>Hausanschlüsse Regenwasserkanäle Straße 24</t>
  </si>
  <si>
    <t>Hausanschlüsse Regenwasserkanäle Straße 25</t>
  </si>
  <si>
    <t>Hausanschlüsse Regenwasserkanäle Straße 26</t>
  </si>
  <si>
    <t>Hausanschlüsse Regenwasserkanäle Straße 27</t>
  </si>
  <si>
    <t>Hausanschlüsse/öffentlicher Teil - Schmutzwasser</t>
  </si>
  <si>
    <t>Hausanschlüsse Schmutzwasserkanäle Straße 21</t>
  </si>
  <si>
    <t>Hausanschlüsse Schmutzwasserkanäle Straße 22</t>
  </si>
  <si>
    <t>Hausanschlüsse Schmutzwasserkanäle Straße 23</t>
  </si>
  <si>
    <t>Hausanschlüsse Schmutzwasserkanäle Straße 24</t>
  </si>
  <si>
    <t>Hausanschlüsse Schmutzwasserkanäle Straße 25</t>
  </si>
  <si>
    <t>Hausanschlüsse Schmutzwasserkanäle Straße 26</t>
  </si>
  <si>
    <t>Hausanschlüsse Schmutzwasserkanäle Straße 27</t>
  </si>
  <si>
    <t>AHK in €</t>
  </si>
  <si>
    <t>AHK in%</t>
  </si>
  <si>
    <t>Abschr. in %</t>
  </si>
  <si>
    <t>Zinsen Kanalsystem (RBW)</t>
  </si>
  <si>
    <t>Zinsen Kläranlage (RBW)</t>
  </si>
  <si>
    <t>Zinsen Sonderbauwerke (RBW)</t>
  </si>
  <si>
    <t>Zinsen Hausanschlüsse (RBW)</t>
  </si>
  <si>
    <t>Zinsen sonstige Anlagegüter (RBW)</t>
  </si>
  <si>
    <t>Zinsen Insgesamt (RBW)</t>
  </si>
  <si>
    <t>Zinsen in €</t>
  </si>
  <si>
    <t>Abschr.f.
RBW</t>
  </si>
  <si>
    <t>Jahresmittel</t>
  </si>
  <si>
    <t>Restw.f.RBW-B</t>
  </si>
  <si>
    <t>RBW in %</t>
  </si>
  <si>
    <t>Zugang RBW</t>
  </si>
  <si>
    <t>Zinsen in %</t>
  </si>
  <si>
    <t>Zinsen 
Halbwertm,</t>
  </si>
  <si>
    <t>Halbwerte
in %</t>
  </si>
  <si>
    <t>Anl.Güt. ohne Grundstücke</t>
  </si>
  <si>
    <t>Zinsen Kanalsystem (HW)</t>
  </si>
  <si>
    <t xml:space="preserve"> - hiervon NW Grundstücke</t>
  </si>
  <si>
    <t xml:space="preserve"> - hiervon NW Straßen</t>
  </si>
  <si>
    <t>Zinsen Kläranlage  (HW)</t>
  </si>
  <si>
    <t>Zinsen Sonderbauwerke (HW)</t>
  </si>
  <si>
    <t>Zinsen Hausanschlüsse (HW)</t>
  </si>
  <si>
    <t>Zinsen sonst.Anlagegüter (HW)</t>
  </si>
  <si>
    <t>Zinsen Insgesamt (HW)</t>
  </si>
  <si>
    <t>Zinsen insgesamt (Restbuchw.+Halbwert)</t>
  </si>
  <si>
    <t>Berechnung der Verteilungsschlüssel der nicht zuordenbaren Anlagegüter</t>
  </si>
  <si>
    <t>Summe Herstellungskosten Kanäle (kas, kam, kar)</t>
  </si>
  <si>
    <t xml:space="preserve"> - hiervon Schmutzwasserbeseitigung </t>
  </si>
  <si>
    <t xml:space="preserve"> - hiervon Niederschlagswasserbeseitigung von Grundstücken </t>
  </si>
  <si>
    <t xml:space="preserve"> - hiervon Niederschlagswasserbeseitigung von Straßen </t>
  </si>
  <si>
    <t>Summe Herstellungskosten Kläranlage ohne klz (kls, klm, klr, klk)</t>
  </si>
  <si>
    <t>Summe Herstellungskosten Sonderbauwerke ohne soz (sos, som, sor)</t>
  </si>
  <si>
    <t>Summe Herstellungskosten Hausanschlüsse ohne haz (has, ham, har)</t>
  </si>
  <si>
    <t>Summe Herstellungskosten sonstige Anlagegüter ohne saz (sas, sam, sar)</t>
  </si>
  <si>
    <t>Summe Kosten Kläranlage ohne "klz" (kls, klm, klr, klk)</t>
  </si>
  <si>
    <t xml:space="preserve"> - hiervon ab Niederschlagswasserbeseitigung von Straßen </t>
  </si>
  <si>
    <t>Kosten ohne Niederschlagswasser von Straßen</t>
  </si>
  <si>
    <t>Summe Gesamtabschreibungen</t>
  </si>
  <si>
    <t>Zinsen ohne Niederschlagswasser von Straßen</t>
  </si>
  <si>
    <t>Summe Gesamtzinsen</t>
  </si>
  <si>
    <t>Verteilungsschlüssel "kaz" (Kanäle)</t>
  </si>
  <si>
    <t>Verteilungsschlüssel "klz" (Kläranlage)</t>
  </si>
  <si>
    <t>Verteilungsschlüssel "soz" (Sonderbauwerke)</t>
  </si>
  <si>
    <t>Verteilungsschlüssel "haz" (Hausanschlüsse)</t>
  </si>
  <si>
    <t>Verteilungsschlüssel "saz" (Sonstige Anlagegüter)</t>
  </si>
  <si>
    <t>Verteilungsschlüssel  "bek" und "zuk" (für Beiträge und Zuschüsse Kläranlage)</t>
  </si>
  <si>
    <t>Verteilungsschlüssel "bez" und "zuz" -Zinsen-  (nicht zuordenbare Beiträge (z.B. Herstellungsbeiträg) und Zuwendungen)</t>
  </si>
  <si>
    <t>Verteilungsschlüssel "bez"  und "zuz"-Abschreibung- (nicht zuordenbare Beiträge -z.B. Herstellungsbeiträg- und Zuwendungen)</t>
  </si>
  <si>
    <t xml:space="preserve"> - hiervon Niederschlagswasserbeseitigung von Straßen (entfällt)</t>
  </si>
  <si>
    <t>Ermittlung des mittleren (gewichteten) Abschreibungssatzes</t>
  </si>
  <si>
    <t>Kalkulatorische Kosten</t>
  </si>
  <si>
    <t xml:space="preserve">Kürzung um Auflösungen aus Beiträgen </t>
  </si>
  <si>
    <t>Kurzung um Auflösungen aus Zuwendungen</t>
  </si>
  <si>
    <t>Sa: Gebührenfähige kalkulatorische Abschreibungen (1.1 + 1.2 + 1.3)</t>
  </si>
  <si>
    <t>Kürzung um Zinsen aus Beiträgen</t>
  </si>
  <si>
    <t>Kürzung um Zinsen aus Zuwendungen</t>
  </si>
  <si>
    <t>Gebührenfähige kalkulatorische Zinsen aus den Restbuchwerten  (1.5 + 1.6 + 1.7)</t>
  </si>
  <si>
    <t>Gebührenfähige kalkulatorische Zinsen nach Halbwertmethode (1.9 + 1.10 + 1.11)</t>
  </si>
  <si>
    <t>Sa: Gebührenfäh.kalkul.Zinsen (1.8+1.12)</t>
  </si>
  <si>
    <t>Kosten für Betrieb und Unterhalt</t>
  </si>
  <si>
    <t>Bezeichnung</t>
  </si>
  <si>
    <t>Schmutz-wasser</t>
  </si>
  <si>
    <t>Regenwasser Grundstücke</t>
  </si>
  <si>
    <t xml:space="preserve">Beträge in € für die Jahre </t>
  </si>
  <si>
    <t>Überdeckungen bzw. Unterdeckungen(-) 
-ohne Vorjahre- (3a.3 + 3a.4)</t>
  </si>
  <si>
    <t>Berechnung des Regenwasseranteils (Niederschlagswasseranteils) im Verhältnis zu den gebührenfähigen Kosten (in %)</t>
  </si>
  <si>
    <t>SW=Schmutzwasser / RW=Regenwasser</t>
  </si>
  <si>
    <t>Anteil SW bzw. RW am Gesamtgebühren-bedarf je Jahr in %</t>
  </si>
  <si>
    <t>Nachrichtlich - weitere Angaben</t>
  </si>
  <si>
    <t>Straßenentw.-kalkulat. Abschreibungen</t>
  </si>
  <si>
    <t>Straßenenwässerung -kalkulat. Zinsen-</t>
  </si>
  <si>
    <t>Straßenentwässerung -Betriebskosten-</t>
  </si>
  <si>
    <t>Straßenentwässerungsanteil insgesamt</t>
  </si>
  <si>
    <t>Anteil Straßenentwässer. an Gesamtkosten</t>
  </si>
  <si>
    <t>Mittl. Abschreibungssatz Anlagevermögen</t>
  </si>
  <si>
    <t>Mittlerer Auflösungssatz Beiträge</t>
  </si>
  <si>
    <t>Mitterer Auflösungssatz Zuwendungen</t>
  </si>
  <si>
    <t xml:space="preserve">Angewandter kalkulatorischer Zinssatz </t>
  </si>
  <si>
    <t>Abschreibungen vom zuwendungsfinanan-zierten Anlagevermögen insgesamt</t>
  </si>
  <si>
    <t>Kürzung um Grundgebühren</t>
  </si>
  <si>
    <t>Sa: Umlegungsfähige Kosten (3a.3 + 3a.4)</t>
  </si>
  <si>
    <t>Gebührenbedarf je Jahr (3a.5 - 4a)</t>
  </si>
  <si>
    <t>Gesplittete Abwassergebühren</t>
  </si>
  <si>
    <t>Sa: Umlegungsfähige Kosten (3b.3 + 3b.4)</t>
  </si>
  <si>
    <t>Gebührenbedarf je Jahr (3b.5 - 4b)</t>
  </si>
  <si>
    <t>Einleitungsmengen SW+RW</t>
  </si>
  <si>
    <t>Einleitungsmengen nur SW</t>
  </si>
  <si>
    <t>Gebühren nach dem modifizierten Frischwassermaßstab</t>
  </si>
  <si>
    <t>Berechnung des Regenwasseranteils (Niederschlagswasseranteils) im Verhältnis  zu den gebührenfähigen Kosten (in %)</t>
  </si>
  <si>
    <t>Gebühren je Jahr</t>
  </si>
  <si>
    <t>Straßenentwässerung -kalkulat.Zinsen-</t>
  </si>
  <si>
    <t xml:space="preserve">Sa: Straßenentwässerungsanteil </t>
  </si>
  <si>
    <t xml:space="preserve">Anteil Straßenentwässerung an Gesamtkosten </t>
  </si>
  <si>
    <t>Mittlerer Abschreibungssatz Anlagevermögen</t>
  </si>
  <si>
    <t>Mittlerer Auflösungssatz Zuwendungen</t>
  </si>
  <si>
    <t>"Schmutzwasser=SW, Regenwasser =RW</t>
  </si>
  <si>
    <t>Hiervon wird auf die Gebühren umgelegt</t>
  </si>
  <si>
    <r>
      <t xml:space="preserve">Berechnung der Abwassergebühren  </t>
    </r>
    <r>
      <rPr>
        <b/>
        <sz val="12"/>
        <rFont val="Calibri"/>
        <family val="2"/>
        <scheme val="minor"/>
      </rPr>
      <t>(gesplittete bzw.nach dem modifizierten Frischwassermaßstab)</t>
    </r>
  </si>
  <si>
    <t>Grunddaten</t>
  </si>
  <si>
    <t>vom</t>
  </si>
  <si>
    <t>Berechnungszeitraum für Vorkalkulation</t>
  </si>
  <si>
    <t>Berechnungszeiträume</t>
  </si>
  <si>
    <t>Festlegung der Berechnungsarten</t>
  </si>
  <si>
    <t>Falls 2, dann Angabe des Anteils in %</t>
  </si>
  <si>
    <t>Nach-Nach-Kalkul.-Jahr</t>
  </si>
  <si>
    <t>Nachkalkulation</t>
  </si>
  <si>
    <t>Vorkalkulation</t>
  </si>
  <si>
    <t>Festlegung der kalkulatorischen Zinssätze für die Berechnungszeiträume sowie für die Verzinsung der Über-/Unterdeckungen</t>
  </si>
  <si>
    <t>Zinssätze</t>
  </si>
  <si>
    <t>Zinssätze für die Nachkalkulations- und Vorkalkulationsjahre</t>
  </si>
  <si>
    <t>Zinssätze für die Verzinsung der Über-/Unterdeckungen</t>
  </si>
  <si>
    <t>Einleitungsmenge jährlich in cbm (gesplittete Abwassergebühren)</t>
  </si>
  <si>
    <t>Befestigte Flächen  in qm (gesplittete Abwassergebühren)</t>
  </si>
  <si>
    <t>Einleitungsmenge jährlich in cbm -SW + RW- (nach modifizierten Frischwassermaßstab)</t>
  </si>
  <si>
    <t>Einleitungsmenge jährlich in cbm -nur SW- (nach modifizierten Frischwassermaßstab)</t>
  </si>
  <si>
    <t>Über- /Unterdeckungen(-) in €</t>
  </si>
  <si>
    <t>Angabe der Gebührenart</t>
  </si>
  <si>
    <t>Nachkalkulationszeitraum</t>
  </si>
  <si>
    <t>Vorkalkulationszeitraum</t>
  </si>
  <si>
    <t>Berechnung gesplitteter Abwassergebühren</t>
  </si>
  <si>
    <t>Jahre Nachkalkulation</t>
  </si>
  <si>
    <t>Überdeckung(+) /
Unterdeckung(-)</t>
  </si>
  <si>
    <t>Zu verzinsender Betrag
(Zeile 5 * 0,5 + Zeile 7)</t>
  </si>
  <si>
    <t>Zinsen</t>
  </si>
  <si>
    <t>Übertrag auf das Folgejahr</t>
  </si>
  <si>
    <t>Sa: Über-/Unterdeckung
ohne Verzinsung SW</t>
  </si>
  <si>
    <t>Sa: Zinsen: Nachkalkulation</t>
  </si>
  <si>
    <t>Sa: Insgesamt</t>
  </si>
  <si>
    <t>Jahre Vorkalkulation</t>
  </si>
  <si>
    <t>Über- / Unterdeckung(-) aus
den Vorjahren insgesamt
(einschl.Zinsen)</t>
  </si>
  <si>
    <t>Verteilung - Anzahl Jahre</t>
  </si>
  <si>
    <t>Restbetrag
Überdeckung/Unterdeckung</t>
  </si>
  <si>
    <t>Zu verzinsender Ausgleichs-betrag (Zeile 21 * 0,5)</t>
  </si>
  <si>
    <t>Zu verzinsender Restbetrag
(Zeile 20 - Zeile 21)</t>
  </si>
  <si>
    <t>Zinsen Ausgleichsbetrag</t>
  </si>
  <si>
    <t>Zinsen Restbetrag</t>
  </si>
  <si>
    <t>Verbleibende Über- / Unter-deckung(-) -einschl.Verzinsung-</t>
  </si>
  <si>
    <t>Zinsen: Nachkalk.Zeitraum</t>
  </si>
  <si>
    <t>Zinsen: Vorkalkul.Zeitraum</t>
  </si>
  <si>
    <t>Sa. Einschl. Zinsen
Nach-/Vorkalkul.Zeitraum</t>
  </si>
  <si>
    <t>Berechnung von Abwassergebühren
nach dem modifizierten Frischwassermaßstab</t>
  </si>
  <si>
    <t>Auflösungen
Beiträge</t>
  </si>
  <si>
    <t>Restwerte und 
bisherige Auflösungen</t>
  </si>
  <si>
    <t>Auflösungs-
satz 
in %</t>
  </si>
  <si>
    <t>Auflösungs-
betrag linear 
jährlich</t>
  </si>
  <si>
    <t>Beiträge Restwerte 
in € 
zum</t>
  </si>
  <si>
    <t>Beiträge Auflösungen insgesamt 
in € 
bis zum</t>
  </si>
  <si>
    <t>Beiträge (Zugänge, Auflösungen, Restwerte)</t>
  </si>
  <si>
    <t>Bez 1</t>
  </si>
  <si>
    <t>Bezeichnung 3</t>
  </si>
  <si>
    <t>Beiträge
in €</t>
  </si>
  <si>
    <t>Auflösungs-zeitpunkt 
ab</t>
  </si>
  <si>
    <t>Reswert
in €  (optional)</t>
  </si>
  <si>
    <t>Leerspalte
nicht löschen</t>
  </si>
  <si>
    <t>Zugang/
Abgang(-) 
f.Restbuchw-Berechnung</t>
  </si>
  <si>
    <t>Mittelwert aus Zug./Abg (-) 
f.Restbuchw.-Berechnung</t>
  </si>
  <si>
    <t>Eingegange-ne Beiträge
 in € 
bis zum</t>
  </si>
  <si>
    <t>Berichtigte Beiträge. zur Berechnung des mittleren Auflös.-satzes</t>
  </si>
  <si>
    <t>Auflösungen Beiträge 
in € 
im Jahr</t>
  </si>
  <si>
    <t>Auflösungen Beiträge f.Restbuchw.-Berechnung</t>
  </si>
  <si>
    <t>Restwerte Beiträge 
in € 
zum</t>
  </si>
  <si>
    <t>Restbuchwert f.Restbuchw--Berechnung</t>
  </si>
  <si>
    <t>Auflösungen Beiträge insgesamt 
in € 
bis zum</t>
  </si>
  <si>
    <t>Beiträge 
den Grund-stücken zuge-ordnet 
zum</t>
  </si>
  <si>
    <t>Beiträge Abschreibfäh. Anlagevermö-gen zugeordn.  zum</t>
  </si>
  <si>
    <r>
      <t xml:space="preserve">Nachweis des Anlagevermögens </t>
    </r>
    <r>
      <rPr>
        <sz val="12"/>
        <rFont val="Calibri"/>
        <family val="2"/>
        <scheme val="minor"/>
      </rPr>
      <t>-zur Ermittlung der kalk. Abschreibungen -linear- und der kalk. Zinsen-</t>
    </r>
    <r>
      <rPr>
        <b/>
        <sz val="14"/>
        <rFont val="Calibri"/>
        <family val="2"/>
        <scheme val="minor"/>
      </rPr>
      <t xml:space="preserve">
</t>
    </r>
    <r>
      <rPr>
        <sz val="10"/>
        <rFont val="Calibri"/>
        <family val="2"/>
        <scheme val="minor"/>
      </rPr>
      <t>(Einträge nur in orange Felder vornehmen. Pflchtfelder = Spalten D, E und F sowie bei abschreibbaren Anlagegütern Spalte G bzw. H. 
Anlagegüter ohne Angabe des Abschreibungssatzes -Sp.G bzw.H- werden als Grundstücke behandelt)</t>
    </r>
  </si>
  <si>
    <t>auf Schmutzwasser, Regenwasser GrSt u.Regenw.Straßen</t>
  </si>
  <si>
    <t>Abschreibungen AHK</t>
  </si>
  <si>
    <t>Auflösungen Beiträge</t>
  </si>
  <si>
    <t>Beiträge in €</t>
  </si>
  <si>
    <t>Beiträg in %</t>
  </si>
  <si>
    <t>Auflös. in %</t>
  </si>
  <si>
    <t>Auflösung in €</t>
  </si>
  <si>
    <t>Mustereinträge</t>
  </si>
  <si>
    <t>Beiträge u. ähnliche Einnahmen</t>
  </si>
  <si>
    <t>Verbesserungsbeiträge (Summe Schl: bes, bem, ber und bek)</t>
  </si>
  <si>
    <t>Abschr.Zuwendungen</t>
  </si>
  <si>
    <t>Uml.Anteil Zuwend.</t>
  </si>
  <si>
    <t>Berechnart "gesplitt.Geb"</t>
  </si>
  <si>
    <t>Herstellungsbeiträge (Summe Schl: bez)</t>
  </si>
  <si>
    <t>Summe der Beitragsauflösungen insgesamt</t>
  </si>
  <si>
    <t>Aufteilung der Auflösungen auf Schmutzwasser- (SW) u. Regenwasser- (RW) -Anteil</t>
  </si>
  <si>
    <t>Zinsen Restbuchwert</t>
  </si>
  <si>
    <t>Zug./Abgang</t>
  </si>
  <si>
    <t>Mittelw.Zu/Ab</t>
  </si>
  <si>
    <t>Restbuchw</t>
  </si>
  <si>
    <t>Zinsen Restbuchwertmethode</t>
  </si>
  <si>
    <t>Auflös. In €</t>
  </si>
  <si>
    <t>Mittel Zugang</t>
  </si>
  <si>
    <t>Summe: Zinsen aus Beiträgen (Restbuchwert + Halbwert)</t>
  </si>
  <si>
    <t>Zinsen Halbwert</t>
  </si>
  <si>
    <t>Ermittlung des mittleren (gewichteten) Auflösungssatzes und der Restbuchwerte</t>
  </si>
  <si>
    <t>Zuwendung</t>
  </si>
  <si>
    <t>Regenwasserkanäle</t>
  </si>
  <si>
    <t>Schmutzwasserkanäle</t>
  </si>
  <si>
    <t>RÜB</t>
  </si>
  <si>
    <t>Auflösungen
Zuwendungen</t>
  </si>
  <si>
    <t>Zuwendungen Restwerte 
in € 
zum</t>
  </si>
  <si>
    <t>Zuwendungen Auflösungen insgesamt 
in € 
bis zum</t>
  </si>
  <si>
    <t>Zuwendungen (Zugänge, Auflösungen, Restwerte)</t>
  </si>
  <si>
    <t>Zuwendungen
in €</t>
  </si>
  <si>
    <t>Eingegange-ne Zuwendungen
 in € 
bis zum</t>
  </si>
  <si>
    <t>Berichtigte Zuwendungen. zur Berechnung des mittleren Auflös.-satzes</t>
  </si>
  <si>
    <t>Auflösungen Zuwendungen 
in € 
im Jahr</t>
  </si>
  <si>
    <t>Auflösungen Zuwendungen f.Restbuchw.-Berechnung</t>
  </si>
  <si>
    <t>Restwerte Zuwendungen 
in € 
zum</t>
  </si>
  <si>
    <t>Auflösungen Zuwendungen insgesamt 
in € 
bis zum</t>
  </si>
  <si>
    <t>Zuwendungen 
den Grund-stücken zuge-ordnet 
zum</t>
  </si>
  <si>
    <t>Zuwendungen Abschreibfäh. Anlagevermö-gen zugeordn.  zum</t>
  </si>
  <si>
    <t>Auflösungen Zuwendungen</t>
  </si>
  <si>
    <t>VerzusserungsZuwendungen (Summe Schl: zus, zum, zur und zuk)</t>
  </si>
  <si>
    <t>HerstellungsZuwendungen (Summe Schl: zuz)</t>
  </si>
  <si>
    <t>Summe der Zuwendungsauflösungen insgesamt</t>
  </si>
  <si>
    <t>Zinsen Halbwertmethode</t>
  </si>
  <si>
    <t>Berechnung des Umlegungsanteils des zuwendungsfinanzierten Anlagevermögens</t>
  </si>
  <si>
    <t>Auflösungen aus Zuwendungen insgesamt</t>
  </si>
  <si>
    <t>Verbleibender Absetzungsbetrag</t>
  </si>
  <si>
    <t xml:space="preserve"> - hiervon Regenw.-Straßen (entfällt).</t>
  </si>
  <si>
    <t>Summe Zinsen Halbwert insgesamt</t>
  </si>
  <si>
    <t>Summe der Zinsen RBW insgesamt</t>
  </si>
  <si>
    <t>Schmutz-
wasser</t>
  </si>
  <si>
    <t>Kosten für Unterhalt und Betrieb ab dem Jahr</t>
  </si>
  <si>
    <t>Nach-Nachkalkulationsjahr</t>
  </si>
  <si>
    <t>HHSt.</t>
  </si>
  <si>
    <t>Zuord-nung</t>
  </si>
  <si>
    <t>Alternativ:
 Aufteilung in %</t>
  </si>
  <si>
    <t>Betrag in € im Jahr</t>
  </si>
  <si>
    <t>Erträge/Auf-wendungen
Gesamt</t>
  </si>
  <si>
    <t>Ausglie-derung</t>
  </si>
  <si>
    <t>Einglie-derung</t>
  </si>
  <si>
    <t>Ansetzbare
Erträge/Auf-wendungen</t>
  </si>
  <si>
    <t xml:space="preserve">davon für Beseitigung von </t>
  </si>
  <si>
    <t>SW</t>
  </si>
  <si>
    <t>RW- GrSt</t>
  </si>
  <si>
    <t>RW- Str</t>
  </si>
  <si>
    <t>RW-Grundstück</t>
  </si>
  <si>
    <t>RW-
Straßen</t>
  </si>
  <si>
    <t>1.</t>
  </si>
  <si>
    <t>Gebühren öffentlicher Toilettenanlagen</t>
  </si>
  <si>
    <t>Abwasserabgabe Kleineinleiter</t>
  </si>
  <si>
    <t>Mieteinnahmen</t>
  </si>
  <si>
    <t>Abwassermessungen bei Betrieben</t>
  </si>
  <si>
    <t>Verwaltungskostenbeitrag von Dritten</t>
  </si>
  <si>
    <t>Erstattungen Abwassergast - Kläranlage</t>
  </si>
  <si>
    <t>Kanäle, Sonderbauwerke SW</t>
  </si>
  <si>
    <t>Erstattungen Abwassergast - SW-Kanal</t>
  </si>
  <si>
    <t>Ausgaben/Aufwendungen</t>
  </si>
  <si>
    <t>41 - 48</t>
  </si>
  <si>
    <t>Personalkosten</t>
  </si>
  <si>
    <t>5010-1</t>
  </si>
  <si>
    <t>Unterhalt Grundstücke und bauliche Anlagen</t>
  </si>
  <si>
    <t>5010-2</t>
  </si>
  <si>
    <t>Gebäudeunterhalt Schöpfwerk</t>
  </si>
  <si>
    <t>5010-3</t>
  </si>
  <si>
    <t>Unterhalt pneumatische Hebeanlage</t>
  </si>
  <si>
    <t>5010-4</t>
  </si>
  <si>
    <t>Unterhalt Regenüberlaufbauwerke</t>
  </si>
  <si>
    <t>5010-5</t>
  </si>
  <si>
    <t>Gebäudeunterhalt Klärwärterwohnhaus</t>
  </si>
  <si>
    <t>Unterhalt der Bedürfnisanstalten</t>
  </si>
  <si>
    <t>5110-1</t>
  </si>
  <si>
    <t>Unterhalt Schöpfwerk</t>
  </si>
  <si>
    <t>5110-2</t>
  </si>
  <si>
    <t>Unterhalt Technik - Pneumatische Hebeanlagen</t>
  </si>
  <si>
    <t>5110-3</t>
  </si>
  <si>
    <t>Unterhalt Technik - Regenüberlaufbauwerke</t>
  </si>
  <si>
    <t>5110-4</t>
  </si>
  <si>
    <t>Unterhalt Technik - Gasmotoren, Gasanlage</t>
  </si>
  <si>
    <t>Mieten und Pachten</t>
  </si>
  <si>
    <t>Heizung, Reinigung, Beleuchtung</t>
  </si>
  <si>
    <t>Steuern, Abgaben, Versicherungen</t>
  </si>
  <si>
    <t>Bewirtschaftungskosten</t>
  </si>
  <si>
    <t>Kraftstoff, Öl und sonstiger Bedarf</t>
  </si>
  <si>
    <t>Haltung von Fahrzeugen</t>
  </si>
  <si>
    <t>Besondere Aufwendungen für Bedienstete</t>
  </si>
  <si>
    <t>Aus- und Fortfildung des Personals</t>
  </si>
  <si>
    <t>Wasser- Stromverbrauch - Hydraulische Anlagen</t>
  </si>
  <si>
    <t>Wasser- Stromverbrauch - Biologie/Chemie/Schlamm</t>
  </si>
  <si>
    <t>6010-1</t>
  </si>
  <si>
    <t>Sachausgaben - Fällmittel-Konditionierung</t>
  </si>
  <si>
    <t>6010-2</t>
  </si>
  <si>
    <t>Sachausgaben - Entsorgung</t>
  </si>
  <si>
    <t>6010-3</t>
  </si>
  <si>
    <t>Sachausgaben - Labor</t>
  </si>
  <si>
    <t>6010-4</t>
  </si>
  <si>
    <t>Sachausgaben - Allgemein</t>
  </si>
  <si>
    <t>EDV (Gebühreneinhebung durch Stadtwerke)</t>
  </si>
  <si>
    <t>Steuern, Versicherungen, Schadensfälle</t>
  </si>
  <si>
    <t>Abwasserabgabe (inkl. Kleineinleiter)</t>
  </si>
  <si>
    <t>Geschäftsausgaben</t>
  </si>
  <si>
    <t>Post- und Fernsprechgebühren</t>
  </si>
  <si>
    <t>Dienstreisen</t>
  </si>
  <si>
    <t>Gutachten- und Sachverständigenkosten</t>
  </si>
  <si>
    <t>Mitgliedsbeiträge an Verbände und Vereine</t>
  </si>
  <si>
    <t>Verwaltungskostenbeitrag</t>
  </si>
  <si>
    <t>Kanäle, Sonderbauwerke - MW</t>
  </si>
  <si>
    <t>41-46</t>
  </si>
  <si>
    <t>Anteilige Personalkosten - Mischwasserkanäle</t>
  </si>
  <si>
    <t>Unterhaltung - Mischwasserkanäle</t>
  </si>
  <si>
    <t>Geräte - Mischwasserkanäle</t>
  </si>
  <si>
    <t>54-56</t>
  </si>
  <si>
    <t>sonst. Bewirtschaftung, Fahrzeuge - MW</t>
  </si>
  <si>
    <t>57-679</t>
  </si>
  <si>
    <t>Verw.Kost. + Beitr.-ausgaben, Verwaltungskostenbeitrag</t>
  </si>
  <si>
    <t>Kanäle, Sonderbauwerke - RW</t>
  </si>
  <si>
    <t>Anteilige Personalkosten - Regenwasserkanäle</t>
  </si>
  <si>
    <t>Unterhaltung - Regenwasserkanäle</t>
  </si>
  <si>
    <t>Geräte - Regenwasserkanäle</t>
  </si>
  <si>
    <t>Kanäle, Sonderbauwerke - SW</t>
  </si>
  <si>
    <t>Anteilige Personalkosten - Schmutzwasserkanäle</t>
  </si>
  <si>
    <t>Unterhaltung - Schmutzwasserkanäle</t>
  </si>
  <si>
    <t>Geräte - Schmutzwasserkanäle</t>
  </si>
  <si>
    <t>Summe Ausgaben/Aufwendungen</t>
  </si>
  <si>
    <t>Einnahmen/Erträge (ohne Gebührenerlöse)</t>
  </si>
  <si>
    <t>in €</t>
  </si>
  <si>
    <t>in %</t>
  </si>
  <si>
    <t>Ansetzbare Erträge</t>
  </si>
  <si>
    <t xml:space="preserve"> -hiervon Schmutzwasser</t>
  </si>
  <si>
    <t xml:space="preserve"> -hiervon Regenwasser Grundstücke</t>
  </si>
  <si>
    <t xml:space="preserve"> -hiervon Regenwasser Straßen</t>
  </si>
  <si>
    <t>Ansetzbare Aufwendungen</t>
  </si>
  <si>
    <t>Nachkalkulationsjahr</t>
  </si>
  <si>
    <t>Vorkalkulationsjahr</t>
  </si>
  <si>
    <t xml:space="preserve"> - hiervon Regenw.-Straßen </t>
  </si>
  <si>
    <t>Zuw. in %</t>
  </si>
  <si>
    <t>Zuwend in €</t>
  </si>
  <si>
    <t>Eingegangene Beiträge, von denen im Bezugshjahr noch abgeschrieben wird</t>
  </si>
  <si>
    <t>Maßgebliches Beitragsaufkommen zur Berechnung des gewichteten Auflösungssatzes im Bezugsjahr</t>
  </si>
  <si>
    <t>Eingegangene Zuwendungen, von denen im Bezugshjahr noch abgeschrieben wird</t>
  </si>
  <si>
    <t>Maßgebliches Zuwendungenaufkommen zur Berechnung des gewichteten Auflösungssatzes im Bezugsjahr</t>
  </si>
  <si>
    <t xml:space="preserve">  - Anteilige Kürzung, soweit im Bezugsjahr nicht der volle Jahresbetrag abgeschrieben wird </t>
  </si>
  <si>
    <t>Durchschnittlicher Auflösungssatz der Zuwendungen im Bezugsjahr</t>
  </si>
  <si>
    <t>Summe der Auflösungsbeträge im Bezugsjahr</t>
  </si>
  <si>
    <t>Durchschnittlicher Auflösungssatz der Beiträge im Bezugsjahr</t>
  </si>
  <si>
    <t>Anteil SW bzw. RW am Gesamtgebühren-
bedarf je Jahr in %</t>
  </si>
  <si>
    <r>
      <t>Grundgebühren für Wasserzähler mit Nenndurchfluss (Q</t>
    </r>
    <r>
      <rPr>
        <b/>
        <sz val="8"/>
        <rFont val="Calibri"/>
        <family val="2"/>
      </rPr>
      <t>n</t>
    </r>
    <r>
      <rPr>
        <b/>
        <sz val="11"/>
        <rFont val="Arial"/>
        <family val="2"/>
      </rPr>
      <t>)</t>
    </r>
  </si>
  <si>
    <t xml:space="preserve">bis
über </t>
  </si>
  <si>
    <t>m³/h</t>
  </si>
  <si>
    <t>Gebühr in €</t>
  </si>
  <si>
    <t>Anzahl für die Jahre</t>
  </si>
  <si>
    <t>Grundgebühr für die Jahre</t>
  </si>
  <si>
    <t>bis</t>
  </si>
  <si>
    <t>über</t>
  </si>
  <si>
    <t>Summe Nenndurchfluss</t>
  </si>
  <si>
    <r>
      <t>Grundgebühren für Wasserzähler mit Dauerdurchfluss (Q</t>
    </r>
    <r>
      <rPr>
        <b/>
        <sz val="11"/>
        <rFont val="Calibri"/>
        <family val="2"/>
      </rPr>
      <t>₃</t>
    </r>
    <r>
      <rPr>
        <b/>
        <sz val="11"/>
        <rFont val="Arial"/>
        <family val="2"/>
      </rPr>
      <t>)</t>
    </r>
  </si>
  <si>
    <t>Summe Dauerdurchfluss</t>
  </si>
  <si>
    <t xml:space="preserve">Gesamtsumme </t>
  </si>
  <si>
    <t>2.</t>
  </si>
  <si>
    <t>2,1</t>
  </si>
  <si>
    <t>2,2</t>
  </si>
  <si>
    <t>2,3</t>
  </si>
  <si>
    <t>3a</t>
  </si>
  <si>
    <t>3a.1</t>
  </si>
  <si>
    <t>3a.2</t>
  </si>
  <si>
    <t>3a.3</t>
  </si>
  <si>
    <t>3a.4</t>
  </si>
  <si>
    <t>4a</t>
  </si>
  <si>
    <t>3a.5</t>
  </si>
  <si>
    <t>4a.1</t>
  </si>
  <si>
    <t>4a.2</t>
  </si>
  <si>
    <t>5a</t>
  </si>
  <si>
    <t>3b</t>
  </si>
  <si>
    <t>3b.1</t>
  </si>
  <si>
    <t>3b.2</t>
  </si>
  <si>
    <t>3b.3</t>
  </si>
  <si>
    <t>3b.4</t>
  </si>
  <si>
    <t>4b</t>
  </si>
  <si>
    <t>4b.1</t>
  </si>
  <si>
    <t>4b.2</t>
  </si>
  <si>
    <t>5b</t>
  </si>
  <si>
    <t>6.</t>
  </si>
  <si>
    <t>7.</t>
  </si>
  <si>
    <t>7.1</t>
  </si>
  <si>
    <t>7.2</t>
  </si>
  <si>
    <t>7.3</t>
  </si>
  <si>
    <t>7.4</t>
  </si>
  <si>
    <t>1)</t>
  </si>
  <si>
    <t>8.</t>
  </si>
  <si>
    <t>8.1</t>
  </si>
  <si>
    <t>8.2</t>
  </si>
  <si>
    <t>8.3</t>
  </si>
  <si>
    <t>8.4</t>
  </si>
  <si>
    <t>8.5</t>
  </si>
  <si>
    <t>8.6</t>
  </si>
  <si>
    <t>8.7</t>
  </si>
  <si>
    <t>8.8</t>
  </si>
  <si>
    <t>8.9</t>
  </si>
  <si>
    <t>8.10</t>
  </si>
  <si>
    <t>8.11</t>
  </si>
  <si>
    <t>9/11</t>
  </si>
  <si>
    <t>9.1</t>
  </si>
  <si>
    <t>9.2</t>
  </si>
  <si>
    <t>9.3</t>
  </si>
  <si>
    <t>9.4</t>
  </si>
  <si>
    <t>9.5</t>
  </si>
  <si>
    <t>9.6</t>
  </si>
  <si>
    <t>9.</t>
  </si>
  <si>
    <t>5a,1</t>
  </si>
  <si>
    <t>5a.2</t>
  </si>
  <si>
    <t>6a.1</t>
  </si>
  <si>
    <t>6a.2</t>
  </si>
  <si>
    <t>7a.1</t>
  </si>
  <si>
    <t>7a.2</t>
  </si>
  <si>
    <t>5b.1</t>
  </si>
  <si>
    <t>3b.5</t>
  </si>
  <si>
    <t>5b.2</t>
  </si>
  <si>
    <t>6b.1</t>
  </si>
  <si>
    <t>6b.2</t>
  </si>
  <si>
    <t>6b.3</t>
  </si>
  <si>
    <t>7b.1</t>
  </si>
  <si>
    <t>7b.2</t>
  </si>
  <si>
    <t>8.12</t>
  </si>
  <si>
    <t>8.13</t>
  </si>
  <si>
    <t>8.14</t>
  </si>
  <si>
    <t>8.15</t>
  </si>
  <si>
    <t>8.16</t>
  </si>
  <si>
    <t>8.17</t>
  </si>
  <si>
    <t>8.18</t>
  </si>
  <si>
    <t>8.19</t>
  </si>
  <si>
    <t>8.20</t>
  </si>
  <si>
    <t>8.21</t>
  </si>
  <si>
    <t>8.22</t>
  </si>
  <si>
    <t>8.23</t>
  </si>
  <si>
    <t>8.24</t>
  </si>
  <si>
    <t xml:space="preserve">Kosten der Straßenentwässerung </t>
  </si>
  <si>
    <t>Gemeinde A</t>
  </si>
  <si>
    <t>Abwasserbeseitigungseinrichtung</t>
  </si>
  <si>
    <t>Kürzung um Erträge Betrieb/Unterhalt</t>
  </si>
  <si>
    <t>Sa: Geb.-fäh.Kosten Betrieb/Unterhalt</t>
  </si>
  <si>
    <t>Schmutzwasser (SW) Regenwasser (RW)</t>
  </si>
  <si>
    <t>Gebührenfähige kalkulator. Kosten (1.4 + 1.13)</t>
  </si>
  <si>
    <t>Gebührenfäh. Kosten Betrieb u. Unterhalt (2.3)</t>
  </si>
  <si>
    <t>Sa: Gebührenfä. Kosten Betrieb/Unterhalt</t>
  </si>
  <si>
    <t>2.7</t>
  </si>
  <si>
    <t>3.</t>
  </si>
  <si>
    <t>4a.</t>
  </si>
  <si>
    <t>4a.3</t>
  </si>
  <si>
    <t>4b.</t>
  </si>
  <si>
    <t>4b.3</t>
  </si>
  <si>
    <t>4-6</t>
  </si>
  <si>
    <t>4-7</t>
  </si>
  <si>
    <t>4-8</t>
  </si>
  <si>
    <t>4-9</t>
  </si>
  <si>
    <t>4-10</t>
  </si>
  <si>
    <t>5.</t>
  </si>
  <si>
    <r>
      <t xml:space="preserve">Einleitungsmengen in cbm -für </t>
    </r>
    <r>
      <rPr>
        <b/>
        <sz val="11"/>
        <rFont val="Calibri"/>
        <family val="2"/>
        <scheme val="minor"/>
      </rPr>
      <t>Einleiter</t>
    </r>
    <r>
      <rPr>
        <sz val="11"/>
        <rFont val="Calibri"/>
        <family val="2"/>
        <scheme val="minor"/>
      </rPr>
      <t xml:space="preserve"> von Schmutzwasser + Regenwasser- </t>
    </r>
    <r>
      <rPr>
        <b/>
        <sz val="11"/>
        <rFont val="Calibri"/>
        <family val="2"/>
        <scheme val="minor"/>
      </rPr>
      <t>(nur bei modifiziertem Frischwassermaßstab)</t>
    </r>
  </si>
  <si>
    <r>
      <t xml:space="preserve">Einleitungsmengen in cbm -für </t>
    </r>
    <r>
      <rPr>
        <b/>
        <sz val="11"/>
        <rFont val="Calibri"/>
        <family val="2"/>
        <scheme val="minor"/>
      </rPr>
      <t>Einleiter nur</t>
    </r>
    <r>
      <rPr>
        <sz val="11"/>
        <rFont val="Calibri"/>
        <family val="2"/>
        <scheme val="minor"/>
      </rPr>
      <t xml:space="preserve"> von Schmutzwasser- </t>
    </r>
    <r>
      <rPr>
        <b/>
        <sz val="11"/>
        <rFont val="Calibri"/>
        <family val="2"/>
        <scheme val="minor"/>
      </rPr>
      <t>(nur bei modifiziertem Frischwassermaßstab)</t>
    </r>
  </si>
  <si>
    <t xml:space="preserve">Summe Herstellungskosten Kläranlage (kls, klm, klr, klk) ohne klz </t>
  </si>
  <si>
    <t>Summe Herstellungskosten Kanäle (kas, kam, kar) ohne kaz</t>
  </si>
  <si>
    <t>Summe Herstellungskosten Sonderbauwerke  (sos, som, sor) ohne soz</t>
  </si>
  <si>
    <t>Summe Herstellungskosten Hausanschlüsse (has, ham, har) ohne haz</t>
  </si>
  <si>
    <t>Summe Herstellungskosten sonstige Anlagegüter (sas, sam, sar) ohne saz</t>
  </si>
  <si>
    <t xml:space="preserve">Verzinsung der Überdeckungen bzw. Unterdeckungen(-) "Schmutzwasser" 
für den Nachkalkulationszeitraum </t>
  </si>
  <si>
    <t xml:space="preserve">Verzinsung der Überdeckungen bzw. Unterdeckungen(-) "Regenwasser" 
für den Nachkalkulationszeitraum </t>
  </si>
  <si>
    <t xml:space="preserve">Verzinsung der Über- / Unterdeckungen(-) "Schmutzwasser" 
für den Vorkalkulationszeitraum </t>
  </si>
  <si>
    <t xml:space="preserve">Verzinsung der Überdeckungen bzw. Unterdeckungen(-)
"Schmutzwasser+Regenwasser"
für den Nachkalkulationszeitraum </t>
  </si>
  <si>
    <r>
      <t xml:space="preserve">Übertrag aus dem Vorjahr
</t>
    </r>
    <r>
      <rPr>
        <b/>
        <sz val="11"/>
        <rFont val="Calibri"/>
        <family val="2"/>
        <scheme val="minor"/>
      </rPr>
      <t>einschl.</t>
    </r>
    <r>
      <rPr>
        <sz val="11"/>
        <rFont val="Calibri"/>
        <family val="2"/>
        <scheme val="minor"/>
      </rPr>
      <t xml:space="preserve"> Zinsen</t>
    </r>
  </si>
  <si>
    <r>
      <t xml:space="preserve">Ausgleichsbetrag je Jahr im Vorkalkulationszeitraum </t>
    </r>
    <r>
      <rPr>
        <b/>
        <sz val="11"/>
        <rFont val="Calibri"/>
        <family val="2"/>
        <scheme val="minor"/>
      </rPr>
      <t>ohne</t>
    </r>
    <r>
      <rPr>
        <sz val="11"/>
        <rFont val="Calibri"/>
        <family val="2"/>
        <scheme val="minor"/>
      </rPr>
      <t xml:space="preserve"> Verzinsung (Zeile17 / Zeile 18) </t>
    </r>
  </si>
  <si>
    <r>
      <t>Verteilung auf Vorkalkula-tionszeitraum (</t>
    </r>
    <r>
      <rPr>
        <b/>
        <sz val="11"/>
        <rFont val="Calibri"/>
        <family val="2"/>
        <scheme val="minor"/>
      </rPr>
      <t>einschl.</t>
    </r>
    <r>
      <rPr>
        <sz val="11"/>
        <rFont val="Calibri"/>
        <family val="2"/>
        <scheme val="minor"/>
      </rPr>
      <t xml:space="preserve"> Verzinsung</t>
    </r>
    <r>
      <rPr>
        <b/>
        <sz val="11"/>
        <rFont val="Calibri"/>
        <family val="2"/>
        <scheme val="minor"/>
      </rPr>
      <t>)</t>
    </r>
    <r>
      <rPr>
        <sz val="11"/>
        <rFont val="Calibri"/>
        <family val="2"/>
        <scheme val="minor"/>
      </rPr>
      <t xml:space="preserve"> </t>
    </r>
  </si>
  <si>
    <r>
      <t xml:space="preserve">Über-/Unterdeckung(-)  </t>
    </r>
    <r>
      <rPr>
        <b/>
        <sz val="11"/>
        <rFont val="Calibri"/>
        <family val="2"/>
        <scheme val="minor"/>
      </rPr>
      <t>SW</t>
    </r>
    <r>
      <rPr>
        <sz val="11"/>
        <rFont val="Calibri"/>
        <family val="2"/>
        <scheme val="minor"/>
      </rPr>
      <t xml:space="preserve">
-ohne Verzinsung-</t>
    </r>
  </si>
  <si>
    <r>
      <t xml:space="preserve">Gesplittete Abwassergeb.
</t>
    </r>
    <r>
      <rPr>
        <b/>
        <sz val="11"/>
        <rFont val="Calibri"/>
        <family val="2"/>
        <scheme val="minor"/>
      </rPr>
      <t>-SW- einschl. Verzinsung</t>
    </r>
  </si>
  <si>
    <r>
      <t xml:space="preserve">Über-/Unterdeckung(-)  </t>
    </r>
    <r>
      <rPr>
        <b/>
        <sz val="11"/>
        <rFont val="Calibri"/>
        <family val="2"/>
        <scheme val="minor"/>
      </rPr>
      <t>RW</t>
    </r>
    <r>
      <rPr>
        <sz val="11"/>
        <rFont val="Calibri"/>
        <family val="2"/>
        <scheme val="minor"/>
      </rPr>
      <t xml:space="preserve">
-ohne Verzinsung-</t>
    </r>
  </si>
  <si>
    <r>
      <t xml:space="preserve">Gesplittete Abwassergeb.
</t>
    </r>
    <r>
      <rPr>
        <b/>
        <sz val="11"/>
        <rFont val="Calibri"/>
        <family val="2"/>
        <scheme val="minor"/>
      </rPr>
      <t>-RW- einschl. Verzinsung</t>
    </r>
  </si>
  <si>
    <r>
      <t xml:space="preserve">Geb.modif.Frischwassermaßst.
</t>
    </r>
    <r>
      <rPr>
        <b/>
        <sz val="11"/>
        <rFont val="Calibri"/>
        <family val="2"/>
        <scheme val="minor"/>
      </rPr>
      <t>-SW+RW- einschl. Verzinsung</t>
    </r>
  </si>
  <si>
    <r>
      <t>Schmutzwasser - gesplittete Gebühr</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</si>
  <si>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Regenwasser - gesplittette Gebühr</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</si>
  <si>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Schmutzwasser und Regenwasser - mod.Frischw</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</si>
  <si>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Schmutzwasser - gesplittete Gebühr</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</si>
  <si>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r>
      <t>Regenwasser - gesplittette Gebühr</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</si>
  <si>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r>
      <t>Schmutzwasser und Regenwasser - mod. Frischw</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</si>
  <si>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t>Einleitungsmengen bei modifizierten Frischwassermaßstab für Vorkalkulationszeitraum</t>
  </si>
  <si>
    <r>
      <t xml:space="preserve">Zinssätze für die Verzinsung der </t>
    </r>
    <r>
      <rPr>
        <b/>
        <sz val="11"/>
        <rFont val="Calibri"/>
        <family val="2"/>
        <scheme val="minor"/>
      </rPr>
      <t>Über-/Unterdeckungen</t>
    </r>
  </si>
  <si>
    <r>
      <t xml:space="preserve">Berechnungszeitraum für Nachkalkulation </t>
    </r>
    <r>
      <rPr>
        <sz val="11"/>
        <rFont val="Calibri"/>
        <family val="2"/>
        <scheme val="minor"/>
      </rPr>
      <t>(einschl. Nach-Nach-Kalkulationsjahr)</t>
    </r>
  </si>
  <si>
    <t>Einleitungsmengen bzw. befestigte Flächen bei gesplitteten Gebühren für Vorkalkulationszeitraum</t>
  </si>
  <si>
    <r>
      <rPr>
        <b/>
        <sz val="14"/>
        <rFont val="Calibri"/>
        <family val="2"/>
        <scheme val="minor"/>
      </rPr>
      <t>Eingabe (Übernahme) der Überdeckungen bzw. Unterdeckungen(-) aus der vorherigen Kalkulation</t>
    </r>
    <r>
      <rPr>
        <b/>
        <sz val="13"/>
        <rFont val="Calibri"/>
        <family val="2"/>
        <scheme val="minor"/>
      </rPr>
      <t xml:space="preserve">
</t>
    </r>
    <r>
      <rPr>
        <sz val="10"/>
        <rFont val="Calibri"/>
        <family val="2"/>
        <scheme val="minor"/>
      </rPr>
      <t xml:space="preserve">(Einträge nur in orange Felder vornehmen - Unterdeckungen mit Minuszeichen vortragen - keine Einträge in blaue Felder - Beträge in blauen Feldern werden automatisch berechnet) </t>
    </r>
  </si>
  <si>
    <r>
      <rPr>
        <b/>
        <sz val="14"/>
        <rFont val="Calibri"/>
        <family val="2"/>
        <scheme val="minor"/>
      </rPr>
      <t>Bereits erfolgte Rücklagenzuführungen aus den Abschreibungen von zuwendungsfin. Anlagevermögen bzw. von Wiederbeschaffungszeitwerten in €</t>
    </r>
    <r>
      <rPr>
        <b/>
        <sz val="11"/>
        <rFont val="Calibri"/>
        <family val="2"/>
        <scheme val="minor"/>
      </rPr>
      <t xml:space="preserve">
</t>
    </r>
    <r>
      <rPr>
        <sz val="11"/>
        <rFont val="Calibri"/>
        <family val="2"/>
        <scheme val="minor"/>
      </rPr>
      <t>(Angaben nur erforderlich, wenn von den Wiederbeschaffungswerten bzw. von den Zuwendungen abgeschrieben wird)</t>
    </r>
  </si>
  <si>
    <r>
      <t>Abschreibung Zuwendungen</t>
    </r>
    <r>
      <rPr>
        <sz val="10"/>
        <rFont val="Calibri"/>
        <family val="2"/>
        <scheme val="minor"/>
      </rPr>
      <t xml:space="preserve"> 
(</t>
    </r>
    <r>
      <rPr>
        <b/>
        <sz val="11"/>
        <rFont val="Calibri"/>
        <family val="2"/>
        <scheme val="minor"/>
      </rPr>
      <t>2</t>
    </r>
    <r>
      <rPr>
        <sz val="10"/>
        <rFont val="Calibri"/>
        <family val="2"/>
        <scheme val="minor"/>
      </rPr>
      <t>=Abschreibung auf Zuwend.; sonst keine Abschr.auf Zuwendungen)</t>
    </r>
  </si>
  <si>
    <r>
      <t xml:space="preserve">Schmutzwasser </t>
    </r>
    <r>
      <rPr>
        <sz val="11"/>
        <rFont val="Calibri"/>
        <family val="2"/>
        <scheme val="minor"/>
      </rPr>
      <t xml:space="preserve"> 
Eingabe der Überdeckung/Unterdeckung(-) im</t>
    </r>
    <r>
      <rPr>
        <b/>
        <sz val="11"/>
        <rFont val="Calibri"/>
        <family val="2"/>
        <scheme val="minor"/>
      </rPr>
      <t xml:space="preserve"> letzten Jahr der vorherigen Nachkalkulation</t>
    </r>
    <r>
      <rPr>
        <sz val="11"/>
        <rFont val="Calibri"/>
        <family val="2"/>
        <scheme val="minor"/>
      </rPr>
      <t xml:space="preserve"> (ohne Verzinsung)</t>
    </r>
  </si>
  <si>
    <r>
      <t xml:space="preserve">Schmutzwasser </t>
    </r>
    <r>
      <rPr>
        <sz val="11"/>
        <rFont val="Calibri"/>
        <family val="2"/>
        <scheme val="minor"/>
      </rPr>
      <t xml:space="preserve">
Eingabe der bei der</t>
    </r>
    <r>
      <rPr>
        <b/>
        <sz val="11"/>
        <rFont val="Calibri"/>
        <family val="2"/>
        <scheme val="minor"/>
      </rPr>
      <t xml:space="preserve"> vorherigen Vor</t>
    </r>
    <r>
      <rPr>
        <sz val="11"/>
        <rFont val="Calibri"/>
        <family val="2"/>
        <scheme val="minor"/>
      </rPr>
      <t>kalkulation angesetzten Überdeckungen/Unterdeckungen(-) (einschl. Verzinsung)</t>
    </r>
  </si>
  <si>
    <r>
      <t xml:space="preserve">Regenwasser </t>
    </r>
    <r>
      <rPr>
        <sz val="11"/>
        <rFont val="Calibri"/>
        <family val="2"/>
        <scheme val="minor"/>
      </rPr>
      <t xml:space="preserve"> 
Eingabe der Überdeckung/Unterdeckung(-) im</t>
    </r>
    <r>
      <rPr>
        <b/>
        <sz val="11"/>
        <rFont val="Calibri"/>
        <family val="2"/>
        <scheme val="minor"/>
      </rPr>
      <t xml:space="preserve"> letzten Jahr der vorherigen Nachkalkulation</t>
    </r>
    <r>
      <rPr>
        <sz val="11"/>
        <rFont val="Calibri"/>
        <family val="2"/>
        <scheme val="minor"/>
      </rPr>
      <t xml:space="preserve"> (ohne Verzinsung)</t>
    </r>
  </si>
  <si>
    <r>
      <t xml:space="preserve">Regenwasser </t>
    </r>
    <r>
      <rPr>
        <sz val="11"/>
        <rFont val="Calibri"/>
        <family val="2"/>
        <scheme val="minor"/>
      </rPr>
      <t xml:space="preserve">
Eingabe der angesetzten Überdeckungen/Unterdeckungen(-) bei der </t>
    </r>
    <r>
      <rPr>
        <b/>
        <sz val="11"/>
        <rFont val="Calibri"/>
        <family val="2"/>
        <scheme val="minor"/>
      </rPr>
      <t>vorherigen Vor</t>
    </r>
    <r>
      <rPr>
        <sz val="11"/>
        <rFont val="Calibri"/>
        <family val="2"/>
        <scheme val="minor"/>
      </rPr>
      <t>kalkulation (einschl. Verzinsung)</t>
    </r>
  </si>
  <si>
    <r>
      <t>Schmutzwasser und Regenwasser</t>
    </r>
    <r>
      <rPr>
        <sz val="11"/>
        <rFont val="Calibri"/>
        <family val="2"/>
        <scheme val="minor"/>
      </rPr>
      <t xml:space="preserve">
Eingabe der Überdeckung/Unterdeckung(-) im</t>
    </r>
    <r>
      <rPr>
        <b/>
        <sz val="11"/>
        <rFont val="Calibri"/>
        <family val="2"/>
        <scheme val="minor"/>
      </rPr>
      <t xml:space="preserve"> letzten Jahr der vorherigen Nach</t>
    </r>
    <r>
      <rPr>
        <sz val="11"/>
        <rFont val="Calibri"/>
        <family val="2"/>
        <scheme val="minor"/>
      </rPr>
      <t>kalkulation (ohne Verzinsung)</t>
    </r>
  </si>
  <si>
    <r>
      <t xml:space="preserve">Schmutzwasser und Regenwasser </t>
    </r>
    <r>
      <rPr>
        <sz val="11"/>
        <rFont val="Calibri"/>
        <family val="2"/>
        <scheme val="minor"/>
      </rPr>
      <t xml:space="preserve">
Eingabe der angesetzten Überdeckungen/Unterdeckungen(-) bei der </t>
    </r>
    <r>
      <rPr>
        <b/>
        <sz val="11"/>
        <rFont val="Calibri"/>
        <family val="2"/>
        <scheme val="minor"/>
      </rPr>
      <t>vorherigen Vor</t>
    </r>
    <r>
      <rPr>
        <sz val="11"/>
        <rFont val="Calibri"/>
        <family val="2"/>
        <scheme val="minor"/>
      </rPr>
      <t>kalkulation (einschl. Verzinsung)</t>
    </r>
  </si>
  <si>
    <t>Zinsen von AHK nach Restbuchwert-Methode</t>
  </si>
  <si>
    <t xml:space="preserve">Gesamtbeitragsaufkommen bis Ende des Jahres </t>
  </si>
  <si>
    <t xml:space="preserve">Umlegungsanteil auf Gebühren </t>
  </si>
  <si>
    <t xml:space="preserve">GesamtZuwendungsaufkommen bis Ende des Jahres </t>
  </si>
  <si>
    <t>Summe: Zinsen insgesamt aus Zuwendungenn (Restbuchwert + Halbwert)</t>
  </si>
  <si>
    <t>Zinsen RBW</t>
  </si>
  <si>
    <t>Zinsen nach Halbwertmethode</t>
  </si>
  <si>
    <t>Summe: Zinsen insgesamt aus Beiträgen (Restbuchwert + Halbwert)</t>
  </si>
  <si>
    <t>Zinsen nach der Halbwertmethode</t>
  </si>
  <si>
    <t>Sa: Zinsen insgesamt RBW + Halbwert</t>
  </si>
  <si>
    <t xml:space="preserve">Maßgebliche Anschaffungs-/Herstellungskosten zur Berechnung des gewichteten Abschreibungssatzes je Jahr </t>
  </si>
  <si>
    <t xml:space="preserve"> - Anteilige Kürzung, soweit im entsprechenden Jahr  nicht der volle Jahresbetrag abgeschrieben wird </t>
  </si>
  <si>
    <t>Anschaffungs-/Herstellungskosten, von denen im entsprechendem Jahr  noch abgeschrieben wird</t>
  </si>
  <si>
    <t>Durchschnittlicher Abschreibungssatz im Jahr</t>
  </si>
  <si>
    <t>Einleitungsmenge bzw. befestigte Flächen</t>
  </si>
  <si>
    <t xml:space="preserve">Ist der Regenwasseranteil größer als 12%, sind getrennte Abwassergebühren für Schmutzwasser- und Regenwasserbeseitigung festzusetzen -gesplittete Abwassergebühren- 
(vgl. BayVGH, Urteile vom 16.12.1998 Nr.23 N 94.3201, BayVBl. 1999 S.463 und vom 31.03.2003 Nr.23 B 02.1936, GK 182/2003, </t>
  </si>
  <si>
    <t xml:space="preserve">Ist der Regenwasseranteil größer als 12%, sind getrennte Abwassergebühren für Schmutzwasser- und Regenwasserbeseitigung festzusetzen -gesplittete Abwassergebühren- 
(vgl. BayVGH, Urteil vom 16.12.1998 Nr.23 N 94.3201, BayVBl. 1999 S.463 und Urteil vom 31.03.2003 Nr.23 B 02.1936, GK 182/2003, BayVBl. 2004 S.20). </t>
  </si>
  <si>
    <r>
      <t xml:space="preserve">Festlegung der Berechnungszeiträume </t>
    </r>
    <r>
      <rPr>
        <sz val="11"/>
        <rFont val="Calibri"/>
        <family val="2"/>
        <scheme val="minor"/>
      </rPr>
      <t>(Zeitraum stets mit 1.1.???? beginnen und mit 31.12.???? enden)</t>
    </r>
  </si>
  <si>
    <r>
      <t xml:space="preserve">Einleitungsmengen in cbm (Angabe nur für </t>
    </r>
    <r>
      <rPr>
        <b/>
        <sz val="11"/>
        <rFont val="Calibri"/>
        <family val="2"/>
        <scheme val="minor"/>
      </rPr>
      <t>gesplittete</t>
    </r>
    <r>
      <rPr>
        <sz val="11"/>
        <rFont val="Calibri"/>
        <family val="2"/>
        <scheme val="minor"/>
      </rPr>
      <t xml:space="preserve"> Abwassergebühren)</t>
    </r>
  </si>
  <si>
    <r>
      <t xml:space="preserve">Befestigte Flächen  in qm (Angabe nur für </t>
    </r>
    <r>
      <rPr>
        <b/>
        <sz val="11"/>
        <rFont val="Calibri"/>
        <family val="2"/>
        <scheme val="minor"/>
      </rPr>
      <t>gesplittete</t>
    </r>
    <r>
      <rPr>
        <sz val="11"/>
        <rFont val="Calibri"/>
        <family val="2"/>
        <scheme val="minor"/>
      </rPr>
      <t xml:space="preserve"> Abwassergebühren)</t>
    </r>
  </si>
  <si>
    <r>
      <t xml:space="preserve">Eingabe der vorgenommenen Rücklagenzuführung aus Ab-schreibungen vom zuwendungsfinanzierten Anlagevermögen lt. </t>
    </r>
    <r>
      <rPr>
        <b/>
        <sz val="11"/>
        <rFont val="Calibri"/>
        <family val="2"/>
        <scheme val="minor"/>
      </rPr>
      <t>vorheriger</t>
    </r>
    <r>
      <rPr>
        <sz val="11"/>
        <rFont val="Calibri"/>
        <family val="2"/>
        <scheme val="minor"/>
      </rPr>
      <t xml:space="preserve"> Nachkalkulation </t>
    </r>
  </si>
  <si>
    <t>Mittlere Abschreibungs- bzw. Auflösungs-sätze (gewichtet) u. angew. kalk. Zinssatz</t>
  </si>
  <si>
    <t>Herstellungskosten mit Zuordnungsschlüssel</t>
  </si>
  <si>
    <t>Gesamtabschreibungen</t>
  </si>
  <si>
    <t>Abschreibungen mit Zuordnungsschlüssel</t>
  </si>
  <si>
    <t>Differenz</t>
  </si>
  <si>
    <t>Gesamtzinsen Restbuchwertmethode + Halbwertmethode</t>
  </si>
  <si>
    <t>Zinsen mit Zuordnungsschlüssel</t>
  </si>
  <si>
    <t>Mittlerer (gewichteter) Abschreibungssatz für alle Anlagegüter</t>
  </si>
  <si>
    <t>Kontrolle Zuordnung</t>
  </si>
  <si>
    <t>Beitragsaufkommen mit Zuordnungsschlüssel</t>
  </si>
  <si>
    <t>Gesamtauflösungen</t>
  </si>
  <si>
    <t>Auflösungen mit Zuordnungsschlüssel</t>
  </si>
  <si>
    <t>Mittlerer (gewichteter) Auflösungssatz</t>
  </si>
  <si>
    <t>Auflösung Zuwendungen</t>
  </si>
  <si>
    <t>Zuwendungen (Summe Schl: zus, zum, zur und zuk)</t>
  </si>
  <si>
    <t>Zuwendungen (Summe Schl: zuz)</t>
  </si>
  <si>
    <t>Summe: Zinsen aus Zuwendungen (Restbuchwert + Halbwert)</t>
  </si>
  <si>
    <t>Zuwendungsaufkommen mit Zuordnungsschlüssel</t>
  </si>
  <si>
    <t>Kontrolle Zuordnung Zuwendungen</t>
  </si>
  <si>
    <t>Kontrolle Zuordnung Beiträge</t>
  </si>
  <si>
    <t>Kontrolle Zuordnung Anlagevermögen</t>
  </si>
  <si>
    <t>Zinsen insgesamt</t>
  </si>
  <si>
    <t>Betrag in €</t>
  </si>
  <si>
    <t>Nr</t>
  </si>
  <si>
    <t>Abschreibungen Anlagegüter insgesamt</t>
  </si>
  <si>
    <t>Abschreibungen Anlagegüter mit Zuordnungsschlüssel</t>
  </si>
  <si>
    <t>Herstellungskosten Anlagegüter insgesamt</t>
  </si>
  <si>
    <t>Beitragsaufkommen insgesamt</t>
  </si>
  <si>
    <t>Zuwendungen insgesamt</t>
  </si>
  <si>
    <t>Zuwendungen mit Zuordnungsschlüssel</t>
  </si>
  <si>
    <t>Auflösungen Beiträge insgesamt</t>
  </si>
  <si>
    <t>Auflösung Beiträge mit Zuordnungsschlüssel</t>
  </si>
  <si>
    <t>Zinsen Beiträge insgesamt</t>
  </si>
  <si>
    <t>Zinsen Beiträge mit Zuordnungsschlüssel</t>
  </si>
  <si>
    <t>Zinsen Zuwendungen insgesamt</t>
  </si>
  <si>
    <t>Zinsen Zuwendungen mit Zuordnungsschlüssel</t>
  </si>
  <si>
    <t>Auflösungen Zuwendungen insgesamt</t>
  </si>
  <si>
    <t>Auflösung Zuwendungen mit Zuordnungsschlüssel</t>
  </si>
  <si>
    <r>
      <t xml:space="preserve">Kontrolle, ob sämtlichen Anlagegütern, Beiträgen und Zuwendungen Zuordnungsschlüssel zugewiesen wurden </t>
    </r>
    <r>
      <rPr>
        <sz val="10"/>
        <rFont val="Arial"/>
        <family val="2"/>
      </rPr>
      <t>(Differenz muss stets 0 sein)</t>
    </r>
  </si>
  <si>
    <t>Gesamtherstellungskosten bis Ende des Jahres</t>
  </si>
  <si>
    <t>Verteil_sw</t>
  </si>
  <si>
    <t>Verteil_rwgr</t>
  </si>
  <si>
    <t>Verteil_rwst</t>
  </si>
  <si>
    <t>Nach- Nach-Kalkulationsjahr</t>
  </si>
  <si>
    <r>
      <t>Kalkulat.</t>
    </r>
    <r>
      <rPr>
        <b/>
        <i/>
        <sz val="11"/>
        <rFont val="Calibri"/>
        <family val="2"/>
        <scheme val="minor"/>
      </rPr>
      <t>Zinsen</t>
    </r>
    <r>
      <rPr>
        <b/>
        <sz val="11"/>
        <rFont val="Calibri"/>
        <family val="2"/>
        <scheme val="minor"/>
      </rPr>
      <t xml:space="preserve"> aus den </t>
    </r>
    <r>
      <rPr>
        <b/>
        <i/>
        <sz val="11"/>
        <rFont val="Calibri"/>
        <family val="2"/>
        <scheme val="minor"/>
      </rPr>
      <t>Restbuchwerten</t>
    </r>
  </si>
  <si>
    <r>
      <t xml:space="preserve">Kalkulat. </t>
    </r>
    <r>
      <rPr>
        <b/>
        <i/>
        <sz val="11"/>
        <rFont val="Calibri"/>
        <family val="2"/>
        <scheme val="minor"/>
      </rPr>
      <t>Zinsen</t>
    </r>
    <r>
      <rPr>
        <b/>
        <sz val="11"/>
        <rFont val="Calibri"/>
        <family val="2"/>
        <scheme val="minor"/>
      </rPr>
      <t xml:space="preserve"> nach </t>
    </r>
    <r>
      <rPr>
        <b/>
        <i/>
        <sz val="11"/>
        <rFont val="Calibri"/>
        <family val="2"/>
        <scheme val="minor"/>
      </rPr>
      <t>Halbwertmethode</t>
    </r>
  </si>
  <si>
    <t>Einleitungsmengen in</t>
  </si>
  <si>
    <r>
      <t xml:space="preserve">Gebühr/Jahr n. modifiziertem </t>
    </r>
    <r>
      <rPr>
        <b/>
        <sz val="11"/>
        <rFont val="Calibri"/>
        <family val="2"/>
        <scheme val="minor"/>
      </rPr>
      <t>Frischwasser-maßstab</t>
    </r>
    <r>
      <rPr>
        <sz val="11"/>
        <rFont val="Calibri"/>
        <family val="2"/>
        <scheme val="minor"/>
      </rPr>
      <t xml:space="preserve"> (einschl. Über-/Unterdeckung)</t>
    </r>
  </si>
  <si>
    <r>
      <t xml:space="preserve">Gebühr/Jahr n. modifiziertem </t>
    </r>
    <r>
      <rPr>
        <b/>
        <sz val="11"/>
        <rFont val="Calibri"/>
        <family val="2"/>
        <scheme val="minor"/>
      </rPr>
      <t>Frischwasser-maßstab</t>
    </r>
    <r>
      <rPr>
        <sz val="11"/>
        <rFont val="Calibri"/>
        <family val="2"/>
        <scheme val="minor"/>
      </rPr>
      <t xml:space="preserve"> (ohne. Über-/Unterdeckung)</t>
    </r>
  </si>
  <si>
    <t>Angabe in cbm bzw qm</t>
  </si>
  <si>
    <t>Gebührenfäh,kalkulator. Kosten (1.4 + 1.13)</t>
  </si>
  <si>
    <t>Gebührenf. Kosten Betrieb/Unterhalt (2.3)</t>
  </si>
  <si>
    <t>Über-/Unterdeckungen(-) aus der aktuellen Nachkalkulation (einschl. Verzinsung)</t>
  </si>
  <si>
    <t>Überd-/Unterdeckungen(-) aus der akt. Nachkalkulation (einschl. Verzinsung)</t>
  </si>
  <si>
    <r>
      <rPr>
        <b/>
        <sz val="12"/>
        <rFont val="Calibri"/>
        <family val="2"/>
        <scheme val="minor"/>
      </rPr>
      <t>Sa: Gebührenbedarf (SW bzw. RW)</t>
    </r>
    <r>
      <rPr>
        <b/>
        <sz val="11"/>
        <rFont val="Calibri"/>
        <family val="2"/>
        <scheme val="minor"/>
      </rPr>
      <t xml:space="preserve">
 </t>
    </r>
    <r>
      <rPr>
        <sz val="11"/>
        <rFont val="Calibri"/>
        <family val="2"/>
        <scheme val="minor"/>
      </rPr>
      <t>(einschl. Über-/Unterdeckungen)</t>
    </r>
  </si>
  <si>
    <r>
      <rPr>
        <b/>
        <sz val="11"/>
        <rFont val="Calibri"/>
        <family val="2"/>
        <scheme val="minor"/>
      </rPr>
      <t>Gesplittete</t>
    </r>
    <r>
      <rPr>
        <sz val="11"/>
        <rFont val="Calibri"/>
        <family val="2"/>
        <scheme val="minor"/>
      </rPr>
      <t xml:space="preserve"> Gebühren je Jahr 
(einschl. Über-/Unterdeckung)</t>
    </r>
  </si>
  <si>
    <r>
      <rPr>
        <b/>
        <sz val="11"/>
        <rFont val="Calibri"/>
        <family val="2"/>
        <scheme val="minor"/>
      </rPr>
      <t xml:space="preserve">Gesplittete </t>
    </r>
    <r>
      <rPr>
        <sz val="11"/>
        <rFont val="Calibri"/>
        <family val="2"/>
        <scheme val="minor"/>
      </rPr>
      <t>Gebühr je Jahr 
(ohne Über-/Unterdeckung)</t>
    </r>
  </si>
  <si>
    <t>Mittlere Abschreibungs- bzw. Auflösungs-sätze (gewichtet) u. akt. kalkulat. Zinssatz</t>
  </si>
  <si>
    <t>Rücklagenzuführungen aus den Abschrei-bung vom zuwendungs-finanzierten An-lagevermögen für die Jahre</t>
  </si>
  <si>
    <r>
      <rPr>
        <b/>
        <i/>
        <sz val="11"/>
        <rFont val="Calibri"/>
        <family val="2"/>
        <scheme val="minor"/>
      </rPr>
      <t>Voraussichtliche Rücklagenzuführungen</t>
    </r>
    <r>
      <rPr>
        <i/>
        <sz val="11"/>
        <rFont val="Calibri"/>
        <family val="2"/>
        <scheme val="minor"/>
      </rPr>
      <t xml:space="preserve"> aus Abschreibungen vom zuwenduns-finanzierten Anlagevermögen</t>
    </r>
  </si>
  <si>
    <r>
      <t xml:space="preserve">Ansatz der Über-/ Unterdeckungen(-) in der </t>
    </r>
    <r>
      <rPr>
        <b/>
        <i/>
        <sz val="11"/>
        <rFont val="Calibri"/>
        <family val="2"/>
        <scheme val="minor"/>
      </rPr>
      <t>vorherigen Vor</t>
    </r>
    <r>
      <rPr>
        <i/>
        <sz val="11"/>
        <rFont val="Calibri"/>
        <family val="2"/>
        <scheme val="minor"/>
      </rPr>
      <t>kalkulation</t>
    </r>
  </si>
  <si>
    <r>
      <rPr>
        <b/>
        <sz val="12"/>
        <rFont val="Calibri"/>
        <family val="2"/>
        <scheme val="minor"/>
      </rPr>
      <t xml:space="preserve">Sa: Gebührenbedarf (SW + RW) </t>
    </r>
    <r>
      <rPr>
        <b/>
        <sz val="11"/>
        <rFont val="Calibri"/>
        <family val="2"/>
        <scheme val="minor"/>
      </rPr>
      <t xml:space="preserve">
</t>
    </r>
    <r>
      <rPr>
        <sz val="11"/>
        <rFont val="Calibri"/>
        <family val="2"/>
        <scheme val="minor"/>
      </rPr>
      <t>(einschl. Über-/Unterdeckungen)</t>
    </r>
  </si>
  <si>
    <r>
      <t xml:space="preserve">Sa: Gebührenfähige Kosten 
</t>
    </r>
    <r>
      <rPr>
        <i/>
        <sz val="11"/>
        <rFont val="Calibri"/>
        <family val="2"/>
        <scheme val="minor"/>
      </rPr>
      <t>(3a.1 + 3a.2)</t>
    </r>
  </si>
  <si>
    <r>
      <t xml:space="preserve">Sa: Gebührenfähige Kosten </t>
    </r>
    <r>
      <rPr>
        <i/>
        <sz val="11"/>
        <rFont val="Calibri"/>
        <family val="2"/>
        <scheme val="minor"/>
      </rPr>
      <t>(3b.1 + 3b.2)</t>
    </r>
  </si>
  <si>
    <r>
      <t xml:space="preserve">Sa: Gebührenfähige kalkulat. Zinsen 
</t>
    </r>
    <r>
      <rPr>
        <i/>
        <sz val="11"/>
        <rFont val="Calibri"/>
        <family val="2"/>
        <scheme val="minor"/>
      </rPr>
      <t>(1.8+1.12)</t>
    </r>
  </si>
  <si>
    <t>Gebührenfähige kalkulat. Kosten 
(1.4+1.13)*-1</t>
  </si>
  <si>
    <t>Gebührenfähige Kosten für Betrieb und Unterhalt (2.3*-1)</t>
  </si>
  <si>
    <t>Gesamtgebühreneinnahmen 
(inkl. Grundgebühren)</t>
  </si>
  <si>
    <r>
      <t xml:space="preserve">Davon bereits bei der </t>
    </r>
    <r>
      <rPr>
        <b/>
        <i/>
        <sz val="11"/>
        <rFont val="Calibri"/>
        <family val="2"/>
        <scheme val="minor"/>
      </rPr>
      <t>vorherigen Vor-</t>
    </r>
    <r>
      <rPr>
        <i/>
        <sz val="11"/>
        <rFont val="Calibri"/>
        <family val="2"/>
        <scheme val="minor"/>
      </rPr>
      <t>kalkulation berücksichtigte Über-/Unterdeckung</t>
    </r>
  </si>
  <si>
    <t>Gesamtgebühreneinnahmen
(inkl. Grundgebühren)</t>
  </si>
  <si>
    <t>Überdeckungen bzw. Unterdeckungen(-) 
-ohne Vorjahre- (3b.3 + 3b.4)</t>
  </si>
  <si>
    <r>
      <t>Abwassergeb. mod.Frischwasserm.
Über-/Unterdeckungen(-)</t>
    </r>
    <r>
      <rPr>
        <sz val="12"/>
        <rFont val="Calibri"/>
        <family val="2"/>
        <scheme val="minor"/>
      </rPr>
      <t xml:space="preserve"> je Jahr 
(4b - 4b.1 + 4b.2)</t>
    </r>
  </si>
  <si>
    <r>
      <t>Gesplittete Abwassergebühren
Über-/Unterdeckungen(-)</t>
    </r>
    <r>
      <rPr>
        <sz val="12"/>
        <rFont val="Calibri"/>
        <family val="2"/>
        <scheme val="minor"/>
      </rPr>
      <t xml:space="preserve"> </t>
    </r>
    <r>
      <rPr>
        <sz val="11"/>
        <rFont val="Calibri"/>
        <family val="2"/>
        <scheme val="minor"/>
      </rPr>
      <t>je Jahr</t>
    </r>
    <r>
      <rPr>
        <sz val="12"/>
        <rFont val="Calibri"/>
        <family val="2"/>
        <scheme val="minor"/>
      </rPr>
      <t xml:space="preserve">
(4a - 4a.1 + 4a.2)</t>
    </r>
  </si>
  <si>
    <r>
      <rPr>
        <b/>
        <i/>
        <sz val="12"/>
        <rFont val="Calibri"/>
        <family val="2"/>
        <scheme val="minor"/>
      </rPr>
      <t xml:space="preserve">Sa: Gebührenfähige Kosten </t>
    </r>
    <r>
      <rPr>
        <i/>
        <sz val="12"/>
        <rFont val="Calibri"/>
        <family val="2"/>
        <scheme val="minor"/>
      </rPr>
      <t xml:space="preserve">
</t>
    </r>
    <r>
      <rPr>
        <i/>
        <sz val="11"/>
        <rFont val="Calibri"/>
        <family val="2"/>
        <scheme val="minor"/>
      </rPr>
      <t>(3b.1 + 3b.2)</t>
    </r>
  </si>
  <si>
    <t>Die unter Nr. 5a bzw. 5b ermittelten Überdeckungen bzw. Unterdeckungen(-) werden in das Blatt "Verzinsung" übernommen und mit den im Blatt "Grunddaten" festgelegten Zinssätzen (siehe dort Nr.3.3) verzinst und dann  in die aktuelle Vorkalkulation eingestellt (siehe Blatt "Vorkalkulation"  Nr. 4a bzw. 4b).</t>
  </si>
  <si>
    <r>
      <rPr>
        <b/>
        <i/>
        <sz val="11"/>
        <rFont val="Calibri"/>
        <family val="2"/>
        <scheme val="minor"/>
      </rPr>
      <t>Endgültige Rücklagenzuführungen</t>
    </r>
    <r>
      <rPr>
        <i/>
        <sz val="11"/>
        <rFont val="Calibri"/>
        <family val="2"/>
        <scheme val="minor"/>
      </rPr>
      <t xml:space="preserve"> aus Abschreibungen vom zuwenduns-finanzierten Anlagevermögen</t>
    </r>
  </si>
  <si>
    <t>Abschreibungen vom zuwendungsfina-nanzierten Anlagevermögen insgesamt</t>
  </si>
  <si>
    <t>Rücklagenzuführungen aus Abschreibun-gen vom zuwendungsfinanzierten Anlagevermögen je Jahr</t>
  </si>
  <si>
    <r>
      <rPr>
        <b/>
        <sz val="14"/>
        <rFont val="Calibri"/>
        <family val="2"/>
        <scheme val="minor"/>
      </rPr>
      <t>Festlegung der Zuordnungsschlüssel und der Kostenaufteilungsschlüssel</t>
    </r>
    <r>
      <rPr>
        <b/>
        <sz val="12"/>
        <rFont val="Calibri"/>
        <family val="2"/>
        <scheme val="minor"/>
      </rPr>
      <t xml:space="preserve">
</t>
    </r>
    <r>
      <rPr>
        <sz val="9"/>
        <rFont val="Calibri"/>
        <family val="2"/>
        <scheme val="minor"/>
      </rPr>
      <t xml:space="preserve">Die in den grauen Zellen stehenden Kostenaufteilungsschlüssel werden </t>
    </r>
    <r>
      <rPr>
        <b/>
        <sz val="9"/>
        <rFont val="Calibri"/>
        <family val="2"/>
        <scheme val="minor"/>
      </rPr>
      <t>je Jahr berechnet.</t>
    </r>
  </si>
  <si>
    <r>
      <t>Kosten-
zuordnungs-
schlüssel</t>
    </r>
    <r>
      <rPr>
        <sz val="10"/>
        <rFont val="Calibri"/>
        <family val="2"/>
        <scheme val="minor"/>
      </rPr>
      <t xml:space="preserve">
</t>
    </r>
    <r>
      <rPr>
        <sz val="9"/>
        <rFont val="Calibri"/>
        <family val="2"/>
        <scheme val="minor"/>
      </rPr>
      <t>(keine Änderungen vornehmen)</t>
    </r>
  </si>
  <si>
    <t xml:space="preserve">Jahr </t>
  </si>
  <si>
    <r>
      <rPr>
        <b/>
        <sz val="14"/>
        <rFont val="Calibri"/>
        <family val="2"/>
        <scheme val="minor"/>
      </rPr>
      <t xml:space="preserve">Gebührenaufkommen </t>
    </r>
    <r>
      <rPr>
        <b/>
        <sz val="11"/>
        <rFont val="Calibri"/>
        <family val="2"/>
        <scheme val="minor"/>
      </rPr>
      <t xml:space="preserve">
</t>
    </r>
    <r>
      <rPr>
        <sz val="11"/>
        <rFont val="Calibri"/>
        <family val="2"/>
        <scheme val="minor"/>
      </rPr>
      <t>(Grundgebühren für Vorkalkulationszeitraum und Gesamtgebühreneinnahmen für Nachkalkulationszeitraum)</t>
    </r>
  </si>
  <si>
    <t>5.1</t>
  </si>
  <si>
    <t>5.3</t>
  </si>
  <si>
    <t>5.4</t>
  </si>
  <si>
    <t>5.5</t>
  </si>
  <si>
    <t>5.6</t>
  </si>
  <si>
    <t>5.7</t>
  </si>
  <si>
    <t>5.8</t>
  </si>
  <si>
    <t>5.9</t>
  </si>
  <si>
    <t>5.10</t>
  </si>
  <si>
    <r>
      <t xml:space="preserve">Sa: </t>
    </r>
    <r>
      <rPr>
        <b/>
        <sz val="12"/>
        <color theme="1"/>
        <rFont val="Calibri"/>
        <family val="2"/>
        <scheme val="minor"/>
      </rPr>
      <t>Grundgebühren</t>
    </r>
    <r>
      <rPr>
        <sz val="11"/>
        <color theme="1"/>
        <rFont val="Calibri"/>
        <family val="2"/>
        <scheme val="minor"/>
      </rPr>
      <t xml:space="preserve"> bei </t>
    </r>
    <r>
      <rPr>
        <b/>
        <sz val="11"/>
        <color theme="1"/>
        <rFont val="Calibri"/>
        <family val="2"/>
        <scheme val="minor"/>
      </rPr>
      <t>gesplitteten</t>
    </r>
    <r>
      <rPr>
        <sz val="11"/>
        <color theme="1"/>
        <rFont val="Calibri"/>
        <family val="2"/>
        <scheme val="minor"/>
      </rPr>
      <t xml:space="preserve"> Abwassergebühren</t>
    </r>
  </si>
  <si>
    <r>
      <t xml:space="preserve">Sa: </t>
    </r>
    <r>
      <rPr>
        <b/>
        <sz val="12"/>
        <color theme="1"/>
        <rFont val="Calibri"/>
        <family val="2"/>
        <scheme val="minor"/>
      </rPr>
      <t>Grundgebühren</t>
    </r>
    <r>
      <rPr>
        <sz val="11"/>
        <color theme="1"/>
        <rFont val="Calibri"/>
        <family val="2"/>
        <scheme val="minor"/>
      </rPr>
      <t xml:space="preserve"> bei </t>
    </r>
    <r>
      <rPr>
        <b/>
        <sz val="11"/>
        <color theme="1"/>
        <rFont val="Calibri"/>
        <family val="2"/>
        <scheme val="minor"/>
      </rPr>
      <t>modif. Frischwassermaßstab</t>
    </r>
  </si>
  <si>
    <r>
      <t xml:space="preserve">Über-/Unterdeckung(-) </t>
    </r>
    <r>
      <rPr>
        <b/>
        <sz val="11"/>
        <rFont val="Calibri"/>
        <family val="2"/>
        <scheme val="minor"/>
      </rPr>
      <t>SW+RW</t>
    </r>
    <r>
      <rPr>
        <sz val="11"/>
        <rFont val="Calibri"/>
        <family val="2"/>
        <scheme val="minor"/>
      </rPr>
      <t xml:space="preserve">
-ohne Verzinsung- </t>
    </r>
  </si>
  <si>
    <t>6a</t>
  </si>
  <si>
    <t>6a.3</t>
  </si>
  <si>
    <t>6a.4</t>
  </si>
  <si>
    <t>6a.5</t>
  </si>
  <si>
    <t>6a.6</t>
  </si>
  <si>
    <t>6a.7</t>
  </si>
  <si>
    <t>6a.8</t>
  </si>
  <si>
    <t>6a.9</t>
  </si>
  <si>
    <t>6a.10</t>
  </si>
  <si>
    <t>6b</t>
  </si>
  <si>
    <t>6b.4</t>
  </si>
  <si>
    <t>6b.5</t>
  </si>
  <si>
    <t>6b.6</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</si>
  <si>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</si>
  <si>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</si>
  <si>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</si>
  <si>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</si>
  <si>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</si>
  <si>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</si>
  <si>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</si>
  <si>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</si>
  <si>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</si>
  <si>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</si>
  <si>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</si>
  <si>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</si>
  <si>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</si>
  <si>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</si>
  <si>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</si>
  <si>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</si>
  <si>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</si>
  <si>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</si>
  <si>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</si>
  <si>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</si>
  <si>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</si>
  <si>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</si>
  <si>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</si>
  <si>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</si>
  <si>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</si>
  <si>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</si>
  <si>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</si>
  <si>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</si>
  <si>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</si>
  <si>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</si>
  <si>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</si>
  <si>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</si>
  <si>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</si>
  <si>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</si>
  <si>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</si>
  <si>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</si>
  <si>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</si>
  <si>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</si>
  <si>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</si>
  <si>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</si>
  <si>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</si>
  <si>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</si>
  <si>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</si>
  <si>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</si>
  <si>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</si>
  <si>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</si>
  <si>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</si>
  <si>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</si>
  <si>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</si>
  <si>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</si>
  <si>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</si>
  <si>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</si>
  <si>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</si>
  <si>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</si>
  <si>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</si>
  <si>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</si>
  <si>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</si>
  <si>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</si>
  <si>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</si>
  <si>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</si>
  <si>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</si>
  <si>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</si>
  <si>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</si>
  <si>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</si>
  <si>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 xml:space="preserve"> - hiervon Regenwasser</t>
  </si>
  <si>
    <r>
      <t xml:space="preserve">Sa: </t>
    </r>
    <r>
      <rPr>
        <b/>
        <sz val="12"/>
        <color theme="1"/>
        <rFont val="Calibri"/>
        <family val="2"/>
        <scheme val="minor"/>
      </rPr>
      <t>Gesamtgebühreneinnahmen</t>
    </r>
    <r>
      <rPr>
        <sz val="11"/>
        <color theme="1"/>
        <rFont val="Calibri"/>
        <family val="2"/>
        <scheme val="minor"/>
      </rPr>
      <t xml:space="preserve"> 
</t>
    </r>
    <r>
      <rPr>
        <b/>
        <sz val="11"/>
        <color theme="1"/>
        <rFont val="Calibri"/>
        <family val="2"/>
        <scheme val="minor"/>
      </rPr>
      <t>gesplitteten</t>
    </r>
    <r>
      <rPr>
        <sz val="11"/>
        <color theme="1"/>
        <rFont val="Calibri"/>
        <family val="2"/>
        <scheme val="minor"/>
      </rPr>
      <t xml:space="preserve"> Abwassergebühren (einschl. Grundgebühren)</t>
    </r>
  </si>
  <si>
    <r>
      <t xml:space="preserve">Sa: </t>
    </r>
    <r>
      <rPr>
        <b/>
        <sz val="12"/>
        <color theme="1"/>
        <rFont val="Calibri"/>
        <family val="2"/>
        <scheme val="minor"/>
      </rPr>
      <t>Gesamtgebühreneinnahmen</t>
    </r>
    <r>
      <rPr>
        <sz val="11"/>
        <color theme="1"/>
        <rFont val="Calibri"/>
        <family val="2"/>
        <scheme val="minor"/>
      </rPr>
      <t xml:space="preserve"> 
</t>
    </r>
    <r>
      <rPr>
        <b/>
        <sz val="11"/>
        <color theme="1"/>
        <rFont val="Calibri"/>
        <family val="2"/>
        <scheme val="minor"/>
      </rPr>
      <t>modif. Frischwassermaßstab</t>
    </r>
    <r>
      <rPr>
        <sz val="11"/>
        <color theme="1"/>
        <rFont val="Calibri"/>
        <family val="2"/>
        <scheme val="minor"/>
      </rPr>
      <t xml:space="preserve"> (einschl. Grundgebühren)</t>
    </r>
  </si>
  <si>
    <r>
      <t xml:space="preserve">Nachweis der Beiträge </t>
    </r>
    <r>
      <rPr>
        <sz val="10"/>
        <rFont val="Calibri"/>
        <family val="2"/>
        <scheme val="minor"/>
      </rPr>
      <t>-</t>
    </r>
    <r>
      <rPr>
        <sz val="12"/>
        <rFont val="Calibri"/>
        <family val="2"/>
        <scheme val="minor"/>
      </rPr>
      <t xml:space="preserve">zur Ermittlung der Auflösungsbeträge -linear- und der kalk. Zinsen- </t>
    </r>
    <r>
      <rPr>
        <sz val="10"/>
        <rFont val="Calibri"/>
        <family val="2"/>
        <scheme val="minor"/>
      </rPr>
      <t xml:space="preserve">
(Einträge nur in orange Felder vornehmen. Pflchtfelder = Spalten D, E und F sowie Spalte G bzw. H. )</t>
    </r>
  </si>
  <si>
    <r>
      <t xml:space="preserve">Nachweis der Zuwendungen </t>
    </r>
    <r>
      <rPr>
        <sz val="12"/>
        <rFont val="Calibri"/>
        <family val="2"/>
        <scheme val="minor"/>
      </rPr>
      <t xml:space="preserve">-zur Ermittlung der Auflösungsbeträge -linear- und der kalk. Zinsen- </t>
    </r>
    <r>
      <rPr>
        <b/>
        <sz val="14"/>
        <rFont val="Calibri"/>
        <family val="2"/>
        <scheme val="minor"/>
      </rPr>
      <t xml:space="preserve">
</t>
    </r>
    <r>
      <rPr>
        <sz val="10"/>
        <rFont val="Calibri"/>
        <family val="2"/>
        <scheme val="minor"/>
      </rPr>
      <t>(Einträge nur in orange Felder vornehmen. Pflchtfelder = Spalten D, E und F sowie Spalte G bzw. H. )</t>
    </r>
  </si>
  <si>
    <r>
      <rPr>
        <b/>
        <sz val="14"/>
        <rFont val="Calibri"/>
        <family val="2"/>
        <scheme val="minor"/>
      </rPr>
      <t>Einnahmen/Erträge</t>
    </r>
    <r>
      <rPr>
        <b/>
        <sz val="11"/>
        <rFont val="Calibri"/>
        <family val="2"/>
        <scheme val="minor"/>
      </rPr>
      <t xml:space="preserve"> </t>
    </r>
    <r>
      <rPr>
        <sz val="11"/>
        <rFont val="Calibri"/>
        <family val="2"/>
        <scheme val="minor"/>
      </rPr>
      <t>(ohne Gebührenaufkommen/Gebührenerlöse)</t>
    </r>
  </si>
  <si>
    <t>Schmutzwasser
Die hier ausgewiesene Überdeckung/Unterdeckung(-) ist in der nächsten Folgekalkulation unter Nr.6a.2 vorzutragen</t>
  </si>
  <si>
    <t>Schmutzwasser 
Angesetzte Überdeckungen/Unterdeckungen(-) für die aktuelle Vorkalkulation (einschl.Zinsen). 
Diese Beträge sind in der nächsten Folgekalulation unter Nr.6a.3 vorzutragen</t>
  </si>
  <si>
    <t>Regenwasser
Die hier ausgewiesene Überdeckung/Unterdeckung(-) ist in der nächsten Folgekalkulation unter Nr.6a.6 vorzutragen</t>
  </si>
  <si>
    <t>Regenwasser 
Angesetzte Überdeckungen/Unterdeckungen(-) für die aktuelle Vorkalkulation (einschl.Zinsen). 
Diese Beträge sind in der nächsten Folgekalulation unter Nr.6a.7 vorzutragen</t>
  </si>
  <si>
    <t>Schmutzwasser und Regenwasser
Die hier ausgewiesene Überdeckung/Unterdeckung(-) ist in der nächsten Folgekalkulation unter Nr.6b.2 vorzutragen</t>
  </si>
  <si>
    <t>Schmutzwasser und Regenwasser 
Angesetzte Überdeckungen/Unterdeckungen(-) für die aktuelle Vorkalkulation (einschl.Zinsen). 
Diese Beträge sind in der nächsten Folgekalulation unter Nr.6b.3 vorzutragen</t>
  </si>
  <si>
    <t>Kurzung um Auflösungen aus Zuwend.</t>
  </si>
  <si>
    <t xml:space="preserve">Vorkalkulation der Abwassergebühren </t>
  </si>
  <si>
    <t xml:space="preserve">Nachkalkulation der Abwassergebühren </t>
  </si>
  <si>
    <t>Werden vom Blatt "Grundgebühren" übernommen</t>
  </si>
  <si>
    <t>Summe der Zinsen Halbwert insgesamt</t>
  </si>
  <si>
    <t>Summe der Zinsen Restbuchwert insgesamt</t>
  </si>
  <si>
    <t>Summe der Zinsen aus Zuwendungen -Halbwert- insgesamt</t>
  </si>
  <si>
    <t>Summe der Zinsen aus Zuwendungen -Restbuchwert- insgesamt</t>
  </si>
  <si>
    <t>Eingegangene Zuwendungen 
in € 
bis zum</t>
  </si>
  <si>
    <t>Eingegangene Beiträge 
in € 
bis zum</t>
  </si>
  <si>
    <t>Abschreibungen aus Anschaff./Herstellungskosten</t>
  </si>
  <si>
    <t>Zinsen aus den Restbuchwerten</t>
  </si>
  <si>
    <t>Mittleren (gewichteten) Abschreibungssatz</t>
  </si>
  <si>
    <t>Auflösungen aus Beiträgen</t>
  </si>
  <si>
    <t>Aufteilung auf Schmutzwasser- (SW) u. Regenwasser- (RW)</t>
  </si>
  <si>
    <t>Zinsen nach Restbuchwertmethode</t>
  </si>
  <si>
    <r>
      <t xml:space="preserve">Zinssätze für die </t>
    </r>
    <r>
      <rPr>
        <b/>
        <sz val="11"/>
        <rFont val="Calibri"/>
        <family val="2"/>
        <scheme val="minor"/>
      </rPr>
      <t>Nachkalkulation</t>
    </r>
    <r>
      <rPr>
        <sz val="11"/>
        <rFont val="Calibri"/>
        <family val="2"/>
        <scheme val="minor"/>
      </rPr>
      <t xml:space="preserve"> und </t>
    </r>
    <r>
      <rPr>
        <b/>
        <sz val="11"/>
        <rFont val="Calibri"/>
        <family val="2"/>
        <scheme val="minor"/>
      </rPr>
      <t>Vorkalkulation</t>
    </r>
  </si>
  <si>
    <t>Berechnung der Grundgebühren</t>
  </si>
  <si>
    <r>
      <rPr>
        <sz val="11"/>
        <rFont val="Calibri"/>
        <family val="2"/>
        <scheme val="minor"/>
      </rPr>
      <t xml:space="preserve">Vortrag der Über-/Unterdeckungen -Nachkalkulation-  </t>
    </r>
    <r>
      <rPr>
        <b/>
        <sz val="11"/>
        <rFont val="Calibri"/>
        <family val="2"/>
        <scheme val="minor"/>
      </rPr>
      <t xml:space="preserve">
Gesplittete Abwassergebühren</t>
    </r>
  </si>
  <si>
    <r>
      <rPr>
        <sz val="11"/>
        <rFont val="Calibri"/>
        <family val="2"/>
        <scheme val="minor"/>
      </rPr>
      <t xml:space="preserve">Vortrag der Über-/Unterdeckungen -Nachkalkulation-  </t>
    </r>
    <r>
      <rPr>
        <b/>
        <sz val="11"/>
        <rFont val="Calibri"/>
        <family val="2"/>
        <scheme val="minor"/>
      </rPr>
      <t xml:space="preserve">
Modifiz. Frischwassermaßstab</t>
    </r>
  </si>
  <si>
    <r>
      <rPr>
        <sz val="11"/>
        <rFont val="Calibri"/>
        <family val="2"/>
        <scheme val="minor"/>
      </rPr>
      <t>Vortrag der verzinsten Beträge der Über-/Unterdeckungen aus der Nachkalkulation auf Vorkalkulation</t>
    </r>
    <r>
      <rPr>
        <b/>
        <sz val="11"/>
        <rFont val="Calibri"/>
        <family val="2"/>
        <scheme val="minor"/>
      </rPr>
      <t xml:space="preserve">  -Gesplittete Abwassergebühren-</t>
    </r>
  </si>
  <si>
    <r>
      <rPr>
        <sz val="11"/>
        <rFont val="Calibri"/>
        <family val="2"/>
        <scheme val="minor"/>
      </rPr>
      <t xml:space="preserve">Vortrag der verzinsten Beträge der Über-/Unterdeckungen aus der Nachkalkulation auf Vorkalkulation </t>
    </r>
    <r>
      <rPr>
        <b/>
        <sz val="11"/>
        <rFont val="Calibri"/>
        <family val="2"/>
        <scheme val="minor"/>
      </rPr>
      <t xml:space="preserve">  -Modifiz. Frischwassermaßstab-</t>
    </r>
  </si>
  <si>
    <t>Grundgebühren - Schmutzwasser</t>
  </si>
  <si>
    <t>Grundgebühren - Regenwasser</t>
  </si>
  <si>
    <t>Grundgebühren - Schmutzwasser+Regenwasser</t>
  </si>
  <si>
    <t>Gesamtgebühren - Schmutzwasser</t>
  </si>
  <si>
    <t>Gesamtgebühren - Regenwasser</t>
  </si>
  <si>
    <t>Gesamtgebühren - Schmutzwasser+Regenwasser</t>
  </si>
  <si>
    <t>6</t>
  </si>
  <si>
    <t>7</t>
  </si>
  <si>
    <r>
      <t>Angaben bei Berechnung</t>
    </r>
    <r>
      <rPr>
        <b/>
        <sz val="14"/>
        <rFont val="Calibri"/>
        <family val="2"/>
        <scheme val="minor"/>
      </rPr>
      <t xml:space="preserve"> gesplitteter</t>
    </r>
    <r>
      <rPr>
        <b/>
        <sz val="12"/>
        <rFont val="Calibri"/>
        <family val="2"/>
        <scheme val="minor"/>
      </rPr>
      <t xml:space="preserve"> Abwassergebühren 
</t>
    </r>
    <r>
      <rPr>
        <sz val="10"/>
        <rFont val="Calibri"/>
        <family val="2"/>
        <scheme val="minor"/>
      </rPr>
      <t xml:space="preserve"> Überdeckungen bzw. Unterdeckungen(-) nach Schmutzwasser und Regenwasser getrennt je Jahr in orange Zellen eingeben. Zahlen der vorausgegangenen Kalkulation entnehmen. Keine Einträge in blaue Zellen!!</t>
    </r>
  </si>
  <si>
    <r>
      <t xml:space="preserve">Angaben bei Berechnung von Abwassergebühren nach modifiziertem </t>
    </r>
    <r>
      <rPr>
        <b/>
        <sz val="14"/>
        <rFont val="Calibri"/>
        <family val="2"/>
        <scheme val="minor"/>
      </rPr>
      <t xml:space="preserve">Frischwassermaßstab </t>
    </r>
    <r>
      <rPr>
        <b/>
        <sz val="12"/>
        <rFont val="Calibri"/>
        <family val="2"/>
        <scheme val="minor"/>
      </rPr>
      <t xml:space="preserve">
</t>
    </r>
    <r>
      <rPr>
        <sz val="10"/>
        <rFont val="Calibri"/>
        <family val="2"/>
        <scheme val="minor"/>
      </rPr>
      <t>Überdeckungen bzw. Unterdeckungen(-)  insgesamt (Schmutzwasser + Regenwasser) je Jahr in orange Zellen eingeben. Zahlen der vorausgegangenen Kalkulation entnehmen. Keine Einträge in blaue Zellen!!</t>
    </r>
  </si>
  <si>
    <r>
      <rPr>
        <b/>
        <sz val="11"/>
        <rFont val="Calibri"/>
        <family val="2"/>
        <scheme val="minor"/>
      </rPr>
      <t>Ent-weder</t>
    </r>
    <r>
      <rPr>
        <sz val="11"/>
        <rFont val="Calibri"/>
        <family val="2"/>
        <scheme val="minor"/>
      </rPr>
      <t xml:space="preserve"> Nut-zungs-dauer </t>
    </r>
  </si>
  <si>
    <r>
      <rPr>
        <b/>
        <sz val="11"/>
        <rFont val="Calibri"/>
        <family val="2"/>
        <scheme val="minor"/>
      </rPr>
      <t>oder</t>
    </r>
    <r>
      <rPr>
        <sz val="11"/>
        <rFont val="Calibri"/>
        <family val="2"/>
        <scheme val="minor"/>
      </rPr>
      <t xml:space="preserve"> 
Ab-
schrei-bungs-satz in</t>
    </r>
  </si>
  <si>
    <r>
      <t xml:space="preserve">Zins-berech-nungs.- Meth.
</t>
    </r>
    <r>
      <rPr>
        <b/>
        <sz val="11"/>
        <rFont val="Calibri"/>
        <family val="2"/>
        <scheme val="minor"/>
      </rPr>
      <t>Halb-wert
= H</t>
    </r>
  </si>
  <si>
    <r>
      <rPr>
        <b/>
        <sz val="11"/>
        <rFont val="Calibri"/>
        <family val="2"/>
        <scheme val="minor"/>
      </rPr>
      <t>Ent-weder</t>
    </r>
    <r>
      <rPr>
        <sz val="11"/>
        <rFont val="Calibri"/>
        <family val="2"/>
        <scheme val="minor"/>
      </rPr>
      <t xml:space="preserve"> Auflö-sungs-dauer </t>
    </r>
  </si>
  <si>
    <r>
      <rPr>
        <b/>
        <sz val="11"/>
        <rFont val="Calibri"/>
        <family val="2"/>
        <scheme val="minor"/>
      </rPr>
      <t xml:space="preserve">Oder </t>
    </r>
    <r>
      <rPr>
        <sz val="11"/>
        <rFont val="Calibri"/>
        <family val="2"/>
        <scheme val="minor"/>
      </rPr>
      <t xml:space="preserve"> Auflö-sungs-satz 
in </t>
    </r>
  </si>
  <si>
    <t>Kalkulatorische Abschreibungen von den Anschaffungs-/Herstellungskosten</t>
  </si>
  <si>
    <t>Kalkulat. Abschreibungen von den Anschaffungs-/Herstellungskosten</t>
  </si>
  <si>
    <r>
      <t>Berechnung: "gesplittete" Gebühren oder nach
modifiziertem Frischwassermaßstab</t>
    </r>
    <r>
      <rPr>
        <sz val="10"/>
        <rFont val="Calibri"/>
        <family val="2"/>
        <scheme val="minor"/>
      </rPr>
      <t xml:space="preserve">
(</t>
    </r>
    <r>
      <rPr>
        <b/>
        <sz val="11"/>
        <rFont val="Calibri"/>
        <family val="2"/>
        <scheme val="minor"/>
      </rPr>
      <t>2</t>
    </r>
    <r>
      <rPr>
        <sz val="10"/>
        <rFont val="Calibri"/>
        <family val="2"/>
        <scheme val="minor"/>
      </rPr>
      <t>=gesplittete Gebühr; sonst Gebühr Frischwassermaßstab)</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</si>
</sst>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7" formatCode="#,##0.00\ &quot;€&quot;;\-#,##0.00\ &quot;€&quot;"/>
    <numFmt numFmtId="44" formatCode="_-* #,##0.00\ &quot;€&quot;_-;\-* #,##0.00\ &quot;€&quot;_-;_-* &quot;-&quot;??\ &quot;€&quot;_-;_-@_-"/>
    <numFmt numFmtId="164" formatCode="#,##0.00\ &quot;€&quot;"/>
    <numFmt numFmtId="165" formatCode="#,##0.00\ &quot;€&quot;&quot; / cbm&quot;"/>
    <numFmt numFmtId="166" formatCode="#,##0.00\ &quot;€&quot;&quot; / qm&quot;"/>
    <numFmt numFmtId="167" formatCode="#,##0\ &quot;cbm&quot;"/>
    <numFmt numFmtId="168" formatCode="#,##0\ &quot;qm&quot;"/>
    <numFmt numFmtId="169" formatCode="#,##0.00_ ;\-#,##0.00\ "/>
    <numFmt numFmtId="170" formatCode="_-* #,##0.00\ [$€-1]_-;\-* #,##0.00\ [$€-1]_-;_-* &quot;-&quot;??\ [$€-1]_-"/>
    <numFmt numFmtId="171" formatCode="0.0%"/>
  </numFmts>
  <fonts count="39" x14ac:knownFonts="1">
    <font>
      <sz val="11"/>
      <color theme="1"/>
      <name val="Calibri"/>
      <family val="2"/>
      <scheme val="minor"/>
    </font>
    <font>
      <sz val="11"/>
      <color theme="1"/>
      <name val="Calibri"/>
      <family val="2"/>
      <scheme val="minor"/>
    </font>
    <font>
      <b/>
      <sz val="11"/>
      <name val="Calibri"/>
      <family val="2"/>
      <scheme val="minor"/>
    </font>
    <font>
      <b/>
      <sz val="12"/>
      <name val="Calibri"/>
      <family val="2"/>
      <scheme val="minor"/>
    </font>
    <font>
      <sz val="9"/>
      <name val="Calibri"/>
      <family val="2"/>
      <scheme val="minor"/>
    </font>
    <font>
      <b/>
      <sz val="9"/>
      <name val="Calibri"/>
      <family val="2"/>
      <scheme val="minor"/>
    </font>
    <font>
      <sz val="12"/>
      <name val="Calibri"/>
      <family val="2"/>
      <scheme val="minor"/>
    </font>
    <font>
      <b/>
      <sz val="10"/>
      <name val="Calibri"/>
      <family val="2"/>
      <scheme val="minor"/>
    </font>
    <font>
      <sz val="10"/>
      <name val="Calibri"/>
      <family val="2"/>
      <scheme val="minor"/>
    </font>
    <font>
      <sz val="11"/>
      <name val="Calibri"/>
      <family val="2"/>
      <scheme val="minor"/>
    </font>
    <font>
      <sz val="10"/>
      <name val="Arial"/>
      <family val="2"/>
    </font>
    <font>
      <b/>
      <sz val="14"/>
      <name val="Calibri"/>
      <family val="2"/>
      <scheme val="minor"/>
    </font>
    <font>
      <sz val="14"/>
      <name val="Calibri"/>
      <family val="2"/>
      <scheme val="minor"/>
    </font>
    <font>
      <b/>
      <sz val="16"/>
      <name val="Calibri"/>
      <family val="2"/>
      <scheme val="minor"/>
    </font>
    <font>
      <sz val="12"/>
      <name val="Times New Roman"/>
      <family val="1"/>
    </font>
    <font>
      <sz val="10"/>
      <color theme="1"/>
      <name val="Calibri"/>
      <family val="2"/>
      <scheme val="minor"/>
    </font>
    <font>
      <b/>
      <sz val="11"/>
      <color theme="1"/>
      <name val="Calibri"/>
      <family val="2"/>
      <scheme val="minor"/>
    </font>
    <font>
      <i/>
      <sz val="11"/>
      <name val="Calibri"/>
      <family val="2"/>
      <scheme val="minor"/>
    </font>
    <font>
      <b/>
      <sz val="14"/>
      <color theme="1"/>
      <name val="Calibri"/>
      <family val="2"/>
      <scheme val="minor"/>
    </font>
    <font>
      <b/>
      <sz val="11"/>
      <color indexed="8"/>
      <name val="Calibri"/>
      <family val="2"/>
      <scheme val="minor"/>
    </font>
    <font>
      <b/>
      <sz val="13"/>
      <name val="Calibri"/>
      <family val="2"/>
      <scheme val="minor"/>
    </font>
    <font>
      <sz val="13"/>
      <name val="Calibri"/>
      <family val="2"/>
      <scheme val="minor"/>
    </font>
    <font>
      <b/>
      <sz val="11"/>
      <name val="Arial"/>
      <family val="2"/>
    </font>
    <font>
      <b/>
      <i/>
      <sz val="11"/>
      <name val="Calibri"/>
      <family val="2"/>
      <scheme val="minor"/>
    </font>
    <font>
      <sz val="14"/>
      <color theme="1"/>
      <name val="Calibri"/>
      <family val="2"/>
      <scheme val="minor"/>
    </font>
    <font>
      <b/>
      <sz val="16"/>
      <color rgb="FFFF0000"/>
      <name val="Calibri"/>
      <family val="2"/>
      <scheme val="minor"/>
    </font>
    <font>
      <b/>
      <sz val="14"/>
      <name val="Arial"/>
      <family val="2"/>
    </font>
    <font>
      <b/>
      <sz val="8"/>
      <name val="Calibri"/>
      <family val="2"/>
    </font>
    <font>
      <b/>
      <sz val="10"/>
      <name val="Arial"/>
      <family val="2"/>
    </font>
    <font>
      <b/>
      <sz val="11"/>
      <name val="Calibri"/>
      <family val="2"/>
    </font>
    <font>
      <sz val="12"/>
      <color theme="1"/>
      <name val="Calibri"/>
      <family val="2"/>
      <scheme val="minor"/>
    </font>
    <font>
      <b/>
      <sz val="10"/>
      <color theme="1"/>
      <name val="Calibri"/>
      <family val="2"/>
      <scheme val="minor"/>
    </font>
    <font>
      <vertAlign val="superscript"/>
      <sz val="11"/>
      <name val="Arial"/>
      <family val="2"/>
    </font>
    <font>
      <b/>
      <i/>
      <sz val="12"/>
      <name val="Calibri"/>
      <family val="2"/>
      <scheme val="minor"/>
    </font>
    <font>
      <i/>
      <sz val="12"/>
      <name val="Calibri"/>
      <family val="2"/>
      <scheme val="minor"/>
    </font>
    <font>
      <b/>
      <sz val="12"/>
      <color theme="1"/>
      <name val="Calibri"/>
      <family val="2"/>
      <scheme val="minor"/>
    </font>
    <font>
      <b/>
      <sz val="11"/>
      <color rgb="FFFF0000"/>
      <name val="Calibri"/>
      <family val="2"/>
      <scheme val="minor"/>
    </font>
    <font>
      <b/>
      <sz val="12"/>
      <color rgb="FFFF0000"/>
      <name val="Calibri"/>
      <family val="2"/>
      <scheme val="minor"/>
    </font>
    <font>
      <b/>
      <sz val="14"/>
      <color rgb="FFFF0000"/>
      <name val="Calibri"/>
      <family val="2"/>
      <scheme val="minor"/>
    </font>
  </fonts>
  <fills count="9">
    <fill>
      <patternFill patternType="none"/>
    </fill>
    <fill>
      <patternFill patternType="gray125"/>
    </fill>
    <fill>
      <patternFill patternType="solid">
        <fgColor indexed="22"/>
        <bgColor indexed="64"/>
      </patternFill>
    </fill>
    <fill>
      <patternFill patternType="solid">
        <fgColor rgb="FFFFC000"/>
        <bgColor indexed="64"/>
      </patternFill>
    </fill>
    <fill>
      <patternFill patternType="lightGray"/>
    </fill>
    <fill>
      <patternFill patternType="gray0625">
        <bgColor indexed="9"/>
      </patternFill>
    </fill>
    <fill>
      <patternFill patternType="gray0625"/>
    </fill>
    <fill>
      <patternFill patternType="solid">
        <fgColor theme="3" tint="0.79998168889431442"/>
        <bgColor indexed="64"/>
      </patternFill>
    </fill>
    <fill>
      <patternFill patternType="lightTrellis"/>
    </fill>
  </fills>
  <borders count="153">
    <border>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thick">
        <color indexed="64"/>
      </right>
      <top/>
      <bottom style="thin">
        <color indexed="64"/>
      </bottom>
      <diagonal/>
    </border>
    <border>
      <left style="thick">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Dashed">
        <color indexed="64"/>
      </bottom>
      <diagonal/>
    </border>
    <border>
      <left style="thin">
        <color indexed="64"/>
      </left>
      <right style="thin">
        <color indexed="64"/>
      </right>
      <top/>
      <bottom style="mediumDashed">
        <color indexed="64"/>
      </bottom>
      <diagonal/>
    </border>
    <border>
      <left style="thin">
        <color indexed="64"/>
      </left>
      <right/>
      <top/>
      <bottom style="mediumDashed">
        <color indexed="64"/>
      </bottom>
      <diagonal/>
    </border>
    <border>
      <left/>
      <right style="thin">
        <color indexed="64"/>
      </right>
      <top/>
      <bottom style="mediumDashed">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thin">
        <color indexed="64"/>
      </left>
      <right/>
      <top/>
      <bottom style="dashDot">
        <color indexed="64"/>
      </bottom>
      <diagonal/>
    </border>
    <border>
      <left/>
      <right style="thin">
        <color indexed="64"/>
      </right>
      <top/>
      <bottom style="dashDot">
        <color indexed="64"/>
      </bottom>
      <diagonal/>
    </border>
    <border>
      <left/>
      <right/>
      <top style="dashDot">
        <color indexed="64"/>
      </top>
      <bottom style="mediumDashed">
        <color indexed="64"/>
      </bottom>
      <diagonal/>
    </border>
    <border>
      <left style="thin">
        <color indexed="64"/>
      </left>
      <right style="thin">
        <color indexed="64"/>
      </right>
      <top style="dashDot">
        <color indexed="64"/>
      </top>
      <bottom style="mediumDashed">
        <color indexed="64"/>
      </bottom>
      <diagonal/>
    </border>
    <border>
      <left style="thin">
        <color indexed="64"/>
      </left>
      <right/>
      <top style="dashDot">
        <color indexed="64"/>
      </top>
      <bottom style="mediumDashed">
        <color indexed="64"/>
      </bottom>
      <diagonal/>
    </border>
    <border>
      <left/>
      <right style="thin">
        <color indexed="64"/>
      </right>
      <top style="dashDot">
        <color indexed="64"/>
      </top>
      <bottom style="mediumDashed">
        <color indexed="64"/>
      </bottom>
      <diagonal/>
    </border>
    <border>
      <left style="thin">
        <color indexed="64"/>
      </left>
      <right/>
      <top style="mediumDashed">
        <color indexed="64"/>
      </top>
      <bottom/>
      <diagonal/>
    </border>
    <border>
      <left/>
      <right style="thin">
        <color indexed="64"/>
      </right>
      <top style="mediumDashed">
        <color indexed="64"/>
      </top>
      <bottom/>
      <diagonal/>
    </border>
    <border>
      <left/>
      <right/>
      <top style="mediumDashed">
        <color indexed="64"/>
      </top>
      <bottom/>
      <diagonal/>
    </border>
    <border>
      <left style="thin">
        <color indexed="64"/>
      </left>
      <right/>
      <top/>
      <bottom style="thin">
        <color indexed="64"/>
      </bottom>
      <diagonal/>
    </border>
    <border>
      <left style="thin">
        <color indexed="64"/>
      </left>
      <right style="thin">
        <color indexed="64"/>
      </right>
      <top style="dashDot">
        <color indexed="64"/>
      </top>
      <bottom/>
      <diagonal/>
    </border>
    <border>
      <left style="thin">
        <color indexed="64"/>
      </left>
      <right/>
      <top style="dashDot">
        <color indexed="64"/>
      </top>
      <bottom/>
      <diagonal/>
    </border>
    <border>
      <left/>
      <right style="thin">
        <color indexed="64"/>
      </right>
      <top style="dashDot">
        <color indexed="64"/>
      </top>
      <bottom/>
      <diagonal/>
    </border>
    <border>
      <left style="thin">
        <color indexed="64"/>
      </left>
      <right style="thin">
        <color indexed="64"/>
      </right>
      <top style="dashDot">
        <color indexed="64"/>
      </top>
      <bottom style="dashDot">
        <color indexed="64"/>
      </bottom>
      <diagonal/>
    </border>
    <border>
      <left style="thin">
        <color indexed="64"/>
      </left>
      <right/>
      <top style="dashDot">
        <color indexed="64"/>
      </top>
      <bottom style="dashDot">
        <color indexed="64"/>
      </bottom>
      <diagonal/>
    </border>
    <border>
      <left/>
      <right/>
      <top style="dashDot">
        <color indexed="64"/>
      </top>
      <bottom style="dashDot">
        <color indexed="64"/>
      </bottom>
      <diagonal/>
    </border>
    <border>
      <left/>
      <right style="thin">
        <color indexed="64"/>
      </right>
      <top style="dashDot">
        <color indexed="64"/>
      </top>
      <bottom style="dashDot">
        <color indexed="64"/>
      </bottom>
      <diagonal/>
    </border>
    <border>
      <left style="thin">
        <color indexed="64"/>
      </left>
      <right style="thin">
        <color indexed="64"/>
      </right>
      <top style="mediumDashed">
        <color indexed="64"/>
      </top>
      <bottom style="thin">
        <color indexed="64"/>
      </bottom>
      <diagonal/>
    </border>
    <border>
      <left/>
      <right/>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mediumDashDot">
        <color indexed="64"/>
      </bottom>
      <diagonal/>
    </border>
    <border>
      <left style="thin">
        <color indexed="64"/>
      </left>
      <right style="thin">
        <color indexed="64"/>
      </right>
      <top/>
      <bottom style="mediumDashDot">
        <color indexed="64"/>
      </bottom>
      <diagonal/>
    </border>
    <border>
      <left style="thin">
        <color indexed="64"/>
      </left>
      <right/>
      <top/>
      <bottom style="mediumDashDot">
        <color indexed="64"/>
      </bottom>
      <diagonal/>
    </border>
    <border>
      <left/>
      <right style="thin">
        <color indexed="64"/>
      </right>
      <top/>
      <bottom style="mediumDashDot">
        <color indexed="64"/>
      </bottom>
      <diagonal/>
    </border>
    <border>
      <left/>
      <right style="thin">
        <color indexed="64"/>
      </right>
      <top style="mediumDashed">
        <color indexed="64"/>
      </top>
      <bottom style="dashDot">
        <color indexed="64"/>
      </bottom>
      <diagonal/>
    </border>
    <border>
      <left style="thin">
        <color indexed="64"/>
      </left>
      <right style="thin">
        <color indexed="64"/>
      </right>
      <top style="mediumDashed">
        <color indexed="64"/>
      </top>
      <bottom style="dashDot">
        <color indexed="64"/>
      </bottom>
      <diagonal/>
    </border>
    <border>
      <left style="thin">
        <color indexed="64"/>
      </left>
      <right/>
      <top style="mediumDashed">
        <color indexed="64"/>
      </top>
      <bottom style="dashDot">
        <color indexed="64"/>
      </bottom>
      <diagonal/>
    </border>
    <border>
      <left/>
      <right/>
      <top style="mediumDashed">
        <color indexed="64"/>
      </top>
      <bottom style="dashDot">
        <color indexed="64"/>
      </bottom>
      <diagonal/>
    </border>
    <border>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ck">
        <color indexed="64"/>
      </top>
      <bottom style="thick">
        <color indexed="64"/>
      </bottom>
      <diagonal/>
    </border>
    <border>
      <left style="medium">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medium">
        <color indexed="64"/>
      </right>
      <top/>
      <bottom style="dashed">
        <color indexed="64"/>
      </bottom>
      <diagonal/>
    </border>
    <border>
      <left style="thin">
        <color indexed="64"/>
      </left>
      <right style="medium">
        <color indexed="64"/>
      </right>
      <top/>
      <bottom/>
      <diagonal/>
    </border>
    <border>
      <left/>
      <right style="medium">
        <color indexed="64"/>
      </right>
      <top/>
      <bottom style="mediumDashed">
        <color indexed="64"/>
      </bottom>
      <diagonal/>
    </border>
    <border>
      <left style="thick">
        <color indexed="64"/>
      </left>
      <right/>
      <top/>
      <bottom/>
      <diagonal/>
    </border>
    <border>
      <left style="thick">
        <color indexed="64"/>
      </left>
      <right/>
      <top/>
      <bottom style="medium">
        <color indexed="64"/>
      </bottom>
      <diagonal/>
    </border>
    <border>
      <left style="thin">
        <color indexed="64"/>
      </left>
      <right style="thin">
        <color indexed="64"/>
      </right>
      <top style="mediumDashed">
        <color indexed="64"/>
      </top>
      <bottom/>
      <diagonal/>
    </border>
    <border>
      <left/>
      <right style="medium">
        <color indexed="64"/>
      </right>
      <top style="medium">
        <color indexed="64"/>
      </top>
      <bottom style="medium">
        <color indexed="64"/>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thick">
        <color indexed="64"/>
      </right>
      <top style="thin">
        <color indexed="64"/>
      </top>
      <bottom style="mediumDashed">
        <color indexed="64"/>
      </bottom>
      <diagonal/>
    </border>
    <border>
      <left/>
      <right style="thin">
        <color indexed="64"/>
      </right>
      <top style="thin">
        <color indexed="64"/>
      </top>
      <bottom style="mediumDashed">
        <color indexed="64"/>
      </bottom>
      <diagonal/>
    </border>
    <border>
      <left/>
      <right style="thick">
        <color indexed="64"/>
      </right>
      <top style="mediumDashed">
        <color indexed="64"/>
      </top>
      <bottom/>
      <diagonal/>
    </border>
    <border>
      <left/>
      <right/>
      <top style="medium">
        <color indexed="64"/>
      </top>
      <bottom style="mediumDashed">
        <color indexed="64"/>
      </bottom>
      <diagonal/>
    </border>
    <border>
      <left style="thin">
        <color indexed="64"/>
      </left>
      <right/>
      <top style="medium">
        <color indexed="64"/>
      </top>
      <bottom style="mediumDashed">
        <color indexed="64"/>
      </bottom>
      <diagonal/>
    </border>
    <border>
      <left/>
      <right style="thick">
        <color auto="1"/>
      </right>
      <top style="medium">
        <color indexed="64"/>
      </top>
      <bottom style="mediumDashed">
        <color indexed="64"/>
      </bottom>
      <diagonal/>
    </border>
    <border>
      <left/>
      <right style="thin">
        <color indexed="64"/>
      </right>
      <top style="medium">
        <color indexed="64"/>
      </top>
      <bottom style="mediumDashed">
        <color indexed="64"/>
      </bottom>
      <diagonal/>
    </border>
    <border>
      <left style="thin">
        <color indexed="64"/>
      </left>
      <right style="thick">
        <color indexed="64"/>
      </right>
      <top style="medium">
        <color indexed="64"/>
      </top>
      <bottom style="mediumDashed">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Dashed">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DashDot">
        <color indexed="64"/>
      </bottom>
      <diagonal/>
    </border>
    <border>
      <left/>
      <right/>
      <top style="thin">
        <color indexed="64"/>
      </top>
      <bottom style="mediumDashDot">
        <color indexed="64"/>
      </bottom>
      <diagonal/>
    </border>
    <border>
      <left/>
      <right style="thin">
        <color indexed="64"/>
      </right>
      <top style="thin">
        <color indexed="64"/>
      </top>
      <bottom style="mediumDashDot">
        <color indexed="64"/>
      </bottom>
      <diagonal/>
    </border>
    <border>
      <left style="thin">
        <color indexed="64"/>
      </left>
      <right style="thin">
        <color indexed="64"/>
      </right>
      <top style="thin">
        <color indexed="64"/>
      </top>
      <bottom style="dashDot">
        <color indexed="64"/>
      </bottom>
      <diagonal/>
    </border>
    <border>
      <left/>
      <right style="thick">
        <color indexed="64"/>
      </right>
      <top style="thin">
        <color indexed="64"/>
      </top>
      <bottom/>
      <diagonal/>
    </border>
    <border>
      <left style="thin">
        <color indexed="64"/>
      </left>
      <right style="medium">
        <color indexed="64"/>
      </right>
      <top/>
      <bottom style="mediumDashDot">
        <color indexed="64"/>
      </bottom>
      <diagonal/>
    </border>
    <border>
      <left/>
      <right style="thick">
        <color indexed="64"/>
      </right>
      <top/>
      <bottom style="mediumDashDot">
        <color indexed="64"/>
      </bottom>
      <diagonal/>
    </border>
    <border>
      <left/>
      <right style="thin">
        <color indexed="64"/>
      </right>
      <top style="mediumDashed">
        <color indexed="64"/>
      </top>
      <bottom style="thin">
        <color indexed="64"/>
      </bottom>
      <diagonal/>
    </border>
    <border>
      <left style="medium">
        <color indexed="64"/>
      </left>
      <right/>
      <top style="mediumDashDot">
        <color indexed="64"/>
      </top>
      <bottom/>
      <diagonal/>
    </border>
    <border>
      <left/>
      <right/>
      <top style="mediumDashDot">
        <color indexed="64"/>
      </top>
      <bottom/>
      <diagonal/>
    </border>
    <border>
      <left/>
      <right style="thick">
        <color indexed="64"/>
      </right>
      <top style="mediumDashDot">
        <color indexed="64"/>
      </top>
      <bottom/>
      <diagonal/>
    </border>
    <border>
      <left/>
      <right style="medium">
        <color indexed="64"/>
      </right>
      <top style="medium">
        <color indexed="64"/>
      </top>
      <bottom/>
      <diagonal/>
    </border>
    <border>
      <left/>
      <right style="thin">
        <color indexed="64"/>
      </right>
      <top style="thin">
        <color indexed="64"/>
      </top>
      <bottom style="thick">
        <color indexed="64"/>
      </bottom>
      <diagonal/>
    </border>
    <border>
      <left style="thick">
        <color indexed="64"/>
      </left>
      <right/>
      <top style="mediumDashDot">
        <color indexed="64"/>
      </top>
      <bottom/>
      <diagonal/>
    </border>
    <border>
      <left/>
      <right style="thin">
        <color indexed="64"/>
      </right>
      <top style="mediumDashDot">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Dashed">
        <color indexed="64"/>
      </bottom>
      <diagonal/>
    </border>
    <border>
      <left style="thin">
        <color indexed="64"/>
      </left>
      <right style="medium">
        <color indexed="64"/>
      </right>
      <top style="mediumDashed">
        <color indexed="64"/>
      </top>
      <bottom style="thin">
        <color indexed="64"/>
      </bottom>
      <diagonal/>
    </border>
    <border>
      <left/>
      <right style="thin">
        <color indexed="64"/>
      </right>
      <top style="medium">
        <color indexed="64"/>
      </top>
      <bottom/>
      <diagonal/>
    </border>
    <border>
      <left style="thick">
        <color auto="1"/>
      </left>
      <right style="thin">
        <color indexed="64"/>
      </right>
      <top style="thin">
        <color indexed="64"/>
      </top>
      <bottom/>
      <diagonal/>
    </border>
  </borders>
  <cellStyleXfs count="5">
    <xf numFmtId="0" fontId="0" fillId="0" borderId="0"/>
    <xf numFmtId="9" fontId="1" fillId="0" borderId="0" applyFont="0" applyFill="0" applyBorder="0" applyAlignment="0" applyProtection="0"/>
    <xf numFmtId="44" fontId="10" fillId="0" borderId="0" applyFont="0" applyFill="0" applyBorder="0" applyAlignment="0" applyProtection="0"/>
    <xf numFmtId="0" fontId="14" fillId="0" borderId="0"/>
    <xf numFmtId="170" fontId="14" fillId="0" borderId="0" applyFont="0" applyFill="0" applyBorder="0" applyAlignment="0" applyProtection="0"/>
  </cellStyleXfs>
  <cellXfs count="1051">
    <xf numFmtId="0" fontId="0" fillId="0" borderId="0" xfId="0"/>
    <xf numFmtId="0" fontId="8" fillId="0" borderId="9" xfId="0" applyFont="1" applyBorder="1" applyAlignment="1">
      <alignment horizontal="center" vertical="top" textRotation="180"/>
    </xf>
    <xf numFmtId="0" fontId="0" fillId="0" borderId="16" xfId="0" applyNumberFormat="1" applyFont="1" applyBorder="1" applyAlignment="1">
      <alignment horizontal="center" vertical="center" wrapText="1"/>
    </xf>
    <xf numFmtId="0" fontId="7" fillId="0" borderId="0" xfId="0" applyFont="1" applyBorder="1" applyAlignment="1">
      <alignment horizontal="center" vertical="center"/>
    </xf>
    <xf numFmtId="0" fontId="7" fillId="0" borderId="18" xfId="0" applyFont="1" applyFill="1" applyBorder="1" applyAlignment="1"/>
    <xf numFmtId="0" fontId="0" fillId="0" borderId="9" xfId="0" applyFont="1" applyFill="1" applyBorder="1" applyAlignment="1"/>
    <xf numFmtId="0" fontId="8" fillId="0" borderId="21" xfId="0" applyNumberFormat="1" applyFont="1" applyFill="1" applyBorder="1" applyAlignment="1">
      <alignment horizontal="center"/>
    </xf>
    <xf numFmtId="0" fontId="8" fillId="0" borderId="22" xfId="0" applyNumberFormat="1" applyFont="1" applyFill="1" applyBorder="1" applyAlignment="1">
      <alignment horizontal="center"/>
    </xf>
    <xf numFmtId="0" fontId="8" fillId="0" borderId="22" xfId="0" applyNumberFormat="1" applyFont="1" applyFill="1" applyBorder="1" applyAlignment="1"/>
    <xf numFmtId="0" fontId="8" fillId="0" borderId="23" xfId="0" applyNumberFormat="1" applyFont="1" applyFill="1" applyBorder="1" applyAlignment="1"/>
    <xf numFmtId="0" fontId="0" fillId="0" borderId="0" xfId="0" applyFont="1"/>
    <xf numFmtId="0" fontId="8" fillId="0" borderId="18" xfId="0" applyFont="1" applyBorder="1" applyAlignment="1">
      <alignment horizontal="center"/>
    </xf>
    <xf numFmtId="0" fontId="8" fillId="0" borderId="0" xfId="0" applyNumberFormat="1" applyFont="1" applyFill="1" applyBorder="1" applyAlignment="1">
      <alignment horizontal="center"/>
    </xf>
    <xf numFmtId="0" fontId="8" fillId="0" borderId="0" xfId="0" applyNumberFormat="1" applyFont="1" applyFill="1" applyBorder="1" applyAlignment="1"/>
    <xf numFmtId="0" fontId="8" fillId="0" borderId="24" xfId="0" applyNumberFormat="1" applyFont="1" applyFill="1" applyBorder="1" applyAlignment="1"/>
    <xf numFmtId="0" fontId="8" fillId="0" borderId="0" xfId="0" applyFont="1" applyBorder="1" applyAlignment="1">
      <alignment horizontal="center"/>
    </xf>
    <xf numFmtId="49" fontId="7" fillId="0" borderId="0" xfId="0" applyNumberFormat="1" applyFont="1" applyAlignment="1">
      <alignment horizontal="center"/>
    </xf>
    <xf numFmtId="0" fontId="2" fillId="0" borderId="18" xfId="0" applyNumberFormat="1" applyFont="1" applyBorder="1" applyAlignment="1"/>
    <xf numFmtId="0" fontId="0" fillId="0" borderId="9" xfId="0" applyNumberFormat="1" applyFont="1" applyBorder="1" applyAlignment="1">
      <alignment horizontal="center"/>
    </xf>
    <xf numFmtId="49" fontId="8" fillId="0" borderId="0" xfId="0" applyNumberFormat="1" applyFont="1" applyAlignment="1">
      <alignment horizontal="center"/>
    </xf>
    <xf numFmtId="0" fontId="0" fillId="2" borderId="18" xfId="0" applyNumberFormat="1" applyFont="1" applyFill="1" applyBorder="1" applyAlignment="1"/>
    <xf numFmtId="0" fontId="0" fillId="2" borderId="0" xfId="0" applyNumberFormat="1" applyFont="1" applyFill="1" applyBorder="1" applyAlignment="1"/>
    <xf numFmtId="10" fontId="0" fillId="2" borderId="24" xfId="0" applyNumberFormat="1" applyFont="1" applyFill="1" applyBorder="1" applyAlignment="1" applyProtection="1"/>
    <xf numFmtId="10" fontId="0" fillId="0" borderId="25" xfId="1" applyNumberFormat="1" applyFont="1" applyBorder="1" applyAlignment="1" applyProtection="1">
      <alignment horizontal="center"/>
    </xf>
    <xf numFmtId="0" fontId="0" fillId="0" borderId="18" xfId="0" applyFont="1" applyBorder="1"/>
    <xf numFmtId="0" fontId="0" fillId="0" borderId="9" xfId="0" applyFont="1" applyBorder="1" applyAlignment="1">
      <alignment horizontal="center"/>
    </xf>
    <xf numFmtId="10" fontId="0" fillId="2" borderId="16" xfId="0" applyNumberFormat="1" applyFont="1" applyFill="1" applyBorder="1" applyAlignment="1">
      <alignment horizontal="center"/>
    </xf>
    <xf numFmtId="10" fontId="0" fillId="2" borderId="25" xfId="0" applyNumberFormat="1" applyFont="1" applyFill="1" applyBorder="1" applyAlignment="1">
      <alignment horizontal="center"/>
    </xf>
    <xf numFmtId="0" fontId="0" fillId="2" borderId="24" xfId="0" applyNumberFormat="1" applyFont="1" applyFill="1" applyBorder="1" applyAlignment="1"/>
    <xf numFmtId="0" fontId="0" fillId="0" borderId="18" xfId="0" applyNumberFormat="1" applyFont="1" applyBorder="1" applyAlignment="1"/>
    <xf numFmtId="0" fontId="9" fillId="4" borderId="0" xfId="0" applyFont="1" applyFill="1" applyBorder="1" applyAlignment="1" applyProtection="1">
      <alignment horizontal="center"/>
      <protection locked="0"/>
    </xf>
    <xf numFmtId="0" fontId="0" fillId="4" borderId="0" xfId="0" applyFont="1" applyFill="1" applyBorder="1" applyProtection="1">
      <protection locked="0"/>
    </xf>
    <xf numFmtId="0" fontId="0" fillId="4" borderId="23" xfId="0" applyFont="1" applyFill="1" applyBorder="1" applyProtection="1">
      <protection locked="0"/>
    </xf>
    <xf numFmtId="0" fontId="0" fillId="0" borderId="0" xfId="0" applyFont="1" applyAlignment="1"/>
    <xf numFmtId="0" fontId="8" fillId="0" borderId="12" xfId="0" applyFont="1" applyBorder="1" applyAlignment="1">
      <alignment horizontal="center" vertical="center" wrapText="1"/>
    </xf>
    <xf numFmtId="0" fontId="0" fillId="0" borderId="16" xfId="0" applyFont="1" applyBorder="1" applyAlignment="1">
      <alignment horizontal="center" vertical="center" wrapText="1"/>
    </xf>
    <xf numFmtId="0" fontId="8" fillId="0" borderId="41" xfId="0" applyFont="1" applyBorder="1" applyAlignment="1" applyProtection="1">
      <alignment horizontal="center" vertical="center" wrapText="1"/>
    </xf>
    <xf numFmtId="0" fontId="0" fillId="0" borderId="16"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protection locked="0"/>
    </xf>
    <xf numFmtId="14" fontId="0" fillId="0" borderId="16" xfId="0" applyNumberFormat="1" applyFont="1" applyBorder="1" applyAlignment="1">
      <alignment horizontal="center"/>
    </xf>
    <xf numFmtId="10" fontId="15" fillId="0" borderId="30" xfId="1" applyNumberFormat="1" applyFont="1" applyBorder="1" applyProtection="1">
      <protection locked="0"/>
    </xf>
    <xf numFmtId="4" fontId="15" fillId="0" borderId="29" xfId="0" applyNumberFormat="1" applyFont="1" applyBorder="1"/>
    <xf numFmtId="4" fontId="15" fillId="0" borderId="0" xfId="0" applyNumberFormat="1" applyFont="1" applyBorder="1"/>
    <xf numFmtId="0" fontId="15" fillId="0" borderId="0" xfId="0" applyNumberFormat="1" applyFont="1" applyBorder="1"/>
    <xf numFmtId="4" fontId="15" fillId="0" borderId="18" xfId="0" applyNumberFormat="1" applyFont="1" applyBorder="1"/>
    <xf numFmtId="4" fontId="15" fillId="0" borderId="1" xfId="0" applyNumberFormat="1" applyFont="1" applyBorder="1"/>
    <xf numFmtId="10" fontId="15" fillId="0" borderId="47" xfId="1" applyNumberFormat="1" applyFont="1" applyBorder="1" applyProtection="1">
      <protection locked="0"/>
    </xf>
    <xf numFmtId="4" fontId="15" fillId="0" borderId="48" xfId="0" applyNumberFormat="1" applyFont="1" applyBorder="1"/>
    <xf numFmtId="4" fontId="15" fillId="0" borderId="3" xfId="0" applyNumberFormat="1" applyFont="1" applyBorder="1"/>
    <xf numFmtId="0" fontId="15" fillId="0" borderId="3" xfId="0" applyNumberFormat="1" applyFont="1" applyBorder="1"/>
    <xf numFmtId="4" fontId="15" fillId="0" borderId="2" xfId="0" applyNumberFormat="1" applyFont="1" applyBorder="1"/>
    <xf numFmtId="4" fontId="15" fillId="0" borderId="50" xfId="0" applyNumberFormat="1" applyFont="1" applyBorder="1"/>
    <xf numFmtId="4" fontId="16" fillId="0" borderId="0" xfId="0" applyNumberFormat="1" applyFont="1"/>
    <xf numFmtId="0" fontId="3" fillId="0" borderId="9" xfId="0" applyFont="1" applyBorder="1" applyAlignment="1" applyProtection="1">
      <alignment vertical="center" wrapText="1"/>
    </xf>
    <xf numFmtId="4" fontId="0" fillId="5" borderId="0" xfId="0" applyNumberFormat="1" applyFont="1" applyFill="1" applyBorder="1" applyProtection="1"/>
    <xf numFmtId="4" fontId="0" fillId="5" borderId="18" xfId="0" applyNumberFormat="1" applyFont="1" applyFill="1" applyBorder="1" applyProtection="1"/>
    <xf numFmtId="4" fontId="0" fillId="5" borderId="1" xfId="0" applyNumberFormat="1" applyFont="1" applyFill="1" applyBorder="1" applyProtection="1"/>
    <xf numFmtId="4" fontId="0" fillId="0" borderId="1" xfId="0" applyNumberFormat="1" applyFont="1" applyBorder="1" applyProtection="1"/>
    <xf numFmtId="4" fontId="0" fillId="0" borderId="1" xfId="0" applyNumberFormat="1" applyFont="1" applyFill="1" applyBorder="1" applyProtection="1"/>
    <xf numFmtId="4" fontId="0" fillId="5" borderId="65" xfId="0" applyNumberFormat="1" applyFont="1" applyFill="1" applyBorder="1" applyProtection="1"/>
    <xf numFmtId="4" fontId="0" fillId="5" borderId="66" xfId="0" applyNumberFormat="1" applyFont="1" applyFill="1" applyBorder="1" applyProtection="1"/>
    <xf numFmtId="4" fontId="0" fillId="5" borderId="67" xfId="0" applyNumberFormat="1" applyFont="1" applyFill="1" applyBorder="1" applyProtection="1"/>
    <xf numFmtId="49" fontId="0" fillId="0" borderId="53" xfId="0" applyNumberFormat="1" applyFont="1" applyFill="1" applyBorder="1" applyAlignment="1" applyProtection="1">
      <alignment horizontal="center" vertical="center"/>
    </xf>
    <xf numFmtId="10" fontId="0" fillId="0" borderId="59" xfId="1" applyNumberFormat="1" applyFont="1" applyBorder="1" applyAlignment="1" applyProtection="1">
      <alignment horizontal="center"/>
    </xf>
    <xf numFmtId="10" fontId="0" fillId="0" borderId="60" xfId="1" applyNumberFormat="1" applyFont="1" applyBorder="1" applyAlignment="1" applyProtection="1">
      <alignment horizontal="center"/>
    </xf>
    <xf numFmtId="0" fontId="17" fillId="0" borderId="18" xfId="0" applyFont="1" applyBorder="1" applyAlignment="1" applyProtection="1">
      <alignment horizontal="center" vertical="center"/>
    </xf>
    <xf numFmtId="0" fontId="17" fillId="0" borderId="1" xfId="0" applyFont="1" applyBorder="1" applyAlignment="1" applyProtection="1">
      <alignment horizontal="center" vertical="center"/>
    </xf>
    <xf numFmtId="164" fontId="0" fillId="0" borderId="1" xfId="0" applyNumberFormat="1" applyFont="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0" fontId="0" fillId="0" borderId="0" xfId="0" applyFont="1" applyProtection="1"/>
    <xf numFmtId="0" fontId="0" fillId="0" borderId="0" xfId="0" applyFont="1" applyBorder="1" applyProtection="1"/>
    <xf numFmtId="0" fontId="0" fillId="0" borderId="0" xfId="0" applyNumberFormat="1" applyFont="1" applyFill="1" applyBorder="1" applyAlignment="1" applyProtection="1"/>
    <xf numFmtId="0" fontId="8" fillId="0" borderId="0" xfId="0" applyNumberFormat="1" applyFont="1" applyFill="1" applyBorder="1" applyAlignment="1" applyProtection="1"/>
    <xf numFmtId="4" fontId="0" fillId="0" borderId="0" xfId="0" applyNumberFormat="1" applyFont="1" applyBorder="1" applyProtection="1"/>
    <xf numFmtId="0" fontId="2" fillId="0" borderId="85" xfId="2" applyNumberFormat="1" applyFont="1" applyBorder="1" applyAlignment="1" applyProtection="1">
      <alignment vertical="center" wrapText="1"/>
    </xf>
    <xf numFmtId="0" fontId="2" fillId="0" borderId="85" xfId="0" applyFont="1" applyBorder="1" applyAlignment="1" applyProtection="1">
      <alignment vertical="center" wrapText="1"/>
    </xf>
    <xf numFmtId="0" fontId="0" fillId="4" borderId="0" xfId="0" applyFill="1" applyBorder="1"/>
    <xf numFmtId="0" fontId="2" fillId="0" borderId="0" xfId="0" applyNumberFormat="1" applyFont="1" applyFill="1" applyBorder="1" applyAlignment="1"/>
    <xf numFmtId="0" fontId="16" fillId="0" borderId="0" xfId="0" applyFont="1" applyAlignment="1">
      <alignment horizontal="center"/>
    </xf>
    <xf numFmtId="0" fontId="0" fillId="3" borderId="12" xfId="0" applyFont="1" applyFill="1" applyBorder="1" applyProtection="1">
      <protection locked="0"/>
    </xf>
    <xf numFmtId="0" fontId="0" fillId="3" borderId="16" xfId="0" applyFont="1" applyFill="1" applyBorder="1" applyProtection="1">
      <protection locked="0"/>
    </xf>
    <xf numFmtId="0" fontId="0" fillId="3" borderId="16" xfId="0" applyFont="1" applyFill="1" applyBorder="1" applyAlignment="1" applyProtection="1">
      <alignment horizontal="center"/>
      <protection locked="0"/>
    </xf>
    <xf numFmtId="4" fontId="0" fillId="3" borderId="16" xfId="0" applyNumberFormat="1" applyFont="1" applyFill="1" applyBorder="1" applyProtection="1">
      <protection locked="0"/>
    </xf>
    <xf numFmtId="14" fontId="0" fillId="3" borderId="16" xfId="0" applyNumberFormat="1" applyFont="1" applyFill="1" applyBorder="1" applyProtection="1">
      <protection locked="0"/>
    </xf>
    <xf numFmtId="2" fontId="0" fillId="3" borderId="16" xfId="0" applyNumberFormat="1" applyFont="1" applyFill="1" applyBorder="1" applyAlignment="1" applyProtection="1">
      <alignment horizontal="center"/>
      <protection locked="0"/>
    </xf>
    <xf numFmtId="4" fontId="0" fillId="3" borderId="15" xfId="0" applyNumberFormat="1" applyFont="1" applyFill="1" applyBorder="1" applyProtection="1">
      <protection locked="0"/>
    </xf>
    <xf numFmtId="2" fontId="0" fillId="3" borderId="15" xfId="0" applyNumberFormat="1" applyFont="1" applyFill="1" applyBorder="1" applyAlignment="1" applyProtection="1">
      <alignment horizontal="center"/>
      <protection locked="0"/>
    </xf>
    <xf numFmtId="4" fontId="0" fillId="0" borderId="0" xfId="0" applyNumberFormat="1"/>
    <xf numFmtId="10" fontId="0" fillId="0" borderId="0" xfId="1" applyNumberFormat="1" applyFont="1"/>
    <xf numFmtId="0" fontId="2" fillId="0" borderId="0" xfId="0" applyNumberFormat="1" applyFont="1" applyFill="1" applyBorder="1" applyAlignment="1" applyProtection="1"/>
    <xf numFmtId="0" fontId="18" fillId="0" borderId="0" xfId="0" applyFont="1"/>
    <xf numFmtId="0" fontId="0" fillId="0" borderId="0" xfId="0" applyNumberFormat="1" applyFont="1" applyFill="1" applyBorder="1" applyAlignment="1"/>
    <xf numFmtId="10" fontId="16" fillId="0" borderId="0" xfId="1" applyNumberFormat="1" applyFont="1"/>
    <xf numFmtId="0" fontId="11" fillId="0" borderId="0" xfId="0" applyNumberFormat="1" applyFont="1" applyFill="1" applyBorder="1" applyAlignment="1"/>
    <xf numFmtId="49" fontId="2" fillId="0" borderId="0" xfId="0" applyNumberFormat="1" applyFont="1" applyBorder="1" applyAlignment="1" applyProtection="1">
      <alignment horizontal="center" vertical="center"/>
    </xf>
    <xf numFmtId="49" fontId="9" fillId="0" borderId="0" xfId="0" applyNumberFormat="1" applyFont="1" applyBorder="1" applyAlignment="1" applyProtection="1">
      <alignment horizontal="center" vertical="center"/>
    </xf>
    <xf numFmtId="0" fontId="16" fillId="0" borderId="16" xfId="0" applyFont="1" applyBorder="1" applyAlignment="1" applyProtection="1">
      <alignment horizontal="center"/>
    </xf>
    <xf numFmtId="0" fontId="9" fillId="0" borderId="0" xfId="0" applyNumberFormat="1" applyFont="1" applyFill="1" applyBorder="1" applyAlignment="1" applyProtection="1"/>
    <xf numFmtId="0" fontId="9" fillId="4" borderId="0" xfId="0" applyFont="1" applyFill="1" applyBorder="1" applyProtection="1">
      <protection locked="0"/>
    </xf>
    <xf numFmtId="0" fontId="2" fillId="0" borderId="19" xfId="0" applyFont="1" applyBorder="1" applyAlignment="1" applyProtection="1">
      <alignment horizontal="center" vertical="center" wrapText="1"/>
    </xf>
    <xf numFmtId="0" fontId="0" fillId="0" borderId="0" xfId="0" applyFont="1" applyFill="1" applyBorder="1" applyProtection="1"/>
    <xf numFmtId="0" fontId="8" fillId="0" borderId="0" xfId="0" applyFont="1" applyFill="1" applyBorder="1" applyProtection="1"/>
    <xf numFmtId="0" fontId="2" fillId="0" borderId="19" xfId="0" applyFont="1" applyBorder="1" applyAlignment="1" applyProtection="1">
      <alignment horizontal="center" wrapText="1"/>
    </xf>
    <xf numFmtId="169" fontId="0" fillId="3" borderId="42" xfId="0" applyNumberFormat="1" applyFont="1" applyFill="1" applyBorder="1" applyAlignment="1" applyProtection="1">
      <alignment vertical="center"/>
      <protection locked="0"/>
    </xf>
    <xf numFmtId="0" fontId="0" fillId="6" borderId="0" xfId="0" applyNumberFormat="1" applyFont="1" applyFill="1" applyBorder="1" applyProtection="1"/>
    <xf numFmtId="0" fontId="0" fillId="6" borderId="1" xfId="0" applyNumberFormat="1" applyFont="1" applyFill="1" applyBorder="1" applyProtection="1"/>
    <xf numFmtId="169" fontId="0" fillId="6" borderId="42" xfId="0" applyNumberFormat="1" applyFont="1" applyFill="1" applyBorder="1" applyProtection="1"/>
    <xf numFmtId="169" fontId="0" fillId="3" borderId="34" xfId="0" applyNumberFormat="1" applyFont="1" applyFill="1" applyBorder="1" applyAlignment="1" applyProtection="1">
      <alignment vertical="center"/>
      <protection locked="0"/>
    </xf>
    <xf numFmtId="169" fontId="0" fillId="7" borderId="101" xfId="0" applyNumberFormat="1" applyFont="1" applyFill="1" applyBorder="1" applyAlignment="1" applyProtection="1">
      <alignment vertical="center"/>
    </xf>
    <xf numFmtId="169" fontId="0" fillId="6" borderId="37" xfId="0" applyNumberFormat="1" applyFont="1" applyFill="1" applyBorder="1" applyProtection="1"/>
    <xf numFmtId="169" fontId="0" fillId="6" borderId="26" xfId="0" applyNumberFormat="1" applyFont="1" applyFill="1" applyBorder="1" applyProtection="1"/>
    <xf numFmtId="169" fontId="0" fillId="7" borderId="105" xfId="0" applyNumberFormat="1" applyFont="1" applyFill="1" applyBorder="1" applyAlignment="1" applyProtection="1">
      <alignment vertical="center"/>
    </xf>
    <xf numFmtId="0" fontId="0" fillId="6" borderId="30" xfId="0" applyNumberFormat="1" applyFont="1" applyFill="1" applyBorder="1" applyProtection="1"/>
    <xf numFmtId="169" fontId="0" fillId="6" borderId="106" xfId="0" applyNumberFormat="1" applyFont="1" applyFill="1" applyBorder="1" applyProtection="1"/>
    <xf numFmtId="0" fontId="0" fillId="6" borderId="77" xfId="0" applyNumberFormat="1" applyFont="1" applyFill="1" applyBorder="1" applyProtection="1"/>
    <xf numFmtId="1" fontId="0" fillId="0" borderId="42" xfId="0" applyNumberFormat="1" applyFont="1" applyFill="1" applyBorder="1" applyAlignment="1" applyProtection="1">
      <alignment horizontal="center"/>
    </xf>
    <xf numFmtId="4" fontId="0" fillId="0" borderId="107" xfId="0" applyNumberFormat="1" applyFont="1" applyFill="1" applyBorder="1" applyProtection="1"/>
    <xf numFmtId="4" fontId="0" fillId="0" borderId="0" xfId="0" applyNumberFormat="1" applyFont="1" applyFill="1" applyBorder="1" applyProtection="1"/>
    <xf numFmtId="4" fontId="0" fillId="0" borderId="24" xfId="0" applyNumberFormat="1" applyFont="1" applyFill="1" applyBorder="1" applyProtection="1"/>
    <xf numFmtId="14" fontId="3" fillId="3" borderId="15" xfId="0" applyNumberFormat="1" applyFont="1" applyFill="1" applyBorder="1" applyAlignment="1" applyProtection="1">
      <alignment horizontal="center"/>
      <protection locked="0"/>
    </xf>
    <xf numFmtId="14" fontId="3" fillId="0" borderId="16" xfId="0" applyNumberFormat="1" applyFont="1" applyFill="1" applyBorder="1" applyAlignment="1" applyProtection="1">
      <alignment horizontal="center"/>
    </xf>
    <xf numFmtId="14" fontId="3" fillId="3" borderId="16" xfId="0" applyNumberFormat="1" applyFont="1" applyFill="1" applyBorder="1" applyAlignment="1" applyProtection="1">
      <alignment horizontal="center"/>
      <protection locked="0"/>
    </xf>
    <xf numFmtId="0" fontId="0" fillId="0" borderId="16" xfId="0" applyFont="1" applyBorder="1" applyAlignment="1" applyProtection="1">
      <alignment wrapText="1"/>
    </xf>
    <xf numFmtId="0" fontId="0" fillId="0" borderId="16" xfId="0" applyFont="1" applyFill="1" applyBorder="1" applyAlignment="1" applyProtection="1">
      <alignment wrapText="1"/>
    </xf>
    <xf numFmtId="0" fontId="0" fillId="6" borderId="10" xfId="0" applyFont="1" applyFill="1" applyBorder="1" applyAlignment="1" applyProtection="1">
      <alignment horizontal="center" wrapText="1"/>
    </xf>
    <xf numFmtId="4" fontId="0" fillId="6" borderId="0" xfId="0" applyNumberFormat="1" applyFont="1" applyFill="1" applyBorder="1" applyAlignment="1" applyProtection="1"/>
    <xf numFmtId="4" fontId="0" fillId="6" borderId="29" xfId="0" applyNumberFormat="1" applyFont="1" applyFill="1" applyBorder="1" applyAlignment="1" applyProtection="1"/>
    <xf numFmtId="0" fontId="0" fillId="0" borderId="39" xfId="0" applyFont="1" applyBorder="1" applyProtection="1"/>
    <xf numFmtId="0" fontId="0" fillId="0" borderId="15" xfId="0" applyFont="1" applyBorder="1" applyAlignment="1" applyProtection="1">
      <alignment wrapText="1"/>
    </xf>
    <xf numFmtId="0" fontId="0" fillId="0" borderId="29" xfId="0" applyFont="1" applyBorder="1" applyProtection="1"/>
    <xf numFmtId="0" fontId="0" fillId="0" borderId="16" xfId="0" applyFont="1" applyFill="1" applyBorder="1" applyAlignment="1" applyProtection="1"/>
    <xf numFmtId="4" fontId="0" fillId="0" borderId="16" xfId="0" applyNumberFormat="1" applyFont="1" applyBorder="1" applyProtection="1"/>
    <xf numFmtId="4" fontId="0" fillId="0" borderId="29" xfId="0" applyNumberFormat="1" applyFont="1" applyBorder="1" applyProtection="1"/>
    <xf numFmtId="0" fontId="0" fillId="4" borderId="0" xfId="0" applyFont="1" applyFill="1" applyBorder="1" applyProtection="1"/>
    <xf numFmtId="0" fontId="0" fillId="4" borderId="29" xfId="0" applyFont="1" applyFill="1" applyBorder="1" applyProtection="1"/>
    <xf numFmtId="0" fontId="0" fillId="0" borderId="0" xfId="0" applyFont="1" applyFill="1" applyProtection="1"/>
    <xf numFmtId="0" fontId="8" fillId="0" borderId="12" xfId="0" applyFont="1" applyBorder="1" applyAlignment="1">
      <alignment horizontal="center" vertical="center" wrapText="1"/>
    </xf>
    <xf numFmtId="0" fontId="8" fillId="0" borderId="11" xfId="0" applyNumberFormat="1" applyFont="1" applyBorder="1" applyAlignment="1"/>
    <xf numFmtId="0" fontId="8" fillId="0" borderId="16" xfId="0" applyNumberFormat="1" applyFont="1" applyBorder="1" applyAlignment="1">
      <alignment horizontal="center" vertical="center" wrapText="1"/>
    </xf>
    <xf numFmtId="0" fontId="8" fillId="0" borderId="4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6" xfId="0" applyFont="1" applyFill="1" applyBorder="1" applyAlignment="1" applyProtection="1">
      <alignment horizontal="center" vertical="center" wrapText="1"/>
      <protection locked="0"/>
    </xf>
    <xf numFmtId="0" fontId="8" fillId="0" borderId="25" xfId="0" applyFont="1" applyBorder="1" applyAlignment="1">
      <alignment horizontal="center" vertical="center" wrapText="1"/>
    </xf>
    <xf numFmtId="14" fontId="8" fillId="0" borderId="12" xfId="0" applyNumberFormat="1" applyFont="1" applyBorder="1" applyAlignment="1">
      <alignment horizontal="center"/>
    </xf>
    <xf numFmtId="14" fontId="8" fillId="0" borderId="16" xfId="0" applyNumberFormat="1" applyFont="1" applyBorder="1" applyAlignment="1">
      <alignment horizontal="center"/>
    </xf>
    <xf numFmtId="14" fontId="8" fillId="0" borderId="11" xfId="0" applyNumberFormat="1" applyFont="1" applyBorder="1" applyAlignment="1">
      <alignment horizontal="center"/>
    </xf>
    <xf numFmtId="0" fontId="8" fillId="0" borderId="41" xfId="0" applyFont="1" applyBorder="1" applyAlignment="1">
      <alignment horizontal="center"/>
    </xf>
    <xf numFmtId="0" fontId="0" fillId="0" borderId="16" xfId="0" applyFont="1" applyBorder="1" applyAlignment="1">
      <alignment horizontal="center"/>
    </xf>
    <xf numFmtId="0" fontId="8" fillId="0" borderId="16" xfId="0" applyFont="1" applyBorder="1" applyAlignment="1">
      <alignment horizontal="center"/>
    </xf>
    <xf numFmtId="14" fontId="0" fillId="0" borderId="25" xfId="0" applyNumberFormat="1" applyFont="1" applyBorder="1" applyAlignment="1">
      <alignment horizontal="center"/>
    </xf>
    <xf numFmtId="10" fontId="8" fillId="0" borderId="30" xfId="1" applyNumberFormat="1" applyFont="1" applyBorder="1" applyProtection="1">
      <protection locked="0"/>
    </xf>
    <xf numFmtId="4" fontId="8" fillId="0" borderId="29" xfId="0" applyNumberFormat="1" applyFont="1" applyBorder="1"/>
    <xf numFmtId="4" fontId="8" fillId="0" borderId="0" xfId="0" applyNumberFormat="1" applyFont="1" applyBorder="1"/>
    <xf numFmtId="0" fontId="8" fillId="0" borderId="0" xfId="0" applyNumberFormat="1" applyFont="1" applyBorder="1" applyAlignment="1"/>
    <xf numFmtId="4" fontId="8" fillId="0" borderId="109" xfId="0" applyNumberFormat="1" applyFont="1" applyBorder="1"/>
    <xf numFmtId="4" fontId="8" fillId="0" borderId="1" xfId="0" applyNumberFormat="1" applyFont="1" applyBorder="1"/>
    <xf numFmtId="4" fontId="8" fillId="0" borderId="24" xfId="0" applyNumberFormat="1" applyFont="1" applyBorder="1"/>
    <xf numFmtId="10" fontId="8" fillId="0" borderId="47" xfId="1" applyNumberFormat="1" applyFont="1" applyBorder="1" applyProtection="1">
      <protection locked="0"/>
    </xf>
    <xf numFmtId="4" fontId="8" fillId="0" borderId="48" xfId="0" applyNumberFormat="1" applyFont="1" applyBorder="1"/>
    <xf numFmtId="4" fontId="8" fillId="0" borderId="3" xfId="0" applyNumberFormat="1" applyFont="1" applyBorder="1"/>
    <xf numFmtId="0" fontId="8" fillId="0" borderId="3" xfId="0" applyNumberFormat="1" applyFont="1" applyBorder="1" applyAlignment="1"/>
    <xf numFmtId="4" fontId="8" fillId="0" borderId="110" xfId="0" applyNumberFormat="1" applyFont="1" applyBorder="1"/>
    <xf numFmtId="4" fontId="8" fillId="0" borderId="50" xfId="0" applyNumberFormat="1" applyFont="1" applyBorder="1"/>
    <xf numFmtId="4" fontId="8" fillId="0" borderId="49" xfId="0" applyNumberFormat="1" applyFont="1" applyBorder="1"/>
    <xf numFmtId="4" fontId="0" fillId="0" borderId="0" xfId="0" applyNumberFormat="1" applyFont="1"/>
    <xf numFmtId="0" fontId="0" fillId="4" borderId="0" xfId="0" applyFont="1" applyFill="1"/>
    <xf numFmtId="4" fontId="0" fillId="0" borderId="23" xfId="0" applyNumberFormat="1" applyFont="1" applyBorder="1"/>
    <xf numFmtId="0" fontId="0" fillId="4" borderId="24" xfId="0" applyFont="1" applyFill="1" applyBorder="1"/>
    <xf numFmtId="0" fontId="7" fillId="0" borderId="0" xfId="0" applyNumberFormat="1" applyFont="1" applyFill="1" applyBorder="1" applyAlignment="1" applyProtection="1"/>
    <xf numFmtId="0" fontId="11" fillId="0" borderId="0" xfId="0" applyNumberFormat="1" applyFont="1" applyFill="1" applyBorder="1" applyAlignment="1" applyProtection="1"/>
    <xf numFmtId="0" fontId="9" fillId="3" borderId="15" xfId="0" applyFont="1" applyFill="1" applyBorder="1" applyProtection="1">
      <protection locked="0"/>
    </xf>
    <xf numFmtId="0" fontId="9" fillId="3" borderId="15" xfId="3" applyFont="1" applyFill="1" applyBorder="1" applyProtection="1">
      <protection locked="0"/>
    </xf>
    <xf numFmtId="4" fontId="9" fillId="3" borderId="15" xfId="3" applyNumberFormat="1" applyFont="1" applyFill="1" applyBorder="1" applyProtection="1">
      <protection locked="0"/>
    </xf>
    <xf numFmtId="0" fontId="9" fillId="3" borderId="16" xfId="0" applyFont="1" applyFill="1" applyBorder="1" applyAlignment="1" applyProtection="1">
      <alignment horizontal="center"/>
      <protection locked="0"/>
    </xf>
    <xf numFmtId="4" fontId="9" fillId="3" borderId="15" xfId="0" applyNumberFormat="1" applyFont="1" applyFill="1" applyBorder="1" applyProtection="1">
      <protection locked="0"/>
    </xf>
    <xf numFmtId="14" fontId="9" fillId="3" borderId="16" xfId="0" applyNumberFormat="1" applyFont="1" applyFill="1" applyBorder="1" applyProtection="1">
      <protection locked="0"/>
    </xf>
    <xf numFmtId="2" fontId="9" fillId="3" borderId="15" xfId="0" applyNumberFormat="1" applyFont="1" applyFill="1" applyBorder="1" applyAlignment="1" applyProtection="1">
      <alignment horizontal="center"/>
      <protection locked="0"/>
    </xf>
    <xf numFmtId="10" fontId="9" fillId="3" borderId="15" xfId="0" applyNumberFormat="1" applyFont="1" applyFill="1" applyBorder="1" applyAlignment="1" applyProtection="1">
      <alignment horizontal="center"/>
      <protection locked="0"/>
    </xf>
    <xf numFmtId="4" fontId="9" fillId="3" borderId="16" xfId="0" applyNumberFormat="1" applyFont="1" applyFill="1" applyBorder="1" applyAlignment="1" applyProtection="1">
      <alignment horizontal="center"/>
      <protection locked="0"/>
    </xf>
    <xf numFmtId="0" fontId="9" fillId="3" borderId="45" xfId="0" applyFont="1" applyFill="1" applyBorder="1" applyAlignment="1" applyProtection="1">
      <alignment horizontal="center"/>
      <protection locked="0"/>
    </xf>
    <xf numFmtId="0" fontId="9" fillId="3" borderId="12" xfId="0" applyFont="1" applyFill="1" applyBorder="1" applyProtection="1">
      <protection locked="0"/>
    </xf>
    <xf numFmtId="0" fontId="9" fillId="3" borderId="16" xfId="0" applyFont="1" applyFill="1" applyBorder="1" applyProtection="1">
      <protection locked="0"/>
    </xf>
    <xf numFmtId="0" fontId="9" fillId="3" borderId="16" xfId="0" applyNumberFormat="1" applyFont="1" applyFill="1" applyBorder="1" applyAlignment="1" applyProtection="1">
      <alignment horizontal="center"/>
      <protection locked="0"/>
    </xf>
    <xf numFmtId="2" fontId="9" fillId="3" borderId="16" xfId="0" applyNumberFormat="1" applyFont="1" applyFill="1" applyBorder="1" applyAlignment="1" applyProtection="1">
      <alignment horizontal="center"/>
      <protection locked="0"/>
    </xf>
    <xf numFmtId="0" fontId="9" fillId="3" borderId="14" xfId="0" applyFont="1" applyFill="1" applyBorder="1" applyProtection="1">
      <protection locked="0"/>
    </xf>
    <xf numFmtId="0" fontId="9" fillId="3" borderId="14" xfId="3" applyFont="1" applyFill="1" applyBorder="1" applyProtection="1">
      <protection locked="0"/>
    </xf>
    <xf numFmtId="4" fontId="9" fillId="3" borderId="14" xfId="3" applyNumberFormat="1" applyFont="1" applyFill="1" applyBorder="1" applyProtection="1">
      <protection locked="0"/>
    </xf>
    <xf numFmtId="0" fontId="9" fillId="3" borderId="27" xfId="0" applyFont="1" applyFill="1" applyBorder="1" applyAlignment="1" applyProtection="1">
      <alignment horizontal="center"/>
      <protection locked="0"/>
    </xf>
    <xf numFmtId="4" fontId="9" fillId="3" borderId="14" xfId="0" applyNumberFormat="1" applyFont="1" applyFill="1" applyBorder="1" applyProtection="1">
      <protection locked="0"/>
    </xf>
    <xf numFmtId="14" fontId="9" fillId="3" borderId="27" xfId="0" applyNumberFormat="1" applyFont="1" applyFill="1" applyBorder="1" applyProtection="1">
      <protection locked="0"/>
    </xf>
    <xf numFmtId="2" fontId="9" fillId="3" borderId="14" xfId="0" applyNumberFormat="1" applyFont="1" applyFill="1" applyBorder="1" applyAlignment="1" applyProtection="1">
      <alignment horizontal="center"/>
      <protection locked="0"/>
    </xf>
    <xf numFmtId="10" fontId="9" fillId="3" borderId="14" xfId="0" applyNumberFormat="1" applyFont="1" applyFill="1" applyBorder="1" applyAlignment="1" applyProtection="1">
      <alignment horizontal="center"/>
      <protection locked="0"/>
    </xf>
    <xf numFmtId="4" fontId="9" fillId="3" borderId="27" xfId="0" applyNumberFormat="1" applyFont="1" applyFill="1" applyBorder="1" applyAlignment="1" applyProtection="1">
      <alignment horizontal="center"/>
      <protection locked="0"/>
    </xf>
    <xf numFmtId="0" fontId="9" fillId="3" borderId="46" xfId="0" applyFont="1" applyFill="1" applyBorder="1" applyAlignment="1" applyProtection="1">
      <alignment horizontal="center"/>
      <protection locked="0"/>
    </xf>
    <xf numFmtId="0" fontId="0" fillId="0" borderId="1" xfId="0" applyNumberFormat="1" applyFont="1" applyFill="1" applyBorder="1" applyAlignment="1" applyProtection="1"/>
    <xf numFmtId="0" fontId="7" fillId="0" borderId="0" xfId="0" applyNumberFormat="1" applyFont="1" applyFill="1" applyBorder="1" applyAlignment="1" applyProtection="1"/>
    <xf numFmtId="10" fontId="0" fillId="0" borderId="0" xfId="1" applyNumberFormat="1" applyFont="1" applyFill="1" applyBorder="1" applyAlignment="1" applyProtection="1"/>
    <xf numFmtId="10" fontId="0" fillId="0" borderId="0" xfId="0" applyNumberFormat="1" applyFont="1" applyFill="1" applyBorder="1" applyAlignment="1" applyProtection="1"/>
    <xf numFmtId="10" fontId="0" fillId="0" borderId="1" xfId="1" applyNumberFormat="1" applyFont="1" applyFill="1" applyBorder="1" applyAlignment="1" applyProtection="1"/>
    <xf numFmtId="0" fontId="0" fillId="0" borderId="0" xfId="0" applyNumberFormat="1" applyFont="1" applyFill="1" applyBorder="1" applyAlignment="1" applyProtection="1">
      <alignment horizontal="center"/>
    </xf>
    <xf numFmtId="0" fontId="3" fillId="0" borderId="0" xfId="0" applyNumberFormat="1" applyFont="1" applyFill="1" applyBorder="1" applyAlignment="1" applyProtection="1"/>
    <xf numFmtId="0" fontId="2" fillId="0" borderId="0" xfId="0" applyNumberFormat="1" applyFont="1" applyFill="1" applyBorder="1" applyAlignment="1" applyProtection="1">
      <alignment horizontal="center"/>
    </xf>
    <xf numFmtId="0" fontId="23" fillId="0" borderId="0" xfId="0" applyNumberFormat="1" applyFont="1" applyFill="1" applyBorder="1" applyAlignment="1" applyProtection="1"/>
    <xf numFmtId="0" fontId="0" fillId="0" borderId="24" xfId="0" applyFont="1" applyBorder="1"/>
    <xf numFmtId="0" fontId="24" fillId="0" borderId="0" xfId="0" applyNumberFormat="1" applyFont="1" applyFill="1" applyBorder="1" applyAlignment="1"/>
    <xf numFmtId="0" fontId="7" fillId="0" borderId="0" xfId="0" applyNumberFormat="1" applyFont="1" applyFill="1" applyBorder="1" applyAlignment="1" applyProtection="1"/>
    <xf numFmtId="0" fontId="8" fillId="0" borderId="16" xfId="0" applyFont="1" applyFill="1" applyBorder="1" applyAlignment="1" applyProtection="1">
      <alignment horizontal="center" vertical="center" wrapText="1"/>
      <protection locked="0"/>
    </xf>
    <xf numFmtId="0" fontId="8" fillId="0" borderId="12"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0" xfId="0" applyNumberFormat="1" applyFont="1" applyFill="1" applyBorder="1" applyAlignment="1"/>
    <xf numFmtId="0" fontId="9" fillId="3" borderId="15" xfId="0" applyFont="1" applyFill="1" applyBorder="1" applyAlignment="1" applyProtection="1">
      <alignment horizontal="center"/>
      <protection locked="0"/>
    </xf>
    <xf numFmtId="14" fontId="9" fillId="3" borderId="15" xfId="0" applyNumberFormat="1" applyFont="1" applyFill="1" applyBorder="1" applyProtection="1">
      <protection locked="0"/>
    </xf>
    <xf numFmtId="4" fontId="9" fillId="3" borderId="15" xfId="0" applyNumberFormat="1" applyFont="1" applyFill="1" applyBorder="1" applyAlignment="1" applyProtection="1">
      <alignment horizontal="center"/>
      <protection locked="0"/>
    </xf>
    <xf numFmtId="0" fontId="9" fillId="3" borderId="42" xfId="0" applyFont="1" applyFill="1" applyBorder="1" applyAlignment="1" applyProtection="1">
      <alignment horizontal="center"/>
      <protection locked="0"/>
    </xf>
    <xf numFmtId="14" fontId="0" fillId="0" borderId="35" xfId="0" applyNumberFormat="1" applyFont="1" applyBorder="1" applyAlignment="1">
      <alignment horizontal="center"/>
    </xf>
    <xf numFmtId="14" fontId="0" fillId="0" borderId="51" xfId="0" applyNumberFormat="1" applyFont="1" applyBorder="1" applyAlignment="1">
      <alignment horizontal="center"/>
    </xf>
    <xf numFmtId="14" fontId="0" fillId="0" borderId="10" xfId="0" applyNumberFormat="1" applyFont="1" applyBorder="1" applyAlignment="1">
      <alignment horizontal="center"/>
    </xf>
    <xf numFmtId="0" fontId="0" fillId="0" borderId="10" xfId="0" applyFont="1" applyBorder="1" applyAlignment="1" applyProtection="1">
      <alignment horizontal="center"/>
    </xf>
    <xf numFmtId="14" fontId="0" fillId="0" borderId="10" xfId="0" applyNumberFormat="1" applyFont="1" applyFill="1" applyBorder="1" applyAlignment="1" applyProtection="1">
      <alignment horizontal="center" vertical="center" wrapText="1"/>
    </xf>
    <xf numFmtId="14" fontId="0" fillId="0" borderId="10" xfId="0" applyNumberFormat="1" applyFont="1" applyBorder="1" applyAlignment="1" applyProtection="1">
      <alignment horizontal="center"/>
    </xf>
    <xf numFmtId="0" fontId="0" fillId="0" borderId="0" xfId="0" applyBorder="1"/>
    <xf numFmtId="4" fontId="0" fillId="0" borderId="24" xfId="0" applyNumberFormat="1" applyBorder="1"/>
    <xf numFmtId="4" fontId="0" fillId="0" borderId="24" xfId="0" applyNumberFormat="1" applyFont="1" applyBorder="1"/>
    <xf numFmtId="0" fontId="0" fillId="0" borderId="0" xfId="0" applyFont="1" applyBorder="1"/>
    <xf numFmtId="49" fontId="2" fillId="0" borderId="26" xfId="0" applyNumberFormat="1" applyFont="1" applyBorder="1" applyAlignment="1" applyProtection="1">
      <alignment horizontal="center"/>
      <protection locked="0"/>
    </xf>
    <xf numFmtId="4" fontId="0" fillId="1" borderId="26" xfId="0" applyNumberFormat="1" applyFont="1" applyFill="1" applyBorder="1" applyProtection="1">
      <protection locked="0"/>
    </xf>
    <xf numFmtId="4" fontId="0" fillId="1" borderId="26" xfId="0" applyNumberFormat="1" applyFont="1" applyFill="1" applyBorder="1"/>
    <xf numFmtId="4" fontId="0" fillId="1" borderId="32" xfId="0" applyNumberFormat="1" applyFont="1" applyFill="1" applyBorder="1"/>
    <xf numFmtId="171" fontId="0" fillId="3" borderId="16" xfId="0" applyNumberFormat="1" applyFont="1" applyFill="1" applyBorder="1" applyAlignment="1" applyProtection="1">
      <alignment horizontal="center"/>
      <protection locked="0"/>
    </xf>
    <xf numFmtId="171" fontId="0" fillId="3" borderId="25" xfId="0" applyNumberFormat="1" applyFont="1" applyFill="1" applyBorder="1" applyAlignment="1" applyProtection="1">
      <alignment horizontal="center"/>
      <protection locked="0"/>
    </xf>
    <xf numFmtId="4" fontId="0" fillId="3" borderId="34" xfId="0" applyNumberFormat="1" applyFont="1" applyFill="1" applyBorder="1" applyProtection="1">
      <protection locked="0"/>
    </xf>
    <xf numFmtId="4" fontId="0" fillId="0" borderId="0" xfId="0" applyNumberFormat="1" applyFont="1" applyBorder="1"/>
    <xf numFmtId="0" fontId="0" fillId="3" borderId="16" xfId="0" applyFont="1" applyFill="1" applyBorder="1" applyAlignment="1" applyProtection="1">
      <alignment wrapText="1"/>
      <protection locked="0"/>
    </xf>
    <xf numFmtId="4" fontId="0" fillId="3" borderId="12" xfId="0" applyNumberFormat="1" applyFont="1" applyFill="1" applyBorder="1" applyProtection="1">
      <protection locked="0"/>
    </xf>
    <xf numFmtId="0" fontId="0" fillId="0" borderId="116" xfId="0" applyFont="1" applyFill="1" applyBorder="1" applyAlignment="1" applyProtection="1">
      <alignment horizontal="center"/>
    </xf>
    <xf numFmtId="0" fontId="0" fillId="0" borderId="117" xfId="0" applyFont="1" applyFill="1" applyBorder="1" applyAlignment="1" applyProtection="1">
      <alignment horizontal="center"/>
    </xf>
    <xf numFmtId="0" fontId="0" fillId="0" borderId="118" xfId="0" applyFont="1" applyFill="1" applyBorder="1" applyProtection="1"/>
    <xf numFmtId="171" fontId="0" fillId="0" borderId="117" xfId="0" applyNumberFormat="1" applyFont="1" applyFill="1" applyBorder="1" applyAlignment="1" applyProtection="1">
      <alignment horizontal="center"/>
    </xf>
    <xf numFmtId="171" fontId="0" fillId="0" borderId="119" xfId="0" applyNumberFormat="1" applyFont="1" applyFill="1" applyBorder="1" applyAlignment="1" applyProtection="1">
      <alignment horizontal="center"/>
    </xf>
    <xf numFmtId="4" fontId="0" fillId="0" borderId="120" xfId="0" applyNumberFormat="1" applyFont="1" applyFill="1" applyBorder="1" applyProtection="1"/>
    <xf numFmtId="4" fontId="0" fillId="0" borderId="117" xfId="0" applyNumberFormat="1" applyFont="1" applyFill="1" applyBorder="1" applyProtection="1"/>
    <xf numFmtId="4" fontId="0" fillId="0" borderId="118" xfId="0" applyNumberFormat="1" applyFont="1" applyFill="1" applyBorder="1" applyProtection="1"/>
    <xf numFmtId="4" fontId="0" fillId="0" borderId="116" xfId="0" applyNumberFormat="1" applyFont="1" applyFill="1" applyBorder="1" applyProtection="1"/>
    <xf numFmtId="4" fontId="0" fillId="0" borderId="119" xfId="0" applyNumberFormat="1" applyFont="1" applyFill="1" applyBorder="1" applyProtection="1"/>
    <xf numFmtId="0" fontId="0" fillId="8" borderId="0" xfId="0" applyFont="1" applyFill="1" applyBorder="1" applyAlignment="1" applyProtection="1">
      <alignment horizontal="center"/>
      <protection locked="0"/>
    </xf>
    <xf numFmtId="0" fontId="0" fillId="8" borderId="18" xfId="0" applyFont="1" applyFill="1" applyBorder="1" applyProtection="1"/>
    <xf numFmtId="171" fontId="0" fillId="8" borderId="0" xfId="0" applyNumberFormat="1" applyFont="1" applyFill="1" applyBorder="1" applyAlignment="1" applyProtection="1">
      <alignment horizontal="center"/>
      <protection locked="0"/>
    </xf>
    <xf numFmtId="171" fontId="0" fillId="8" borderId="24" xfId="0" applyNumberFormat="1" applyFont="1" applyFill="1" applyBorder="1" applyAlignment="1" applyProtection="1">
      <alignment horizontal="center"/>
      <protection locked="0"/>
    </xf>
    <xf numFmtId="4" fontId="0" fillId="8" borderId="0" xfId="0" applyNumberFormat="1" applyFont="1" applyFill="1" applyBorder="1" applyProtection="1">
      <protection locked="0"/>
    </xf>
    <xf numFmtId="4" fontId="0" fillId="8" borderId="24" xfId="0" applyNumberFormat="1" applyFont="1" applyFill="1" applyBorder="1" applyProtection="1">
      <protection locked="0"/>
    </xf>
    <xf numFmtId="49" fontId="2" fillId="0" borderId="0" xfId="0" applyNumberFormat="1" applyFont="1" applyBorder="1" applyAlignment="1" applyProtection="1">
      <alignment horizontal="center"/>
      <protection locked="0"/>
    </xf>
    <xf numFmtId="0" fontId="0" fillId="3" borderId="10" xfId="0" applyFont="1" applyFill="1" applyBorder="1" applyAlignment="1" applyProtection="1">
      <alignment horizontal="center"/>
      <protection locked="0"/>
    </xf>
    <xf numFmtId="0" fontId="0" fillId="3" borderId="10" xfId="0" applyFont="1" applyFill="1" applyBorder="1" applyAlignment="1" applyProtection="1">
      <alignment wrapText="1"/>
      <protection locked="0"/>
    </xf>
    <xf numFmtId="171" fontId="0" fillId="3" borderId="10" xfId="0" applyNumberFormat="1" applyFont="1" applyFill="1" applyBorder="1" applyAlignment="1" applyProtection="1">
      <alignment horizontal="center"/>
      <protection locked="0"/>
    </xf>
    <xf numFmtId="171" fontId="0" fillId="3" borderId="13" xfId="0" applyNumberFormat="1" applyFont="1" applyFill="1" applyBorder="1" applyAlignment="1" applyProtection="1">
      <alignment horizontal="center"/>
      <protection locked="0"/>
    </xf>
    <xf numFmtId="4" fontId="0" fillId="3" borderId="51" xfId="0" applyNumberFormat="1" applyFont="1" applyFill="1" applyBorder="1" applyProtection="1">
      <protection locked="0"/>
    </xf>
    <xf numFmtId="4" fontId="0" fillId="3" borderId="10" xfId="0" applyNumberFormat="1" applyFont="1" applyFill="1" applyBorder="1" applyProtection="1">
      <protection locked="0"/>
    </xf>
    <xf numFmtId="0" fontId="0" fillId="0" borderId="122" xfId="0" applyFont="1" applyFill="1" applyBorder="1" applyAlignment="1" applyProtection="1">
      <alignment horizontal="center"/>
    </xf>
    <xf numFmtId="171" fontId="0" fillId="0" borderId="122" xfId="0" applyNumberFormat="1" applyFont="1" applyFill="1" applyBorder="1" applyAlignment="1" applyProtection="1">
      <alignment horizontal="center"/>
    </xf>
    <xf numFmtId="171" fontId="0" fillId="0" borderId="124" xfId="0" applyNumberFormat="1" applyFont="1" applyFill="1" applyBorder="1" applyAlignment="1" applyProtection="1">
      <alignment horizontal="center"/>
    </xf>
    <xf numFmtId="4" fontId="0" fillId="0" borderId="125" xfId="0" applyNumberFormat="1" applyFont="1" applyFill="1" applyBorder="1" applyProtection="1"/>
    <xf numFmtId="4" fontId="0" fillId="0" borderId="123" xfId="0" applyNumberFormat="1" applyFont="1" applyFill="1" applyBorder="1" applyProtection="1"/>
    <xf numFmtId="4" fontId="0" fillId="0" borderId="126" xfId="0" applyNumberFormat="1" applyFont="1" applyFill="1" applyBorder="1" applyProtection="1"/>
    <xf numFmtId="0" fontId="0" fillId="4" borderId="0" xfId="0" applyFont="1" applyFill="1" applyBorder="1" applyAlignment="1" applyProtection="1">
      <alignment horizontal="center"/>
    </xf>
    <xf numFmtId="171" fontId="0" fillId="4" borderId="0" xfId="0" applyNumberFormat="1" applyFont="1" applyFill="1" applyBorder="1" applyAlignment="1" applyProtection="1">
      <alignment horizontal="center"/>
    </xf>
    <xf numFmtId="171" fontId="0" fillId="4" borderId="24" xfId="0" applyNumberFormat="1" applyFont="1" applyFill="1" applyBorder="1" applyAlignment="1" applyProtection="1">
      <alignment horizontal="center"/>
    </xf>
    <xf numFmtId="4" fontId="0" fillId="4" borderId="67" xfId="0" applyNumberFormat="1" applyFont="1" applyFill="1" applyBorder="1" applyProtection="1"/>
    <xf numFmtId="4" fontId="0" fillId="4" borderId="0" xfId="0" applyNumberFormat="1" applyFont="1" applyFill="1" applyBorder="1" applyProtection="1"/>
    <xf numFmtId="4" fontId="0" fillId="4" borderId="121" xfId="0" applyNumberFormat="1" applyFont="1" applyFill="1" applyBorder="1" applyProtection="1"/>
    <xf numFmtId="0" fontId="0" fillId="0" borderId="1" xfId="0" applyFont="1" applyFill="1" applyBorder="1" applyProtection="1"/>
    <xf numFmtId="0" fontId="0" fillId="0" borderId="24" xfId="0" applyFont="1" applyBorder="1" applyAlignment="1" applyProtection="1"/>
    <xf numFmtId="0" fontId="0" fillId="0" borderId="0" xfId="0" applyFont="1" applyBorder="1" applyAlignment="1" applyProtection="1">
      <alignment horizontal="center"/>
    </xf>
    <xf numFmtId="0" fontId="0" fillId="0" borderId="24" xfId="0" applyFont="1" applyBorder="1" applyProtection="1"/>
    <xf numFmtId="0" fontId="0" fillId="0" borderId="1" xfId="0" applyFont="1" applyBorder="1" applyProtection="1"/>
    <xf numFmtId="0" fontId="0" fillId="0" borderId="0" xfId="0" applyFont="1" applyFill="1" applyBorder="1" applyAlignment="1" applyProtection="1">
      <alignment horizontal="left"/>
    </xf>
    <xf numFmtId="10" fontId="0" fillId="0" borderId="0" xfId="1" applyNumberFormat="1" applyFont="1" applyBorder="1" applyProtection="1"/>
    <xf numFmtId="0" fontId="0" fillId="0" borderId="0" xfId="0" applyFont="1" applyFill="1"/>
    <xf numFmtId="4" fontId="0" fillId="3" borderId="41" xfId="0" applyNumberFormat="1" applyFont="1" applyFill="1" applyBorder="1" applyProtection="1">
      <protection locked="0"/>
    </xf>
    <xf numFmtId="1" fontId="0" fillId="0" borderId="15" xfId="0" applyNumberFormat="1" applyFont="1" applyFill="1" applyBorder="1" applyAlignment="1" applyProtection="1">
      <alignment horizontal="center"/>
    </xf>
    <xf numFmtId="4" fontId="0" fillId="0" borderId="45" xfId="0" applyNumberFormat="1" applyFont="1" applyBorder="1" applyAlignment="1" applyProtection="1">
      <alignment horizontal="center"/>
    </xf>
    <xf numFmtId="0" fontId="0" fillId="0" borderId="44" xfId="0" applyFont="1" applyBorder="1" applyAlignment="1" applyProtection="1">
      <alignment wrapText="1"/>
    </xf>
    <xf numFmtId="0" fontId="0" fillId="0" borderId="44" xfId="0" applyFont="1" applyFill="1" applyBorder="1" applyAlignment="1" applyProtection="1">
      <alignment wrapText="1"/>
    </xf>
    <xf numFmtId="0" fontId="0" fillId="6" borderId="35" xfId="0" applyFont="1" applyFill="1" applyBorder="1" applyAlignment="1" applyProtection="1">
      <alignment horizontal="center" wrapText="1"/>
    </xf>
    <xf numFmtId="0" fontId="0" fillId="0" borderId="40" xfId="0" applyFont="1" applyBorder="1" applyAlignment="1" applyProtection="1">
      <alignment wrapText="1"/>
    </xf>
    <xf numFmtId="0" fontId="0" fillId="0" borderId="44" xfId="0" applyFont="1" applyFill="1" applyBorder="1" applyAlignment="1" applyProtection="1"/>
    <xf numFmtId="0" fontId="0" fillId="4" borderId="30" xfId="0" applyFont="1" applyFill="1" applyBorder="1" applyProtection="1"/>
    <xf numFmtId="0" fontId="25" fillId="0" borderId="0" xfId="0" applyFont="1"/>
    <xf numFmtId="0" fontId="7" fillId="0" borderId="0" xfId="0" applyNumberFormat="1" applyFont="1" applyFill="1" applyBorder="1" applyAlignment="1" applyProtection="1"/>
    <xf numFmtId="0" fontId="6" fillId="0" borderId="3" xfId="0" applyFont="1" applyBorder="1" applyAlignment="1"/>
    <xf numFmtId="1" fontId="0" fillId="0" borderId="34" xfId="0" applyNumberFormat="1" applyFont="1" applyFill="1" applyBorder="1" applyAlignment="1" applyProtection="1">
      <alignment horizontal="center"/>
    </xf>
    <xf numFmtId="1" fontId="28" fillId="0" borderId="16" xfId="0" applyNumberFormat="1" applyFont="1" applyBorder="1" applyAlignment="1">
      <alignment horizontal="center"/>
    </xf>
    <xf numFmtId="0" fontId="10" fillId="0" borderId="16" xfId="0" applyFont="1" applyBorder="1" applyAlignment="1" applyProtection="1">
      <alignment horizontal="center" wrapText="1"/>
      <protection locked="0"/>
    </xf>
    <xf numFmtId="0" fontId="0" fillId="0" borderId="16" xfId="0" applyBorder="1" applyAlignment="1" applyProtection="1">
      <alignment horizontal="center"/>
      <protection locked="0"/>
    </xf>
    <xf numFmtId="164" fontId="0" fillId="0" borderId="16" xfId="0" applyNumberFormat="1" applyBorder="1" applyAlignment="1" applyProtection="1">
      <alignment horizontal="center"/>
      <protection locked="0"/>
    </xf>
    <xf numFmtId="3" fontId="0" fillId="3" borderId="16" xfId="0" applyNumberFormat="1" applyFill="1" applyBorder="1" applyProtection="1">
      <protection locked="0"/>
    </xf>
    <xf numFmtId="164" fontId="0" fillId="0" borderId="16" xfId="0" applyNumberFormat="1" applyBorder="1"/>
    <xf numFmtId="0" fontId="10" fillId="0" borderId="16" xfId="0" applyFont="1" applyBorder="1" applyAlignment="1" applyProtection="1">
      <alignment horizontal="center"/>
      <protection locked="0"/>
    </xf>
    <xf numFmtId="3" fontId="28" fillId="0" borderId="16" xfId="0" applyNumberFormat="1" applyFont="1" applyBorder="1"/>
    <xf numFmtId="164" fontId="28" fillId="0" borderId="16" xfId="0" applyNumberFormat="1" applyFont="1" applyBorder="1"/>
    <xf numFmtId="0" fontId="0" fillId="4" borderId="0" xfId="0" applyFill="1"/>
    <xf numFmtId="0" fontId="28" fillId="4" borderId="131" xfId="0" applyFont="1" applyFill="1" applyBorder="1" applyAlignment="1">
      <alignment horizontal="right"/>
    </xf>
    <xf numFmtId="3" fontId="28" fillId="4" borderId="0" xfId="0" applyNumberFormat="1" applyFont="1" applyFill="1" applyBorder="1" applyAlignment="1"/>
    <xf numFmtId="164" fontId="28" fillId="4" borderId="0" xfId="0" applyNumberFormat="1" applyFont="1" applyFill="1" applyBorder="1" applyAlignment="1"/>
    <xf numFmtId="3" fontId="28" fillId="0" borderId="132" xfId="0" applyNumberFormat="1" applyFont="1" applyBorder="1"/>
    <xf numFmtId="164" fontId="28" fillId="0" borderId="132" xfId="0" applyNumberFormat="1" applyFont="1" applyBorder="1"/>
    <xf numFmtId="49" fontId="0" fillId="0" borderId="56" xfId="0" applyNumberFormat="1" applyFont="1" applyBorder="1" applyAlignment="1" applyProtection="1">
      <alignment horizontal="center" vertical="center"/>
    </xf>
    <xf numFmtId="4" fontId="9" fillId="0" borderId="18" xfId="0" applyNumberFormat="1" applyFont="1" applyBorder="1" applyProtection="1"/>
    <xf numFmtId="4" fontId="9" fillId="0" borderId="1" xfId="0" applyNumberFormat="1" applyFont="1" applyBorder="1" applyProtection="1"/>
    <xf numFmtId="4" fontId="9" fillId="0" borderId="0" xfId="0" applyNumberFormat="1" applyFont="1" applyBorder="1" applyProtection="1"/>
    <xf numFmtId="4" fontId="23" fillId="0" borderId="18" xfId="0" applyNumberFormat="1" applyFont="1" applyBorder="1" applyProtection="1"/>
    <xf numFmtId="4" fontId="23" fillId="0" borderId="1" xfId="0" applyNumberFormat="1" applyFont="1" applyBorder="1" applyProtection="1"/>
    <xf numFmtId="4" fontId="9" fillId="0" borderId="59" xfId="0" applyNumberFormat="1" applyFont="1" applyBorder="1" applyProtection="1"/>
    <xf numFmtId="4" fontId="9" fillId="0" borderId="60" xfId="0" applyNumberFormat="1" applyFont="1" applyBorder="1" applyProtection="1"/>
    <xf numFmtId="4" fontId="17" fillId="0" borderId="18" xfId="0" applyNumberFormat="1" applyFont="1" applyFill="1" applyBorder="1" applyProtection="1"/>
    <xf numFmtId="4" fontId="17" fillId="0" borderId="1" xfId="0" applyNumberFormat="1" applyFont="1" applyFill="1" applyBorder="1" applyProtection="1"/>
    <xf numFmtId="4" fontId="17" fillId="6" borderId="0" xfId="0" applyNumberFormat="1" applyFont="1" applyFill="1" applyBorder="1" applyProtection="1"/>
    <xf numFmtId="4" fontId="17" fillId="6" borderId="18" xfId="0" applyNumberFormat="1" applyFont="1" applyFill="1" applyBorder="1" applyProtection="1"/>
    <xf numFmtId="4" fontId="17" fillId="6" borderId="1" xfId="0" applyNumberFormat="1" applyFont="1" applyFill="1" applyBorder="1" applyProtection="1"/>
    <xf numFmtId="4" fontId="17" fillId="0" borderId="57" xfId="0" applyNumberFormat="1" applyFont="1" applyFill="1" applyBorder="1" applyProtection="1"/>
    <xf numFmtId="4" fontId="17" fillId="0" borderId="60" xfId="0" applyNumberFormat="1" applyFont="1" applyFill="1" applyBorder="1" applyProtection="1"/>
    <xf numFmtId="4" fontId="23" fillId="0" borderId="0" xfId="0" applyNumberFormat="1" applyFont="1" applyBorder="1" applyProtection="1"/>
    <xf numFmtId="4" fontId="17" fillId="0" borderId="0" xfId="0" applyNumberFormat="1" applyFont="1" applyFill="1" applyBorder="1" applyProtection="1"/>
    <xf numFmtId="0" fontId="9" fillId="0" borderId="1" xfId="0" applyNumberFormat="1" applyFont="1" applyBorder="1" applyAlignment="1" applyProtection="1">
      <alignment horizontal="center" vertical="center"/>
    </xf>
    <xf numFmtId="3" fontId="9" fillId="0" borderId="55" xfId="0" applyNumberFormat="1" applyFont="1" applyBorder="1" applyAlignment="1" applyProtection="1">
      <alignment horizontal="center" wrapText="1"/>
    </xf>
    <xf numFmtId="3" fontId="9" fillId="0" borderId="56" xfId="0" applyNumberFormat="1" applyFont="1" applyBorder="1" applyAlignment="1" applyProtection="1">
      <alignment horizontal="center" wrapText="1"/>
    </xf>
    <xf numFmtId="4" fontId="0" fillId="0" borderId="137" xfId="0" applyNumberFormat="1" applyFont="1" applyFill="1" applyBorder="1" applyProtection="1"/>
    <xf numFmtId="4" fontId="0" fillId="0" borderId="51" xfId="0" applyNumberFormat="1" applyFont="1" applyFill="1" applyBorder="1" applyProtection="1"/>
    <xf numFmtId="4" fontId="0" fillId="0" borderId="138" xfId="0" applyNumberFormat="1" applyFont="1" applyFill="1" applyBorder="1" applyProtection="1"/>
    <xf numFmtId="4" fontId="0" fillId="0" borderId="80" xfId="0" applyNumberFormat="1" applyFont="1" applyFill="1" applyBorder="1" applyProtection="1"/>
    <xf numFmtId="4" fontId="0" fillId="0" borderId="139" xfId="0" applyNumberFormat="1" applyFont="1" applyFill="1" applyBorder="1" applyProtection="1"/>
    <xf numFmtId="4" fontId="0" fillId="0" borderId="83" xfId="0" applyNumberFormat="1" applyFont="1" applyFill="1" applyBorder="1" applyProtection="1"/>
    <xf numFmtId="0" fontId="0" fillId="0" borderId="0" xfId="0" applyFont="1" applyBorder="1" applyAlignment="1" applyProtection="1">
      <alignment horizontal="left"/>
    </xf>
    <xf numFmtId="0" fontId="2" fillId="0" borderId="27" xfId="0" applyFont="1" applyBorder="1" applyAlignment="1" applyProtection="1"/>
    <xf numFmtId="0" fontId="2" fillId="0" borderId="27" xfId="0" applyFont="1" applyFill="1" applyBorder="1" applyAlignment="1" applyProtection="1">
      <alignment horizontal="center"/>
    </xf>
    <xf numFmtId="0" fontId="2" fillId="0" borderId="46" xfId="0" applyFont="1" applyFill="1" applyBorder="1" applyAlignment="1" applyProtection="1">
      <alignment horizontal="center"/>
    </xf>
    <xf numFmtId="0" fontId="2" fillId="0" borderId="127" xfId="0" applyFont="1" applyBorder="1" applyAlignment="1" applyProtection="1"/>
    <xf numFmtId="0" fontId="2" fillId="0" borderId="15" xfId="0" applyFont="1" applyBorder="1" applyAlignment="1" applyProtection="1">
      <alignment wrapText="1"/>
    </xf>
    <xf numFmtId="4" fontId="2" fillId="0" borderId="15" xfId="0" applyNumberFormat="1" applyFont="1" applyFill="1" applyBorder="1" applyProtection="1"/>
    <xf numFmtId="0" fontId="2" fillId="0" borderId="40" xfId="0" applyFont="1" applyBorder="1" applyAlignment="1" applyProtection="1">
      <alignment wrapText="1"/>
    </xf>
    <xf numFmtId="10" fontId="9" fillId="0" borderId="15" xfId="0" applyNumberFormat="1" applyFont="1" applyFill="1" applyBorder="1" applyAlignment="1" applyProtection="1">
      <alignment horizontal="center"/>
    </xf>
    <xf numFmtId="10" fontId="9" fillId="0" borderId="42" xfId="0" applyNumberFormat="1" applyFont="1" applyFill="1" applyBorder="1" applyAlignment="1" applyProtection="1">
      <alignment horizontal="center"/>
    </xf>
    <xf numFmtId="0" fontId="9" fillId="0" borderId="16" xfId="0" applyFont="1" applyBorder="1" applyAlignment="1" applyProtection="1">
      <alignment wrapText="1"/>
    </xf>
    <xf numFmtId="0" fontId="9" fillId="0" borderId="44" xfId="0" applyFont="1" applyBorder="1" applyAlignment="1" applyProtection="1">
      <alignment wrapText="1"/>
    </xf>
    <xf numFmtId="10" fontId="9" fillId="0" borderId="28" xfId="0" applyNumberFormat="1" applyFont="1" applyFill="1" applyBorder="1" applyAlignment="1" applyProtection="1">
      <alignment horizontal="center"/>
    </xf>
    <xf numFmtId="0" fontId="9" fillId="0" borderId="16" xfId="0" applyFont="1" applyFill="1" applyBorder="1" applyAlignment="1" applyProtection="1">
      <alignment wrapText="1"/>
    </xf>
    <xf numFmtId="4" fontId="9" fillId="0" borderId="15" xfId="0" applyNumberFormat="1" applyFont="1" applyFill="1" applyBorder="1" applyAlignment="1" applyProtection="1">
      <alignment horizontal="center"/>
    </xf>
    <xf numFmtId="4" fontId="9" fillId="0" borderId="16" xfId="0" applyNumberFormat="1" applyFont="1" applyBorder="1" applyProtection="1"/>
    <xf numFmtId="0" fontId="9" fillId="0" borderId="44" xfId="0" applyFont="1" applyFill="1" applyBorder="1" applyAlignment="1" applyProtection="1">
      <alignment wrapText="1"/>
    </xf>
    <xf numFmtId="4" fontId="2" fillId="0" borderId="16" xfId="0" applyNumberFormat="1" applyFont="1" applyBorder="1" applyProtection="1"/>
    <xf numFmtId="0" fontId="9" fillId="0" borderId="0" xfId="0" applyFont="1" applyBorder="1" applyAlignment="1" applyProtection="1">
      <alignment horizontal="center"/>
    </xf>
    <xf numFmtId="4" fontId="2" fillId="0" borderId="128" xfId="0" applyNumberFormat="1" applyFont="1" applyFill="1" applyBorder="1" applyProtection="1"/>
    <xf numFmtId="0" fontId="9" fillId="0" borderId="26" xfId="0" applyFont="1" applyFill="1" applyBorder="1" applyAlignment="1" applyProtection="1">
      <alignment wrapText="1"/>
    </xf>
    <xf numFmtId="1" fontId="2" fillId="0" borderId="99" xfId="0" applyNumberFormat="1" applyFont="1" applyFill="1" applyBorder="1" applyAlignment="1" applyProtection="1">
      <alignment horizontal="center"/>
    </xf>
    <xf numFmtId="1" fontId="2" fillId="0" borderId="50" xfId="0" applyNumberFormat="1" applyFont="1" applyFill="1" applyBorder="1" applyAlignment="1" applyProtection="1">
      <alignment horizontal="center"/>
    </xf>
    <xf numFmtId="1" fontId="2" fillId="0" borderId="14" xfId="0" applyNumberFormat="1" applyFont="1" applyFill="1" applyBorder="1" applyAlignment="1" applyProtection="1">
      <alignment horizontal="center"/>
    </xf>
    <xf numFmtId="0" fontId="2" fillId="0" borderId="100" xfId="0" applyFont="1" applyFill="1" applyBorder="1" applyAlignment="1" applyProtection="1">
      <alignment horizontal="center"/>
    </xf>
    <xf numFmtId="164" fontId="9" fillId="3" borderId="28" xfId="0" applyNumberFormat="1" applyFont="1" applyFill="1" applyBorder="1" applyAlignment="1" applyProtection="1">
      <alignment horizontal="center" vertical="center"/>
      <protection locked="0"/>
    </xf>
    <xf numFmtId="1" fontId="2" fillId="0" borderId="97" xfId="0" applyNumberFormat="1" applyFont="1" applyFill="1" applyBorder="1" applyAlignment="1" applyProtection="1">
      <alignment horizontal="center"/>
    </xf>
    <xf numFmtId="1" fontId="2" fillId="0" borderId="95" xfId="0" applyNumberFormat="1" applyFont="1" applyFill="1" applyBorder="1" applyAlignment="1" applyProtection="1">
      <alignment horizontal="center"/>
    </xf>
    <xf numFmtId="1" fontId="2" fillId="0" borderId="96" xfId="0" applyNumberFormat="1" applyFont="1" applyFill="1" applyBorder="1" applyAlignment="1" applyProtection="1">
      <alignment horizontal="center"/>
    </xf>
    <xf numFmtId="10" fontId="9" fillId="3" borderId="28" xfId="0" applyNumberFormat="1" applyFont="1" applyFill="1" applyBorder="1" applyAlignment="1" applyProtection="1">
      <alignment horizontal="center"/>
      <protection locked="0"/>
    </xf>
    <xf numFmtId="10" fontId="9" fillId="3" borderId="98" xfId="0" applyNumberFormat="1" applyFont="1" applyFill="1" applyBorder="1" applyAlignment="1" applyProtection="1">
      <alignment horizontal="center"/>
      <protection locked="0"/>
    </xf>
    <xf numFmtId="10" fontId="9" fillId="0" borderId="0" xfId="0" applyNumberFormat="1" applyFont="1" applyFill="1" applyBorder="1" applyAlignment="1" applyProtection="1"/>
    <xf numFmtId="0" fontId="0" fillId="0" borderId="0" xfId="0" applyNumberFormat="1" applyFont="1" applyFill="1" applyBorder="1" applyAlignment="1" applyProtection="1">
      <alignment horizontal="left"/>
    </xf>
    <xf numFmtId="167" fontId="9" fillId="3" borderId="98" xfId="0" applyNumberFormat="1" applyFont="1" applyFill="1" applyBorder="1" applyAlignment="1" applyProtection="1">
      <alignment horizontal="center"/>
      <protection locked="0"/>
    </xf>
    <xf numFmtId="167" fontId="9" fillId="3" borderId="28" xfId="0" applyNumberFormat="1" applyFont="1" applyFill="1" applyBorder="1" applyAlignment="1" applyProtection="1">
      <alignment horizontal="center"/>
      <protection locked="0"/>
    </xf>
    <xf numFmtId="168" fontId="9" fillId="3" borderId="44" xfId="0" applyNumberFormat="1" applyFont="1" applyFill="1" applyBorder="1" applyAlignment="1" applyProtection="1">
      <alignment horizontal="center"/>
      <protection locked="0"/>
    </xf>
    <xf numFmtId="168" fontId="9" fillId="3" borderId="16" xfId="0" applyNumberFormat="1" applyFont="1" applyFill="1" applyBorder="1" applyAlignment="1" applyProtection="1">
      <alignment horizontal="center"/>
      <protection locked="0"/>
    </xf>
    <xf numFmtId="4" fontId="0" fillId="0" borderId="16" xfId="0" applyNumberFormat="1" applyBorder="1"/>
    <xf numFmtId="1" fontId="28" fillId="0" borderId="15" xfId="0" applyNumberFormat="1" applyFont="1" applyBorder="1" applyAlignment="1">
      <alignment horizontal="center"/>
    </xf>
    <xf numFmtId="4" fontId="31" fillId="0" borderId="0" xfId="0" applyNumberFormat="1" applyFont="1"/>
    <xf numFmtId="0" fontId="15" fillId="0" borderId="0" xfId="0" applyFont="1"/>
    <xf numFmtId="4" fontId="15" fillId="0" borderId="0" xfId="0" applyNumberFormat="1" applyFont="1"/>
    <xf numFmtId="0" fontId="18" fillId="1" borderId="16" xfId="0" applyFont="1" applyFill="1" applyBorder="1" applyAlignment="1">
      <alignment horizontal="center"/>
    </xf>
    <xf numFmtId="0" fontId="9" fillId="0" borderId="120" xfId="0" applyFont="1" applyBorder="1" applyAlignment="1" applyProtection="1">
      <alignment wrapText="1"/>
    </xf>
    <xf numFmtId="4" fontId="0" fillId="0" borderId="117" xfId="0" applyNumberFormat="1" applyFont="1" applyBorder="1" applyProtection="1"/>
    <xf numFmtId="4" fontId="15" fillId="0" borderId="0" xfId="0" applyNumberFormat="1" applyFont="1" applyAlignment="1">
      <alignment horizontal="center"/>
    </xf>
    <xf numFmtId="0" fontId="16" fillId="0" borderId="0" xfId="0" applyNumberFormat="1" applyFont="1" applyFill="1" applyBorder="1" applyAlignment="1" applyProtection="1"/>
    <xf numFmtId="0" fontId="16" fillId="0" borderId="0" xfId="0" applyNumberFormat="1" applyFont="1" applyFill="1" applyBorder="1" applyAlignment="1"/>
    <xf numFmtId="0" fontId="0" fillId="0" borderId="109" xfId="0" applyFont="1" applyBorder="1"/>
    <xf numFmtId="0" fontId="11" fillId="0" borderId="109" xfId="0" applyNumberFormat="1" applyFont="1" applyFill="1" applyBorder="1" applyAlignment="1" applyProtection="1"/>
    <xf numFmtId="0" fontId="9" fillId="0" borderId="109" xfId="0" applyNumberFormat="1" applyFont="1" applyFill="1" applyBorder="1" applyAlignment="1" applyProtection="1"/>
    <xf numFmtId="0" fontId="0" fillId="0" borderId="0" xfId="0" applyProtection="1">
      <protection locked="0"/>
    </xf>
    <xf numFmtId="0" fontId="16" fillId="0" borderId="0" xfId="0" applyFont="1"/>
    <xf numFmtId="49" fontId="0" fillId="0" borderId="0" xfId="0" applyNumberFormat="1" applyAlignment="1">
      <alignment horizontal="center"/>
    </xf>
    <xf numFmtId="0" fontId="0" fillId="0" borderId="0" xfId="0" applyAlignment="1">
      <alignment horizontal="left"/>
    </xf>
    <xf numFmtId="0" fontId="0" fillId="0" borderId="16" xfId="0" applyNumberFormat="1" applyBorder="1" applyAlignment="1">
      <alignment horizontal="center" vertical="center"/>
    </xf>
    <xf numFmtId="4" fontId="0" fillId="0" borderId="9" xfId="0" applyNumberFormat="1" applyBorder="1"/>
    <xf numFmtId="49" fontId="0" fillId="0" borderId="57" xfId="0" applyNumberFormat="1" applyBorder="1" applyAlignment="1">
      <alignment horizontal="center"/>
    </xf>
    <xf numFmtId="0" fontId="16" fillId="0" borderId="57" xfId="0" applyFont="1" applyBorder="1"/>
    <xf numFmtId="4" fontId="16" fillId="0" borderId="58" xfId="0" applyNumberFormat="1" applyFont="1" applyBorder="1"/>
    <xf numFmtId="0" fontId="22" fillId="0" borderId="0" xfId="0" applyFont="1" applyAlignment="1">
      <alignment horizontal="left"/>
    </xf>
    <xf numFmtId="1" fontId="0" fillId="0" borderId="40" xfId="0" applyNumberFormat="1" applyFont="1" applyFill="1" applyBorder="1" applyAlignment="1" applyProtection="1">
      <alignment horizontal="center"/>
    </xf>
    <xf numFmtId="1" fontId="0" fillId="0" borderId="17" xfId="0" applyNumberFormat="1" applyFont="1" applyFill="1" applyBorder="1" applyAlignment="1" applyProtection="1">
      <alignment horizontal="center"/>
    </xf>
    <xf numFmtId="0" fontId="18" fillId="0" borderId="0" xfId="0" applyNumberFormat="1" applyFont="1" applyFill="1" applyBorder="1" applyAlignment="1"/>
    <xf numFmtId="4" fontId="17" fillId="6" borderId="18" xfId="0" applyNumberFormat="1" applyFont="1" applyFill="1" applyBorder="1" applyAlignment="1" applyProtection="1">
      <alignment vertical="center"/>
    </xf>
    <xf numFmtId="4" fontId="17" fillId="6" borderId="1" xfId="0" applyNumberFormat="1" applyFont="1" applyFill="1" applyBorder="1" applyAlignment="1" applyProtection="1">
      <alignment vertical="center"/>
    </xf>
    <xf numFmtId="0" fontId="0" fillId="0" borderId="0" xfId="0" applyFont="1" applyBorder="1" applyAlignment="1" applyProtection="1"/>
    <xf numFmtId="164" fontId="0" fillId="0" borderId="18" xfId="0" applyNumberFormat="1" applyFont="1" applyBorder="1" applyAlignment="1" applyProtection="1">
      <alignment horizontal="center" vertical="center"/>
    </xf>
    <xf numFmtId="0" fontId="9" fillId="0" borderId="18" xfId="0" applyNumberFormat="1" applyFont="1" applyBorder="1" applyAlignment="1" applyProtection="1">
      <alignment horizontal="center" vertical="center"/>
    </xf>
    <xf numFmtId="0" fontId="2" fillId="0" borderId="0" xfId="0" applyNumberFormat="1" applyFont="1" applyFill="1" applyBorder="1" applyAlignment="1" applyProtection="1"/>
    <xf numFmtId="0" fontId="9" fillId="0" borderId="0" xfId="0" applyNumberFormat="1" applyFont="1" applyBorder="1" applyAlignment="1" applyProtection="1"/>
    <xf numFmtId="0" fontId="0" fillId="0" borderId="0" xfId="0" applyFont="1" applyFill="1" applyBorder="1" applyAlignment="1" applyProtection="1"/>
    <xf numFmtId="0" fontId="2" fillId="0" borderId="76" xfId="0" applyFont="1" applyBorder="1" applyAlignment="1" applyProtection="1">
      <alignment wrapText="1"/>
    </xf>
    <xf numFmtId="0" fontId="2" fillId="0" borderId="16" xfId="0" applyNumberFormat="1" applyFont="1" applyBorder="1" applyAlignment="1" applyProtection="1">
      <alignment horizontal="center" vertical="center" wrapText="1"/>
    </xf>
    <xf numFmtId="0" fontId="9" fillId="0" borderId="0" xfId="0" applyNumberFormat="1" applyFont="1" applyBorder="1" applyProtection="1"/>
    <xf numFmtId="0" fontId="2" fillId="0" borderId="9" xfId="0" applyFont="1" applyBorder="1" applyAlignment="1" applyProtection="1">
      <alignment wrapText="1"/>
    </xf>
    <xf numFmtId="0" fontId="0" fillId="0" borderId="9" xfId="0" applyFont="1" applyBorder="1" applyAlignment="1" applyProtection="1">
      <alignment wrapText="1"/>
    </xf>
    <xf numFmtId="0" fontId="9" fillId="0" borderId="9" xfId="0" applyFont="1" applyBorder="1" applyAlignment="1" applyProtection="1">
      <alignment wrapText="1"/>
    </xf>
    <xf numFmtId="0" fontId="23" fillId="0" borderId="54" xfId="0" applyFont="1" applyBorder="1" applyAlignment="1" applyProtection="1">
      <alignment wrapText="1"/>
    </xf>
    <xf numFmtId="4" fontId="23" fillId="0" borderId="56" xfId="0" applyNumberFormat="1" applyFont="1" applyFill="1" applyBorder="1" applyProtection="1"/>
    <xf numFmtId="0" fontId="17" fillId="0" borderId="58" xfId="0" applyFont="1" applyFill="1" applyBorder="1" applyAlignment="1" applyProtection="1">
      <alignment wrapText="1"/>
    </xf>
    <xf numFmtId="0" fontId="23" fillId="0" borderId="62" xfId="0" applyFont="1" applyFill="1" applyBorder="1" applyAlignment="1" applyProtection="1">
      <alignment wrapText="1"/>
    </xf>
    <xf numFmtId="4" fontId="23" fillId="0" borderId="64" xfId="0" applyNumberFormat="1" applyFont="1" applyFill="1" applyBorder="1" applyProtection="1"/>
    <xf numFmtId="0" fontId="2" fillId="4" borderId="0" xfId="0" applyFont="1" applyFill="1" applyBorder="1" applyProtection="1"/>
    <xf numFmtId="0" fontId="2" fillId="4" borderId="66" xfId="0" applyFont="1" applyFill="1" applyBorder="1" applyProtection="1"/>
    <xf numFmtId="0" fontId="2" fillId="0" borderId="16" xfId="0" applyFont="1" applyBorder="1" applyAlignment="1" applyProtection="1">
      <alignment wrapText="1"/>
    </xf>
    <xf numFmtId="49" fontId="9" fillId="0" borderId="1" xfId="0" applyNumberFormat="1" applyFont="1" applyBorder="1" applyAlignment="1" applyProtection="1">
      <alignment horizontal="center" vertical="center"/>
    </xf>
    <xf numFmtId="7" fontId="9" fillId="0" borderId="52" xfId="2" applyNumberFormat="1" applyFont="1" applyBorder="1" applyAlignment="1" applyProtection="1">
      <alignment horizontal="center" vertical="center"/>
    </xf>
    <xf numFmtId="7" fontId="9" fillId="0" borderId="51" xfId="2" applyNumberFormat="1" applyFont="1" applyBorder="1" applyAlignment="1" applyProtection="1">
      <alignment horizontal="center" vertical="center"/>
    </xf>
    <xf numFmtId="0" fontId="17" fillId="0" borderId="72" xfId="0" applyFont="1" applyFill="1" applyBorder="1" applyAlignment="1" applyProtection="1">
      <alignment wrapText="1"/>
    </xf>
    <xf numFmtId="0" fontId="9" fillId="0" borderId="58" xfId="0" applyFont="1" applyBorder="1" applyAlignment="1" applyProtection="1">
      <alignment wrapText="1"/>
    </xf>
    <xf numFmtId="49" fontId="9" fillId="0" borderId="56" xfId="0" applyNumberFormat="1" applyFont="1" applyBorder="1" applyAlignment="1" applyProtection="1">
      <alignment horizontal="center" vertical="center"/>
    </xf>
    <xf numFmtId="0" fontId="2" fillId="0" borderId="62" xfId="0" applyFont="1" applyBorder="1" applyAlignment="1" applyProtection="1">
      <alignment wrapText="1"/>
    </xf>
    <xf numFmtId="0" fontId="9" fillId="0" borderId="54" xfId="0" applyFont="1" applyBorder="1" applyAlignment="1" applyProtection="1">
      <alignment wrapText="1"/>
    </xf>
    <xf numFmtId="0" fontId="9" fillId="0" borderId="72" xfId="0" applyFont="1" applyBorder="1" applyAlignment="1" applyProtection="1">
      <alignment wrapText="1"/>
    </xf>
    <xf numFmtId="49" fontId="9" fillId="0" borderId="66" xfId="0" applyNumberFormat="1" applyFont="1" applyBorder="1" applyAlignment="1" applyProtection="1">
      <alignment horizontal="center" vertical="center"/>
    </xf>
    <xf numFmtId="49" fontId="9" fillId="0" borderId="60" xfId="0" applyNumberFormat="1" applyFont="1" applyBorder="1" applyAlignment="1" applyProtection="1">
      <alignment horizontal="center" vertical="center"/>
    </xf>
    <xf numFmtId="0" fontId="2" fillId="4" borderId="1" xfId="0" applyFont="1" applyFill="1" applyBorder="1" applyProtection="1"/>
    <xf numFmtId="49" fontId="9" fillId="0" borderId="34" xfId="0" applyNumberFormat="1" applyFont="1" applyFill="1" applyBorder="1" applyAlignment="1" applyProtection="1">
      <alignment horizontal="center" vertical="center"/>
    </xf>
    <xf numFmtId="49" fontId="9" fillId="0" borderId="51"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horizontal="center" vertical="center"/>
    </xf>
    <xf numFmtId="10" fontId="0" fillId="0" borderId="57" xfId="1" applyNumberFormat="1" applyFont="1" applyBorder="1" applyAlignment="1" applyProtection="1">
      <alignment horizontal="center"/>
    </xf>
    <xf numFmtId="49" fontId="32" fillId="0" borderId="56" xfId="0" applyNumberFormat="1" applyFont="1" applyBorder="1" applyAlignment="1" applyProtection="1">
      <alignment horizontal="right" vertical="top"/>
    </xf>
    <xf numFmtId="0" fontId="2" fillId="4" borderId="67" xfId="0" applyFont="1" applyFill="1" applyBorder="1" applyProtection="1"/>
    <xf numFmtId="49" fontId="9" fillId="0" borderId="34" xfId="0" applyNumberFormat="1" applyFont="1" applyBorder="1" applyAlignment="1" applyProtection="1">
      <alignment horizontal="center" vertical="center"/>
    </xf>
    <xf numFmtId="7" fontId="9" fillId="0" borderId="16" xfId="2" applyNumberFormat="1" applyFont="1" applyBorder="1" applyAlignment="1" applyProtection="1">
      <alignment horizontal="center" vertical="center"/>
    </xf>
    <xf numFmtId="165" fontId="9" fillId="0" borderId="16" xfId="0" applyNumberFormat="1" applyFont="1" applyBorder="1" applyAlignment="1" applyProtection="1">
      <alignment horizontal="center" vertical="center"/>
    </xf>
    <xf numFmtId="165" fontId="9" fillId="0" borderId="136" xfId="0" applyNumberFormat="1" applyFont="1" applyBorder="1" applyAlignment="1" applyProtection="1">
      <alignment horizontal="center" vertical="center"/>
    </xf>
    <xf numFmtId="166" fontId="9" fillId="0" borderId="136" xfId="0" applyNumberFormat="1" applyFont="1" applyBorder="1" applyAlignment="1" applyProtection="1">
      <alignment horizontal="center" vertical="center"/>
    </xf>
    <xf numFmtId="7" fontId="9" fillId="0" borderId="9" xfId="2" applyNumberFormat="1" applyFont="1" applyBorder="1" applyAlignment="1" applyProtection="1">
      <alignment horizontal="center" vertical="center"/>
    </xf>
    <xf numFmtId="165" fontId="9" fillId="0" borderId="58" xfId="0" applyNumberFormat="1" applyFont="1" applyBorder="1" applyAlignment="1" applyProtection="1">
      <alignment horizontal="center" vertical="center"/>
    </xf>
    <xf numFmtId="0" fontId="2" fillId="0" borderId="15" xfId="0" applyFont="1" applyBorder="1" applyProtection="1"/>
    <xf numFmtId="0" fontId="9" fillId="0" borderId="9" xfId="0" applyFont="1" applyFill="1" applyBorder="1" applyAlignment="1" applyProtection="1">
      <alignment wrapText="1"/>
    </xf>
    <xf numFmtId="0" fontId="9" fillId="0" borderId="58" xfId="0" applyFont="1" applyFill="1" applyBorder="1" applyAlignment="1" applyProtection="1">
      <alignment wrapText="1"/>
    </xf>
    <xf numFmtId="49" fontId="9" fillId="0" borderId="26" xfId="0" applyNumberFormat="1" applyFont="1" applyBorder="1" applyAlignment="1" applyProtection="1"/>
    <xf numFmtId="49" fontId="9" fillId="0" borderId="26" xfId="0" applyNumberFormat="1" applyFont="1" applyBorder="1" applyAlignment="1" applyProtection="1">
      <alignment horizontal="center" vertical="center"/>
    </xf>
    <xf numFmtId="0" fontId="2" fillId="0" borderId="16" xfId="0" applyFont="1" applyBorder="1" applyAlignment="1" applyProtection="1">
      <alignment vertical="center" wrapText="1"/>
    </xf>
    <xf numFmtId="0" fontId="9" fillId="0" borderId="9" xfId="0" applyFont="1" applyBorder="1" applyAlignment="1" applyProtection="1">
      <alignment vertical="center" wrapText="1"/>
    </xf>
    <xf numFmtId="0" fontId="17" fillId="0" borderId="81" xfId="0" applyFont="1" applyBorder="1" applyAlignment="1" applyProtection="1">
      <alignment vertical="center" wrapText="1"/>
    </xf>
    <xf numFmtId="0" fontId="33" fillId="0" borderId="9" xfId="0" applyFont="1" applyBorder="1" applyAlignment="1" applyProtection="1">
      <alignment wrapText="1"/>
    </xf>
    <xf numFmtId="0" fontId="3" fillId="0" borderId="62" xfId="0" applyFont="1" applyBorder="1" applyAlignment="1" applyProtection="1">
      <alignment vertical="center" wrapText="1"/>
    </xf>
    <xf numFmtId="49" fontId="0" fillId="0" borderId="0" xfId="0" applyNumberFormat="1" applyFont="1" applyBorder="1" applyAlignment="1" applyProtection="1">
      <alignment horizontal="center" vertical="center"/>
    </xf>
    <xf numFmtId="0" fontId="17" fillId="0" borderId="69" xfId="0" applyFont="1" applyFill="1" applyBorder="1" applyAlignment="1" applyProtection="1">
      <alignment wrapText="1"/>
    </xf>
    <xf numFmtId="0" fontId="17" fillId="0" borderId="0" xfId="0" applyFont="1" applyFill="1" applyBorder="1" applyAlignment="1" applyProtection="1">
      <alignment wrapText="1"/>
    </xf>
    <xf numFmtId="49" fontId="0" fillId="0" borderId="1" xfId="0" applyNumberFormat="1" applyFont="1" applyBorder="1" applyAlignment="1" applyProtection="1">
      <alignment horizontal="center" vertical="center"/>
    </xf>
    <xf numFmtId="0" fontId="2" fillId="0" borderId="12" xfId="0" applyFont="1" applyBorder="1" applyAlignment="1" applyProtection="1">
      <alignment wrapText="1"/>
    </xf>
    <xf numFmtId="0" fontId="9" fillId="0" borderId="1" xfId="0" applyFont="1" applyBorder="1" applyAlignment="1" applyProtection="1">
      <alignment wrapText="1"/>
    </xf>
    <xf numFmtId="0" fontId="23" fillId="0" borderId="1" xfId="0" applyFont="1" applyBorder="1" applyAlignment="1" applyProtection="1">
      <alignment wrapText="1"/>
    </xf>
    <xf numFmtId="0" fontId="9" fillId="0" borderId="60" xfId="0" applyFont="1" applyBorder="1" applyAlignment="1" applyProtection="1">
      <alignment wrapText="1"/>
    </xf>
    <xf numFmtId="0" fontId="17" fillId="0" borderId="71" xfId="0" applyFont="1" applyFill="1" applyBorder="1" applyAlignment="1" applyProtection="1">
      <alignment wrapText="1"/>
    </xf>
    <xf numFmtId="0" fontId="17" fillId="0" borderId="60" xfId="0" applyFont="1" applyFill="1" applyBorder="1" applyAlignment="1" applyProtection="1">
      <alignment wrapText="1"/>
    </xf>
    <xf numFmtId="0" fontId="9" fillId="0" borderId="0" xfId="0" applyNumberFormat="1" applyFont="1" applyAlignment="1" applyProtection="1"/>
    <xf numFmtId="0" fontId="9" fillId="0" borderId="26" xfId="0" applyFont="1" applyBorder="1" applyAlignment="1" applyProtection="1">
      <alignment wrapText="1"/>
    </xf>
    <xf numFmtId="0" fontId="9" fillId="0" borderId="34" xfId="0" applyFont="1" applyBorder="1" applyAlignment="1" applyProtection="1">
      <alignment wrapText="1"/>
    </xf>
    <xf numFmtId="0" fontId="2" fillId="0" borderId="16" xfId="0" applyFont="1" applyBorder="1" applyProtection="1"/>
    <xf numFmtId="0" fontId="3" fillId="0" borderId="10" xfId="0" applyFont="1" applyBorder="1" applyAlignment="1" applyProtection="1">
      <alignment vertical="center" wrapText="1"/>
    </xf>
    <xf numFmtId="0" fontId="3" fillId="0" borderId="111" xfId="0" applyFont="1" applyBorder="1" applyAlignment="1" applyProtection="1">
      <alignment vertical="center" wrapText="1"/>
    </xf>
    <xf numFmtId="0" fontId="3" fillId="0" borderId="64" xfId="0" applyFont="1" applyBorder="1" applyAlignment="1" applyProtection="1">
      <alignment vertical="center" wrapText="1"/>
    </xf>
    <xf numFmtId="4" fontId="3" fillId="0" borderId="63" xfId="0" applyNumberFormat="1" applyFont="1" applyBorder="1" applyAlignment="1" applyProtection="1">
      <alignment horizontal="center" vertical="center"/>
    </xf>
    <xf numFmtId="4" fontId="3" fillId="0" borderId="64" xfId="0" applyNumberFormat="1" applyFont="1" applyBorder="1" applyAlignment="1" applyProtection="1">
      <alignment horizontal="center" vertical="center"/>
    </xf>
    <xf numFmtId="0" fontId="2" fillId="0" borderId="15" xfId="0" applyFont="1" applyBorder="1" applyAlignment="1" applyProtection="1">
      <alignment vertical="center" wrapText="1"/>
    </xf>
    <xf numFmtId="0" fontId="0" fillId="0" borderId="0" xfId="0" applyFont="1" applyBorder="1" applyAlignment="1" applyProtection="1"/>
    <xf numFmtId="4" fontId="9" fillId="0" borderId="57" xfId="0" applyNumberFormat="1" applyFont="1" applyBorder="1" applyAlignment="1" applyProtection="1"/>
    <xf numFmtId="4" fontId="9" fillId="0" borderId="60" xfId="0" applyNumberFormat="1" applyFont="1" applyBorder="1" applyAlignment="1" applyProtection="1"/>
    <xf numFmtId="0" fontId="23" fillId="0" borderId="18" xfId="0" applyNumberFormat="1" applyFont="1" applyBorder="1" applyAlignment="1"/>
    <xf numFmtId="0" fontId="9" fillId="0" borderId="18" xfId="0" applyFont="1" applyBorder="1"/>
    <xf numFmtId="0" fontId="9" fillId="0" borderId="9" xfId="0" applyFont="1" applyBorder="1" applyAlignment="1">
      <alignment horizontal="center"/>
    </xf>
    <xf numFmtId="0" fontId="23" fillId="0" borderId="18" xfId="0" applyFont="1" applyBorder="1"/>
    <xf numFmtId="0" fontId="2" fillId="0" borderId="18" xfId="0" applyFont="1" applyBorder="1"/>
    <xf numFmtId="0" fontId="9" fillId="0" borderId="18" xfId="0" applyNumberFormat="1" applyFont="1" applyBorder="1" applyAlignment="1"/>
    <xf numFmtId="0" fontId="9" fillId="0" borderId="9" xfId="0" applyNumberFormat="1" applyFont="1" applyBorder="1" applyAlignment="1">
      <alignment horizontal="center"/>
    </xf>
    <xf numFmtId="10" fontId="9" fillId="3" borderId="16" xfId="1" applyNumberFormat="1" applyFont="1" applyFill="1" applyBorder="1" applyAlignment="1" applyProtection="1">
      <alignment horizontal="center"/>
      <protection locked="0"/>
    </xf>
    <xf numFmtId="0" fontId="15" fillId="0" borderId="18" xfId="0" applyFont="1" applyFill="1" applyBorder="1" applyAlignment="1">
      <alignment horizontal="center"/>
    </xf>
    <xf numFmtId="0" fontId="15" fillId="0" borderId="9" xfId="0" applyFont="1" applyBorder="1" applyAlignment="1">
      <alignment vertical="top"/>
    </xf>
    <xf numFmtId="0" fontId="15" fillId="0" borderId="9" xfId="0" applyFont="1" applyBorder="1" applyAlignment="1">
      <alignment horizontal="center" vertical="top"/>
    </xf>
    <xf numFmtId="0" fontId="2" fillId="0" borderId="114" xfId="0" applyFont="1" applyBorder="1" applyAlignment="1">
      <alignment horizontal="center" vertical="center" wrapText="1"/>
    </xf>
    <xf numFmtId="0" fontId="2" fillId="0" borderId="115" xfId="0" applyFont="1" applyBorder="1" applyAlignment="1">
      <alignment horizontal="center" vertical="center" wrapText="1"/>
    </xf>
    <xf numFmtId="0" fontId="2" fillId="0" borderId="26" xfId="0" applyFont="1" applyBorder="1" applyAlignment="1" applyProtection="1">
      <alignment horizontal="center"/>
      <protection locked="0"/>
    </xf>
    <xf numFmtId="49" fontId="9" fillId="3" borderId="16" xfId="0" applyNumberFormat="1" applyFont="1" applyFill="1" applyBorder="1" applyAlignment="1" applyProtection="1">
      <alignment horizontal="center"/>
      <protection locked="0"/>
    </xf>
    <xf numFmtId="0" fontId="9" fillId="3" borderId="16" xfId="0" applyFont="1" applyFill="1" applyBorder="1" applyAlignment="1" applyProtection="1">
      <alignment wrapText="1"/>
      <protection locked="0"/>
    </xf>
    <xf numFmtId="0" fontId="2" fillId="0" borderId="0" xfId="0" applyFont="1" applyBorder="1" applyAlignment="1" applyProtection="1">
      <alignment horizontal="center"/>
      <protection locked="0"/>
    </xf>
    <xf numFmtId="0" fontId="2" fillId="0" borderId="123" xfId="0" applyFont="1" applyFill="1" applyBorder="1" applyProtection="1"/>
    <xf numFmtId="0" fontId="2" fillId="4" borderId="18" xfId="0" applyFont="1" applyFill="1" applyBorder="1" applyProtection="1"/>
    <xf numFmtId="0" fontId="2" fillId="0" borderId="0" xfId="0" applyFont="1" applyFill="1" applyBorder="1" applyAlignment="1" applyProtection="1">
      <alignment horizontal="left"/>
    </xf>
    <xf numFmtId="4" fontId="2" fillId="0" borderId="0" xfId="0" applyNumberFormat="1" applyFont="1" applyFill="1" applyBorder="1" applyAlignment="1" applyProtection="1">
      <alignment horizontal="center"/>
    </xf>
    <xf numFmtId="10" fontId="2" fillId="0" borderId="0" xfId="1" applyNumberFormat="1" applyFont="1" applyBorder="1" applyAlignment="1" applyProtection="1">
      <alignment horizontal="center"/>
    </xf>
    <xf numFmtId="0" fontId="9" fillId="0" borderId="0" xfId="0" applyFont="1" applyFill="1" applyBorder="1" applyAlignment="1" applyProtection="1">
      <alignment horizontal="left"/>
    </xf>
    <xf numFmtId="0" fontId="3" fillId="0" borderId="112" xfId="0" applyFont="1" applyFill="1" applyBorder="1" applyAlignment="1" applyProtection="1">
      <alignment horizontal="center" vertical="center"/>
    </xf>
    <xf numFmtId="4" fontId="0" fillId="0" borderId="16" xfId="0" applyNumberFormat="1" applyFont="1" applyBorder="1" applyAlignment="1" applyProtection="1">
      <alignment horizontal="center"/>
    </xf>
    <xf numFmtId="0" fontId="0" fillId="0" borderId="16" xfId="0" applyFont="1" applyBorder="1" applyAlignment="1" applyProtection="1">
      <alignment horizontal="center"/>
    </xf>
    <xf numFmtId="0" fontId="9" fillId="3" borderId="16" xfId="3" applyFont="1" applyFill="1" applyBorder="1" applyProtection="1">
      <protection locked="0"/>
    </xf>
    <xf numFmtId="0" fontId="9" fillId="3" borderId="16" xfId="4" applyNumberFormat="1" applyFont="1" applyFill="1" applyBorder="1" applyProtection="1">
      <protection locked="0"/>
    </xf>
    <xf numFmtId="7" fontId="9" fillId="0" borderId="52" xfId="2" applyNumberFormat="1" applyFont="1" applyBorder="1" applyAlignment="1" applyProtection="1">
      <alignment horizontal="center" vertical="center"/>
    </xf>
    <xf numFmtId="49" fontId="8" fillId="0" borderId="0" xfId="0" applyNumberFormat="1" applyFont="1" applyBorder="1" applyAlignment="1">
      <alignment horizontal="center"/>
    </xf>
    <xf numFmtId="4" fontId="0" fillId="0" borderId="44" xfId="0" applyNumberFormat="1" applyFont="1" applyFill="1" applyBorder="1" applyAlignment="1" applyProtection="1"/>
    <xf numFmtId="4" fontId="0" fillId="3" borderId="44" xfId="0" applyNumberFormat="1" applyFont="1" applyFill="1" applyBorder="1" applyAlignment="1" applyProtection="1">
      <protection locked="0"/>
    </xf>
    <xf numFmtId="4" fontId="0" fillId="0" borderId="127" xfId="0" applyNumberFormat="1" applyFont="1" applyFill="1" applyBorder="1" applyAlignment="1" applyProtection="1"/>
    <xf numFmtId="4" fontId="0" fillId="0" borderId="141" xfId="0" applyNumberFormat="1" applyFont="1" applyFill="1" applyBorder="1" applyProtection="1"/>
    <xf numFmtId="4" fontId="0" fillId="0" borderId="142" xfId="0" applyNumberFormat="1" applyFont="1" applyFill="1" applyBorder="1" applyProtection="1"/>
    <xf numFmtId="4" fontId="0" fillId="0" borderId="30" xfId="0" applyNumberFormat="1" applyFont="1" applyFill="1" applyBorder="1" applyProtection="1"/>
    <xf numFmtId="4" fontId="0" fillId="0" borderId="143" xfId="0" applyNumberFormat="1" applyFont="1" applyFill="1" applyBorder="1" applyProtection="1"/>
    <xf numFmtId="0" fontId="0" fillId="6" borderId="18" xfId="0" applyNumberFormat="1" applyFont="1" applyFill="1" applyBorder="1" applyProtection="1"/>
    <xf numFmtId="0" fontId="0" fillId="6" borderId="29" xfId="0" applyNumberFormat="1" applyFont="1" applyFill="1" applyBorder="1" applyProtection="1"/>
    <xf numFmtId="0" fontId="0" fillId="6" borderId="3" xfId="0" applyNumberFormat="1" applyFont="1" applyFill="1" applyBorder="1" applyProtection="1"/>
    <xf numFmtId="0" fontId="0" fillId="6" borderId="48" xfId="0" applyNumberFormat="1" applyFont="1" applyFill="1" applyBorder="1" applyProtection="1"/>
    <xf numFmtId="10" fontId="9" fillId="3" borderId="128" xfId="0" applyNumberFormat="1" applyFont="1" applyFill="1" applyBorder="1" applyAlignment="1" applyProtection="1">
      <alignment horizontal="center"/>
      <protection locked="0"/>
    </xf>
    <xf numFmtId="10" fontId="9" fillId="3" borderId="44" xfId="0" applyNumberFormat="1" applyFont="1" applyFill="1" applyBorder="1" applyAlignment="1" applyProtection="1">
      <alignment horizontal="center"/>
      <protection locked="0"/>
    </xf>
    <xf numFmtId="10" fontId="9" fillId="3" borderId="16" xfId="0" applyNumberFormat="1" applyFont="1" applyFill="1" applyBorder="1" applyAlignment="1" applyProtection="1">
      <alignment horizontal="center"/>
      <protection locked="0"/>
    </xf>
    <xf numFmtId="167" fontId="9" fillId="3" borderId="44" xfId="0" applyNumberFormat="1" applyFont="1" applyFill="1" applyBorder="1" applyAlignment="1" applyProtection="1">
      <alignment horizontal="center"/>
      <protection locked="0"/>
    </xf>
    <xf numFmtId="167" fontId="9" fillId="3" borderId="16" xfId="0" applyNumberFormat="1" applyFont="1" applyFill="1" applyBorder="1" applyAlignment="1" applyProtection="1">
      <alignment horizontal="center"/>
      <protection locked="0"/>
    </xf>
    <xf numFmtId="1" fontId="0" fillId="0" borderId="44" xfId="0" applyNumberFormat="1" applyFont="1" applyFill="1" applyBorder="1" applyAlignment="1" applyProtection="1">
      <alignment horizontal="center"/>
    </xf>
    <xf numFmtId="1" fontId="0" fillId="0" borderId="16" xfId="0" applyNumberFormat="1" applyFont="1" applyFill="1" applyBorder="1" applyAlignment="1" applyProtection="1">
      <alignment horizontal="center"/>
    </xf>
    <xf numFmtId="4" fontId="9" fillId="0" borderId="44" xfId="0" applyNumberFormat="1" applyFont="1" applyFill="1" applyBorder="1" applyAlignment="1" applyProtection="1">
      <alignment horizontal="center"/>
    </xf>
    <xf numFmtId="4" fontId="9" fillId="0" borderId="16" xfId="0" applyNumberFormat="1" applyFont="1" applyFill="1" applyBorder="1" applyAlignment="1" applyProtection="1">
      <alignment horizontal="center"/>
    </xf>
    <xf numFmtId="4" fontId="0" fillId="0" borderId="16" xfId="0" applyNumberFormat="1" applyFont="1" applyFill="1" applyBorder="1" applyAlignment="1" applyProtection="1"/>
    <xf numFmtId="4" fontId="0" fillId="3" borderId="16" xfId="0" applyNumberFormat="1" applyFont="1" applyFill="1" applyBorder="1" applyAlignment="1" applyProtection="1">
      <protection locked="0"/>
    </xf>
    <xf numFmtId="4" fontId="0" fillId="0" borderId="27" xfId="0" applyNumberFormat="1" applyFont="1" applyFill="1" applyBorder="1" applyAlignment="1" applyProtection="1"/>
    <xf numFmtId="4" fontId="0" fillId="0" borderId="45" xfId="0" applyNumberFormat="1" applyFont="1" applyFill="1" applyBorder="1" applyAlignment="1" applyProtection="1"/>
    <xf numFmtId="0" fontId="9" fillId="0" borderId="18" xfId="0" applyNumberFormat="1" applyFont="1" applyBorder="1" applyAlignment="1" applyProtection="1">
      <alignment horizontal="center" vertical="center"/>
    </xf>
    <xf numFmtId="4" fontId="0" fillId="3" borderId="45" xfId="0" applyNumberFormat="1" applyFont="1" applyFill="1" applyBorder="1" applyAlignment="1" applyProtection="1">
      <protection locked="0"/>
    </xf>
    <xf numFmtId="0" fontId="2" fillId="0" borderId="15" xfId="0" applyFont="1" applyBorder="1" applyAlignment="1" applyProtection="1">
      <alignment horizontal="center"/>
    </xf>
    <xf numFmtId="0" fontId="2" fillId="0" borderId="68" xfId="0" applyFont="1" applyBorder="1" applyAlignment="1" applyProtection="1">
      <alignment horizontal="center" vertical="center" wrapText="1"/>
    </xf>
    <xf numFmtId="0" fontId="2" fillId="0" borderId="0" xfId="0" applyFont="1" applyBorder="1" applyAlignment="1" applyProtection="1">
      <alignment horizontal="center" vertical="center"/>
    </xf>
    <xf numFmtId="0" fontId="2" fillId="0" borderId="16" xfId="0" applyFont="1" applyBorder="1" applyAlignment="1" applyProtection="1">
      <alignment horizontal="center"/>
    </xf>
    <xf numFmtId="0" fontId="0" fillId="0" borderId="0" xfId="0" applyNumberFormat="1" applyFont="1" applyFill="1" applyBorder="1" applyAlignment="1" applyProtection="1"/>
    <xf numFmtId="0" fontId="0" fillId="0" borderId="29" xfId="0" applyFont="1" applyBorder="1" applyAlignment="1" applyProtection="1">
      <alignment wrapText="1"/>
    </xf>
    <xf numFmtId="0" fontId="2" fillId="0" borderId="0" xfId="0" applyNumberFormat="1" applyFont="1" applyFill="1" applyBorder="1" applyAlignment="1" applyProtection="1"/>
    <xf numFmtId="0" fontId="2" fillId="3" borderId="16" xfId="0" applyNumberFormat="1" applyFont="1" applyFill="1" applyBorder="1" applyAlignment="1" applyProtection="1">
      <alignment horizontal="center" vertical="center"/>
      <protection locked="0"/>
    </xf>
    <xf numFmtId="10" fontId="9" fillId="3" borderId="16" xfId="0" applyNumberFormat="1" applyFont="1" applyFill="1" applyBorder="1" applyAlignment="1" applyProtection="1">
      <alignment horizontal="center" vertical="center"/>
      <protection locked="0"/>
    </xf>
    <xf numFmtId="49" fontId="2" fillId="0" borderId="0" xfId="0" applyNumberFormat="1" applyFont="1" applyAlignment="1" applyProtection="1">
      <alignment horizontal="center" vertical="center"/>
    </xf>
    <xf numFmtId="0" fontId="7" fillId="0" borderId="15" xfId="0" applyFont="1" applyBorder="1" applyAlignment="1" applyProtection="1">
      <alignment horizontal="center"/>
    </xf>
    <xf numFmtId="0" fontId="9" fillId="4" borderId="0" xfId="0" applyFont="1" applyFill="1" applyBorder="1" applyAlignment="1" applyProtection="1">
      <alignment horizontal="center"/>
    </xf>
    <xf numFmtId="0" fontId="7" fillId="0" borderId="16" xfId="0" applyFont="1" applyBorder="1" applyAlignment="1" applyProtection="1">
      <alignment horizontal="center"/>
    </xf>
    <xf numFmtId="0" fontId="0" fillId="4" borderId="88" xfId="0" applyFont="1" applyFill="1" applyBorder="1" applyProtection="1"/>
    <xf numFmtId="49" fontId="9" fillId="0" borderId="0" xfId="0" applyNumberFormat="1" applyFont="1" applyFill="1" applyBorder="1" applyAlignment="1" applyProtection="1">
      <alignment horizontal="center" vertical="center"/>
    </xf>
    <xf numFmtId="0" fontId="0" fillId="0" borderId="0" xfId="0" applyNumberFormat="1" applyFont="1" applyFill="1" applyBorder="1" applyProtection="1"/>
    <xf numFmtId="49" fontId="0" fillId="4" borderId="0" xfId="0" applyNumberFormat="1" applyFont="1" applyFill="1" applyBorder="1" applyAlignment="1" applyProtection="1">
      <alignment horizontal="center" vertical="center"/>
    </xf>
    <xf numFmtId="0" fontId="9" fillId="4" borderId="0" xfId="0" applyFont="1" applyFill="1" applyBorder="1" applyProtection="1"/>
    <xf numFmtId="49" fontId="9" fillId="0" borderId="0" xfId="0" applyNumberFormat="1" applyFont="1" applyFill="1" applyBorder="1" applyAlignment="1" applyProtection="1">
      <alignment horizontal="center"/>
    </xf>
    <xf numFmtId="0" fontId="0" fillId="4" borderId="1" xfId="0" applyFont="1" applyFill="1" applyBorder="1" applyProtection="1"/>
    <xf numFmtId="49" fontId="2" fillId="0" borderId="0" xfId="0" applyNumberFormat="1" applyFont="1" applyFill="1" applyBorder="1" applyAlignment="1" applyProtection="1">
      <alignment horizontal="center" vertical="center"/>
    </xf>
    <xf numFmtId="0" fontId="15" fillId="0" borderId="0" xfId="0" applyFont="1" applyFill="1" applyAlignment="1" applyProtection="1">
      <alignment horizontal="left"/>
    </xf>
    <xf numFmtId="49" fontId="7" fillId="0" borderId="0" xfId="0" applyNumberFormat="1" applyFont="1" applyFill="1" applyBorder="1" applyAlignment="1" applyProtection="1">
      <alignment horizontal="center" vertical="center"/>
    </xf>
    <xf numFmtId="49" fontId="9" fillId="0" borderId="0" xfId="0" applyNumberFormat="1" applyFont="1" applyAlignment="1" applyProtection="1">
      <alignment horizontal="center" vertical="center"/>
    </xf>
    <xf numFmtId="0" fontId="0" fillId="6" borderId="26" xfId="0" applyNumberFormat="1" applyFont="1" applyFill="1" applyBorder="1" applyProtection="1">
      <protection locked="0"/>
    </xf>
    <xf numFmtId="0" fontId="0" fillId="6" borderId="43" xfId="0" applyNumberFormat="1" applyFont="1" applyFill="1" applyBorder="1" applyProtection="1">
      <protection locked="0"/>
    </xf>
    <xf numFmtId="169" fontId="0" fillId="6" borderId="42" xfId="0" applyNumberFormat="1" applyFont="1" applyFill="1" applyBorder="1" applyProtection="1">
      <protection locked="0"/>
    </xf>
    <xf numFmtId="0" fontId="0" fillId="0" borderId="0" xfId="0" applyNumberFormat="1" applyFont="1" applyFill="1" applyBorder="1" applyAlignment="1" applyProtection="1"/>
    <xf numFmtId="0" fontId="2" fillId="0" borderId="0" xfId="0" applyNumberFormat="1" applyFont="1" applyFill="1" applyBorder="1" applyAlignment="1" applyProtection="1"/>
    <xf numFmtId="0" fontId="2" fillId="0" borderId="0" xfId="0" applyNumberFormat="1" applyFont="1" applyFill="1" applyBorder="1" applyAlignment="1" applyProtection="1"/>
    <xf numFmtId="0" fontId="0" fillId="0" borderId="0" xfId="0" applyNumberFormat="1" applyFont="1" applyFill="1" applyBorder="1" applyAlignment="1" applyProtection="1"/>
    <xf numFmtId="0" fontId="2" fillId="0" borderId="0" xfId="1" applyNumberFormat="1" applyFont="1" applyFill="1" applyBorder="1" applyAlignment="1" applyProtection="1"/>
    <xf numFmtId="0" fontId="9" fillId="0" borderId="0" xfId="1" applyNumberFormat="1" applyFont="1" applyFill="1" applyBorder="1" applyAlignment="1" applyProtection="1"/>
    <xf numFmtId="0" fontId="2" fillId="0" borderId="0" xfId="0" applyNumberFormat="1" applyFont="1" applyFill="1" applyBorder="1" applyAlignment="1">
      <alignment horizontal="center"/>
    </xf>
    <xf numFmtId="4" fontId="0" fillId="0" borderId="0" xfId="0" applyNumberFormat="1" applyFont="1" applyAlignment="1">
      <alignment horizontal="center"/>
    </xf>
    <xf numFmtId="10" fontId="0" fillId="0" borderId="0" xfId="1" applyNumberFormat="1" applyFont="1" applyAlignment="1">
      <alignment horizontal="center"/>
    </xf>
    <xf numFmtId="10" fontId="16" fillId="0" borderId="0" xfId="1" applyNumberFormat="1" applyFont="1" applyAlignment="1">
      <alignment horizontal="center"/>
    </xf>
    <xf numFmtId="0" fontId="2" fillId="0" borderId="0" xfId="0" applyNumberFormat="1" applyFont="1" applyFill="1" applyBorder="1" applyAlignment="1" applyProtection="1"/>
    <xf numFmtId="0" fontId="0" fillId="0" borderId="0" xfId="0" applyNumberFormat="1" applyFont="1" applyFill="1" applyBorder="1" applyAlignment="1" applyProtection="1"/>
    <xf numFmtId="0" fontId="8" fillId="0" borderId="16" xfId="0" applyFont="1" applyBorder="1" applyAlignment="1">
      <alignment horizontal="center" vertical="center" wrapText="1"/>
    </xf>
    <xf numFmtId="0" fontId="8" fillId="0" borderId="16" xfId="0" applyFont="1" applyFill="1" applyBorder="1" applyAlignment="1" applyProtection="1">
      <alignment horizontal="center" vertical="center" wrapText="1"/>
      <protection locked="0"/>
    </xf>
    <xf numFmtId="0" fontId="0" fillId="0" borderId="0" xfId="0" applyNumberFormat="1" applyFont="1" applyFill="1" applyBorder="1" applyAlignment="1" applyProtection="1"/>
    <xf numFmtId="0" fontId="9" fillId="0" borderId="26" xfId="0" applyFont="1" applyBorder="1" applyAlignment="1" applyProtection="1">
      <alignment horizontal="center"/>
    </xf>
    <xf numFmtId="0" fontId="0" fillId="0" borderId="0" xfId="0" applyFont="1" applyBorder="1" applyAlignment="1" applyProtection="1">
      <alignment wrapText="1"/>
    </xf>
    <xf numFmtId="4" fontId="9" fillId="0" borderId="0" xfId="0" applyNumberFormat="1" applyFont="1" applyFill="1" applyBorder="1" applyAlignment="1" applyProtection="1">
      <alignment horizontal="center"/>
    </xf>
    <xf numFmtId="4" fontId="9" fillId="0" borderId="1" xfId="0" applyNumberFormat="1" applyFont="1" applyFill="1" applyBorder="1" applyAlignment="1" applyProtection="1">
      <alignment horizontal="center"/>
    </xf>
    <xf numFmtId="0" fontId="37" fillId="0" borderId="3" xfId="0" applyFont="1" applyBorder="1" applyAlignment="1">
      <alignment vertical="center"/>
    </xf>
    <xf numFmtId="0" fontId="30" fillId="0" borderId="0" xfId="0" applyFont="1" applyFill="1" applyBorder="1" applyAlignment="1" applyProtection="1"/>
    <xf numFmtId="0" fontId="36" fillId="0" borderId="0" xfId="0" applyFont="1"/>
    <xf numFmtId="0" fontId="37" fillId="0" borderId="18" xfId="0" applyFont="1" applyBorder="1" applyAlignment="1">
      <alignment vertical="center"/>
    </xf>
    <xf numFmtId="4" fontId="0" fillId="0" borderId="15" xfId="0" applyNumberFormat="1" applyFont="1" applyBorder="1" applyProtection="1"/>
    <xf numFmtId="4" fontId="0" fillId="0" borderId="15" xfId="0" applyNumberFormat="1" applyFont="1" applyFill="1" applyBorder="1" applyProtection="1"/>
    <xf numFmtId="0" fontId="9" fillId="0" borderId="16" xfId="0" applyFont="1" applyBorder="1" applyAlignment="1" applyProtection="1">
      <alignment horizontal="center"/>
    </xf>
    <xf numFmtId="0" fontId="9" fillId="0" borderId="12" xfId="0" applyFont="1" applyFill="1" applyBorder="1" applyProtection="1"/>
    <xf numFmtId="0" fontId="9" fillId="0" borderId="43" xfId="0" applyFont="1" applyBorder="1" applyAlignment="1" applyProtection="1">
      <alignment horizontal="center"/>
    </xf>
    <xf numFmtId="4" fontId="0" fillId="0" borderId="42" xfId="0" applyNumberFormat="1" applyFont="1" applyBorder="1" applyProtection="1"/>
    <xf numFmtId="4" fontId="0" fillId="0" borderId="149" xfId="0" applyNumberFormat="1" applyFont="1" applyBorder="1" applyProtection="1"/>
    <xf numFmtId="0" fontId="0" fillId="0" borderId="0" xfId="0" applyNumberFormat="1" applyFont="1" applyFill="1" applyBorder="1" applyAlignment="1" applyProtection="1"/>
    <xf numFmtId="1" fontId="0" fillId="0" borderId="0" xfId="0" applyNumberFormat="1" applyFont="1" applyFill="1" applyBorder="1" applyAlignment="1" applyProtection="1">
      <alignment horizontal="center"/>
    </xf>
    <xf numFmtId="4" fontId="0" fillId="0" borderId="0" xfId="0" applyNumberFormat="1" applyFont="1" applyFill="1" applyBorder="1" applyAlignment="1" applyProtection="1"/>
    <xf numFmtId="0" fontId="0" fillId="0" borderId="0" xfId="0" applyNumberFormat="1" applyFont="1" applyFill="1" applyAlignment="1" applyProtection="1"/>
    <xf numFmtId="1" fontId="0" fillId="6" borderId="21" xfId="0" applyNumberFormat="1" applyFont="1" applyFill="1" applyBorder="1" applyProtection="1"/>
    <xf numFmtId="1" fontId="0" fillId="6" borderId="22" xfId="0" applyNumberFormat="1" applyFont="1" applyFill="1" applyBorder="1" applyProtection="1"/>
    <xf numFmtId="1" fontId="0" fillId="6" borderId="144" xfId="0" applyNumberFormat="1" applyFont="1" applyFill="1" applyBorder="1" applyProtection="1"/>
    <xf numFmtId="0" fontId="0" fillId="6" borderId="151" xfId="0" applyNumberFormat="1" applyFont="1" applyFill="1" applyBorder="1" applyProtection="1"/>
    <xf numFmtId="0" fontId="9" fillId="0" borderId="16" xfId="0" applyFont="1" applyFill="1" applyBorder="1" applyAlignment="1" applyProtection="1">
      <alignment horizontal="center" wrapText="1"/>
      <protection locked="0"/>
    </xf>
    <xf numFmtId="0" fontId="2" fillId="0" borderId="10"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14" fontId="0" fillId="0" borderId="52" xfId="0" applyNumberFormat="1" applyFont="1" applyFill="1" applyBorder="1" applyAlignment="1" applyProtection="1">
      <alignment horizontal="center" vertical="center" wrapText="1"/>
      <protection locked="0"/>
    </xf>
    <xf numFmtId="4" fontId="31" fillId="0" borderId="22" xfId="0" applyNumberFormat="1" applyFont="1" applyBorder="1"/>
    <xf numFmtId="0" fontId="0" fillId="0" borderId="152" xfId="0" applyFont="1" applyBorder="1" applyAlignment="1" applyProtection="1">
      <alignment horizontal="center"/>
    </xf>
    <xf numFmtId="4" fontId="15" fillId="0" borderId="109" xfId="0" applyNumberFormat="1" applyFont="1" applyBorder="1"/>
    <xf numFmtId="4" fontId="15" fillId="0" borderId="110" xfId="0" applyNumberFormat="1" applyFont="1" applyBorder="1"/>
    <xf numFmtId="4" fontId="31" fillId="0" borderId="109" xfId="0" applyNumberFormat="1" applyFont="1" applyBorder="1"/>
    <xf numFmtId="0" fontId="0" fillId="4" borderId="109" xfId="0" applyFill="1" applyBorder="1"/>
    <xf numFmtId="0" fontId="11" fillId="0" borderId="109" xfId="0" applyNumberFormat="1" applyFont="1" applyFill="1" applyBorder="1" applyAlignment="1"/>
    <xf numFmtId="0" fontId="18" fillId="0" borderId="109" xfId="0" applyFont="1" applyBorder="1"/>
    <xf numFmtId="0" fontId="0" fillId="0" borderId="109" xfId="0" applyBorder="1"/>
    <xf numFmtId="0" fontId="0" fillId="0" borderId="0" xfId="0" applyNumberFormat="1" applyFont="1" applyFill="1" applyBorder="1" applyAlignment="1" applyProtection="1"/>
    <xf numFmtId="0" fontId="2" fillId="0" borderId="0" xfId="0" applyNumberFormat="1" applyFont="1" applyFill="1" applyBorder="1" applyAlignment="1" applyProtection="1"/>
    <xf numFmtId="49" fontId="0" fillId="0" borderId="1" xfId="0" applyNumberFormat="1"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1" xfId="0" applyBorder="1" applyAlignment="1">
      <alignment horizontal="center" vertical="center"/>
    </xf>
    <xf numFmtId="49" fontId="9" fillId="0" borderId="1" xfId="0" applyNumberFormat="1" applyFont="1" applyBorder="1" applyAlignment="1" applyProtection="1">
      <alignment horizontal="center" vertical="center"/>
    </xf>
    <xf numFmtId="0" fontId="9" fillId="0" borderId="0" xfId="0" applyFont="1" applyBorder="1" applyAlignment="1" applyProtection="1"/>
    <xf numFmtId="0" fontId="9" fillId="0" borderId="1" xfId="0" applyFont="1" applyBorder="1" applyAlignment="1" applyProtection="1"/>
    <xf numFmtId="0" fontId="0" fillId="0" borderId="0" xfId="0" applyFont="1" applyBorder="1" applyAlignment="1" applyProtection="1"/>
    <xf numFmtId="0" fontId="0" fillId="0" borderId="1" xfId="0" applyFont="1" applyBorder="1" applyAlignment="1" applyProtection="1"/>
    <xf numFmtId="0" fontId="1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51" xfId="0" applyFont="1" applyBorder="1" applyAlignment="1" applyProtection="1">
      <alignment horizontal="center" vertical="center"/>
    </xf>
    <xf numFmtId="0" fontId="0" fillId="0" borderId="34" xfId="0" applyFont="1" applyBorder="1" applyAlignment="1" applyProtection="1">
      <alignment horizontal="center" vertical="center"/>
    </xf>
    <xf numFmtId="0" fontId="2" fillId="0" borderId="10" xfId="0" applyFont="1" applyBorder="1" applyAlignment="1" applyProtection="1">
      <alignment horizontal="center" vertical="center"/>
    </xf>
    <xf numFmtId="0" fontId="0" fillId="0" borderId="9" xfId="0" applyFont="1" applyBorder="1" applyAlignment="1" applyProtection="1">
      <alignment horizontal="center" vertical="center"/>
    </xf>
    <xf numFmtId="0" fontId="0" fillId="0" borderId="15" xfId="0" applyFont="1" applyBorder="1" applyAlignment="1" applyProtection="1">
      <alignment horizontal="center" vertical="center"/>
    </xf>
    <xf numFmtId="0" fontId="2" fillId="0" borderId="11" xfId="0" applyFont="1" applyBorder="1" applyAlignment="1" applyProtection="1">
      <alignment horizontal="center" vertical="center"/>
    </xf>
    <xf numFmtId="0" fontId="0" fillId="0" borderId="37" xfId="0" applyFont="1" applyBorder="1" applyAlignment="1" applyProtection="1">
      <alignment horizontal="center" vertical="center"/>
    </xf>
    <xf numFmtId="0" fontId="0" fillId="0" borderId="12" xfId="0" applyFont="1" applyBorder="1" applyAlignment="1" applyProtection="1">
      <alignment horizontal="center" vertical="center"/>
    </xf>
    <xf numFmtId="0" fontId="2" fillId="0" borderId="16" xfId="0" applyFont="1" applyBorder="1" applyAlignment="1" applyProtection="1">
      <alignment horizontal="center"/>
    </xf>
    <xf numFmtId="0" fontId="2" fillId="0" borderId="12" xfId="0" applyFont="1" applyBorder="1" applyAlignment="1" applyProtection="1">
      <alignment horizontal="center"/>
    </xf>
    <xf numFmtId="0" fontId="9" fillId="6" borderId="59" xfId="0" applyFont="1" applyFill="1" applyBorder="1" applyAlignment="1" applyProtection="1">
      <alignment horizontal="center"/>
    </xf>
    <xf numFmtId="0" fontId="9" fillId="6" borderId="60" xfId="0" applyFont="1" applyFill="1" applyBorder="1" applyAlignment="1" applyProtection="1">
      <alignment horizontal="center"/>
    </xf>
    <xf numFmtId="0" fontId="3" fillId="0" borderId="26" xfId="0" applyFont="1" applyFill="1" applyBorder="1" applyAlignment="1" applyProtection="1">
      <alignment horizontal="center" wrapText="1"/>
    </xf>
    <xf numFmtId="0" fontId="6" fillId="0" borderId="26" xfId="0" applyFont="1" applyBorder="1" applyAlignment="1" applyProtection="1">
      <alignment horizontal="center" wrapText="1"/>
    </xf>
    <xf numFmtId="0" fontId="6" fillId="0" borderId="34" xfId="0" applyFont="1" applyBorder="1" applyAlignment="1" applyProtection="1">
      <alignment horizontal="center" wrapText="1"/>
    </xf>
    <xf numFmtId="0" fontId="2" fillId="0" borderId="11" xfId="0" applyFont="1" applyBorder="1" applyAlignment="1" applyProtection="1">
      <alignment horizontal="center"/>
    </xf>
    <xf numFmtId="4" fontId="2" fillId="5" borderId="88" xfId="0" applyNumberFormat="1" applyFont="1" applyFill="1" applyBorder="1" applyAlignment="1" applyProtection="1">
      <alignment horizontal="center" vertical="center"/>
    </xf>
    <xf numFmtId="0" fontId="2" fillId="0" borderId="51" xfId="0" applyFont="1" applyBorder="1" applyAlignment="1" applyProtection="1">
      <alignment horizontal="center" vertical="center"/>
    </xf>
    <xf numFmtId="0" fontId="3" fillId="0" borderId="68" xfId="0" applyFont="1" applyFill="1" applyBorder="1" applyAlignment="1" applyProtection="1">
      <alignment horizontal="center" wrapText="1"/>
    </xf>
    <xf numFmtId="4" fontId="9" fillId="0" borderId="18" xfId="0" applyNumberFormat="1" applyFont="1" applyBorder="1" applyAlignment="1" applyProtection="1">
      <alignment horizontal="center"/>
    </xf>
    <xf numFmtId="0" fontId="0" fillId="0" borderId="1" xfId="0" applyFont="1" applyBorder="1" applyAlignment="1" applyProtection="1">
      <alignment horizontal="center"/>
    </xf>
    <xf numFmtId="7" fontId="9" fillId="0" borderId="52" xfId="2" applyNumberFormat="1" applyFont="1" applyBorder="1" applyAlignment="1" applyProtection="1">
      <alignment horizontal="center" vertical="center"/>
    </xf>
    <xf numFmtId="0" fontId="0" fillId="0" borderId="51" xfId="0" applyBorder="1" applyAlignment="1">
      <alignment horizontal="center" vertical="center"/>
    </xf>
    <xf numFmtId="4" fontId="17" fillId="0" borderId="70" xfId="0" applyNumberFormat="1" applyFont="1" applyFill="1" applyBorder="1" applyAlignment="1" applyProtection="1">
      <alignment horizontal="center"/>
    </xf>
    <xf numFmtId="0" fontId="0" fillId="0" borderId="71" xfId="0" applyFont="1" applyBorder="1" applyAlignment="1" applyProtection="1">
      <alignment horizontal="center"/>
    </xf>
    <xf numFmtId="4" fontId="17" fillId="0" borderId="18" xfId="0" applyNumberFormat="1" applyFont="1" applyFill="1" applyBorder="1" applyAlignment="1" applyProtection="1">
      <alignment horizontal="center"/>
    </xf>
    <xf numFmtId="4" fontId="23" fillId="0" borderId="18" xfId="0" applyNumberFormat="1" applyFont="1" applyBorder="1" applyAlignment="1" applyProtection="1">
      <alignment horizontal="center"/>
    </xf>
    <xf numFmtId="0" fontId="23" fillId="0" borderId="1" xfId="0" applyFont="1" applyBorder="1" applyAlignment="1" applyProtection="1">
      <alignment horizontal="center"/>
    </xf>
    <xf numFmtId="4" fontId="9" fillId="0" borderId="59" xfId="0" applyNumberFormat="1" applyFont="1" applyBorder="1" applyAlignment="1" applyProtection="1">
      <alignment horizontal="center"/>
    </xf>
    <xf numFmtId="0" fontId="0" fillId="0" borderId="60" xfId="0" applyFont="1" applyBorder="1" applyAlignment="1" applyProtection="1">
      <alignment horizontal="center"/>
    </xf>
    <xf numFmtId="0" fontId="8" fillId="0" borderId="55" xfId="0" applyNumberFormat="1" applyFont="1" applyBorder="1" applyAlignment="1" applyProtection="1">
      <alignment vertical="center" wrapText="1"/>
    </xf>
    <xf numFmtId="0" fontId="8" fillId="0" borderId="53" xfId="0" applyFont="1" applyBorder="1" applyAlignment="1" applyProtection="1">
      <alignment vertical="center" wrapText="1"/>
    </xf>
    <xf numFmtId="0" fontId="8" fillId="0" borderId="108" xfId="0" applyFont="1" applyBorder="1" applyAlignment="1" applyProtection="1">
      <alignment vertical="center" wrapText="1"/>
    </xf>
    <xf numFmtId="4" fontId="0" fillId="0" borderId="129" xfId="0" applyNumberFormat="1" applyFont="1" applyBorder="1" applyAlignment="1" applyProtection="1">
      <alignment vertical="center" wrapText="1"/>
    </xf>
    <xf numFmtId="4" fontId="0" fillId="0" borderId="56" xfId="0" applyNumberFormat="1" applyFont="1" applyBorder="1" applyAlignment="1" applyProtection="1">
      <alignment vertical="center" wrapText="1"/>
    </xf>
    <xf numFmtId="0" fontId="2" fillId="0" borderId="68" xfId="0" applyFont="1" applyBorder="1" applyAlignment="1" applyProtection="1">
      <alignment horizontal="center"/>
    </xf>
    <xf numFmtId="0" fontId="9" fillId="0" borderId="26" xfId="0" applyFont="1" applyBorder="1" applyAlignment="1" applyProtection="1">
      <alignment horizontal="center"/>
    </xf>
    <xf numFmtId="0" fontId="0" fillId="0" borderId="26" xfId="0" applyFont="1" applyBorder="1" applyAlignment="1" applyProtection="1"/>
    <xf numFmtId="0" fontId="0" fillId="0" borderId="34" xfId="0" applyFont="1" applyBorder="1" applyAlignment="1" applyProtection="1"/>
    <xf numFmtId="4" fontId="17" fillId="0" borderId="59" xfId="0" applyNumberFormat="1" applyFont="1" applyFill="1" applyBorder="1" applyAlignment="1" applyProtection="1">
      <alignment horizontal="center"/>
    </xf>
    <xf numFmtId="4" fontId="3" fillId="0" borderId="63" xfId="0" applyNumberFormat="1" applyFont="1" applyBorder="1" applyAlignment="1" applyProtection="1">
      <alignment horizontal="center" vertical="center"/>
    </xf>
    <xf numFmtId="0" fontId="30" fillId="0" borderId="64" xfId="0" applyFont="1" applyBorder="1" applyAlignment="1" applyProtection="1">
      <alignment horizontal="center" vertical="center"/>
    </xf>
    <xf numFmtId="10" fontId="9" fillId="0" borderId="73" xfId="1" applyNumberFormat="1" applyFont="1" applyBorder="1" applyAlignment="1" applyProtection="1">
      <alignment horizontal="center"/>
    </xf>
    <xf numFmtId="0" fontId="0" fillId="0" borderId="74" xfId="0" applyFont="1" applyBorder="1" applyAlignment="1" applyProtection="1"/>
    <xf numFmtId="0" fontId="0" fillId="0" borderId="75" xfId="0" applyFont="1" applyBorder="1" applyAlignment="1" applyProtection="1"/>
    <xf numFmtId="10" fontId="2" fillId="0" borderId="59" xfId="1" applyNumberFormat="1" applyFont="1" applyBorder="1" applyAlignment="1" applyProtection="1">
      <alignment horizontal="center"/>
    </xf>
    <xf numFmtId="0" fontId="2" fillId="0" borderId="57" xfId="0" applyFont="1" applyBorder="1" applyAlignment="1" applyProtection="1"/>
    <xf numFmtId="0" fontId="2" fillId="0" borderId="60" xfId="0" applyFont="1" applyBorder="1" applyAlignment="1" applyProtection="1"/>
    <xf numFmtId="0" fontId="8" fillId="0" borderId="63" xfId="0" applyFont="1" applyBorder="1" applyAlignment="1" applyProtection="1">
      <alignment wrapText="1"/>
    </xf>
    <xf numFmtId="0" fontId="8" fillId="0" borderId="61" xfId="0" applyFont="1" applyBorder="1" applyAlignment="1" applyProtection="1">
      <alignment wrapText="1"/>
    </xf>
    <xf numFmtId="0" fontId="8" fillId="0" borderId="64" xfId="0" applyFont="1" applyBorder="1" applyAlignment="1" applyProtection="1">
      <alignment wrapText="1"/>
    </xf>
    <xf numFmtId="0" fontId="2" fillId="0" borderId="26" xfId="0" applyFont="1" applyBorder="1" applyAlignment="1" applyProtection="1">
      <alignment horizontal="center"/>
    </xf>
    <xf numFmtId="0" fontId="2" fillId="0" borderId="34" xfId="0" applyFont="1" applyBorder="1" applyAlignment="1" applyProtection="1">
      <alignment horizontal="center"/>
    </xf>
    <xf numFmtId="164" fontId="9" fillId="0" borderId="0" xfId="0" applyNumberFormat="1" applyFont="1" applyBorder="1" applyAlignment="1" applyProtection="1">
      <alignment horizontal="center"/>
    </xf>
    <xf numFmtId="164" fontId="0" fillId="0" borderId="1" xfId="0" applyNumberFormat="1" applyFont="1" applyBorder="1" applyAlignment="1" applyProtection="1">
      <alignment horizontal="center"/>
    </xf>
    <xf numFmtId="10" fontId="9" fillId="0" borderId="57" xfId="0" applyNumberFormat="1" applyFont="1" applyBorder="1" applyAlignment="1" applyProtection="1">
      <alignment horizontal="center"/>
    </xf>
    <xf numFmtId="10" fontId="0" fillId="0" borderId="60" xfId="0" applyNumberFormat="1" applyFont="1" applyBorder="1" applyAlignment="1" applyProtection="1">
      <alignment horizontal="center"/>
    </xf>
    <xf numFmtId="10" fontId="9" fillId="0" borderId="0" xfId="1" applyNumberFormat="1" applyFont="1" applyBorder="1" applyAlignment="1" applyProtection="1">
      <alignment horizontal="center"/>
    </xf>
    <xf numFmtId="164" fontId="23" fillId="0" borderId="133" xfId="0" applyNumberFormat="1" applyFont="1" applyBorder="1" applyAlignment="1" applyProtection="1">
      <alignment horizontal="center" vertical="center"/>
    </xf>
    <xf numFmtId="0" fontId="0" fillId="0" borderId="134" xfId="0" applyFont="1" applyBorder="1" applyAlignment="1" applyProtection="1">
      <alignment horizontal="center" vertical="center"/>
    </xf>
    <xf numFmtId="0" fontId="0" fillId="0" borderId="134" xfId="0" applyBorder="1" applyAlignment="1"/>
    <xf numFmtId="0" fontId="0" fillId="0" borderId="135" xfId="0" applyBorder="1" applyAlignment="1"/>
    <xf numFmtId="164" fontId="0" fillId="0" borderId="68" xfId="0" applyNumberFormat="1" applyFont="1" applyBorder="1" applyAlignment="1" applyProtection="1">
      <alignment horizontal="center" vertical="center"/>
    </xf>
    <xf numFmtId="0" fontId="2" fillId="0" borderId="68" xfId="0" applyFont="1" applyBorder="1" applyAlignment="1" applyProtection="1">
      <alignment horizontal="center" vertical="center" wrapText="1"/>
    </xf>
    <xf numFmtId="0" fontId="2" fillId="0" borderId="2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68" xfId="0" applyFont="1" applyBorder="1" applyAlignment="1" applyProtection="1">
      <alignment horizontal="center" vertical="center"/>
    </xf>
    <xf numFmtId="0" fontId="2" fillId="0" borderId="34" xfId="0" applyFont="1" applyBorder="1" applyAlignment="1" applyProtection="1">
      <alignment horizontal="center" vertical="center"/>
    </xf>
    <xf numFmtId="10" fontId="9" fillId="0" borderId="57" xfId="1" applyNumberFormat="1" applyFont="1" applyBorder="1" applyAlignment="1" applyProtection="1">
      <alignment horizontal="center"/>
    </xf>
    <xf numFmtId="10" fontId="9" fillId="0" borderId="53" xfId="0" applyNumberFormat="1" applyFont="1" applyBorder="1" applyAlignment="1" applyProtection="1">
      <alignment horizontal="center"/>
    </xf>
    <xf numFmtId="10" fontId="0" fillId="0" borderId="56" xfId="0" applyNumberFormat="1" applyFont="1" applyBorder="1" applyAlignment="1" applyProtection="1">
      <alignment horizontal="center"/>
    </xf>
    <xf numFmtId="164" fontId="0" fillId="0" borderId="18" xfId="0" applyNumberFormat="1" applyFont="1" applyBorder="1" applyAlignment="1" applyProtection="1">
      <alignment horizontal="center" vertical="center"/>
    </xf>
    <xf numFmtId="0" fontId="2" fillId="0" borderId="26" xfId="0" applyFont="1" applyBorder="1" applyAlignment="1" applyProtection="1">
      <alignment horizontal="center" vertical="center"/>
    </xf>
    <xf numFmtId="0" fontId="0" fillId="0" borderId="26" xfId="0" applyFont="1" applyBorder="1" applyAlignment="1" applyProtection="1">
      <alignment horizontal="center" vertical="center"/>
    </xf>
    <xf numFmtId="164" fontId="2" fillId="0" borderId="63" xfId="0" applyNumberFormat="1" applyFont="1" applyBorder="1" applyAlignment="1" applyProtection="1">
      <alignment horizontal="center" vertical="center"/>
    </xf>
    <xf numFmtId="164" fontId="2" fillId="0" borderId="61" xfId="0" applyNumberFormat="1" applyFont="1" applyBorder="1" applyAlignment="1" applyProtection="1">
      <alignment horizontal="center" vertical="center"/>
    </xf>
    <xf numFmtId="164" fontId="2" fillId="0" borderId="64" xfId="0" applyNumberFormat="1" applyFont="1" applyBorder="1" applyAlignment="1" applyProtection="1">
      <alignment horizontal="center" vertical="center"/>
    </xf>
    <xf numFmtId="0" fontId="9" fillId="0" borderId="86" xfId="0" applyFont="1" applyBorder="1" applyAlignment="1" applyProtection="1">
      <alignment horizontal="center" vertical="center" wrapText="1"/>
    </xf>
    <xf numFmtId="0" fontId="9" fillId="0" borderId="87" xfId="0" applyFont="1" applyBorder="1" applyAlignment="1" applyProtection="1">
      <alignment horizontal="center" vertical="center" wrapText="1"/>
    </xf>
    <xf numFmtId="0" fontId="9" fillId="0" borderId="84" xfId="0" applyFont="1" applyBorder="1" applyAlignment="1" applyProtection="1">
      <alignment horizontal="center" vertical="center" wrapText="1"/>
    </xf>
    <xf numFmtId="165" fontId="3" fillId="0" borderId="63" xfId="0" applyNumberFormat="1" applyFont="1" applyBorder="1" applyAlignment="1" applyProtection="1">
      <alignment horizontal="center" vertical="center"/>
    </xf>
    <xf numFmtId="165" fontId="3" fillId="0" borderId="61" xfId="0" applyNumberFormat="1" applyFont="1" applyBorder="1" applyAlignment="1" applyProtection="1">
      <alignment horizontal="center" vertical="center"/>
    </xf>
    <xf numFmtId="165" fontId="3" fillId="0" borderId="64" xfId="0" applyNumberFormat="1" applyFont="1" applyBorder="1" applyAlignment="1" applyProtection="1">
      <alignment horizontal="center" vertical="center"/>
    </xf>
    <xf numFmtId="166" fontId="3" fillId="0" borderId="63" xfId="0" applyNumberFormat="1" applyFont="1" applyBorder="1" applyAlignment="1" applyProtection="1">
      <alignment horizontal="center" vertical="center"/>
    </xf>
    <xf numFmtId="166" fontId="3" fillId="0" borderId="61" xfId="0" applyNumberFormat="1" applyFont="1" applyBorder="1" applyAlignment="1" applyProtection="1">
      <alignment horizontal="center" vertical="center"/>
    </xf>
    <xf numFmtId="166" fontId="3" fillId="0" borderId="64" xfId="0" applyNumberFormat="1" applyFont="1" applyBorder="1" applyAlignment="1" applyProtection="1">
      <alignment horizontal="center" vertical="center"/>
    </xf>
    <xf numFmtId="0" fontId="2" fillId="0" borderId="11" xfId="0" applyNumberFormat="1" applyFont="1" applyBorder="1" applyAlignment="1" applyProtection="1">
      <alignment horizontal="center" wrapText="1"/>
    </xf>
    <xf numFmtId="0" fontId="2" fillId="0" borderId="37" xfId="0" applyFont="1" applyBorder="1" applyAlignment="1" applyProtection="1">
      <alignment horizontal="center" wrapText="1"/>
    </xf>
    <xf numFmtId="0" fontId="2" fillId="0" borderId="12" xfId="0" applyFont="1" applyBorder="1" applyAlignment="1" applyProtection="1">
      <alignment horizontal="center" wrapText="1"/>
    </xf>
    <xf numFmtId="0" fontId="3" fillId="0" borderId="68" xfId="0" applyNumberFormat="1" applyFont="1" applyBorder="1" applyAlignment="1" applyProtection="1">
      <alignment horizontal="center" wrapText="1"/>
    </xf>
    <xf numFmtId="0" fontId="3" fillId="0" borderId="26" xfId="0" applyFont="1" applyBorder="1" applyAlignment="1" applyProtection="1">
      <alignment horizontal="center" wrapText="1"/>
    </xf>
    <xf numFmtId="0" fontId="3" fillId="0" borderId="34" xfId="0" applyFont="1" applyBorder="1" applyAlignment="1" applyProtection="1">
      <alignment horizontal="center" wrapText="1"/>
    </xf>
    <xf numFmtId="4" fontId="9" fillId="0" borderId="73" xfId="0" applyNumberFormat="1" applyFont="1" applyFill="1" applyBorder="1" applyAlignment="1" applyProtection="1">
      <alignment horizontal="center"/>
    </xf>
    <xf numFmtId="0" fontId="9" fillId="0" borderId="75" xfId="0" applyFont="1" applyBorder="1" applyAlignment="1" applyProtection="1">
      <alignment horizontal="center"/>
    </xf>
    <xf numFmtId="3" fontId="9" fillId="0" borderId="18" xfId="0" applyNumberFormat="1" applyFont="1" applyBorder="1" applyAlignment="1" applyProtection="1">
      <alignment horizontal="center"/>
    </xf>
    <xf numFmtId="3" fontId="9" fillId="0" borderId="55" xfId="0" applyNumberFormat="1" applyFont="1" applyBorder="1" applyAlignment="1" applyProtection="1">
      <alignment horizontal="center"/>
    </xf>
    <xf numFmtId="0" fontId="0" fillId="0" borderId="56" xfId="0" applyFont="1" applyBorder="1" applyAlignment="1" applyProtection="1">
      <alignment horizontal="center"/>
    </xf>
    <xf numFmtId="4" fontId="9" fillId="0" borderId="73" xfId="0" applyNumberFormat="1" applyFont="1" applyBorder="1" applyAlignment="1" applyProtection="1">
      <alignment horizontal="center"/>
    </xf>
    <xf numFmtId="0" fontId="9" fillId="0" borderId="18" xfId="0" applyNumberFormat="1" applyFont="1" applyBorder="1" applyAlignment="1" applyProtection="1">
      <alignment horizontal="center" vertical="center"/>
    </xf>
    <xf numFmtId="0" fontId="3" fillId="0" borderId="68" xfId="0" applyFont="1" applyBorder="1" applyAlignment="1" applyProtection="1">
      <alignment horizontal="center"/>
    </xf>
    <xf numFmtId="0" fontId="6" fillId="0" borderId="26" xfId="0" applyFont="1" applyBorder="1" applyAlignment="1" applyProtection="1">
      <alignment horizontal="center"/>
    </xf>
    <xf numFmtId="0" fontId="6" fillId="0" borderId="34" xfId="0" applyFont="1" applyBorder="1" applyAlignment="1" applyProtection="1">
      <alignment horizontal="center"/>
    </xf>
    <xf numFmtId="10" fontId="9" fillId="0" borderId="73" xfId="0" applyNumberFormat="1" applyFont="1" applyBorder="1" applyAlignment="1" applyProtection="1">
      <alignment horizontal="center"/>
    </xf>
    <xf numFmtId="10" fontId="9" fillId="0" borderId="74" xfId="0" applyNumberFormat="1" applyFont="1" applyBorder="1" applyAlignment="1" applyProtection="1">
      <alignment horizontal="center"/>
    </xf>
    <xf numFmtId="10" fontId="9" fillId="0" borderId="75" xfId="0" applyNumberFormat="1" applyFont="1" applyBorder="1" applyAlignment="1" applyProtection="1">
      <alignment horizontal="center"/>
    </xf>
    <xf numFmtId="10" fontId="2" fillId="0" borderId="73" xfId="0" applyNumberFormat="1" applyFont="1" applyBorder="1" applyAlignment="1" applyProtection="1">
      <alignment horizontal="center"/>
    </xf>
    <xf numFmtId="10" fontId="2" fillId="0" borderId="74" xfId="0" applyNumberFormat="1" applyFont="1" applyBorder="1" applyAlignment="1" applyProtection="1">
      <alignment horizontal="center"/>
    </xf>
    <xf numFmtId="10" fontId="2" fillId="0" borderId="75" xfId="0" applyNumberFormat="1" applyFont="1" applyBorder="1" applyAlignment="1" applyProtection="1">
      <alignment horizontal="center"/>
    </xf>
    <xf numFmtId="0" fontId="4" fillId="0" borderId="63" xfId="0" applyFont="1" applyBorder="1" applyAlignment="1" applyProtection="1">
      <alignment wrapText="1"/>
    </xf>
    <xf numFmtId="0" fontId="4" fillId="0" borderId="61" xfId="0" applyFont="1" applyBorder="1" applyAlignment="1" applyProtection="1">
      <alignment wrapText="1"/>
    </xf>
    <xf numFmtId="0" fontId="4" fillId="0" borderId="64" xfId="0" applyFont="1" applyBorder="1" applyAlignment="1" applyProtection="1">
      <alignment wrapText="1"/>
    </xf>
    <xf numFmtId="0" fontId="9" fillId="0" borderId="34" xfId="0" applyFont="1" applyBorder="1" applyAlignment="1" applyProtection="1">
      <alignment horizontal="center"/>
    </xf>
    <xf numFmtId="164" fontId="9" fillId="0" borderId="18" xfId="0" applyNumberFormat="1" applyFont="1" applyBorder="1" applyAlignment="1" applyProtection="1">
      <alignment horizontal="center"/>
    </xf>
    <xf numFmtId="10" fontId="9" fillId="0" borderId="59" xfId="0" applyNumberFormat="1" applyFont="1" applyBorder="1" applyAlignment="1" applyProtection="1">
      <alignment horizontal="center"/>
    </xf>
    <xf numFmtId="10" fontId="9" fillId="0" borderId="18" xfId="1" applyNumberFormat="1" applyFont="1" applyBorder="1" applyAlignment="1" applyProtection="1">
      <alignment horizontal="center"/>
    </xf>
    <xf numFmtId="10" fontId="9" fillId="0" borderId="59" xfId="1" applyNumberFormat="1" applyFont="1" applyBorder="1" applyAlignment="1" applyProtection="1">
      <alignment horizontal="center"/>
    </xf>
    <xf numFmtId="164" fontId="23" fillId="0" borderId="82" xfId="0" applyNumberFormat="1" applyFont="1" applyBorder="1" applyAlignment="1" applyProtection="1">
      <alignment horizontal="center" vertical="center"/>
    </xf>
    <xf numFmtId="0" fontId="0" fillId="0" borderId="80" xfId="0" applyFont="1" applyBorder="1" applyAlignment="1" applyProtection="1">
      <alignment horizontal="center" vertical="center"/>
    </xf>
    <xf numFmtId="0" fontId="0" fillId="0" borderId="83" xfId="0" applyFont="1" applyBorder="1" applyAlignment="1" applyProtection="1">
      <alignment horizontal="center" vertical="center"/>
    </xf>
    <xf numFmtId="10" fontId="9" fillId="0" borderId="55" xfId="0" applyNumberFormat="1" applyFont="1" applyBorder="1" applyAlignment="1" applyProtection="1">
      <alignment horizontal="center"/>
    </xf>
    <xf numFmtId="0" fontId="2" fillId="0" borderId="78" xfId="0" applyFont="1" applyBorder="1" applyAlignment="1" applyProtection="1">
      <alignment horizontal="center" vertical="center"/>
    </xf>
    <xf numFmtId="0" fontId="2" fillId="0" borderId="79" xfId="0" applyFont="1" applyBorder="1" applyAlignment="1" applyProtection="1">
      <alignment horizontal="center" vertical="center"/>
    </xf>
    <xf numFmtId="0" fontId="36" fillId="0" borderId="0" xfId="0" applyNumberFormat="1" applyFont="1" applyFill="1" applyBorder="1" applyAlignment="1" applyProtection="1"/>
    <xf numFmtId="0" fontId="36" fillId="0" borderId="0" xfId="0" applyFont="1" applyAlignment="1"/>
    <xf numFmtId="0" fontId="11" fillId="0" borderId="26" xfId="0" applyNumberFormat="1" applyFont="1" applyFill="1" applyBorder="1" applyAlignment="1" applyProtection="1">
      <alignment vertical="center"/>
    </xf>
    <xf numFmtId="0" fontId="11" fillId="0" borderId="34" xfId="0" applyNumberFormat="1" applyFont="1" applyFill="1" applyBorder="1" applyAlignment="1" applyProtection="1">
      <alignment vertical="center"/>
    </xf>
    <xf numFmtId="0" fontId="16" fillId="0" borderId="11" xfId="0" applyFont="1" applyBorder="1" applyAlignment="1" applyProtection="1">
      <alignment horizontal="center"/>
    </xf>
    <xf numFmtId="0" fontId="16" fillId="0" borderId="37" xfId="0" applyFont="1" applyBorder="1" applyAlignment="1" applyProtection="1">
      <alignment horizontal="center"/>
    </xf>
    <xf numFmtId="0" fontId="19" fillId="0" borderId="11" xfId="0" applyFont="1" applyBorder="1" applyAlignment="1" applyProtection="1">
      <alignment horizontal="center"/>
    </xf>
    <xf numFmtId="0" fontId="19" fillId="0" borderId="37" xfId="0" applyFont="1" applyBorder="1" applyAlignment="1" applyProtection="1">
      <alignment horizontal="center"/>
    </xf>
    <xf numFmtId="0" fontId="19" fillId="0" borderId="12" xfId="0" applyFont="1" applyBorder="1" applyAlignment="1" applyProtection="1">
      <alignment horizontal="center"/>
    </xf>
    <xf numFmtId="0" fontId="2" fillId="0" borderId="88" xfId="0" applyNumberFormat="1" applyFont="1" applyFill="1" applyBorder="1" applyAlignment="1" applyProtection="1">
      <alignment wrapText="1"/>
    </xf>
    <xf numFmtId="0" fontId="0" fillId="0" borderId="88" xfId="0" applyFont="1" applyBorder="1" applyAlignment="1" applyProtection="1">
      <alignment wrapText="1"/>
    </xf>
    <xf numFmtId="0" fontId="2" fillId="3" borderId="11" xfId="0" applyNumberFormat="1" applyFont="1" applyFill="1" applyBorder="1" applyAlignment="1" applyProtection="1">
      <alignment horizontal="center" vertical="center"/>
      <protection locked="0"/>
    </xf>
    <xf numFmtId="0" fontId="2" fillId="3" borderId="37" xfId="0" applyNumberFormat="1" applyFont="1" applyFill="1" applyBorder="1" applyAlignment="1" applyProtection="1">
      <alignment horizontal="center" vertical="center"/>
      <protection locked="0"/>
    </xf>
    <xf numFmtId="0" fontId="2" fillId="3" borderId="12" xfId="0" applyNumberFormat="1" applyFont="1" applyFill="1" applyBorder="1" applyAlignment="1" applyProtection="1">
      <alignment horizontal="center" vertical="center"/>
      <protection locked="0"/>
    </xf>
    <xf numFmtId="0" fontId="2" fillId="3" borderId="16" xfId="0" applyNumberFormat="1" applyFont="1" applyFill="1" applyBorder="1" applyAlignment="1" applyProtection="1">
      <alignment horizontal="center" vertical="center"/>
      <protection locked="0"/>
    </xf>
    <xf numFmtId="0" fontId="2" fillId="0" borderId="18" xfId="0" applyFont="1" applyFill="1" applyBorder="1" applyAlignment="1" applyProtection="1"/>
    <xf numFmtId="0" fontId="11" fillId="0" borderId="68" xfId="0" applyFont="1" applyBorder="1" applyAlignment="1" applyProtection="1">
      <alignment vertical="center"/>
    </xf>
    <xf numFmtId="0" fontId="24" fillId="0" borderId="34" xfId="0" applyFont="1" applyBorder="1" applyAlignment="1" applyProtection="1">
      <alignment vertical="center"/>
    </xf>
    <xf numFmtId="0" fontId="8" fillId="0" borderId="88" xfId="0" applyNumberFormat="1" applyFont="1" applyFill="1" applyBorder="1" applyAlignment="1" applyProtection="1">
      <alignment wrapText="1"/>
    </xf>
    <xf numFmtId="10" fontId="9" fillId="3" borderId="16" xfId="0" applyNumberFormat="1" applyFont="1" applyFill="1" applyBorder="1" applyAlignment="1" applyProtection="1">
      <alignment horizontal="center" vertical="center"/>
      <protection locked="0"/>
    </xf>
    <xf numFmtId="0" fontId="0" fillId="0" borderId="16" xfId="0" applyFont="1" applyBorder="1" applyAlignment="1" applyProtection="1">
      <alignment horizontal="center" vertical="center"/>
      <protection locked="0"/>
    </xf>
    <xf numFmtId="0" fontId="9" fillId="3" borderId="0" xfId="0" applyFont="1" applyFill="1" applyAlignment="1" applyProtection="1">
      <protection locked="0"/>
    </xf>
    <xf numFmtId="0" fontId="0" fillId="3" borderId="0" xfId="0" applyFont="1" applyFill="1" applyAlignment="1" applyProtection="1">
      <protection locked="0"/>
    </xf>
    <xf numFmtId="0" fontId="11" fillId="0" borderId="0" xfId="0" applyFont="1" applyAlignment="1" applyProtection="1">
      <alignment horizontal="center" vertical="center"/>
    </xf>
    <xf numFmtId="0" fontId="0" fillId="0" borderId="0" xfId="0" applyFont="1" applyAlignment="1" applyProtection="1"/>
    <xf numFmtId="0" fontId="12" fillId="0" borderId="0" xfId="0" applyFont="1" applyProtection="1"/>
    <xf numFmtId="0" fontId="11" fillId="0" borderId="68" xfId="0" applyFont="1" applyBorder="1" applyAlignment="1" applyProtection="1"/>
    <xf numFmtId="0" fontId="24" fillId="0" borderId="26" xfId="0" applyFont="1" applyBorder="1" applyAlignment="1" applyProtection="1"/>
    <xf numFmtId="0" fontId="2" fillId="0" borderId="20"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0" borderId="93" xfId="0" applyFont="1" applyBorder="1" applyAlignment="1" applyProtection="1">
      <alignment horizontal="center" vertical="center"/>
    </xf>
    <xf numFmtId="0" fontId="7" fillId="0" borderId="68" xfId="0" applyFont="1" applyBorder="1" applyAlignment="1" applyProtection="1"/>
    <xf numFmtId="0" fontId="16" fillId="0" borderId="12" xfId="0" applyFont="1" applyBorder="1" applyAlignment="1" applyProtection="1">
      <alignment horizontal="center"/>
    </xf>
    <xf numFmtId="0" fontId="2" fillId="0" borderId="19" xfId="0" applyFont="1" applyBorder="1" applyAlignment="1" applyProtection="1">
      <alignment horizontal="center" vertical="center"/>
    </xf>
    <xf numFmtId="0" fontId="0" fillId="0" borderId="20" xfId="0" applyFont="1" applyBorder="1" applyAlignment="1" applyProtection="1">
      <alignment horizontal="center" vertical="center"/>
    </xf>
    <xf numFmtId="0" fontId="0" fillId="0" borderId="93" xfId="0" applyFont="1" applyBorder="1" applyAlignment="1" applyProtection="1">
      <alignment horizontal="center" vertical="center"/>
    </xf>
    <xf numFmtId="0" fontId="0" fillId="6" borderId="30" xfId="0" applyNumberFormat="1" applyFont="1" applyFill="1" applyBorder="1" applyAlignment="1" applyProtection="1">
      <alignment wrapText="1"/>
    </xf>
    <xf numFmtId="0" fontId="0" fillId="0" borderId="0" xfId="0" applyFont="1" applyAlignment="1" applyProtection="1">
      <alignment wrapText="1"/>
    </xf>
    <xf numFmtId="0" fontId="0" fillId="0" borderId="1" xfId="0" applyFont="1" applyBorder="1" applyAlignment="1" applyProtection="1">
      <alignment wrapText="1"/>
    </xf>
    <xf numFmtId="0" fontId="0" fillId="0" borderId="102" xfId="0" applyFont="1" applyBorder="1" applyAlignment="1" applyProtection="1">
      <alignment wrapText="1"/>
    </xf>
    <xf numFmtId="0" fontId="0" fillId="0" borderId="103" xfId="0" applyFont="1" applyBorder="1" applyAlignment="1" applyProtection="1">
      <alignment wrapText="1"/>
    </xf>
    <xf numFmtId="0" fontId="0" fillId="0" borderId="104" xfId="0" applyFont="1" applyBorder="1" applyAlignment="1" applyProtection="1">
      <alignment wrapText="1"/>
    </xf>
    <xf numFmtId="0" fontId="2" fillId="0" borderId="11" xfId="0" applyFont="1" applyFill="1" applyBorder="1" applyAlignment="1" applyProtection="1">
      <alignment wrapText="1"/>
    </xf>
    <xf numFmtId="0" fontId="0" fillId="0" borderId="12" xfId="0" applyFont="1" applyFill="1" applyBorder="1" applyAlignment="1" applyProtection="1"/>
    <xf numFmtId="0" fontId="0" fillId="0" borderId="12" xfId="0" applyFont="1" applyFill="1" applyBorder="1" applyAlignment="1" applyProtection="1">
      <alignment wrapText="1"/>
    </xf>
    <xf numFmtId="0" fontId="2" fillId="0" borderId="19" xfId="0" applyFont="1" applyBorder="1" applyAlignment="1" applyProtection="1">
      <alignment vertical="center" wrapText="1"/>
    </xf>
    <xf numFmtId="0" fontId="9" fillId="0" borderId="93" xfId="0" applyFont="1" applyBorder="1" applyAlignment="1" applyProtection="1">
      <alignment vertical="center"/>
    </xf>
    <xf numFmtId="0" fontId="9" fillId="0" borderId="20" xfId="0" applyFont="1" applyBorder="1" applyAlignment="1" applyProtection="1">
      <alignment horizontal="center" vertical="center"/>
    </xf>
    <xf numFmtId="0" fontId="9" fillId="0" borderId="91" xfId="0" applyFont="1" applyBorder="1" applyAlignment="1" applyProtection="1">
      <alignment horizontal="center" vertical="center"/>
    </xf>
    <xf numFmtId="0" fontId="19" fillId="0" borderId="92" xfId="0" applyFont="1" applyBorder="1" applyAlignment="1" applyProtection="1">
      <alignment horizontal="center" vertical="center"/>
    </xf>
    <xf numFmtId="0" fontId="2" fillId="0" borderId="93" xfId="0" applyFont="1" applyBorder="1" applyAlignment="1" applyProtection="1">
      <alignment horizontal="center" vertical="center"/>
    </xf>
    <xf numFmtId="0" fontId="9" fillId="0" borderId="18" xfId="0" applyFont="1" applyFill="1" applyBorder="1" applyAlignment="1" applyProtection="1">
      <alignment wrapText="1"/>
    </xf>
    <xf numFmtId="0" fontId="9" fillId="0" borderId="0" xfId="0" applyFont="1" applyBorder="1" applyAlignment="1" applyProtection="1">
      <alignment wrapText="1"/>
    </xf>
    <xf numFmtId="0" fontId="0" fillId="0" borderId="0" xfId="0" applyFont="1" applyBorder="1" applyAlignment="1" applyProtection="1">
      <alignment wrapText="1"/>
    </xf>
    <xf numFmtId="0" fontId="0" fillId="0" borderId="29" xfId="0" applyFont="1" applyBorder="1" applyAlignment="1" applyProtection="1">
      <alignment wrapText="1"/>
    </xf>
    <xf numFmtId="0" fontId="11" fillId="0" borderId="2" xfId="0" applyFont="1" applyFill="1" applyBorder="1" applyAlignment="1" applyProtection="1">
      <alignment vertical="center" wrapText="1"/>
    </xf>
    <xf numFmtId="0" fontId="12" fillId="0" borderId="3" xfId="0" applyFont="1" applyBorder="1" applyAlignment="1" applyProtection="1">
      <alignment vertical="center" wrapText="1"/>
    </xf>
    <xf numFmtId="0" fontId="24" fillId="0" borderId="48" xfId="0" applyFont="1" applyBorder="1" applyAlignment="1" applyProtection="1">
      <alignment vertical="center" wrapText="1"/>
    </xf>
    <xf numFmtId="0" fontId="19" fillId="0" borderId="47" xfId="0" applyFont="1" applyBorder="1" applyAlignment="1" applyProtection="1">
      <alignment horizontal="center"/>
    </xf>
    <xf numFmtId="0" fontId="19" fillId="0" borderId="3" xfId="0" applyFont="1" applyBorder="1" applyAlignment="1" applyProtection="1">
      <alignment horizontal="center"/>
    </xf>
    <xf numFmtId="0" fontId="19" fillId="0" borderId="50" xfId="0" applyFont="1" applyBorder="1" applyAlignment="1" applyProtection="1">
      <alignment horizontal="center"/>
    </xf>
    <xf numFmtId="0" fontId="2" fillId="0" borderId="2" xfId="0" applyNumberFormat="1" applyFont="1" applyFill="1" applyBorder="1" applyAlignment="1" applyProtection="1"/>
    <xf numFmtId="0" fontId="2" fillId="0" borderId="3" xfId="0" applyNumberFormat="1" applyFont="1" applyFill="1" applyBorder="1" applyAlignment="1" applyProtection="1"/>
    <xf numFmtId="0" fontId="0" fillId="0" borderId="3" xfId="0" applyFont="1" applyBorder="1" applyAlignment="1" applyProtection="1"/>
    <xf numFmtId="0" fontId="0" fillId="0" borderId="48" xfId="0" applyFont="1" applyBorder="1" applyAlignment="1" applyProtection="1"/>
    <xf numFmtId="0" fontId="9" fillId="0" borderId="0" xfId="0" applyFont="1" applyFill="1" applyBorder="1" applyAlignment="1" applyProtection="1">
      <alignment wrapText="1"/>
    </xf>
    <xf numFmtId="0" fontId="0" fillId="0" borderId="0" xfId="0" applyAlignment="1" applyProtection="1">
      <alignment wrapText="1"/>
    </xf>
    <xf numFmtId="0" fontId="37" fillId="0" borderId="0" xfId="0" applyNumberFormat="1" applyFont="1" applyFill="1" applyBorder="1" applyAlignment="1" applyProtection="1"/>
    <xf numFmtId="0" fontId="37" fillId="0" borderId="0" xfId="0" applyFont="1" applyAlignment="1"/>
    <xf numFmtId="0" fontId="30" fillId="0" borderId="0" xfId="0" applyFont="1" applyAlignment="1"/>
    <xf numFmtId="0" fontId="0" fillId="0" borderId="0" xfId="0" applyNumberFormat="1" applyFont="1" applyFill="1" applyBorder="1" applyAlignment="1" applyProtection="1"/>
    <xf numFmtId="0" fontId="0" fillId="0" borderId="0" xfId="0" applyAlignment="1"/>
    <xf numFmtId="0" fontId="38" fillId="0" borderId="0" xfId="0" applyNumberFormat="1" applyFont="1" applyFill="1" applyBorder="1" applyAlignment="1" applyProtection="1">
      <alignment horizontal="center"/>
    </xf>
    <xf numFmtId="0" fontId="38" fillId="0" borderId="0" xfId="0" applyFont="1" applyAlignment="1">
      <alignment horizontal="center"/>
    </xf>
    <xf numFmtId="0" fontId="38" fillId="0" borderId="1" xfId="0" applyFont="1" applyBorder="1" applyAlignment="1">
      <alignment horizontal="center"/>
    </xf>
    <xf numFmtId="0" fontId="2" fillId="0" borderId="3" xfId="0" applyFont="1" applyBorder="1" applyAlignment="1" applyProtection="1">
      <alignment wrapText="1"/>
    </xf>
    <xf numFmtId="0" fontId="9" fillId="0" borderId="3" xfId="0" applyFont="1" applyBorder="1" applyAlignment="1" applyProtection="1"/>
    <xf numFmtId="0" fontId="2" fillId="0" borderId="94" xfId="0" applyFont="1" applyBorder="1" applyAlignment="1" applyProtection="1"/>
    <xf numFmtId="0" fontId="9" fillId="0" borderId="90" xfId="0" applyFont="1" applyBorder="1" applyAlignment="1" applyProtection="1"/>
    <xf numFmtId="0" fontId="9" fillId="0" borderId="5" xfId="0" applyFont="1" applyFill="1" applyBorder="1" applyAlignment="1" applyProtection="1">
      <alignment vertical="center" wrapText="1"/>
    </xf>
    <xf numFmtId="0" fontId="0" fillId="0" borderId="7" xfId="0" applyFont="1" applyFill="1" applyBorder="1" applyAlignment="1" applyProtection="1">
      <alignment vertical="center" wrapText="1"/>
    </xf>
    <xf numFmtId="0" fontId="8" fillId="0" borderId="18" xfId="0" applyNumberFormat="1" applyFont="1" applyFill="1" applyBorder="1" applyAlignment="1" applyProtection="1">
      <alignment wrapText="1"/>
    </xf>
    <xf numFmtId="0" fontId="8" fillId="0" borderId="0" xfId="0" applyFont="1" applyBorder="1" applyAlignment="1" applyProtection="1">
      <alignment wrapText="1"/>
    </xf>
    <xf numFmtId="0" fontId="8" fillId="0" borderId="1" xfId="0" applyFont="1" applyBorder="1" applyAlignment="1" applyProtection="1">
      <alignment wrapText="1"/>
    </xf>
    <xf numFmtId="0" fontId="0" fillId="0" borderId="18" xfId="0" applyFont="1" applyFill="1" applyBorder="1" applyAlignment="1" applyProtection="1"/>
    <xf numFmtId="0" fontId="0" fillId="0" borderId="0" xfId="0" applyFont="1" applyFill="1" applyBorder="1" applyAlignment="1" applyProtection="1"/>
    <xf numFmtId="0" fontId="2" fillId="0" borderId="68" xfId="0" applyFont="1" applyFill="1" applyBorder="1" applyAlignment="1" applyProtection="1">
      <alignment wrapText="1"/>
    </xf>
    <xf numFmtId="0" fontId="0" fillId="0" borderId="34" xfId="0" applyFont="1" applyFill="1" applyBorder="1" applyAlignment="1" applyProtection="1">
      <alignment wrapText="1"/>
    </xf>
    <xf numFmtId="0" fontId="2" fillId="0" borderId="133" xfId="0" applyFont="1" applyFill="1" applyBorder="1" applyAlignment="1" applyProtection="1">
      <alignment wrapText="1"/>
    </xf>
    <xf numFmtId="0" fontId="0" fillId="0" borderId="135" xfId="0" applyFont="1" applyFill="1" applyBorder="1" applyAlignment="1" applyProtection="1">
      <alignment wrapText="1"/>
    </xf>
    <xf numFmtId="4" fontId="37" fillId="0" borderId="146" xfId="0" applyNumberFormat="1" applyFont="1" applyFill="1" applyBorder="1" applyAlignment="1" applyProtection="1">
      <alignment vertical="center" wrapText="1"/>
    </xf>
    <xf numFmtId="0" fontId="37" fillId="0" borderId="142" xfId="0" applyFont="1" applyBorder="1" applyAlignment="1">
      <alignment vertical="center" wrapText="1"/>
    </xf>
    <xf numFmtId="0" fontId="37" fillId="0" borderId="147" xfId="0" applyFont="1" applyBorder="1" applyAlignment="1">
      <alignment vertical="center" wrapText="1"/>
    </xf>
    <xf numFmtId="0" fontId="37" fillId="0" borderId="109" xfId="0" applyFont="1" applyBorder="1" applyAlignment="1">
      <alignment vertical="center" wrapText="1"/>
    </xf>
    <xf numFmtId="0" fontId="37" fillId="0" borderId="0" xfId="0" applyFont="1" applyAlignment="1">
      <alignment vertical="center" wrapText="1"/>
    </xf>
    <xf numFmtId="0" fontId="37" fillId="0" borderId="1" xfId="0" applyFont="1" applyBorder="1" applyAlignment="1">
      <alignment vertical="center" wrapText="1"/>
    </xf>
    <xf numFmtId="0" fontId="0" fillId="0" borderId="22" xfId="0" applyNumberFormat="1" applyFont="1" applyFill="1" applyBorder="1" applyAlignment="1" applyProtection="1">
      <alignment wrapText="1"/>
    </xf>
    <xf numFmtId="0" fontId="0" fillId="0" borderId="22" xfId="0" applyBorder="1" applyAlignment="1" applyProtection="1">
      <alignment wrapText="1"/>
    </xf>
    <xf numFmtId="0" fontId="0" fillId="0" borderId="0" xfId="0" applyAlignment="1" applyProtection="1"/>
    <xf numFmtId="0" fontId="0" fillId="0" borderId="0" xfId="0" applyBorder="1" applyAlignment="1" applyProtection="1"/>
    <xf numFmtId="0" fontId="3" fillId="0" borderId="68" xfId="0" applyFont="1" applyFill="1" applyBorder="1" applyAlignment="1" applyProtection="1">
      <alignment wrapText="1"/>
    </xf>
    <xf numFmtId="0" fontId="6" fillId="0" borderId="26" xfId="0" applyFont="1" applyBorder="1" applyAlignment="1" applyProtection="1">
      <alignment wrapText="1"/>
    </xf>
    <xf numFmtId="0" fontId="6" fillId="0" borderId="34" xfId="0" applyFont="1" applyBorder="1" applyAlignment="1" applyProtection="1">
      <alignment wrapText="1"/>
    </xf>
    <xf numFmtId="0" fontId="2" fillId="0" borderId="19" xfId="0" applyFont="1" applyFill="1" applyBorder="1" applyAlignment="1" applyProtection="1"/>
    <xf numFmtId="0" fontId="2" fillId="0" borderId="93" xfId="0" applyFont="1" applyBorder="1" applyAlignment="1" applyProtection="1"/>
    <xf numFmtId="0" fontId="2" fillId="0" borderId="92" xfId="0" applyFont="1" applyBorder="1" applyAlignment="1" applyProtection="1">
      <alignment horizontal="center"/>
    </xf>
    <xf numFmtId="0" fontId="9" fillId="0" borderId="20" xfId="0" applyFont="1" applyBorder="1" applyAlignment="1" applyProtection="1">
      <alignment horizontal="center"/>
    </xf>
    <xf numFmtId="0" fontId="9" fillId="0" borderId="91" xfId="0" applyFont="1" applyBorder="1" applyAlignment="1" applyProtection="1">
      <alignment horizontal="center"/>
    </xf>
    <xf numFmtId="0" fontId="2" fillId="0" borderId="20" xfId="0" applyFont="1" applyBorder="1" applyAlignment="1" applyProtection="1">
      <alignment horizontal="center"/>
    </xf>
    <xf numFmtId="0" fontId="2" fillId="0" borderId="93" xfId="0" applyFont="1" applyBorder="1" applyAlignment="1" applyProtection="1">
      <alignment horizontal="center"/>
    </xf>
    <xf numFmtId="0" fontId="2" fillId="0" borderId="2" xfId="0" applyFont="1" applyFill="1" applyBorder="1" applyAlignment="1" applyProtection="1"/>
    <xf numFmtId="0" fontId="2" fillId="0" borderId="50" xfId="0" applyFont="1" applyBorder="1" applyAlignment="1" applyProtection="1"/>
    <xf numFmtId="0" fontId="0" fillId="0" borderId="34" xfId="0" applyFont="1" applyFill="1" applyBorder="1" applyAlignment="1" applyProtection="1"/>
    <xf numFmtId="0" fontId="20" fillId="0" borderId="68" xfId="0" applyNumberFormat="1" applyFont="1" applyFill="1" applyBorder="1" applyAlignment="1" applyProtection="1">
      <alignment vertical="center" wrapText="1"/>
    </xf>
    <xf numFmtId="0" fontId="20" fillId="0" borderId="26" xfId="0" applyFont="1" applyBorder="1" applyAlignment="1" applyProtection="1">
      <alignment vertical="center" wrapText="1"/>
    </xf>
    <xf numFmtId="0" fontId="21" fillId="0" borderId="26" xfId="0" applyFont="1" applyBorder="1" applyAlignment="1" applyProtection="1">
      <alignment wrapText="1"/>
    </xf>
    <xf numFmtId="0" fontId="21" fillId="0" borderId="34" xfId="0" applyFont="1" applyBorder="1" applyAlignment="1" applyProtection="1">
      <alignment wrapText="1"/>
    </xf>
    <xf numFmtId="0" fontId="3" fillId="0" borderId="11" xfId="0" applyFont="1" applyFill="1" applyBorder="1" applyAlignment="1" applyProtection="1">
      <alignment wrapText="1"/>
    </xf>
    <xf numFmtId="0" fontId="6" fillId="0" borderId="37" xfId="0" applyFont="1" applyBorder="1" applyAlignment="1" applyProtection="1">
      <alignment wrapText="1"/>
    </xf>
    <xf numFmtId="0" fontId="6" fillId="0" borderId="12" xfId="0" applyFont="1" applyBorder="1" applyAlignment="1" applyProtection="1">
      <alignment wrapText="1"/>
    </xf>
    <xf numFmtId="0" fontId="9" fillId="0" borderId="50" xfId="0" applyFont="1" applyBorder="1" applyAlignment="1" applyProtection="1"/>
    <xf numFmtId="0" fontId="0" fillId="0" borderId="0" xfId="0" applyNumberFormat="1" applyFont="1" applyFill="1" applyBorder="1" applyAlignment="1" applyProtection="1">
      <alignment wrapText="1"/>
    </xf>
    <xf numFmtId="0" fontId="0" fillId="0" borderId="0" xfId="0" applyBorder="1" applyAlignment="1" applyProtection="1">
      <alignment wrapText="1"/>
    </xf>
    <xf numFmtId="0" fontId="2" fillId="0" borderId="89" xfId="0" applyFont="1" applyFill="1" applyBorder="1" applyAlignment="1" applyProtection="1"/>
    <xf numFmtId="0" fontId="2" fillId="0" borderId="94" xfId="0" applyFont="1" applyFill="1" applyBorder="1" applyAlignment="1" applyProtection="1"/>
    <xf numFmtId="0" fontId="0" fillId="0" borderId="22" xfId="0" applyNumberFormat="1" applyFont="1" applyFill="1" applyBorder="1" applyAlignment="1" applyProtection="1"/>
    <xf numFmtId="0" fontId="0" fillId="0" borderId="22" xfId="0" applyBorder="1" applyAlignment="1" applyProtection="1"/>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2" fillId="0" borderId="0" xfId="0" applyFont="1" applyBorder="1" applyAlignment="1" applyProtection="1">
      <alignment vertical="center"/>
    </xf>
    <xf numFmtId="0" fontId="24" fillId="0" borderId="0" xfId="0" applyFont="1" applyBorder="1" applyAlignment="1" applyProtection="1">
      <alignment vertical="center"/>
    </xf>
    <xf numFmtId="0" fontId="2" fillId="0" borderId="89" xfId="0" applyFont="1" applyBorder="1" applyAlignment="1" applyProtection="1">
      <alignment vertical="center"/>
    </xf>
    <xf numFmtId="0" fontId="9" fillId="0" borderId="90" xfId="0" applyFont="1" applyBorder="1" applyAlignment="1" applyProtection="1">
      <alignment vertical="center"/>
    </xf>
    <xf numFmtId="0" fontId="9" fillId="0" borderId="5" xfId="0" applyFont="1" applyBorder="1" applyAlignment="1" applyProtection="1"/>
    <xf numFmtId="0" fontId="9" fillId="0" borderId="6" xfId="0" applyFont="1" applyBorder="1" applyAlignment="1" applyProtection="1"/>
    <xf numFmtId="0" fontId="9" fillId="0" borderId="52" xfId="0" applyFont="1" applyBorder="1" applyAlignment="1" applyProtection="1"/>
    <xf numFmtId="0" fontId="9" fillId="0" borderId="51" xfId="0" applyFont="1" applyBorder="1" applyAlignment="1" applyProtection="1"/>
    <xf numFmtId="0" fontId="2" fillId="0" borderId="3" xfId="0" applyFont="1" applyBorder="1" applyAlignment="1" applyProtection="1">
      <alignment horizontal="center"/>
    </xf>
    <xf numFmtId="0" fontId="2" fillId="0" borderId="50" xfId="0" applyFont="1" applyBorder="1" applyAlignment="1" applyProtection="1">
      <alignment horizontal="center"/>
    </xf>
    <xf numFmtId="0" fontId="2" fillId="0" borderId="0" xfId="0" applyNumberFormat="1" applyFont="1" applyFill="1" applyBorder="1" applyAlignment="1" applyProtection="1"/>
    <xf numFmtId="0" fontId="9" fillId="0" borderId="0" xfId="0" applyNumberFormat="1" applyFont="1" applyBorder="1" applyAlignment="1" applyProtection="1"/>
    <xf numFmtId="0" fontId="2" fillId="0" borderId="18" xfId="0" applyFont="1" applyBorder="1" applyAlignment="1">
      <alignment horizontal="center"/>
    </xf>
    <xf numFmtId="0" fontId="2" fillId="0" borderId="0" xfId="0" applyFont="1" applyBorder="1" applyAlignment="1">
      <alignment horizontal="center"/>
    </xf>
    <xf numFmtId="0" fontId="2" fillId="0" borderId="24" xfId="0" applyFont="1" applyBorder="1" applyAlignment="1">
      <alignment horizontal="center"/>
    </xf>
    <xf numFmtId="0" fontId="2" fillId="0" borderId="5" xfId="0" applyFont="1" applyBorder="1" applyAlignment="1">
      <alignment horizontal="center" vertical="center" wrapText="1"/>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0" fillId="0" borderId="10" xfId="0" applyNumberFormat="1" applyFont="1" applyBorder="1" applyAlignment="1">
      <alignment horizontal="center" vertical="center" wrapText="1"/>
    </xf>
    <xf numFmtId="0" fontId="0" fillId="0" borderId="15" xfId="0"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12" xfId="0"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17" xfId="0" applyNumberFormat="1" applyFont="1" applyBorder="1" applyAlignment="1">
      <alignment horizontal="center" vertical="center" wrapText="1"/>
    </xf>
    <xf numFmtId="49" fontId="2" fillId="0" borderId="1" xfId="0" applyNumberFormat="1" applyFont="1" applyFill="1" applyBorder="1" applyAlignment="1" applyProtection="1">
      <alignment horizontal="center" vertical="center" wrapText="1"/>
      <protection locked="0"/>
    </xf>
    <xf numFmtId="49" fontId="2" fillId="0" borderId="34"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wrapText="1"/>
      <protection locked="0"/>
    </xf>
    <xf numFmtId="0" fontId="3" fillId="0" borderId="3" xfId="0" applyFont="1" applyFill="1" applyBorder="1" applyAlignment="1" applyProtection="1">
      <alignment wrapText="1"/>
      <protection locked="0"/>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2" fillId="0" borderId="15" xfId="0" applyFont="1" applyBorder="1" applyAlignment="1">
      <alignment horizontal="center" vertical="center"/>
    </xf>
    <xf numFmtId="0" fontId="7" fillId="0" borderId="4"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5" xfId="0" applyFont="1" applyBorder="1" applyAlignment="1">
      <alignment horizontal="center" vertical="center" wrapText="1"/>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6"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28" fillId="0" borderId="16" xfId="0" applyFont="1" applyBorder="1" applyAlignment="1">
      <alignment horizontal="center" vertical="center" wrapText="1"/>
    </xf>
    <xf numFmtId="0" fontId="28" fillId="0" borderId="16" xfId="0" applyFont="1" applyBorder="1" applyAlignment="1">
      <alignment vertical="center"/>
    </xf>
    <xf numFmtId="0" fontId="28" fillId="0" borderId="16" xfId="0" applyFont="1" applyBorder="1" applyAlignment="1">
      <alignment horizontal="center"/>
    </xf>
    <xf numFmtId="0" fontId="28" fillId="0" borderId="130" xfId="0" applyFont="1" applyBorder="1" applyAlignment="1">
      <alignment horizontal="right"/>
    </xf>
    <xf numFmtId="0" fontId="28" fillId="0" borderId="132" xfId="0" applyFont="1" applyBorder="1" applyAlignment="1">
      <alignment horizontal="right"/>
    </xf>
    <xf numFmtId="0" fontId="11" fillId="0" borderId="68" xfId="0" applyFont="1" applyFill="1" applyBorder="1" applyAlignment="1" applyProtection="1">
      <protection locked="0"/>
    </xf>
    <xf numFmtId="0" fontId="12" fillId="0" borderId="26" xfId="0" applyFont="1" applyBorder="1" applyAlignment="1" applyProtection="1">
      <protection locked="0"/>
    </xf>
    <xf numFmtId="0" fontId="12" fillId="0" borderId="32" xfId="0" applyFont="1" applyBorder="1" applyAlignment="1" applyProtection="1">
      <protection locked="0"/>
    </xf>
    <xf numFmtId="0" fontId="3" fillId="0" borderId="31" xfId="0" applyFont="1" applyBorder="1" applyAlignment="1">
      <alignment horizontal="center" vertical="center"/>
    </xf>
    <xf numFmtId="0" fontId="3" fillId="0" borderId="26" xfId="0" applyFont="1" applyBorder="1" applyAlignment="1">
      <alignment horizontal="center" vertical="center"/>
    </xf>
    <xf numFmtId="0" fontId="3" fillId="0" borderId="32" xfId="0" applyFont="1" applyBorder="1" applyAlignment="1">
      <alignment horizontal="center" vertical="center"/>
    </xf>
    <xf numFmtId="0" fontId="2" fillId="0" borderId="68" xfId="0" applyFont="1" applyFill="1" applyBorder="1" applyAlignment="1" applyProtection="1">
      <protection locked="0"/>
    </xf>
    <xf numFmtId="0" fontId="9" fillId="0" borderId="26" xfId="0" applyFont="1" applyBorder="1" applyAlignment="1" applyProtection="1">
      <protection locked="0"/>
    </xf>
    <xf numFmtId="0" fontId="9" fillId="0" borderId="32" xfId="0" applyFont="1" applyBorder="1" applyAlignment="1" applyProtection="1">
      <protection locked="0"/>
    </xf>
    <xf numFmtId="0" fontId="6" fillId="0" borderId="0" xfId="0" applyFont="1" applyBorder="1" applyAlignment="1" applyProtection="1">
      <alignment horizontal="left" vertical="center"/>
      <protection locked="0"/>
    </xf>
    <xf numFmtId="0" fontId="30" fillId="0" borderId="0" xfId="0" applyFont="1" applyBorder="1" applyAlignment="1" applyProtection="1">
      <alignment vertical="center"/>
      <protection locked="0"/>
    </xf>
    <xf numFmtId="0" fontId="30" fillId="0" borderId="24" xfId="0" applyFont="1" applyBorder="1" applyAlignment="1" applyProtection="1">
      <alignment vertical="center"/>
      <protection locked="0"/>
    </xf>
    <xf numFmtId="0" fontId="11" fillId="0" borderId="26" xfId="0" applyFont="1" applyBorder="1" applyAlignment="1">
      <alignment horizontal="center" vertical="center"/>
    </xf>
    <xf numFmtId="0" fontId="12" fillId="0" borderId="26" xfId="0" applyFont="1" applyBorder="1" applyAlignment="1">
      <alignment horizontal="center" vertical="center"/>
    </xf>
    <xf numFmtId="0" fontId="24" fillId="0" borderId="26" xfId="0" applyFont="1" applyBorder="1" applyAlignment="1">
      <alignment horizontal="center" vertical="center"/>
    </xf>
    <xf numFmtId="0" fontId="24" fillId="0" borderId="32" xfId="0" applyFont="1" applyBorder="1" applyAlignment="1">
      <alignment horizontal="center" vertical="center"/>
    </xf>
    <xf numFmtId="0" fontId="3" fillId="0" borderId="31" xfId="0" applyNumberFormat="1" applyFont="1" applyBorder="1" applyAlignment="1">
      <alignment horizontal="center" vertical="center"/>
    </xf>
    <xf numFmtId="0" fontId="3" fillId="0" borderId="26" xfId="0" applyNumberFormat="1" applyFont="1" applyBorder="1" applyAlignment="1">
      <alignment horizontal="center" vertical="center"/>
    </xf>
    <xf numFmtId="0" fontId="3" fillId="0" borderId="32" xfId="0" applyNumberFormat="1" applyFont="1" applyBorder="1" applyAlignment="1">
      <alignment horizontal="center" vertical="center"/>
    </xf>
    <xf numFmtId="0" fontId="2" fillId="0" borderId="12"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0" fillId="0" borderId="14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0" fillId="0" borderId="114" xfId="0" applyFont="1" applyBorder="1" applyAlignment="1" applyProtection="1">
      <alignment horizontal="center" vertical="center"/>
      <protection locked="0"/>
    </xf>
    <xf numFmtId="0" fontId="2" fillId="0" borderId="1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4" xfId="0" applyFont="1" applyBorder="1" applyAlignment="1">
      <alignment horizontal="center" vertical="center" wrapText="1"/>
    </xf>
    <xf numFmtId="0" fontId="2" fillId="0" borderId="25" xfId="0" applyFont="1" applyBorder="1" applyAlignment="1">
      <alignment horizontal="center" vertical="center" wrapText="1"/>
    </xf>
    <xf numFmtId="0" fontId="0" fillId="0" borderId="25" xfId="0" applyFont="1" applyBorder="1" applyAlignment="1">
      <alignment horizontal="center" vertical="center" wrapText="1"/>
    </xf>
    <xf numFmtId="0" fontId="2" fillId="0" borderId="26" xfId="0" applyFont="1" applyBorder="1" applyAlignment="1">
      <alignment horizontal="center" vertical="center"/>
    </xf>
    <xf numFmtId="0" fontId="0" fillId="0" borderId="37" xfId="0" applyFont="1" applyBorder="1" applyAlignment="1">
      <alignment horizontal="center" vertical="center"/>
    </xf>
    <xf numFmtId="0" fontId="0" fillId="0" borderId="38" xfId="0" applyFont="1" applyBorder="1" applyAlignment="1">
      <alignment horizontal="center" vertical="center"/>
    </xf>
    <xf numFmtId="0" fontId="2" fillId="0" borderId="37" xfId="0" applyFont="1" applyBorder="1" applyAlignment="1">
      <alignment horizontal="center" vertical="center"/>
    </xf>
    <xf numFmtId="0" fontId="2" fillId="0" borderId="1" xfId="0" applyFont="1" applyBorder="1" applyAlignment="1">
      <alignment horizontal="center" vertical="center" wrapText="1"/>
    </xf>
    <xf numFmtId="0" fontId="2" fillId="0" borderId="10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16" xfId="0" applyFont="1" applyBorder="1" applyAlignment="1">
      <alignment horizontal="center" vertical="center"/>
    </xf>
    <xf numFmtId="0" fontId="2" fillId="0" borderId="25" xfId="0" applyFont="1" applyBorder="1" applyAlignment="1">
      <alignment horizontal="center" vertical="center"/>
    </xf>
    <xf numFmtId="0" fontId="13" fillId="0" borderId="33" xfId="0" applyFont="1" applyBorder="1" applyAlignment="1">
      <alignment horizontal="center" vertical="center" wrapText="1"/>
    </xf>
    <xf numFmtId="0" fontId="13" fillId="0" borderId="26"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1" xfId="0" applyFont="1" applyBorder="1" applyAlignment="1">
      <alignment horizontal="center" vertical="center" wrapText="1"/>
    </xf>
    <xf numFmtId="0" fontId="9" fillId="0" borderId="10" xfId="0" applyFont="1" applyFill="1" applyBorder="1" applyAlignment="1" applyProtection="1">
      <alignment horizontal="center" vertical="center" wrapText="1"/>
      <protection locked="0"/>
    </xf>
    <xf numFmtId="0" fontId="9" fillId="0" borderId="15"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textRotation="90" wrapText="1"/>
      <protection locked="0"/>
    </xf>
    <xf numFmtId="0" fontId="9" fillId="0" borderId="15" xfId="0" applyFont="1" applyFill="1" applyBorder="1" applyAlignment="1" applyProtection="1">
      <alignment horizontal="center" textRotation="90" wrapText="1"/>
      <protection locked="0"/>
    </xf>
    <xf numFmtId="0" fontId="9" fillId="0" borderId="39" xfId="0" applyNumberFormat="1" applyFont="1" applyFill="1" applyBorder="1" applyAlignment="1" applyProtection="1">
      <alignment horizontal="center" wrapText="1"/>
      <protection locked="0"/>
    </xf>
    <xf numFmtId="0" fontId="9" fillId="0" borderId="42" xfId="0" applyNumberFormat="1" applyFont="1" applyFill="1" applyBorder="1" applyAlignment="1" applyProtection="1">
      <alignment horizontal="center" wrapText="1"/>
      <protection locked="0"/>
    </xf>
    <xf numFmtId="0" fontId="8" fillId="0" borderId="52" xfId="0" applyFont="1" applyFill="1" applyBorder="1" applyAlignment="1" applyProtection="1">
      <alignment horizontal="center" vertical="center" wrapText="1"/>
      <protection locked="0"/>
    </xf>
    <xf numFmtId="0" fontId="8" fillId="0" borderId="68" xfId="0" applyFont="1" applyFill="1" applyBorder="1" applyAlignment="1" applyProtection="1">
      <alignment horizontal="center" vertical="center" wrapText="1"/>
      <protection locked="0"/>
    </xf>
    <xf numFmtId="0" fontId="6" fillId="0" borderId="0" xfId="0" applyFont="1" applyBorder="1" applyAlignment="1" applyProtection="1">
      <alignment vertical="center" wrapText="1"/>
      <protection locked="0"/>
    </xf>
    <xf numFmtId="0" fontId="6" fillId="0" borderId="29" xfId="0" applyFont="1" applyBorder="1" applyAlignment="1" applyProtection="1">
      <alignment vertical="center" wrapText="1"/>
      <protection locked="0"/>
    </xf>
    <xf numFmtId="0" fontId="3" fillId="0" borderId="30"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32" xfId="0" applyFont="1" applyBorder="1" applyAlignment="1">
      <alignment horizontal="center" vertical="center" wrapText="1"/>
    </xf>
    <xf numFmtId="0" fontId="11" fillId="0" borderId="26" xfId="0" applyFont="1" applyBorder="1" applyAlignment="1">
      <alignment vertical="center" wrapText="1"/>
    </xf>
    <xf numFmtId="0" fontId="11" fillId="0" borderId="34" xfId="0" applyFont="1" applyBorder="1" applyAlignment="1">
      <alignment vertical="center" wrapText="1"/>
    </xf>
    <xf numFmtId="0" fontId="0" fillId="0" borderId="30" xfId="0" applyFont="1" applyBorder="1" applyAlignment="1" applyProtection="1">
      <alignment horizontal="center" vertical="center" textRotation="90" wrapText="1"/>
      <protection locked="0"/>
    </xf>
    <xf numFmtId="0" fontId="0" fillId="0" borderId="31" xfId="0" applyFont="1" applyBorder="1" applyAlignment="1" applyProtection="1">
      <alignment horizontal="center" vertical="center" textRotation="90" wrapText="1"/>
      <protection locked="0"/>
    </xf>
    <xf numFmtId="0" fontId="0" fillId="0" borderId="29" xfId="0" applyFont="1" applyBorder="1" applyAlignment="1" applyProtection="1">
      <alignment horizontal="center" vertical="center" textRotation="90" wrapText="1"/>
      <protection locked="0"/>
    </xf>
    <xf numFmtId="0" fontId="0" fillId="0" borderId="43" xfId="0" applyFont="1" applyBorder="1" applyAlignment="1" applyProtection="1">
      <alignment horizontal="center" vertical="center" textRotation="90" wrapText="1"/>
      <protection locked="0"/>
    </xf>
    <xf numFmtId="0" fontId="8" fillId="0" borderId="35"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0"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3" fillId="0" borderId="16"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1"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5"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68" xfId="0" applyFont="1" applyBorder="1" applyAlignment="1">
      <alignment horizontal="center" vertical="center" wrapText="1"/>
    </xf>
    <xf numFmtId="0" fontId="8" fillId="0" borderId="44" xfId="0" applyFont="1" applyBorder="1" applyAlignment="1" applyProtection="1">
      <alignment horizontal="center" vertical="center" textRotation="90" wrapText="1"/>
      <protection locked="0"/>
    </xf>
    <xf numFmtId="0" fontId="0" fillId="0" borderId="44" xfId="0" applyFont="1" applyBorder="1" applyAlignment="1">
      <alignment horizontal="center" vertical="center" wrapText="1"/>
    </xf>
    <xf numFmtId="0" fontId="8" fillId="0" borderId="45" xfId="0" applyFont="1" applyBorder="1" applyAlignment="1" applyProtection="1">
      <alignment horizontal="center" vertical="center" textRotation="90" wrapText="1"/>
      <protection locked="0"/>
    </xf>
    <xf numFmtId="0" fontId="0" fillId="0" borderId="45" xfId="0" applyFont="1" applyBorder="1" applyAlignment="1">
      <alignment horizontal="center" vertical="center" wrapText="1"/>
    </xf>
    <xf numFmtId="0" fontId="8" fillId="0" borderId="12" xfId="0" applyFont="1" applyBorder="1" applyAlignment="1">
      <alignment horizontal="center" vertical="center" wrapText="1"/>
    </xf>
    <xf numFmtId="0" fontId="9" fillId="0" borderId="16" xfId="0" applyFont="1" applyFill="1" applyBorder="1" applyAlignment="1" applyProtection="1">
      <alignment horizontal="center" vertical="center" wrapText="1"/>
      <protection locked="0"/>
    </xf>
    <xf numFmtId="0" fontId="8" fillId="0" borderId="16" xfId="0" applyFont="1" applyBorder="1" applyAlignment="1">
      <alignment horizontal="center" vertical="center" wrapText="1"/>
    </xf>
    <xf numFmtId="0" fontId="8" fillId="0" borderId="11" xfId="0" applyFont="1" applyFill="1" applyBorder="1" applyAlignment="1" applyProtection="1">
      <alignment horizontal="center" vertical="center" wrapText="1"/>
      <protection locked="0"/>
    </xf>
    <xf numFmtId="0" fontId="0" fillId="0" borderId="11" xfId="0" applyFont="1" applyBorder="1" applyAlignment="1">
      <alignment horizontal="center" vertical="center" wrapText="1"/>
    </xf>
    <xf numFmtId="0" fontId="9" fillId="0" borderId="16" xfId="0" applyFont="1" applyFill="1" applyBorder="1" applyAlignment="1" applyProtection="1">
      <alignment horizontal="center" textRotation="90" wrapText="1"/>
      <protection locked="0"/>
    </xf>
    <xf numFmtId="0" fontId="0" fillId="0" borderId="16" xfId="0" applyFont="1" applyFill="1" applyBorder="1" applyAlignment="1" applyProtection="1">
      <alignment horizontal="center" vertical="center" wrapText="1"/>
      <protection locked="0"/>
    </xf>
    <xf numFmtId="0" fontId="37" fillId="0" borderId="67" xfId="0" applyFont="1" applyBorder="1" applyAlignment="1" applyProtection="1"/>
    <xf numFmtId="0" fontId="37" fillId="0" borderId="67" xfId="0" applyFont="1" applyBorder="1" applyAlignment="1"/>
    <xf numFmtId="0" fontId="2" fillId="0" borderId="140" xfId="0" applyFont="1" applyFill="1" applyBorder="1" applyAlignment="1" applyProtection="1">
      <alignment horizontal="center" wrapText="1"/>
    </xf>
    <xf numFmtId="0" fontId="2" fillId="0" borderId="76" xfId="0" applyFont="1" applyBorder="1" applyAlignment="1" applyProtection="1">
      <alignment horizontal="center" wrapText="1"/>
    </xf>
    <xf numFmtId="0" fontId="0" fillId="0" borderId="150" xfId="0" applyFont="1" applyBorder="1" applyAlignment="1" applyProtection="1">
      <alignment horizontal="center" wrapText="1"/>
    </xf>
    <xf numFmtId="0" fontId="2" fillId="0" borderId="140" xfId="0" applyFont="1" applyFill="1" applyBorder="1" applyAlignment="1" applyProtection="1">
      <alignment wrapText="1"/>
    </xf>
    <xf numFmtId="0" fontId="2" fillId="0" borderId="76" xfId="0" applyFont="1" applyBorder="1" applyAlignment="1" applyProtection="1">
      <alignment wrapText="1"/>
    </xf>
    <xf numFmtId="4" fontId="0" fillId="0" borderId="16" xfId="0" applyNumberFormat="1" applyFont="1" applyBorder="1" applyAlignment="1" applyProtection="1">
      <alignment horizontal="center"/>
    </xf>
    <xf numFmtId="4" fontId="0" fillId="0" borderId="11" xfId="0" applyNumberFormat="1" applyFont="1" applyBorder="1" applyAlignment="1" applyProtection="1">
      <alignment horizontal="center" vertical="center"/>
    </xf>
    <xf numFmtId="4" fontId="0" fillId="0" borderId="37" xfId="0" applyNumberFormat="1" applyFont="1" applyBorder="1" applyAlignment="1" applyProtection="1">
      <alignment horizontal="center" vertical="center"/>
    </xf>
    <xf numFmtId="4" fontId="0" fillId="0" borderId="12" xfId="0" applyNumberFormat="1" applyFont="1" applyBorder="1" applyAlignment="1" applyProtection="1">
      <alignment horizontal="center" vertical="center"/>
    </xf>
    <xf numFmtId="0" fontId="2" fillId="0" borderId="26" xfId="0" applyFont="1" applyFill="1" applyBorder="1" applyAlignment="1" applyProtection="1">
      <alignment horizontal="center" wrapText="1"/>
    </xf>
    <xf numFmtId="0" fontId="2" fillId="0" borderId="26" xfId="0" applyFont="1" applyBorder="1" applyAlignment="1" applyProtection="1">
      <alignment horizontal="center" wrapText="1"/>
    </xf>
    <xf numFmtId="0" fontId="2" fillId="0" borderId="43" xfId="0" applyFont="1" applyBorder="1" applyAlignment="1" applyProtection="1">
      <alignment horizontal="center" wrapText="1"/>
    </xf>
    <xf numFmtId="0" fontId="2" fillId="0" borderId="0" xfId="0" applyFont="1" applyFill="1" applyBorder="1" applyAlignment="1" applyProtection="1">
      <alignment horizontal="center" wrapText="1"/>
    </xf>
    <xf numFmtId="0" fontId="2" fillId="0" borderId="0" xfId="0" applyFont="1" applyBorder="1" applyAlignment="1" applyProtection="1">
      <alignment horizontal="center" wrapText="1"/>
    </xf>
    <xf numFmtId="0" fontId="2" fillId="0" borderId="1" xfId="0" applyFont="1" applyBorder="1" applyAlignment="1" applyProtection="1">
      <alignment horizontal="center" wrapText="1"/>
    </xf>
    <xf numFmtId="0" fontId="2" fillId="0" borderId="37" xfId="0" applyFont="1" applyFill="1" applyBorder="1" applyAlignment="1" applyProtection="1">
      <alignment horizontal="center" wrapText="1"/>
    </xf>
    <xf numFmtId="0" fontId="0" fillId="0" borderId="148" xfId="0" applyFont="1" applyBorder="1" applyAlignment="1" applyProtection="1">
      <alignment horizontal="center" wrapText="1"/>
    </xf>
    <xf numFmtId="0" fontId="2" fillId="0" borderId="37" xfId="0" applyFont="1" applyFill="1" applyBorder="1" applyAlignment="1" applyProtection="1">
      <alignment wrapText="1"/>
    </xf>
    <xf numFmtId="0" fontId="2" fillId="0" borderId="37" xfId="0" applyFont="1" applyBorder="1" applyAlignment="1" applyProtection="1">
      <alignment wrapText="1"/>
    </xf>
    <xf numFmtId="0" fontId="2" fillId="0" borderId="12" xfId="0" applyFont="1" applyBorder="1" applyAlignment="1" applyProtection="1">
      <alignment wrapText="1"/>
    </xf>
    <xf numFmtId="0" fontId="24" fillId="0" borderId="0" xfId="0" applyFont="1" applyBorder="1" applyAlignment="1" applyProtection="1">
      <alignment horizontal="center" vertical="center" wrapText="1"/>
    </xf>
    <xf numFmtId="0" fontId="24" fillId="0" borderId="29" xfId="0" applyFont="1" applyBorder="1" applyAlignment="1" applyProtection="1">
      <alignment horizontal="center" vertical="center" wrapText="1"/>
    </xf>
    <xf numFmtId="0" fontId="2" fillId="0" borderId="43" xfId="0" applyFont="1" applyBorder="1" applyAlignment="1" applyProtection="1">
      <alignment horizontal="center" vertical="center" wrapText="1"/>
    </xf>
    <xf numFmtId="0" fontId="0" fillId="0" borderId="16" xfId="0" applyFont="1" applyBorder="1" applyAlignment="1" applyProtection="1">
      <alignment horizontal="center"/>
    </xf>
    <xf numFmtId="0" fontId="0" fillId="0" borderId="45" xfId="0" applyFont="1" applyBorder="1" applyAlignment="1" applyProtection="1">
      <alignment horizontal="center"/>
    </xf>
    <xf numFmtId="4" fontId="0" fillId="0" borderId="15" xfId="0" applyNumberFormat="1" applyFont="1" applyFill="1" applyBorder="1" applyAlignment="1" applyProtection="1">
      <alignment horizontal="center" vertical="center"/>
    </xf>
    <xf numFmtId="1" fontId="0" fillId="0" borderId="11" xfId="0" applyNumberFormat="1" applyFont="1" applyFill="1" applyBorder="1" applyAlignment="1" applyProtection="1">
      <alignment horizontal="center" vertical="center"/>
    </xf>
    <xf numFmtId="1" fontId="0" fillId="0" borderId="37" xfId="0" applyNumberFormat="1" applyFont="1" applyFill="1" applyBorder="1" applyAlignment="1" applyProtection="1">
      <alignment horizontal="center" vertical="center"/>
    </xf>
    <xf numFmtId="1" fontId="0" fillId="0" borderId="12" xfId="0" applyNumberFormat="1" applyFont="1" applyFill="1" applyBorder="1" applyAlignment="1" applyProtection="1">
      <alignment horizontal="center" vertical="center"/>
    </xf>
    <xf numFmtId="0" fontId="2" fillId="0" borderId="31" xfId="0" applyFont="1" applyBorder="1" applyAlignment="1" applyProtection="1">
      <alignment horizontal="center" vertical="center" wrapText="1"/>
    </xf>
    <xf numFmtId="0" fontId="2" fillId="0" borderId="0" xfId="0" applyFont="1" applyBorder="1" applyAlignment="1" applyProtection="1"/>
    <xf numFmtId="0" fontId="11" fillId="0" borderId="0" xfId="0" applyNumberFormat="1"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29" xfId="0" applyFont="1" applyBorder="1" applyAlignment="1" applyProtection="1">
      <alignment horizontal="center" vertical="center"/>
    </xf>
    <xf numFmtId="0" fontId="0" fillId="0" borderId="88" xfId="0" applyNumberFormat="1" applyBorder="1" applyAlignment="1">
      <alignment horizontal="center" vertical="center"/>
    </xf>
    <xf numFmtId="0" fontId="0" fillId="0" borderId="0" xfId="0" applyAlignment="1">
      <alignment horizontal="center" vertical="center"/>
    </xf>
  </cellXfs>
  <cellStyles count="5">
    <cellStyle name="Euro" xfId="2"/>
    <cellStyle name="Euro_Herstellungsbeitrag 2004" xfId="4"/>
    <cellStyle name="Prozent" xfId="1" builtinId="5"/>
    <cellStyle name="Standard" xfId="0" builtinId="0"/>
    <cellStyle name="Standard_Herstellungsbeitrag 2004" xfId="3"/>
  </cellStyles>
  <dxfs count="5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1"/>
  <sheetViews>
    <sheetView zoomScaleNormal="100" workbookViewId="0">
      <pane ySplit="7" topLeftCell="A8" activePane="bottomLeft" state="frozen"/>
      <selection pane="bottomLeft" activeCell="C79" sqref="C79:D79"/>
    </sheetView>
  </sheetViews>
  <sheetFormatPr baseColWidth="10" defaultColWidth="11.453125" defaultRowHeight="14.5" x14ac:dyDescent="0.35"/>
  <cols>
    <col min="1" max="1" width="4.81640625" style="71" customWidth="1"/>
    <col min="2" max="2" width="37" style="71" customWidth="1"/>
    <col min="3" max="11" width="12.7265625" style="71" customWidth="1"/>
    <col min="12" max="12" width="12.7265625" style="72" customWidth="1"/>
    <col min="13" max="16384" width="11.453125" style="10"/>
  </cols>
  <sheetData>
    <row r="1" spans="1:13" s="71" customFormat="1" ht="18" customHeight="1" x14ac:dyDescent="0.35">
      <c r="A1" s="617" t="str">
        <f>Grunddaten!A1</f>
        <v>Gemeinde A</v>
      </c>
      <c r="B1" s="617"/>
      <c r="C1" s="617"/>
      <c r="D1" s="617"/>
      <c r="E1" s="617"/>
      <c r="F1" s="617"/>
      <c r="G1" s="617"/>
      <c r="H1" s="617"/>
      <c r="I1" s="617"/>
      <c r="J1" s="617"/>
      <c r="K1" s="617"/>
      <c r="L1" s="618"/>
      <c r="M1" s="72"/>
    </row>
    <row r="2" spans="1:13" s="71" customFormat="1" ht="15" customHeight="1" x14ac:dyDescent="0.35">
      <c r="A2" s="619" t="str">
        <f>Grunddaten!A2</f>
        <v>Abwasserbeseitigungseinrichtung</v>
      </c>
      <c r="B2" s="619"/>
      <c r="C2" s="619"/>
      <c r="D2" s="619"/>
      <c r="E2" s="619"/>
      <c r="F2" s="619"/>
      <c r="G2" s="619"/>
      <c r="H2" s="619"/>
      <c r="I2" s="619"/>
      <c r="J2" s="619"/>
      <c r="K2" s="619"/>
      <c r="L2" s="620"/>
      <c r="M2" s="72"/>
    </row>
    <row r="3" spans="1:13" s="71" customFormat="1" ht="38.25" customHeight="1" x14ac:dyDescent="0.35">
      <c r="A3" s="621" t="s">
        <v>1068</v>
      </c>
      <c r="B3" s="622"/>
      <c r="C3" s="622"/>
      <c r="D3" s="622"/>
      <c r="E3" s="622"/>
      <c r="F3" s="622"/>
      <c r="G3" s="622"/>
      <c r="H3" s="622"/>
      <c r="I3" s="622"/>
      <c r="J3" s="622"/>
      <c r="K3" s="623"/>
      <c r="L3" s="614"/>
      <c r="M3" s="72"/>
    </row>
    <row r="4" spans="1:13" s="71" customFormat="1" ht="20.25" customHeight="1" x14ac:dyDescent="0.35">
      <c r="A4" s="622" t="str">
        <f xml:space="preserve"> "für den Zeitraum vom "&amp; TEXT(Grunddaten!H6,"TT.MM.JJJJ") &amp; " bis " &amp; TEXT(Grunddaten!H8-1,"TT.MM.JJJJ")</f>
        <v>für den Zeitraum vom 01.01.2012 bis 31.12.2016</v>
      </c>
      <c r="B4" s="622"/>
      <c r="C4" s="622"/>
      <c r="D4" s="622"/>
      <c r="E4" s="622"/>
      <c r="F4" s="622"/>
      <c r="G4" s="622"/>
      <c r="H4" s="622"/>
      <c r="I4" s="622"/>
      <c r="J4" s="622"/>
      <c r="K4" s="622"/>
      <c r="L4" s="614"/>
      <c r="M4" s="72"/>
    </row>
    <row r="5" spans="1:13" s="71" customFormat="1" ht="16.5" customHeight="1" x14ac:dyDescent="0.35">
      <c r="A5" s="624" t="s">
        <v>0</v>
      </c>
      <c r="B5" s="626" t="s">
        <v>439</v>
      </c>
      <c r="C5" s="629" t="s">
        <v>442</v>
      </c>
      <c r="D5" s="630"/>
      <c r="E5" s="630"/>
      <c r="F5" s="630"/>
      <c r="G5" s="630"/>
      <c r="H5" s="630"/>
      <c r="I5" s="630"/>
      <c r="J5" s="630"/>
      <c r="K5" s="630"/>
      <c r="L5" s="631"/>
      <c r="M5" s="72"/>
    </row>
    <row r="6" spans="1:13" s="71" customFormat="1" ht="16.5" customHeight="1" x14ac:dyDescent="0.35">
      <c r="A6" s="614"/>
      <c r="B6" s="627"/>
      <c r="C6" s="632">
        <f>IF(YEAR(Grunddaten!$J$6)&lt;YEAR(Grunddaten!$H$6),"-",YEAR(Grunddaten!H6))</f>
        <v>2012</v>
      </c>
      <c r="D6" s="632"/>
      <c r="E6" s="633">
        <f>IF(C6="-","-",IF((C6+1)&lt;YEAR(Grunddaten!$H$8),C6+1,"-"))</f>
        <v>2013</v>
      </c>
      <c r="F6" s="632"/>
      <c r="G6" s="633">
        <f>IF(E6="-","-",IF((E6+1)&lt;YEAR(Grunddaten!$H$8),E6+1,"-"))</f>
        <v>2014</v>
      </c>
      <c r="H6" s="632"/>
      <c r="I6" s="633">
        <f>IF(G6="-","-",IF((G6+1)&lt;YEAR(Grunddaten!$H$8),G6+1,"-"))</f>
        <v>2015</v>
      </c>
      <c r="J6" s="632"/>
      <c r="K6" s="633">
        <f>IF(I6="-","-",IF((I6+1)&lt;YEAR(Grunddaten!$H$8),I6+1,"-"))</f>
        <v>2016</v>
      </c>
      <c r="L6" s="632"/>
      <c r="M6" s="72"/>
    </row>
    <row r="7" spans="1:13" s="407" customFormat="1" ht="26.25" customHeight="1" x14ac:dyDescent="0.35">
      <c r="A7" s="625"/>
      <c r="B7" s="628"/>
      <c r="C7" s="406" t="s">
        <v>599</v>
      </c>
      <c r="D7" s="406" t="s">
        <v>441</v>
      </c>
      <c r="E7" s="406" t="s">
        <v>599</v>
      </c>
      <c r="F7" s="406" t="s">
        <v>441</v>
      </c>
      <c r="G7" s="406" t="s">
        <v>599</v>
      </c>
      <c r="H7" s="406" t="s">
        <v>441</v>
      </c>
      <c r="I7" s="406" t="s">
        <v>599</v>
      </c>
      <c r="J7" s="406" t="s">
        <v>441</v>
      </c>
      <c r="K7" s="406" t="s">
        <v>599</v>
      </c>
      <c r="L7" s="406" t="s">
        <v>441</v>
      </c>
    </row>
    <row r="8" spans="1:13" s="72" customFormat="1" ht="21" customHeight="1" x14ac:dyDescent="0.35">
      <c r="A8" s="454" t="s">
        <v>616</v>
      </c>
      <c r="B8" s="468" t="s">
        <v>429</v>
      </c>
      <c r="C8" s="640" t="s">
        <v>926</v>
      </c>
      <c r="D8" s="641"/>
      <c r="E8" s="56"/>
      <c r="F8" s="56"/>
      <c r="G8" s="57"/>
      <c r="H8" s="56"/>
      <c r="I8" s="57"/>
      <c r="J8" s="56"/>
      <c r="K8" s="57"/>
      <c r="L8" s="58"/>
    </row>
    <row r="9" spans="1:13" s="71" customFormat="1" ht="28.5" customHeight="1" x14ac:dyDescent="0.35">
      <c r="A9" s="454" t="s">
        <v>11</v>
      </c>
      <c r="B9" s="408" t="s">
        <v>1103</v>
      </c>
      <c r="C9" s="59">
        <f>IF(C6="-","-",HLOOKUP(C6,Anlageg,24,FALSE))</f>
        <v>638667.15</v>
      </c>
      <c r="D9" s="59">
        <f>IF(C6="-","-",HLOOKUP(C6,Anlageg,25,FALSE))</f>
        <v>111621.42</v>
      </c>
      <c r="E9" s="59">
        <f>IF(E6="-","-",HLOOKUP(E6,Anlageg,24,FALSE))</f>
        <v>636750.49</v>
      </c>
      <c r="F9" s="59">
        <f>IF(E6="-","-",HLOOKUP(E6,Anlageg,25,FALSE))</f>
        <v>111467.25</v>
      </c>
      <c r="G9" s="59">
        <f>IF(G6="-","-",HLOOKUP(G6,Anlageg,24,FALSE))</f>
        <v>634145.86</v>
      </c>
      <c r="H9" s="59">
        <f>IF(G6="-","-",HLOOKUP(G6,Anlageg,25,FALSE))</f>
        <v>110707.07</v>
      </c>
      <c r="I9" s="59">
        <f>IF(I6="-","-",HLOOKUP(I6,Anlageg,24,FALSE))</f>
        <v>631864.27</v>
      </c>
      <c r="J9" s="59">
        <f>IF(I6="-","-",HLOOKUP(I6,Anlageg,25,FALSE))</f>
        <v>109972.87</v>
      </c>
      <c r="K9" s="59">
        <f>IF(K6="-","-",HLOOKUP(K6,Anlageg,24,FALSE))</f>
        <v>620745.78</v>
      </c>
      <c r="L9" s="59">
        <f>IF(K6="-","-",HLOOKUP(K6,Anlageg,25,FALSE))</f>
        <v>109169.61</v>
      </c>
      <c r="M9" s="72"/>
    </row>
    <row r="10" spans="1:13" s="71" customFormat="1" ht="21" customHeight="1" x14ac:dyDescent="0.35">
      <c r="A10" s="454" t="s">
        <v>13</v>
      </c>
      <c r="B10" s="409" t="s">
        <v>430</v>
      </c>
      <c r="C10" s="59">
        <f>IF(C6="-","-",HLOOKUP(C6,Beitr,12,FALSE)*-1)</f>
        <v>-159405.19</v>
      </c>
      <c r="D10" s="59">
        <f>IF(C6="-","-",HLOOKUP(C6,Beitr,13,FALSE)*-1)</f>
        <v>-27859.34</v>
      </c>
      <c r="E10" s="59">
        <f>IF(E6="-","-",HLOOKUP(E6,Beitr,12,FALSE)*-1)</f>
        <v>-159365.85999999999</v>
      </c>
      <c r="F10" s="59">
        <f>IF(E6="-","-",HLOOKUP(E6,Beitr,13,FALSE)*-1)</f>
        <v>-27898.67</v>
      </c>
      <c r="G10" s="59">
        <f>IF(G6="-","-",HLOOKUP(G6,Beitr,12,FALSE)*-1)</f>
        <v>-159431.4</v>
      </c>
      <c r="H10" s="59">
        <f>IF(G6="-","-",HLOOKUP(G6,Beitr,13,FALSE)*-1)</f>
        <v>-27833.13</v>
      </c>
      <c r="I10" s="59">
        <f>IF(I6="-","-",HLOOKUP(I6,Beitr,12,FALSE)*-1)</f>
        <v>-152409.28</v>
      </c>
      <c r="J10" s="59">
        <f>IF(I6="-","-",HLOOKUP(I6,Beitr,13,FALSE)*-1)</f>
        <v>-26525.25</v>
      </c>
      <c r="K10" s="59">
        <f>IF(K6="-","-",HLOOKUP(K6,Beitr,12,FALSE)*-1)</f>
        <v>-137787.89000000001</v>
      </c>
      <c r="L10" s="59">
        <f>IF(K6="-","-",HLOOKUP(K6,Beitr,13,FALSE)*-1)</f>
        <v>-24231.64</v>
      </c>
      <c r="M10" s="72"/>
    </row>
    <row r="11" spans="1:13" s="71" customFormat="1" ht="21" customHeight="1" x14ac:dyDescent="0.35">
      <c r="A11" s="454" t="s">
        <v>16</v>
      </c>
      <c r="B11" s="410" t="s">
        <v>1066</v>
      </c>
      <c r="C11" s="59">
        <f>IF(C6="-","-",IF(HLOOKUP(C6,Grund_be,2,FALSE)=2,HLOOKUP(C6,Zuwend,70,FALSE)*-1,HLOOKUP(C6,Zuwend,12,FALSE)*-1))</f>
        <v>0</v>
      </c>
      <c r="D11" s="59">
        <f>IF(C6="-","-",IF(HLOOKUP(C6,Grund_be,2,FALSE)=2,HLOOKUP(C6,Zuwend,71,FALSE)*-1,HLOOKUP(C6,Zuwend,13,FALSE)*-1))</f>
        <v>0</v>
      </c>
      <c r="E11" s="59">
        <f>IF(E6="-","-",IF(HLOOKUP(E6,Grund_be,2,FALSE)=2,HLOOKUP(E6,Zuwend,70,FALSE)*-1,HLOOKUP(E6,Zuwend,12,FALSE)*-1))</f>
        <v>0</v>
      </c>
      <c r="F11" s="59">
        <f>IF(E6="-","-",IF(HLOOKUP(E6,Grund_be,2,FALSE)=2,HLOOKUP(E6,Zuwend,71,FALSE)*-1,HLOOKUP(E6,Zuwend,13,FALSE)*-1))</f>
        <v>0</v>
      </c>
      <c r="G11" s="59">
        <f>IF(G6="-","-",IF(HLOOKUP(G6,Grund_be,2,FALSE)=2,HLOOKUP(G6,Zuwend,70,FALSE)*-1,HLOOKUP(G6,Zuwend,12,FALSE)*-1))</f>
        <v>0</v>
      </c>
      <c r="H11" s="59">
        <f>IF(G6="-","-",IF(HLOOKUP(G6,Grund_be,2,FALSE)=2,HLOOKUP(G6,Zuwend,71,FALSE)*-1,HLOOKUP(G6,Zuwend,13,FALSE)*-1))</f>
        <v>0</v>
      </c>
      <c r="I11" s="59">
        <f>IF(I6="-","-",IF(HLOOKUP(I6,Grund_be,2,FALSE)=2,HLOOKUP(I6,Zuwend,70,FALSE)*-1,HLOOKUP(I6,Zuwend,12,FALSE)*-1))</f>
        <v>0</v>
      </c>
      <c r="J11" s="59">
        <f>IF(I6="-","-",IF(HLOOKUP(I6,Grund_be,2,FALSE)=2,HLOOKUP(I6,Zuwend,71,FALSE)*-1,HLOOKUP(I6,Zuwend,13,FALSE)*-1))</f>
        <v>0</v>
      </c>
      <c r="K11" s="59">
        <f>IF(K6="-","-",IF(HLOOKUP(K6,Grund_be,2,FALSE)=2,HLOOKUP(K6,Zuwend,70,FALSE)*-1,HLOOKUP(K6,Zuwend,12,FALSE)*-1))</f>
        <v>0</v>
      </c>
      <c r="L11" s="59">
        <f>IF(K6="-","-",IF(HLOOKUP(K6,Grund_be,2,FALSE)=2,HLOOKUP(K6,Zuwend,71,FALSE)*-1,HLOOKUP(K6,Zuwend,13,FALSE)*-1))</f>
        <v>0</v>
      </c>
      <c r="M11" s="72"/>
    </row>
    <row r="12" spans="1:13" s="71" customFormat="1" ht="30" customHeight="1" thickBot="1" x14ac:dyDescent="0.4">
      <c r="A12" s="454" t="s">
        <v>19</v>
      </c>
      <c r="B12" s="411" t="s">
        <v>432</v>
      </c>
      <c r="C12" s="412">
        <f>IF(C6="-","-",SUM(C9,C10,C11))</f>
        <v>479261.96</v>
      </c>
      <c r="D12" s="412">
        <f>IF(C6="-","-",SUM(D9,D10,D11))</f>
        <v>83762.080000000002</v>
      </c>
      <c r="E12" s="412">
        <f t="shared" ref="E12" si="0">IF(E6="-","-",SUM(E9,E10,E11))</f>
        <v>477384.63</v>
      </c>
      <c r="F12" s="412">
        <f t="shared" ref="F12" si="1">IF(E6="-","-",SUM(F9,F10,F11))</f>
        <v>83568.58</v>
      </c>
      <c r="G12" s="412">
        <f t="shared" ref="G12" si="2">IF(G6="-","-",SUM(G9,G10,G11))</f>
        <v>474714.45999999996</v>
      </c>
      <c r="H12" s="412">
        <f t="shared" ref="H12" si="3">IF(G6="-","-",SUM(H9,H10,H11))</f>
        <v>82873.94</v>
      </c>
      <c r="I12" s="412">
        <f t="shared" ref="I12" si="4">IF(I6="-","-",SUM(I9,I10,I11))</f>
        <v>479454.99</v>
      </c>
      <c r="J12" s="412">
        <f t="shared" ref="J12" si="5">IF(I6="-","-",SUM(J9,J10,J11))</f>
        <v>83447.62</v>
      </c>
      <c r="K12" s="412">
        <f t="shared" ref="K12" si="6">IF(K6="-","-",SUM(K9,K10,K11))</f>
        <v>482957.89</v>
      </c>
      <c r="L12" s="412">
        <f t="shared" ref="L12" si="7">IF(K6="-","-",SUM(L9,L10,L11))</f>
        <v>84937.97</v>
      </c>
      <c r="M12" s="72"/>
    </row>
    <row r="13" spans="1:13" s="71" customFormat="1" ht="21.75" customHeight="1" x14ac:dyDescent="0.35">
      <c r="A13" s="454" t="s">
        <v>22</v>
      </c>
      <c r="B13" s="408" t="s">
        <v>927</v>
      </c>
      <c r="C13" s="59">
        <f>IF(C6="-","-",HLOOKUP(C6,Anlageg,49,FALSE))</f>
        <v>492752.07</v>
      </c>
      <c r="D13" s="59">
        <f>IF(C6="-","-",HLOOKUP(C6,Anlageg,50,FALSE))</f>
        <v>100055.98</v>
      </c>
      <c r="E13" s="59">
        <f>IF(E6="-","-",HLOOKUP(E6,Anlageg,49,FALSE))</f>
        <v>470432.25</v>
      </c>
      <c r="F13" s="59">
        <f>IF(E6="-","-",HLOOKUP(E6,Anlageg,50,FALSE))</f>
        <v>96151.94</v>
      </c>
      <c r="G13" s="59">
        <f>IF(G6="-","-",HLOOKUP(G6,Anlageg,49,FALSE))</f>
        <v>448191.56</v>
      </c>
      <c r="H13" s="59">
        <f>IF(G6="-","-",HLOOKUP(G6,Anlageg,50,FALSE))</f>
        <v>92263.88</v>
      </c>
      <c r="I13" s="59">
        <f>IF(I6="-","-",HLOOKUP(I6,Anlageg,49,FALSE))</f>
        <v>426036.39</v>
      </c>
      <c r="J13" s="59">
        <f>IF(I6="-","-",HLOOKUP(I6,Anlageg,50,FALSE))</f>
        <v>88401.98</v>
      </c>
      <c r="K13" s="59">
        <f>IF(K6="-","-",HLOOKUP(K6,Anlageg,49,FALSE))</f>
        <v>404115.71</v>
      </c>
      <c r="L13" s="59">
        <f>IF(K6="-","-",HLOOKUP(K6,Anlageg,50,FALSE))</f>
        <v>84566.99</v>
      </c>
      <c r="M13" s="72"/>
    </row>
    <row r="14" spans="1:13" s="71" customFormat="1" ht="21" customHeight="1" x14ac:dyDescent="0.35">
      <c r="A14" s="454" t="s">
        <v>25</v>
      </c>
      <c r="B14" s="409" t="s">
        <v>433</v>
      </c>
      <c r="C14" s="59">
        <f>IF(C6="-","-",HLOOKUP(C6,Beitr,25,FALSE)*-1)</f>
        <v>-90058.99</v>
      </c>
      <c r="D14" s="59">
        <f>IF(C6="-","-",HLOOKUP(C6,Beitr,26,FALSE)*-1)</f>
        <v>-18286.560000000001</v>
      </c>
      <c r="E14" s="59">
        <f>IF(E6="-","-",HLOOKUP(E6,Beitr,25,FALSE)*-1)</f>
        <v>-84517.31</v>
      </c>
      <c r="F14" s="59">
        <f>IF(E6="-","-",HLOOKUP(E6,Beitr,26,FALSE)*-1)</f>
        <v>-17273.98</v>
      </c>
      <c r="G14" s="59">
        <f>IF(G6="-","-",HLOOKUP(G6,Beitr,25,FALSE)*-1)</f>
        <v>-78978.17</v>
      </c>
      <c r="H14" s="59">
        <f>IF(G6="-","-",HLOOKUP(G6,Beitr,26,FALSE)*-1)</f>
        <v>-16258.87</v>
      </c>
      <c r="I14" s="59">
        <f>IF(I6="-","-",HLOOKUP(I6,Beitr,25,FALSE)*-1)</f>
        <v>-73564.259999999995</v>
      </c>
      <c r="J14" s="59">
        <f>IF(I6="-","-",HLOOKUP(I6,Beitr,26,FALSE)*-1)</f>
        <v>-15264.3</v>
      </c>
      <c r="K14" s="59">
        <f>IF(K6="-","-",HLOOKUP(K6,Beitr,25,FALSE)*-1)</f>
        <v>-68522.61</v>
      </c>
      <c r="L14" s="59">
        <f>IF(K6="-","-",HLOOKUP(K6,Beitr,26,FALSE)*-1)</f>
        <v>-14339.24</v>
      </c>
      <c r="M14" s="72"/>
    </row>
    <row r="15" spans="1:13" s="71" customFormat="1" ht="21" customHeight="1" x14ac:dyDescent="0.35">
      <c r="A15" s="454" t="s">
        <v>27</v>
      </c>
      <c r="B15" s="409" t="s">
        <v>434</v>
      </c>
      <c r="C15" s="60">
        <f>IF(C6="-","-",HLOOKUP(C6,Zuwend,25,FALSE)*-1)</f>
        <v>-59752.26</v>
      </c>
      <c r="D15" s="60">
        <f>IF(C6="-","-",HLOOKUP(C6,Zuwend,26,FALSE)*-1)</f>
        <v>-35805.53</v>
      </c>
      <c r="E15" s="60">
        <f>IF(E6="-","-",HLOOKUP(E6,Zuwend,25,FALSE)*-1)</f>
        <v>-54740.5</v>
      </c>
      <c r="F15" s="60">
        <f>IF(E6="-","-",HLOOKUP(E6,Zuwend,26,FALSE)*-1)</f>
        <v>-33884.49</v>
      </c>
      <c r="G15" s="60">
        <f>IF(G6="-","-",HLOOKUP(G6,Zuwend,25,FALSE)*-1)</f>
        <v>-49763.38</v>
      </c>
      <c r="H15" s="60">
        <f>IF(G6="-","-",HLOOKUP(G6,Zuwend,26,FALSE)*-1)</f>
        <v>-31998.81</v>
      </c>
      <c r="I15" s="60">
        <f>IF(I6="-","-",HLOOKUP(I6,Zuwend,25,FALSE)*-1)</f>
        <v>-44803.53</v>
      </c>
      <c r="J15" s="60">
        <f>IF(I6="-","-",HLOOKUP(I6,Zuwend,26,FALSE)*-1)</f>
        <v>-30130.86</v>
      </c>
      <c r="K15" s="60">
        <f>IF(K6="-","-",HLOOKUP(K6,Zuwend,25,FALSE)*-1)</f>
        <v>-40297.53</v>
      </c>
      <c r="L15" s="60">
        <f>IF(K6="-","-",HLOOKUP(K6,Zuwend,26,FALSE)*-1)</f>
        <v>-28299.360000000001</v>
      </c>
      <c r="M15" s="72"/>
    </row>
    <row r="16" spans="1:13" s="71" customFormat="1" ht="28.5" customHeight="1" x14ac:dyDescent="0.35">
      <c r="A16" s="454" t="s">
        <v>30</v>
      </c>
      <c r="B16" s="413" t="s">
        <v>435</v>
      </c>
      <c r="C16" s="321">
        <f>IF(C6="-","-",SUM(C13,C14,C15))</f>
        <v>342940.82</v>
      </c>
      <c r="D16" s="321">
        <f>IF(C6="-","-",SUM(D13,D14,D15))</f>
        <v>45963.89</v>
      </c>
      <c r="E16" s="321">
        <f t="shared" ref="E16" si="8">IF(E6="-","-",SUM(E13,E14,E15))</f>
        <v>331174.44</v>
      </c>
      <c r="F16" s="321">
        <f t="shared" ref="F16" si="9">IF(E6="-","-",SUM(F13,F14,F15))</f>
        <v>44993.470000000008</v>
      </c>
      <c r="G16" s="321">
        <f t="shared" ref="G16" si="10">IF(G6="-","-",SUM(G13,G14,G15))</f>
        <v>319450.01</v>
      </c>
      <c r="H16" s="321">
        <f t="shared" ref="H16" si="11">IF(G6="-","-",SUM(H13,H14,H15))</f>
        <v>44006.200000000012</v>
      </c>
      <c r="I16" s="321">
        <f t="shared" ref="I16" si="12">IF(I6="-","-",SUM(I13,I14,I15))</f>
        <v>307668.59999999998</v>
      </c>
      <c r="J16" s="321">
        <f t="shared" ref="J16" si="13">IF(I6="-","-",SUM(J13,J14,J15))</f>
        <v>43006.819999999992</v>
      </c>
      <c r="K16" s="321">
        <f t="shared" ref="K16" si="14">IF(K6="-","-",SUM(K13,K14,K15))</f>
        <v>295295.57000000007</v>
      </c>
      <c r="L16" s="321">
        <f t="shared" ref="L16" si="15">IF(K6="-","-",SUM(L13,L14,L15))</f>
        <v>41928.39</v>
      </c>
      <c r="M16" s="72"/>
    </row>
    <row r="17" spans="1:13" s="71" customFormat="1" ht="21" customHeight="1" x14ac:dyDescent="0.35">
      <c r="A17" s="454" t="s">
        <v>33</v>
      </c>
      <c r="B17" s="408" t="s">
        <v>928</v>
      </c>
      <c r="C17" s="59">
        <f>IF(C6="-","-",HLOOKUP(C6,Anlageg,74,FALSE))</f>
        <v>0</v>
      </c>
      <c r="D17" s="59">
        <f>IF(C6="-","-",HLOOKUP(C6,Anlageg,75,FALSE))</f>
        <v>0</v>
      </c>
      <c r="E17" s="59">
        <f>IF(E6="-","-",HLOOKUP(E6,Anlageg,74,FALSE))</f>
        <v>0</v>
      </c>
      <c r="F17" s="59">
        <f>IF(E6="-","-",HLOOKUP(E6,Anlageg,75,FALSE))</f>
        <v>0</v>
      </c>
      <c r="G17" s="59">
        <f>IF(G6="-","-",HLOOKUP(G6,Anlageg,74,FALSE))</f>
        <v>0</v>
      </c>
      <c r="H17" s="59">
        <f>IF(G6="-","-",HLOOKUP(G6,Anlageg,75,FALSE))</f>
        <v>0</v>
      </c>
      <c r="I17" s="59">
        <f>IF(I6="-","-",HLOOKUP(I6,Anlageg,74,FALSE))</f>
        <v>0</v>
      </c>
      <c r="J17" s="59">
        <f>IF(I6="-","-",HLOOKUP(I6,Anlageg,75,FALSE))</f>
        <v>0</v>
      </c>
      <c r="K17" s="59">
        <f>IF(K6="-","-",HLOOKUP(K6,Anlageg,74,FALSE))</f>
        <v>0</v>
      </c>
      <c r="L17" s="59">
        <f>IF(K6="-","-",HLOOKUP(K6,Anlageg,75,FALSE))</f>
        <v>0</v>
      </c>
      <c r="M17" s="72"/>
    </row>
    <row r="18" spans="1:13" s="71" customFormat="1" ht="21" customHeight="1" x14ac:dyDescent="0.35">
      <c r="A18" s="454" t="s">
        <v>36</v>
      </c>
      <c r="B18" s="409" t="s">
        <v>433</v>
      </c>
      <c r="C18" s="59">
        <f>IF(C6="-","-",HLOOKUP(C6,Beitr,38,FALSE)*-1)</f>
        <v>0</v>
      </c>
      <c r="D18" s="59">
        <f>IF(C6="-","-",HLOOKUP(C6,Beitr,39,FALSE)*-1)</f>
        <v>0</v>
      </c>
      <c r="E18" s="59">
        <f>IF(E6="-","-",HLOOKUP(E6,Beitr,38,FALSE)*-1)</f>
        <v>0</v>
      </c>
      <c r="F18" s="59">
        <f>IF(E6="-","-",HLOOKUP(E6,Beitr,39,FALSE)*-1)</f>
        <v>0</v>
      </c>
      <c r="G18" s="59">
        <f>IF(G6="-","-",HLOOKUP(G6,Beitr,38,FALSE)*-1)</f>
        <v>0</v>
      </c>
      <c r="H18" s="59">
        <f>IF(G6="-","-",HLOOKUP(G6,Beitr,39,FALSE)*-1)</f>
        <v>0</v>
      </c>
      <c r="I18" s="59">
        <f>IF(I6="-","-",HLOOKUP(I6,Beitr,38,FALSE)*-1)</f>
        <v>0</v>
      </c>
      <c r="J18" s="59">
        <f>IF(I6="-","-",HLOOKUP(I6,Beitr,39,FALSE)*-1)</f>
        <v>0</v>
      </c>
      <c r="K18" s="59">
        <f>IF(K6="-","-",HLOOKUP(K6,Beitr,38,FALSE)*-1)</f>
        <v>0</v>
      </c>
      <c r="L18" s="59">
        <f>IF(K6="-","-",HLOOKUP(K6,Beitr,39,FALSE)*-1)</f>
        <v>0</v>
      </c>
      <c r="M18" s="72"/>
    </row>
    <row r="19" spans="1:13" s="71" customFormat="1" ht="21" customHeight="1" x14ac:dyDescent="0.35">
      <c r="A19" s="454" t="s">
        <v>39</v>
      </c>
      <c r="B19" s="409" t="s">
        <v>434</v>
      </c>
      <c r="C19" s="60">
        <f>IF(C6="-","-",HLOOKUP(C6,Zuwend,38,FALSE)*-1)</f>
        <v>0</v>
      </c>
      <c r="D19" s="60">
        <f>IF(C6="-","-",HLOOKUP(C6,Zuwend,39,FALSE)*-1)</f>
        <v>0</v>
      </c>
      <c r="E19" s="60">
        <f>IF(E6="-","-",HLOOKUP(E6,Zuwend,38,FALSE)*-1)</f>
        <v>0</v>
      </c>
      <c r="F19" s="60">
        <f>IF(E6="-","-",HLOOKUP(E6,Zuwend,39,FALSE)*-1)</f>
        <v>0</v>
      </c>
      <c r="G19" s="60">
        <f>IF(G6="-","-",HLOOKUP(G6,Zuwend,38,FALSE)*-1)</f>
        <v>0</v>
      </c>
      <c r="H19" s="60">
        <f>IF(G6="-","-",HLOOKUP(G6,Zuwend,39,FALSE)*-1)</f>
        <v>0</v>
      </c>
      <c r="I19" s="60">
        <f>IF(I6="-","-",HLOOKUP(I6,Zuwend,38,FALSE)*-1)</f>
        <v>0</v>
      </c>
      <c r="J19" s="60">
        <f>IF(I6="-","-",HLOOKUP(I6,Zuwend,39,FALSE)*-1)</f>
        <v>0</v>
      </c>
      <c r="K19" s="60">
        <f>IF(K6="-","-",HLOOKUP(K6,Zuwend,38,FALSE)*-1)</f>
        <v>0</v>
      </c>
      <c r="L19" s="60">
        <f>IF(K6="-","-",HLOOKUP(K6,Zuwend,39,FALSE)*-1)</f>
        <v>0</v>
      </c>
      <c r="M19" s="72"/>
    </row>
    <row r="20" spans="1:13" s="71" customFormat="1" ht="28.5" customHeight="1" x14ac:dyDescent="0.35">
      <c r="A20" s="454" t="s">
        <v>42</v>
      </c>
      <c r="B20" s="413" t="s">
        <v>436</v>
      </c>
      <c r="C20" s="321">
        <f>IF(C6="-","-",SUM(C17,C18,C19))</f>
        <v>0</v>
      </c>
      <c r="D20" s="321">
        <f>IF(C6="-","-",SUM(D17,D18,D19))</f>
        <v>0</v>
      </c>
      <c r="E20" s="321">
        <f t="shared" ref="E20" si="16">IF(E6="-","-",SUM(E17,E18,E19))</f>
        <v>0</v>
      </c>
      <c r="F20" s="321">
        <f t="shared" ref="F20" si="17">IF(E6="-","-",SUM(F17,F18,F19))</f>
        <v>0</v>
      </c>
      <c r="G20" s="321">
        <f t="shared" ref="G20" si="18">IF(G6="-","-",SUM(G17,G18,G19))</f>
        <v>0</v>
      </c>
      <c r="H20" s="321">
        <f t="shared" ref="H20" si="19">IF(G6="-","-",SUM(H17,H18,H19))</f>
        <v>0</v>
      </c>
      <c r="I20" s="321">
        <f t="shared" ref="I20" si="20">IF(I6="-","-",SUM(I17,I18,I19))</f>
        <v>0</v>
      </c>
      <c r="J20" s="321">
        <f t="shared" ref="J20" si="21">IF(I6="-","-",SUM(J17,J18,J19))</f>
        <v>0</v>
      </c>
      <c r="K20" s="321">
        <f t="shared" ref="K20" si="22">IF(K6="-","-",SUM(K17,K18,K19))</f>
        <v>0</v>
      </c>
      <c r="L20" s="321">
        <f t="shared" ref="L20" si="23">IF(K6="-","-",SUM(L17,L18,L19))</f>
        <v>0</v>
      </c>
      <c r="M20" s="72"/>
    </row>
    <row r="21" spans="1:13" s="71" customFormat="1" ht="30" customHeight="1" thickBot="1" x14ac:dyDescent="0.4">
      <c r="A21" s="454" t="s">
        <v>44</v>
      </c>
      <c r="B21" s="414" t="s">
        <v>947</v>
      </c>
      <c r="C21" s="415">
        <f>IF(C6="-","-",SUM(C16,C20))</f>
        <v>342940.82</v>
      </c>
      <c r="D21" s="415">
        <f>IF(C6="-","-",SUM(D16,D20))</f>
        <v>45963.89</v>
      </c>
      <c r="E21" s="415">
        <f t="shared" ref="E21" si="24">IF(E6="-","-",SUM(E16,E20))</f>
        <v>331174.44</v>
      </c>
      <c r="F21" s="415">
        <f t="shared" ref="F21" si="25">IF(E6="-","-",SUM(F16,F20))</f>
        <v>44993.470000000008</v>
      </c>
      <c r="G21" s="415">
        <f t="shared" ref="G21" si="26">IF(G6="-","-",SUM(G16,G20))</f>
        <v>319450.01</v>
      </c>
      <c r="H21" s="415">
        <f t="shared" ref="H21" si="27">IF(G6="-","-",SUM(H16,H20))</f>
        <v>44006.200000000012</v>
      </c>
      <c r="I21" s="415">
        <f t="shared" ref="I21" si="28">IF(I6="-","-",SUM(I16,I20))</f>
        <v>307668.59999999998</v>
      </c>
      <c r="J21" s="415">
        <f t="shared" ref="J21" si="29">IF(I6="-","-",SUM(J16,J20))</f>
        <v>43006.819999999992</v>
      </c>
      <c r="K21" s="415">
        <f t="shared" ref="K21" si="30">IF(K6="-","-",SUM(K16,K20))</f>
        <v>295295.57000000007</v>
      </c>
      <c r="L21" s="415">
        <f t="shared" ref="L21" si="31">IF(K6="-","-",SUM(L16,L20))</f>
        <v>41928.39</v>
      </c>
      <c r="M21" s="72"/>
    </row>
    <row r="22" spans="1:13" s="72" customFormat="1" ht="21" customHeight="1" x14ac:dyDescent="0.35">
      <c r="A22" s="454" t="s">
        <v>726</v>
      </c>
      <c r="B22" s="469" t="s">
        <v>438</v>
      </c>
      <c r="C22" s="63"/>
      <c r="D22" s="62"/>
      <c r="E22" s="63"/>
      <c r="F22" s="63"/>
      <c r="G22" s="61"/>
      <c r="H22" s="63"/>
      <c r="I22" s="61"/>
      <c r="J22" s="63"/>
      <c r="K22" s="61"/>
      <c r="L22" s="62"/>
    </row>
    <row r="23" spans="1:13" s="71" customFormat="1" ht="21" customHeight="1" x14ac:dyDescent="0.35">
      <c r="A23" s="454" t="s">
        <v>727</v>
      </c>
      <c r="B23" s="410" t="s">
        <v>438</v>
      </c>
      <c r="C23" s="59">
        <f>IF(C6&lt;&gt;"-",HLOOKUP(C6,Betriebsko,9,FALSE),"-")</f>
        <v>565247.80000000005</v>
      </c>
      <c r="D23" s="59">
        <f>IF(C6&lt;&gt;"-",HLOOKUP(C6,Betriebsko,10,FALSE),"-")</f>
        <v>74934.600000000006</v>
      </c>
      <c r="E23" s="59">
        <f>IF(E6&lt;&gt;"-",HLOOKUP(E6,Betriebsko,9,FALSE),"-")</f>
        <v>578321.4</v>
      </c>
      <c r="F23" s="59">
        <f>IF(E6&lt;&gt;"-",HLOOKUP(E6,Betriebsko,10,FALSE),"-")</f>
        <v>78928.3</v>
      </c>
      <c r="G23" s="59">
        <f>IF(G6&lt;&gt;"-",HLOOKUP(G6,Betriebsko,9,FALSE),"-")</f>
        <v>594674.94999999995</v>
      </c>
      <c r="H23" s="59">
        <f>IF(G6&lt;&gt;"-",HLOOKUP(G6,Betriebsko,10,FALSE),"-")</f>
        <v>80501.03</v>
      </c>
      <c r="I23" s="59">
        <f>IF(I6&lt;&gt;"-",HLOOKUP(I6,Betriebsko,9,FALSE),"-")</f>
        <v>618381.65</v>
      </c>
      <c r="J23" s="59">
        <f>IF(I6&lt;&gt;"-",HLOOKUP(I6,Betriebsko,10,FALSE),"-")</f>
        <v>82106.679999999993</v>
      </c>
      <c r="K23" s="59">
        <f>IF(K6&lt;&gt;"-",HLOOKUP(K6,Betriebsko,9,FALSE),"-")</f>
        <v>664060.55000000005</v>
      </c>
      <c r="L23" s="59">
        <f>IF(K6&lt;&gt;"-",HLOOKUP(K6,Betriebsko,10,FALSE),"-")</f>
        <v>91244.73</v>
      </c>
      <c r="M23" s="72"/>
    </row>
    <row r="24" spans="1:13" s="71" customFormat="1" ht="21" customHeight="1" x14ac:dyDescent="0.35">
      <c r="A24" s="454" t="s">
        <v>728</v>
      </c>
      <c r="B24" s="409" t="s">
        <v>806</v>
      </c>
      <c r="C24" s="59">
        <f>IF(C6&lt;&gt;"-",HLOOKUP(C6,Betriebsko,4,FALSE)*-1,"-")</f>
        <v>-28965.3</v>
      </c>
      <c r="D24" s="59">
        <f>IF(C6&lt;&gt;"-",HLOOKUP(C6,Betriebsko,5,FALSE)*-1,"-")</f>
        <v>-667.7</v>
      </c>
      <c r="E24" s="59">
        <f>IF(E6&lt;&gt;"-",HLOOKUP(E6,Betriebsko,4,FALSE)*-1,"-")</f>
        <v>-29544.9</v>
      </c>
      <c r="F24" s="59">
        <f>IF(E6&lt;&gt;"-",HLOOKUP(E6,Betriebsko,5,FALSE)*-1,"-")</f>
        <v>-681.1</v>
      </c>
      <c r="G24" s="59">
        <f>IF(G6&lt;&gt;"-",HLOOKUP(G6,Betriebsko,4,FALSE)*-1,"-")</f>
        <v>-30135.3</v>
      </c>
      <c r="H24" s="59">
        <f>IF(G6&lt;&gt;"-",HLOOKUP(G6,Betriebsko,5,FALSE)*-1,"-")</f>
        <v>-694.7</v>
      </c>
      <c r="I24" s="59">
        <f>IF(I6&lt;&gt;"-",HLOOKUP(I6,Betriebsko,4,FALSE)*-1,"-")</f>
        <v>-30738.400000000001</v>
      </c>
      <c r="J24" s="59">
        <f>IF(I6&lt;&gt;"-",HLOOKUP(I6,Betriebsko,5,FALSE)*-1,"-")</f>
        <v>-708.6</v>
      </c>
      <c r="K24" s="59">
        <f>IF(K6&lt;&gt;"-",HLOOKUP(K6,Betriebsko,4,FALSE)*-1,"-")</f>
        <v>-31636.3</v>
      </c>
      <c r="L24" s="59">
        <f>IF(K6&lt;&gt;"-",HLOOKUP(K6,Betriebsko,5,FALSE)*-1,"-")</f>
        <v>-722.7</v>
      </c>
      <c r="M24" s="72"/>
    </row>
    <row r="25" spans="1:13" s="71" customFormat="1" ht="21.75" customHeight="1" thickBot="1" x14ac:dyDescent="0.4">
      <c r="A25" s="454" t="s">
        <v>729</v>
      </c>
      <c r="B25" s="414" t="s">
        <v>807</v>
      </c>
      <c r="C25" s="415">
        <f>IF(C6="-","-",SUM(C23,C24))</f>
        <v>536282.5</v>
      </c>
      <c r="D25" s="415">
        <f>IF(C6="-","-",SUM(D23,D24))</f>
        <v>74266.900000000009</v>
      </c>
      <c r="E25" s="415">
        <f t="shared" ref="E25" si="32">IF(E6="-","-",SUM(E23,E24))</f>
        <v>548776.5</v>
      </c>
      <c r="F25" s="415">
        <f t="shared" ref="F25" si="33">IF(E6="-","-",SUM(F23,F24))</f>
        <v>78247.199999999997</v>
      </c>
      <c r="G25" s="415">
        <f t="shared" ref="G25" si="34">IF(G6="-","-",SUM(G23,G24))</f>
        <v>564539.64999999991</v>
      </c>
      <c r="H25" s="415">
        <f t="shared" ref="H25" si="35">IF(G6="-","-",SUM(H23,H24))</f>
        <v>79806.33</v>
      </c>
      <c r="I25" s="415">
        <f t="shared" ref="I25" si="36">IF(I6="-","-",SUM(I23,I24))</f>
        <v>587643.25</v>
      </c>
      <c r="J25" s="415">
        <f t="shared" ref="J25" si="37">IF(I6="-","-",SUM(J23,J24))</f>
        <v>81398.079999999987</v>
      </c>
      <c r="K25" s="415">
        <f t="shared" ref="K25" si="38">IF(K6="-","-",SUM(K23,K24))</f>
        <v>632424.25</v>
      </c>
      <c r="L25" s="415">
        <f t="shared" ref="L25" si="39">IF(K6="-","-",SUM(L23,L24))</f>
        <v>90522.03</v>
      </c>
      <c r="M25" s="72"/>
    </row>
    <row r="26" spans="1:13" s="73" customFormat="1" ht="6.75" customHeight="1" x14ac:dyDescent="0.35">
      <c r="A26" s="416"/>
      <c r="B26" s="436"/>
      <c r="C26" s="436"/>
      <c r="D26" s="436"/>
      <c r="E26" s="436"/>
      <c r="F26" s="436"/>
      <c r="G26" s="436"/>
      <c r="H26" s="436"/>
      <c r="I26" s="436"/>
      <c r="J26" s="436"/>
      <c r="K26" s="436"/>
      <c r="L26" s="417"/>
    </row>
    <row r="27" spans="1:13" s="72" customFormat="1" ht="28.5" customHeight="1" x14ac:dyDescent="0.35">
      <c r="A27" s="613" t="s">
        <v>730</v>
      </c>
      <c r="B27" s="642" t="str">
        <f>IF(Grunddaten!$D$17=2,"Gesplittete Gebühren -Berechnung der Überdeckungen bzw. Unterdeckungen-","Gesplittete Gebühren - keine Berechnung, da Gebühren nach dem modifizierten Frischwassermaßstab berechnet werden - siehe Nr. 3b")</f>
        <v>Gesplittete Gebühren - keine Berechnung, da Gebühren nach dem modifizierten Frischwassermaßstab berechnet werden - siehe Nr. 3b</v>
      </c>
      <c r="C27" s="637"/>
      <c r="D27" s="637"/>
      <c r="E27" s="637"/>
      <c r="F27" s="637"/>
      <c r="G27" s="637"/>
      <c r="H27" s="637"/>
      <c r="I27" s="637"/>
      <c r="J27" s="637"/>
      <c r="K27" s="637"/>
      <c r="L27" s="638"/>
    </row>
    <row r="28" spans="1:13" s="71" customFormat="1" ht="16.5" customHeight="1" x14ac:dyDescent="0.35">
      <c r="A28" s="614"/>
      <c r="B28" s="418" t="s">
        <v>137</v>
      </c>
      <c r="C28" s="639">
        <f>C6</f>
        <v>2012</v>
      </c>
      <c r="D28" s="633"/>
      <c r="E28" s="639">
        <f t="shared" ref="E28" si="40">E6</f>
        <v>2013</v>
      </c>
      <c r="F28" s="633"/>
      <c r="G28" s="639">
        <f t="shared" ref="G28" si="41">G6</f>
        <v>2014</v>
      </c>
      <c r="H28" s="633"/>
      <c r="I28" s="639">
        <f t="shared" ref="I28" si="42">I6</f>
        <v>2015</v>
      </c>
      <c r="J28" s="633"/>
      <c r="K28" s="639">
        <f t="shared" ref="K28" si="43">K6</f>
        <v>2016</v>
      </c>
      <c r="L28" s="633"/>
      <c r="M28" s="72"/>
    </row>
    <row r="29" spans="1:13" s="71" customFormat="1" ht="14.15" customHeight="1" x14ac:dyDescent="0.35">
      <c r="A29" s="615"/>
      <c r="B29" s="410" t="s">
        <v>445</v>
      </c>
      <c r="C29" s="420" t="str">
        <f>IF(OR(Grunddaten!$D$17&lt;&gt;2,C6="-"),"-","SW")</f>
        <v>-</v>
      </c>
      <c r="D29" s="421" t="str">
        <f>IF(OR(Grunddaten!$D$17&lt;&gt;2,C6="-"),"-","RW")</f>
        <v>-</v>
      </c>
      <c r="E29" s="505" t="str">
        <f>IF(OR(Grunddaten!$D$17&lt;&gt;2,E6="-"),"-","SW")</f>
        <v>-</v>
      </c>
      <c r="F29" s="421" t="str">
        <f>IF(OR(Grunddaten!$D$17&lt;&gt;2,E6="-"),"-","RW")</f>
        <v>-</v>
      </c>
      <c r="G29" s="505" t="str">
        <f>IF(OR(Grunddaten!$D$17&lt;&gt;2,G6="-"),"-","SW")</f>
        <v>-</v>
      </c>
      <c r="H29" s="421" t="str">
        <f>IF(OR(Grunddaten!$D$17&lt;&gt;2,G6="-"),"-","RW")</f>
        <v>-</v>
      </c>
      <c r="I29" s="505" t="str">
        <f>IF(OR(Grunddaten!$D$17&lt;&gt;2,I6="-"),"-","SW")</f>
        <v>-</v>
      </c>
      <c r="J29" s="421" t="str">
        <f>IF(OR(Grunddaten!$D$17&lt;&gt;2,I6="-"),"-","RW")</f>
        <v>-</v>
      </c>
      <c r="K29" s="505" t="str">
        <f>IF(OR(Grunddaten!$D$17&lt;&gt;2,K6="-"),"-","SW")</f>
        <v>-</v>
      </c>
      <c r="L29" s="421" t="str">
        <f>IF(OR(Grunddaten!$D$17&lt;&gt;2,K6="-"),"-","RW")</f>
        <v>-</v>
      </c>
      <c r="M29" s="72"/>
    </row>
    <row r="30" spans="1:13" s="71" customFormat="1" ht="27" customHeight="1" x14ac:dyDescent="0.35">
      <c r="A30" s="454" t="s">
        <v>731</v>
      </c>
      <c r="B30" s="410" t="s">
        <v>948</v>
      </c>
      <c r="C30" s="308" t="str">
        <f>IF(OR(Grunddaten!$D$17&lt;&gt;2,C6="-"),"-",SUM(C12,C21)*-1)</f>
        <v>-</v>
      </c>
      <c r="D30" s="309" t="str">
        <f>IF(OR(Grunddaten!$D$17&lt;&gt;2,C6="-"),"-",SUM(D12,D21)*-1)</f>
        <v>-</v>
      </c>
      <c r="E30" s="308" t="str">
        <f>IF(OR(Grunddaten!$D$17&lt;&gt;2,E6="-"),"-",SUM(E12,E21)*-1)</f>
        <v>-</v>
      </c>
      <c r="F30" s="310" t="str">
        <f>IF(OR(Grunddaten!$D$17&lt;&gt;2,E6="-"),"-",SUM(F12,F21)*-1)</f>
        <v>-</v>
      </c>
      <c r="G30" s="308" t="str">
        <f>IF(OR(Grunddaten!$D$17&lt;&gt;2,G6="-"),"-",SUM(G12,G21)*-1)</f>
        <v>-</v>
      </c>
      <c r="H30" s="310" t="str">
        <f>IF(OR(Grunddaten!$D$17&lt;&gt;2,G6="-"),"-",SUM(H12,H21)*-1)</f>
        <v>-</v>
      </c>
      <c r="I30" s="308" t="str">
        <f>IF(OR(Grunddaten!$D$17&lt;&gt;2,I6="-"),"-",SUM(I12,I21)*-1)</f>
        <v>-</v>
      </c>
      <c r="J30" s="310" t="str">
        <f>IF(OR(Grunddaten!$D$17&lt;&gt;2,I6="-"),"-",SUM(J12,J21)*-1)</f>
        <v>-</v>
      </c>
      <c r="K30" s="308" t="str">
        <f>IF(OR(Grunddaten!$D$17&lt;&gt;2,K6="-"),"-",SUM(K12,K21)*-1)</f>
        <v>-</v>
      </c>
      <c r="L30" s="309" t="str">
        <f>IF(OR(Grunddaten!$D$17&lt;&gt;2,K6="-"),"-",SUM(L12,L21)*-1)</f>
        <v>-</v>
      </c>
      <c r="M30" s="72"/>
    </row>
    <row r="31" spans="1:13" s="71" customFormat="1" ht="27" customHeight="1" x14ac:dyDescent="0.35">
      <c r="A31" s="454" t="s">
        <v>732</v>
      </c>
      <c r="B31" s="410" t="s">
        <v>949</v>
      </c>
      <c r="C31" s="308" t="str">
        <f>IF(OR(Grunddaten!$D$17&lt;&gt;2,C6="-"),"-",C25*-1)</f>
        <v>-</v>
      </c>
      <c r="D31" s="309" t="str">
        <f>IF(OR(Grunddaten!$D$17&lt;&gt;2,C6="-"),"-",D25*-1)</f>
        <v>-</v>
      </c>
      <c r="E31" s="308" t="str">
        <f>IF(OR(Grunddaten!$D$17&lt;&gt;2,E6="-"),"-",E25*-1)</f>
        <v>-</v>
      </c>
      <c r="F31" s="309" t="str">
        <f>IF(OR(Grunddaten!$D$17&lt;&gt;2,E6="-"),"-",F25*-1)</f>
        <v>-</v>
      </c>
      <c r="G31" s="308" t="str">
        <f>IF(OR(Grunddaten!$D$17&lt;&gt;2,G6="-"),"-",G25*-1)</f>
        <v>-</v>
      </c>
      <c r="H31" s="309" t="str">
        <f>IF(OR(Grunddaten!$D$17&lt;&gt;2,G6="-"),"-",H25*-1)</f>
        <v>-</v>
      </c>
      <c r="I31" s="308" t="str">
        <f>IF(OR(Grunddaten!$D$17&lt;&gt;2,I6="-"),"-",I25*-1)</f>
        <v>-</v>
      </c>
      <c r="J31" s="309" t="str">
        <f>IF(OR(Grunddaten!$D$17&lt;&gt;2,I6="-"),"-",J25*-1)</f>
        <v>-</v>
      </c>
      <c r="K31" s="308" t="str">
        <f>IF(OR(Grunddaten!$D$17&lt;&gt;2,K6="-"),"-",K25*-1)</f>
        <v>-</v>
      </c>
      <c r="L31" s="309" t="str">
        <f>IF(OR(Grunddaten!$D$17&lt;&gt;2,K6="-"),"-",L25*-1)</f>
        <v>-</v>
      </c>
      <c r="M31" s="72"/>
    </row>
    <row r="32" spans="1:13" s="71" customFormat="1" ht="28.5" customHeight="1" x14ac:dyDescent="0.35">
      <c r="A32" s="454" t="s">
        <v>733</v>
      </c>
      <c r="B32" s="452" t="s">
        <v>945</v>
      </c>
      <c r="C32" s="311" t="str">
        <f>IF(OR(Grunddaten!$D$17&lt;&gt;2,C6="-"),"-",SUM(C30,C31))</f>
        <v>-</v>
      </c>
      <c r="D32" s="312" t="str">
        <f>IF(OR(Grunddaten!$D$17&lt;&gt;2,C6="-"),"-",SUM(D30,D31))</f>
        <v>-</v>
      </c>
      <c r="E32" s="311" t="str">
        <f>IF(OR(Grunddaten!$D$17&lt;&gt;2,E6="-"),"-",SUM(E30,E31))</f>
        <v>-</v>
      </c>
      <c r="F32" s="312" t="str">
        <f>IF(OR(Grunddaten!$D$17&lt;&gt;2,E6="-"),"-",SUM(F30,F31))</f>
        <v>-</v>
      </c>
      <c r="G32" s="311" t="str">
        <f>IF(OR(Grunddaten!$D$17&lt;&gt;2,G6="-"),"-",SUM(G30,G31))</f>
        <v>-</v>
      </c>
      <c r="H32" s="312" t="str">
        <f>IF(OR(Grunddaten!$D$17&lt;&gt;2,G6="-"),"-",SUM(H30,H31))</f>
        <v>-</v>
      </c>
      <c r="I32" s="311" t="str">
        <f>IF(OR(Grunddaten!$D$17&lt;&gt;2,I6="-"),"-",SUM(I30,I31))</f>
        <v>-</v>
      </c>
      <c r="J32" s="312" t="str">
        <f>IF(OR(Grunddaten!$D$17&lt;&gt;2,I6="-"),"-",SUM(J30,J31))</f>
        <v>-</v>
      </c>
      <c r="K32" s="311" t="str">
        <f>IF(OR(Grunddaten!$D$17&lt;&gt;2,K6="-"),"-",SUM(K30,K31))</f>
        <v>-</v>
      </c>
      <c r="L32" s="312" t="str">
        <f>IF(OR(Grunddaten!$D$17&lt;&gt;2,K6="-"),"-",SUM(L30,L31))</f>
        <v>-</v>
      </c>
      <c r="M32" s="72"/>
    </row>
    <row r="33" spans="1:13" s="71" customFormat="1" ht="27" customHeight="1" x14ac:dyDescent="0.35">
      <c r="A33" s="454" t="s">
        <v>734</v>
      </c>
      <c r="B33" s="423" t="s">
        <v>950</v>
      </c>
      <c r="C33" s="313" t="str">
        <f>IF(OR(Grunddaten!$D$17&lt;&gt;2,C6="-"),"-",HLOOKUP(C6,Grund_geb_ein,5,FALSE))</f>
        <v>-</v>
      </c>
      <c r="D33" s="314" t="str">
        <f>IF(OR(Grunddaten!$D$17&lt;&gt;2,C6="-"),"-",HLOOKUP(C6,Grund_geb_ein,6,FALSE))</f>
        <v>-</v>
      </c>
      <c r="E33" s="313" t="str">
        <f>IF(OR(Grunddaten!$D$17&lt;&gt;2,E6="-"),"-",HLOOKUP(E6,Grund_geb_ein,5,FALSE))</f>
        <v>-</v>
      </c>
      <c r="F33" s="314" t="str">
        <f>IF(OR(Grunddaten!$D$17&lt;&gt;2,E6="-"),"-",HLOOKUP(E6,Grund_geb_ein,6,FALSE))</f>
        <v>-</v>
      </c>
      <c r="G33" s="313" t="str">
        <f>IF(OR(Grunddaten!$D$17&lt;&gt;2,G6="-"),"-",HLOOKUP(G6,Grund_geb_ein,5,FALSE))</f>
        <v>-</v>
      </c>
      <c r="H33" s="314" t="str">
        <f>IF(OR(Grunddaten!$D$17&lt;&gt;2,G6="-"),"-",HLOOKUP(G6,Grund_geb_ein,6,FALSE))</f>
        <v>-</v>
      </c>
      <c r="I33" s="313" t="str">
        <f>IF(OR(Grunddaten!$D$17&lt;&gt;2,I6="-"),"-",HLOOKUP(I6,Grund_geb_ein,5,FALSE))</f>
        <v>-</v>
      </c>
      <c r="J33" s="314" t="str">
        <f>IF(OR(Grunddaten!$D$17&lt;&gt;2,I6="-"),"-",HLOOKUP(I6,Grund_geb_ein,6,FALSE))</f>
        <v>-</v>
      </c>
      <c r="K33" s="313" t="str">
        <f>IF(OR(Grunddaten!$D$17&lt;&gt;2,K6="-"),"-",HLOOKUP(K6,Grund_geb_ein,5,FALSE))</f>
        <v>-</v>
      </c>
      <c r="L33" s="314" t="str">
        <f>IF(OR(Grunddaten!$D$17&lt;&gt;2,K6="-"),"-",HLOOKUP(K6,Grund_geb_ein,6,FALSE))</f>
        <v>-</v>
      </c>
      <c r="M33" s="72"/>
    </row>
    <row r="34" spans="1:13" s="71" customFormat="1" ht="27" customHeight="1" x14ac:dyDescent="0.35">
      <c r="A34" s="454" t="s">
        <v>735</v>
      </c>
      <c r="B34" s="455" t="s">
        <v>443</v>
      </c>
      <c r="C34" s="315" t="str">
        <f>IF(OR(Grunddaten!$D$17&lt;&gt;2,C6="-"),"-",SUM(C32,C33))</f>
        <v>-</v>
      </c>
      <c r="D34" s="316" t="str">
        <f>IF(OR(Grunddaten!$D$17&lt;&gt;2,C6="-"),"-",SUM(D32,D33))</f>
        <v>-</v>
      </c>
      <c r="E34" s="315" t="str">
        <f>IF(OR(Grunddaten!$D$17&lt;&gt;2,E6="-"),"-",SUM(E32,E33))</f>
        <v>-</v>
      </c>
      <c r="F34" s="316" t="str">
        <f>IF(OR(Grunddaten!$D$17&lt;&gt;2,E6="-"),"-",SUM(F32,F33))</f>
        <v>-</v>
      </c>
      <c r="G34" s="315" t="str">
        <f>IF(OR(Grunddaten!$D$17&lt;&gt;2,G6="-"),"-",SUM(G32,G33))</f>
        <v>-</v>
      </c>
      <c r="H34" s="316" t="str">
        <f>IF(OR(Grunddaten!$D$17&lt;&gt;2,G6="-"),"-",SUM(H32,H33))</f>
        <v>-</v>
      </c>
      <c r="I34" s="315" t="str">
        <f>IF(OR(Grunddaten!$D$17&lt;&gt;2,I6="-"),"-",SUM(I32,I33))</f>
        <v>-</v>
      </c>
      <c r="J34" s="316" t="str">
        <f>IF(OR(Grunddaten!$D$17&lt;&gt;2,I6="-"),"-",SUM(J32,J33))</f>
        <v>-</v>
      </c>
      <c r="K34" s="315" t="str">
        <f>IF(OR(Grunddaten!$D$17&lt;&gt;2,K6="-"),"-",SUM(K32,K33))</f>
        <v>-</v>
      </c>
      <c r="L34" s="316" t="str">
        <f>IF(OR(Grunddaten!$D$17&lt;&gt;2,K6="-"),"-",SUM(L32,L33))</f>
        <v>-</v>
      </c>
      <c r="M34" s="72"/>
    </row>
    <row r="35" spans="1:13" s="71" customFormat="1" ht="27" customHeight="1" x14ac:dyDescent="0.35">
      <c r="A35" s="454" t="s">
        <v>737</v>
      </c>
      <c r="B35" s="456" t="s">
        <v>951</v>
      </c>
      <c r="C35" s="315" t="str">
        <f>IF(OR(Grunddaten!$D$17&lt;&gt;2,C6="-"),"-",HLOOKUP(C6,Grund_ue_u,2,FALSE))</f>
        <v>-</v>
      </c>
      <c r="D35" s="316" t="str">
        <f>IF(OR(Grunddaten!$D$17&lt;&gt;2,C6="-"),"-",HLOOKUP(C6,Grund_ue_u,3,FALSE))</f>
        <v>-</v>
      </c>
      <c r="E35" s="317"/>
      <c r="F35" s="317"/>
      <c r="G35" s="318"/>
      <c r="H35" s="317"/>
      <c r="I35" s="318"/>
      <c r="J35" s="317"/>
      <c r="K35" s="318"/>
      <c r="L35" s="319"/>
      <c r="M35" s="72"/>
    </row>
    <row r="36" spans="1:13" s="71" customFormat="1" ht="27" customHeight="1" x14ac:dyDescent="0.35">
      <c r="A36" s="457" t="s">
        <v>738</v>
      </c>
      <c r="B36" s="413" t="s">
        <v>943</v>
      </c>
      <c r="C36" s="634"/>
      <c r="D36" s="635"/>
      <c r="E36" s="320" t="str">
        <f>IF(OR(Grunddaten!$D$17&lt;&gt;2,E6="-"),"-",HLOOKUP(E6,Grund_ue_u,2,FALSE))</f>
        <v>-</v>
      </c>
      <c r="F36" s="321" t="str">
        <f>IF(OR(Grunddaten!$D$17&lt;&gt;2,E6="-"),"-",HLOOKUP(E6,Grund_ue_u,3,FALSE))</f>
        <v>-</v>
      </c>
      <c r="G36" s="320" t="str">
        <f>IF(OR(Grunddaten!$D$17&lt;&gt;2,G6="-"),"-",HLOOKUP(G6,Grund_ue_u,2,FALSE))</f>
        <v>-</v>
      </c>
      <c r="H36" s="321" t="str">
        <f>IF(OR(Grunddaten!$D$17&lt;&gt;2,G6="-"),"-",HLOOKUP(G6,Grund_ue_u,3,FALSE))</f>
        <v>-</v>
      </c>
      <c r="I36" s="320" t="str">
        <f>IF(OR(Grunddaten!$D$17&lt;&gt;2,I6="-"),"-",HLOOKUP(I6,Grund_ue_u,2,FALSE))</f>
        <v>-</v>
      </c>
      <c r="J36" s="321" t="str">
        <f>IF(OR(Grunddaten!$D$17&lt;&gt;2,I6="-"),"-",HLOOKUP(I6,Grund_ue_u,3,FALSE))</f>
        <v>-</v>
      </c>
      <c r="K36" s="320" t="str">
        <f>IF(OR(Grunddaten!$D$17&lt;&gt;2,K6="-"),"-",HLOOKUP(K6,Grund_ue_u,2,FALSE))</f>
        <v>-</v>
      </c>
      <c r="L36" s="321" t="str">
        <f>IF(OR(Grunddaten!$D$17&lt;&gt;2,K6="-"),"-",HLOOKUP(K6,Grund_ue_u,3,FALSE))</f>
        <v>-</v>
      </c>
      <c r="M36" s="72"/>
    </row>
    <row r="37" spans="1:13" s="71" customFormat="1" ht="45" customHeight="1" thickBot="1" x14ac:dyDescent="0.4">
      <c r="A37" s="307" t="s">
        <v>739</v>
      </c>
      <c r="B37" s="453" t="s">
        <v>955</v>
      </c>
      <c r="C37" s="471" t="str">
        <f>IF(OR(Grunddaten!$D$17&lt;&gt;2,C6="-"),"-",ROUND(SUM(C34,-C35,C36),2))</f>
        <v>-</v>
      </c>
      <c r="D37" s="472" t="str">
        <f>IF(OR(Grunddaten!$D$17&lt;&gt;2,C6="-"),"-",ROUND(SUM(D34,-D35,D36),2))</f>
        <v>-</v>
      </c>
      <c r="E37" s="471" t="str">
        <f>IF(OR(Grunddaten!$D$17&lt;&gt;2,E6="-"),"-",ROUND(SUM(E34,-E35,E36),2))</f>
        <v>-</v>
      </c>
      <c r="F37" s="472" t="str">
        <f>IF(OR(Grunddaten!$D$17&lt;&gt;2,E6="-"),"-",ROUND(SUM(F34,-F35,F36),2))</f>
        <v>-</v>
      </c>
      <c r="G37" s="471" t="str">
        <f>IF(OR(Grunddaten!$D$17&lt;&gt;2,G6="-"),"-",ROUND(SUM(G34,-G35,G36),2))</f>
        <v>-</v>
      </c>
      <c r="H37" s="472" t="str">
        <f>IF(OR(Grunddaten!$D$17&lt;&gt;2,G6="-"),"-",ROUND(SUM(H34,-H35,H36),2))</f>
        <v>-</v>
      </c>
      <c r="I37" s="471" t="str">
        <f>IF(OR(Grunddaten!$D$17&lt;&gt;2,I6="-"),"-",ROUND(SUM(I34,-I35,I36),2))</f>
        <v>-</v>
      </c>
      <c r="J37" s="472" t="str">
        <f>IF(OR(Grunddaten!$D$17&lt;&gt;2,I6="-"),"-",ROUND(SUM(J34,-J35,J36),2))</f>
        <v>-</v>
      </c>
      <c r="K37" s="471" t="str">
        <f>IF(OR(Grunddaten!$D$17&lt;&gt;2,K6="-"),"-",ROUND(SUM(K34,-K35,K36),2))</f>
        <v>-</v>
      </c>
      <c r="L37" s="472" t="str">
        <f>IF(OR(Grunddaten!$D$17&lt;&gt;2,K6="-"),"-",ROUND(SUM(L34,-L35,L36),2))</f>
        <v>-</v>
      </c>
      <c r="M37" s="72"/>
    </row>
    <row r="38" spans="1:13" s="73" customFormat="1" ht="6.75" customHeight="1" x14ac:dyDescent="0.35">
      <c r="A38" s="416"/>
      <c r="B38" s="416"/>
      <c r="C38" s="416"/>
      <c r="D38" s="416"/>
      <c r="E38" s="416"/>
      <c r="F38" s="416"/>
      <c r="G38" s="416"/>
      <c r="H38" s="416"/>
      <c r="I38" s="416"/>
      <c r="J38" s="416"/>
      <c r="K38" s="416"/>
      <c r="L38" s="430"/>
    </row>
    <row r="39" spans="1:13" s="72" customFormat="1" ht="28.5" customHeight="1" x14ac:dyDescent="0.35">
      <c r="A39" s="616" t="s">
        <v>740</v>
      </c>
      <c r="B39" s="636" t="str">
        <f>IF(Grunddaten!$D$17&lt;&gt;2,"Gebühren nach dem modifizierten Frischwassermaßstab -Berechnung der Überdeckungen bzw. Unterdeckungen-","Gebühren nach dem modifizierten Frischwassermaßstab - keine Berechnung, da gesplittete Gebühren berechnet werden - siehe Nr. 3a")</f>
        <v>Gebühren nach dem modifizierten Frischwassermaßstab -Berechnung der Überdeckungen bzw. Unterdeckungen-</v>
      </c>
      <c r="C39" s="637"/>
      <c r="D39" s="637"/>
      <c r="E39" s="637"/>
      <c r="F39" s="637"/>
      <c r="G39" s="637"/>
      <c r="H39" s="637"/>
      <c r="I39" s="637"/>
      <c r="J39" s="637"/>
      <c r="K39" s="637"/>
      <c r="L39" s="638"/>
    </row>
    <row r="40" spans="1:13" s="71" customFormat="1" ht="16.5" customHeight="1" x14ac:dyDescent="0.35">
      <c r="A40" s="614"/>
      <c r="B40" s="458" t="s">
        <v>137</v>
      </c>
      <c r="C40" s="639">
        <f>C6</f>
        <v>2012</v>
      </c>
      <c r="D40" s="633"/>
      <c r="E40" s="639">
        <f t="shared" ref="E40" si="44">E6</f>
        <v>2013</v>
      </c>
      <c r="F40" s="633"/>
      <c r="G40" s="639">
        <f t="shared" ref="G40" si="45">G6</f>
        <v>2014</v>
      </c>
      <c r="H40" s="633"/>
      <c r="I40" s="639">
        <f t="shared" ref="I40" si="46">I6</f>
        <v>2015</v>
      </c>
      <c r="J40" s="633"/>
      <c r="K40" s="639">
        <f t="shared" ref="K40" si="47">K6</f>
        <v>2016</v>
      </c>
      <c r="L40" s="633"/>
      <c r="M40" s="72"/>
    </row>
    <row r="41" spans="1:13" s="71" customFormat="1" ht="14.15" customHeight="1" x14ac:dyDescent="0.35">
      <c r="A41" s="615"/>
      <c r="B41" s="410" t="s">
        <v>445</v>
      </c>
      <c r="C41" s="645" t="str">
        <f>IF(OR(Grunddaten!$D$17=2,C6="-"),"-","SW + RW")</f>
        <v>SW + RW</v>
      </c>
      <c r="D41" s="646"/>
      <c r="E41" s="645" t="str">
        <f>IF(OR(Grunddaten!$D$17=2,E6="-"),"-","SW + RW")</f>
        <v>SW + RW</v>
      </c>
      <c r="F41" s="646"/>
      <c r="G41" s="645" t="str">
        <f>IF(OR(Grunddaten!$D$17=2,G6="-"),"-","SW + RW")</f>
        <v>SW + RW</v>
      </c>
      <c r="H41" s="646"/>
      <c r="I41" s="645" t="str">
        <f>IF(OR(Grunddaten!$D$17=2,I6="-"),"-","SW + RW")</f>
        <v>SW + RW</v>
      </c>
      <c r="J41" s="646"/>
      <c r="K41" s="645" t="str">
        <f>IF(OR(Grunddaten!$D$17=2,K6="-"),"-","SW + RW")</f>
        <v>SW + RW</v>
      </c>
      <c r="L41" s="646"/>
      <c r="M41" s="72"/>
    </row>
    <row r="42" spans="1:13" s="71" customFormat="1" ht="27" customHeight="1" x14ac:dyDescent="0.35">
      <c r="A42" s="419" t="s">
        <v>741</v>
      </c>
      <c r="B42" s="410" t="s">
        <v>948</v>
      </c>
      <c r="C42" s="643">
        <f>IF(OR(Grunddaten!$D$17=2,C6="-"),"-",SUM(C12,D12,C21,D21)*-1)</f>
        <v>-951928.75000000012</v>
      </c>
      <c r="D42" s="644"/>
      <c r="E42" s="643">
        <f>IF(OR(Grunddaten!$D$17=2,E6="-"),"-",SUM(E12,F12,E21,F21)*-1)</f>
        <v>-937121.11999999988</v>
      </c>
      <c r="F42" s="644"/>
      <c r="G42" s="643">
        <f>IF(OR(Grunddaten!$D$17=2,G6="-"),"-",SUM(G12,H12,G21,H21)*-1)</f>
        <v>-921044.60999999987</v>
      </c>
      <c r="H42" s="644"/>
      <c r="I42" s="643">
        <f>IF(OR(Grunddaten!$D$17=2,I6="-"),"-",SUM(I12,J12,I21,J21)*-1)</f>
        <v>-913578.02999999991</v>
      </c>
      <c r="J42" s="644"/>
      <c r="K42" s="643">
        <f>IF(OR(Grunddaten!$D$17=2,K6="-"),"-",SUM(K12,L12,K21,L21)*-1)</f>
        <v>-905119.82000000007</v>
      </c>
      <c r="L42" s="644"/>
      <c r="M42" s="72"/>
    </row>
    <row r="43" spans="1:13" s="71" customFormat="1" ht="26.25" customHeight="1" x14ac:dyDescent="0.35">
      <c r="A43" s="419" t="s">
        <v>742</v>
      </c>
      <c r="B43" s="459" t="s">
        <v>949</v>
      </c>
      <c r="C43" s="643">
        <f>IF(OR(Grunddaten!$D$17=2,C6="-"),"-",SUM(C25,D25)*-1)</f>
        <v>-610549.4</v>
      </c>
      <c r="D43" s="644"/>
      <c r="E43" s="643">
        <f>IF(OR(Grunddaten!$D$17=2,E6="-"),"-",SUM(E25,F25)*-1)</f>
        <v>-627023.69999999995</v>
      </c>
      <c r="F43" s="644"/>
      <c r="G43" s="643">
        <f>IF(OR(Grunddaten!$D$17=2,G6="-"),"-",SUM(G25,H25)*-1)</f>
        <v>-644345.97999999986</v>
      </c>
      <c r="H43" s="644"/>
      <c r="I43" s="643">
        <f>IF(OR(Grunddaten!$D$17=2,I6="-"),"-",SUM(I25,J25)*-1)</f>
        <v>-669041.32999999996</v>
      </c>
      <c r="J43" s="644"/>
      <c r="K43" s="643">
        <f>IF(OR(Grunddaten!$D$17=2,K6="-"),"-",SUM(K25,L25)*-1)</f>
        <v>-722946.28</v>
      </c>
      <c r="L43" s="644"/>
      <c r="M43" s="72"/>
    </row>
    <row r="44" spans="1:13" s="71" customFormat="1" ht="28.5" customHeight="1" x14ac:dyDescent="0.35">
      <c r="A44" s="419" t="s">
        <v>743</v>
      </c>
      <c r="B44" s="460" t="s">
        <v>956</v>
      </c>
      <c r="C44" s="650">
        <f>IF(OR(Grunddaten!$D$17=2,C6="-"),"-",SUM(C42,C43))</f>
        <v>-1562478.1500000001</v>
      </c>
      <c r="D44" s="651"/>
      <c r="E44" s="650">
        <f>IF(OR(Grunddaten!$D$17=2,E6="-"),"-",SUM(E42,E43))</f>
        <v>-1564144.8199999998</v>
      </c>
      <c r="F44" s="651"/>
      <c r="G44" s="650">
        <f>IF(OR(Grunddaten!$D$17=2,G6="-"),"-",SUM(G42,G43))</f>
        <v>-1565390.5899999999</v>
      </c>
      <c r="H44" s="651"/>
      <c r="I44" s="650">
        <f>IF(OR(Grunddaten!$D$17=2,I6="-"),"-",SUM(I42,I43))</f>
        <v>-1582619.3599999999</v>
      </c>
      <c r="J44" s="651"/>
      <c r="K44" s="650">
        <f>IF(OR(Grunddaten!$D$17=2,K6="-"),"-",SUM(K42,K43))</f>
        <v>-1628066.1</v>
      </c>
      <c r="L44" s="651"/>
      <c r="M44" s="72"/>
    </row>
    <row r="45" spans="1:13" s="71" customFormat="1" ht="27" customHeight="1" x14ac:dyDescent="0.35">
      <c r="A45" s="419" t="s">
        <v>744</v>
      </c>
      <c r="B45" s="461" t="s">
        <v>952</v>
      </c>
      <c r="C45" s="652">
        <f>IF(OR(Grunddaten!$D$17=2,C6="-"),"-",HLOOKUP(C6,Grund_geb_ein,7,FALSE))</f>
        <v>1301111</v>
      </c>
      <c r="D45" s="653"/>
      <c r="E45" s="652">
        <f>IF(OR(Grunddaten!$D$17=2,E6="-"),"-",HLOOKUP(E6,Grund_geb_ein,7,FALSE))</f>
        <v>1322513</v>
      </c>
      <c r="F45" s="653"/>
      <c r="G45" s="652">
        <f>IF(OR(Grunddaten!$D$17=2,G6="-"),"-",HLOOKUP(G6,Grund_geb_ein,7,FALSE))</f>
        <v>1335363</v>
      </c>
      <c r="H45" s="653"/>
      <c r="I45" s="652">
        <f>IF(OR(Grunddaten!$D$17=2,I6="-"),"-",HLOOKUP(I6,Grund_geb_ein,7,FALSE))</f>
        <v>1338824</v>
      </c>
      <c r="J45" s="653"/>
      <c r="K45" s="652">
        <f>IF(OR(Grunddaten!$D$17=2,K6="-"),"-",HLOOKUP(K6,Grund_geb_ein,7,FALSE))</f>
        <v>1397000</v>
      </c>
      <c r="L45" s="653"/>
      <c r="M45" s="72"/>
    </row>
    <row r="46" spans="1:13" s="71" customFormat="1" ht="27" customHeight="1" x14ac:dyDescent="0.35">
      <c r="A46" s="419" t="s">
        <v>745</v>
      </c>
      <c r="B46" s="462" t="s">
        <v>953</v>
      </c>
      <c r="C46" s="647">
        <f>IF(OR(Grunddaten!$D$17=2,C6="-"),"-",SUM(C44,C45))</f>
        <v>-261367.15000000014</v>
      </c>
      <c r="D46" s="648"/>
      <c r="E46" s="647">
        <f>IF(OR(Grunddaten!$D$17=2,E6="-"),"-",SUM(E44,E45))</f>
        <v>-241631.81999999983</v>
      </c>
      <c r="F46" s="648"/>
      <c r="G46" s="647">
        <f>IF(OR(Grunddaten!$D$17=2,G6="-"),"-",SUM(G44,G45))</f>
        <v>-230027.58999999985</v>
      </c>
      <c r="H46" s="648"/>
      <c r="I46" s="647">
        <f>IF(OR(Grunddaten!$D$17=2,I6="-"),"-",SUM(I44,I45))</f>
        <v>-243795.35999999987</v>
      </c>
      <c r="J46" s="648"/>
      <c r="K46" s="647">
        <f>IF(OR(Grunddaten!$D$17=2,K6="-"),"-",SUM(K44,K45))</f>
        <v>-231066.10000000009</v>
      </c>
      <c r="L46" s="648"/>
      <c r="M46" s="72"/>
    </row>
    <row r="47" spans="1:13" s="71" customFormat="1" ht="45" customHeight="1" x14ac:dyDescent="0.35">
      <c r="A47" s="419" t="s">
        <v>746</v>
      </c>
      <c r="B47" s="456" t="s">
        <v>951</v>
      </c>
      <c r="C47" s="649">
        <f>IF(OR(Grunddaten!$D$17=2,C6="-"),"-",HLOOKUP(C6,Grund_ue_u,4,FALSE))</f>
        <v>-43456</v>
      </c>
      <c r="D47" s="644"/>
      <c r="E47" s="317"/>
      <c r="F47" s="317"/>
      <c r="G47" s="318"/>
      <c r="H47" s="317"/>
      <c r="I47" s="318"/>
      <c r="J47" s="317"/>
      <c r="K47" s="318"/>
      <c r="L47" s="319"/>
      <c r="M47" s="72"/>
    </row>
    <row r="48" spans="1:13" s="71" customFormat="1" ht="27" customHeight="1" x14ac:dyDescent="0.35">
      <c r="A48" s="419" t="s">
        <v>747</v>
      </c>
      <c r="B48" s="463" t="s">
        <v>943</v>
      </c>
      <c r="C48" s="634"/>
      <c r="D48" s="635"/>
      <c r="E48" s="663">
        <f>IF(OR(Grunddaten!$D$17=2,E6="-"),"-",HLOOKUP(E6,Grund_ue_u,4,FALSE))</f>
        <v>15665</v>
      </c>
      <c r="F48" s="653"/>
      <c r="G48" s="663">
        <f>IF(OR(Grunddaten!$D$17=2,G6="-"),"-",HLOOKUP(G6,Grund_ue_u,4,FALSE))</f>
        <v>15665</v>
      </c>
      <c r="H48" s="653"/>
      <c r="I48" s="663">
        <f>IF(OR(Grunddaten!$D$17=2,I6="-"),"-",HLOOKUP(I6,Grund_ue_u,4,FALSE))</f>
        <v>15665</v>
      </c>
      <c r="J48" s="653"/>
      <c r="K48" s="663">
        <f>IF(OR(Grunddaten!$D$17=2,K6="-"),"-",HLOOKUP(K6,Grund_ue_u,4,FALSE))</f>
        <v>15665</v>
      </c>
      <c r="L48" s="653"/>
      <c r="M48" s="72"/>
    </row>
    <row r="49" spans="1:13" s="71" customFormat="1" ht="45" customHeight="1" thickBot="1" x14ac:dyDescent="0.4">
      <c r="A49" s="307" t="s">
        <v>748</v>
      </c>
      <c r="B49" s="470" t="s">
        <v>954</v>
      </c>
      <c r="C49" s="664">
        <f>IF(OR(Grunddaten!$D$17=2,C6="-"),"-",ROUND(SUM(C46,-C47,C48),2))</f>
        <v>-217911.15</v>
      </c>
      <c r="D49" s="665"/>
      <c r="E49" s="664">
        <f>IF(OR(Grunddaten!$D$17=2,E6="-"),"-",ROUND(SUM(E46,-E47,E48),2))</f>
        <v>-225966.82</v>
      </c>
      <c r="F49" s="665"/>
      <c r="G49" s="664">
        <f>IF(OR(Grunddaten!$D$17=2,G6="-"),"-",ROUND(SUM(G46,-G47,G48),2))</f>
        <v>-214362.59</v>
      </c>
      <c r="H49" s="665"/>
      <c r="I49" s="664">
        <f>IF(OR(Grunddaten!$D$17=2,I6="-"),"-",ROUND(SUM(I46,-I47,I48),2))</f>
        <v>-228130.36</v>
      </c>
      <c r="J49" s="665"/>
      <c r="K49" s="664">
        <f>IF(OR(Grunddaten!$D$17=2,K6="-"),"-",ROUND(SUM(K46,-K47,K48),2))</f>
        <v>-215401.1</v>
      </c>
      <c r="L49" s="665"/>
      <c r="M49" s="72"/>
    </row>
    <row r="50" spans="1:13" s="73" customFormat="1" ht="6.75" customHeight="1" x14ac:dyDescent="0.35">
      <c r="A50" s="416"/>
      <c r="B50" s="416"/>
      <c r="C50" s="416"/>
      <c r="D50" s="416"/>
      <c r="E50" s="416"/>
      <c r="F50" s="416"/>
      <c r="G50" s="416"/>
      <c r="H50" s="416"/>
      <c r="I50" s="416"/>
      <c r="J50" s="416"/>
      <c r="K50" s="416"/>
      <c r="L50" s="430"/>
    </row>
    <row r="51" spans="1:13" s="464" customFormat="1" ht="26.25" customHeight="1" thickBot="1" x14ac:dyDescent="0.4">
      <c r="A51" s="64" t="s">
        <v>749</v>
      </c>
      <c r="B51" s="654" t="s">
        <v>957</v>
      </c>
      <c r="C51" s="655"/>
      <c r="D51" s="655"/>
      <c r="E51" s="655"/>
      <c r="F51" s="655"/>
      <c r="G51" s="655"/>
      <c r="H51" s="655"/>
      <c r="I51" s="655"/>
      <c r="J51" s="656"/>
      <c r="K51" s="657" t="str">
        <f>IF(Grunddaten!$D$17=2,"Summe Unterdeckung(-)-/Überdeck. =  "&amp;TEXT(SUM(C37:L37),"0.000,00 €"),"Summe Unterdeckung(-)-/Überdeck. =  "&amp;TEXT(SUM(C49:L49),"0.000,00 €"))</f>
        <v>Summe Unterdeckung(-)-/Überdeck. =  -1.101.772,02 €</v>
      </c>
      <c r="L51" s="658"/>
      <c r="M51" s="403"/>
    </row>
    <row r="52" spans="1:13" s="73" customFormat="1" ht="6.75" customHeight="1" x14ac:dyDescent="0.35">
      <c r="A52" s="416"/>
      <c r="B52" s="416"/>
      <c r="C52" s="416"/>
      <c r="D52" s="416"/>
      <c r="E52" s="416"/>
      <c r="F52" s="416"/>
      <c r="G52" s="416"/>
      <c r="H52" s="416"/>
      <c r="I52" s="416"/>
      <c r="J52" s="416"/>
      <c r="K52" s="416"/>
      <c r="L52" s="430"/>
    </row>
    <row r="53" spans="1:13" s="99" customFormat="1" ht="33" customHeight="1" x14ac:dyDescent="0.35">
      <c r="A53" s="402"/>
      <c r="B53" s="659" t="s">
        <v>444</v>
      </c>
      <c r="C53" s="660"/>
      <c r="D53" s="660"/>
      <c r="E53" s="660"/>
      <c r="F53" s="660"/>
      <c r="G53" s="660"/>
      <c r="H53" s="660"/>
      <c r="I53" s="660"/>
      <c r="J53" s="660"/>
      <c r="K53" s="661"/>
      <c r="L53" s="662"/>
    </row>
    <row r="54" spans="1:13" s="71" customFormat="1" ht="18" customHeight="1" x14ac:dyDescent="0.35">
      <c r="A54" s="419" t="s">
        <v>750</v>
      </c>
      <c r="B54" s="418" t="s">
        <v>137</v>
      </c>
      <c r="C54" s="639">
        <f>C6</f>
        <v>2012</v>
      </c>
      <c r="D54" s="633"/>
      <c r="E54" s="639">
        <f t="shared" ref="E54" si="48">E6</f>
        <v>2013</v>
      </c>
      <c r="F54" s="633"/>
      <c r="G54" s="639">
        <f t="shared" ref="G54" si="49">G6</f>
        <v>2014</v>
      </c>
      <c r="H54" s="633"/>
      <c r="I54" s="639">
        <f t="shared" ref="I54" si="50">I6</f>
        <v>2015</v>
      </c>
      <c r="J54" s="633"/>
      <c r="K54" s="639">
        <f t="shared" ref="K54" si="51">K6</f>
        <v>2016</v>
      </c>
      <c r="L54" s="633"/>
      <c r="M54" s="72"/>
    </row>
    <row r="55" spans="1:13" s="71" customFormat="1" ht="15" customHeight="1" x14ac:dyDescent="0.35">
      <c r="A55" s="419" t="s">
        <v>751</v>
      </c>
      <c r="B55" s="410" t="s">
        <v>445</v>
      </c>
      <c r="C55" s="420" t="str">
        <f>IF(C6="-","-","SW")</f>
        <v>SW</v>
      </c>
      <c r="D55" s="421" t="str">
        <f>IF(C6="-","-","RW")</f>
        <v>RW</v>
      </c>
      <c r="E55" s="505" t="str">
        <f t="shared" ref="E55" si="52">IF(E6="-","-","SW")</f>
        <v>SW</v>
      </c>
      <c r="F55" s="421" t="str">
        <f t="shared" ref="F55" si="53">IF(E6="-","-","RW")</f>
        <v>RW</v>
      </c>
      <c r="G55" s="505" t="str">
        <f t="shared" ref="G55" si="54">IF(G6="-","-","SW")</f>
        <v>SW</v>
      </c>
      <c r="H55" s="421" t="str">
        <f t="shared" ref="H55" si="55">IF(G6="-","-","RW")</f>
        <v>RW</v>
      </c>
      <c r="I55" s="505" t="str">
        <f t="shared" ref="I55" si="56">IF(I6="-","-","SW")</f>
        <v>SW</v>
      </c>
      <c r="J55" s="421" t="str">
        <f t="shared" ref="J55" si="57">IF(I6="-","-","RW")</f>
        <v>RW</v>
      </c>
      <c r="K55" s="505" t="str">
        <f t="shared" ref="K55" si="58">IF(K6="-","-","SW")</f>
        <v>SW</v>
      </c>
      <c r="L55" s="421" t="str">
        <f t="shared" ref="L55" si="59">IF(K6="-","-","RW")</f>
        <v>RW</v>
      </c>
      <c r="M55" s="72"/>
    </row>
    <row r="56" spans="1:13" s="71" customFormat="1" ht="30" customHeight="1" x14ac:dyDescent="0.35">
      <c r="A56" s="419" t="s">
        <v>752</v>
      </c>
      <c r="B56" s="423" t="s">
        <v>446</v>
      </c>
      <c r="C56" s="65">
        <f>IF(SUM(C12,C21,C25,D12,D21,D25)&lt;&gt;0,SUM(C12,C21,C25)/(SUM(C12,C21,C25,D12,D21,D25)),"-")</f>
        <v>0.8694427374872411</v>
      </c>
      <c r="D56" s="66">
        <f>IF(SUM(C12,C21,C25,D12,D21,D25)&lt;&gt;0,SUM(D12,D21,D25)/(SUM(C12,C21,C25,D12,D21,D25)),"-")</f>
        <v>0.13055726251275898</v>
      </c>
      <c r="E56" s="65">
        <f>IF(SUM(E12,E21,E25,F12,F21,F25)&lt;&gt;0,SUM(E12,E21,E25)/(SUM(E12,E21,E25,F12,F21,F25)),"-")</f>
        <v>0.867781264652975</v>
      </c>
      <c r="F56" s="66">
        <f>IF(SUM(E12,E21,E25,F12,F21,F25)&lt;&gt;0,SUM(F12,F21,F25)/(SUM(E12,E21,E25,F12,F21,F25)),"-")</f>
        <v>0.13221873534702497</v>
      </c>
      <c r="G56" s="65">
        <f t="shared" ref="G56" si="60">IF(SUM(G12,G21,G25,H12,H21,H25)&lt;&gt;0,SUM(G12,G21,G25)/(SUM(G12,G21,G25,H12,H21,H25)),"-")</f>
        <v>0.86796492113830837</v>
      </c>
      <c r="H56" s="66">
        <f t="shared" ref="H56" si="61">IF(SUM(G12,G21,G25,H12,H21,H25)&lt;&gt;0,SUM(H12,H21,H25)/(SUM(G12,G21,G25,H12,H21,H25)),"-")</f>
        <v>0.13203507886169166</v>
      </c>
      <c r="I56" s="65">
        <f t="shared" ref="I56" si="62">IF(SUM(I12,I21,I25,J12,J21,J25)&lt;&gt;0,SUM(I12,I21,I25)/(SUM(I12,I21,I25,J12,J21,J25)),"-")</f>
        <v>0.86866550147598331</v>
      </c>
      <c r="J56" s="66">
        <f t="shared" ref="J56" si="63">IF(SUM(I12,I21,I25,J12,J21,J25)&lt;&gt;0,SUM(J12,J21,J25)/(SUM(I12,I21,I25,J12,J21,J25)),"-")</f>
        <v>0.13133449852401652</v>
      </c>
      <c r="K56" s="65">
        <f t="shared" ref="K56" si="64">IF(SUM(K12,K21,K25,L12,L21,L25)&lt;&gt;0,SUM(K12,K21,K25)/(SUM(K12,K21,K25,L12,L21,L25)),"-")</f>
        <v>0.86647446931055205</v>
      </c>
      <c r="L56" s="66">
        <f t="shared" ref="L56" si="65">IF(SUM(K12,K21,K25,L12,L21,L25)&lt;&gt;0,SUM(L12,L21,L25)/(SUM(K12,K21,K25,L12,L21,L25)),"-")</f>
        <v>0.13352553068944806</v>
      </c>
      <c r="M56" s="72"/>
    </row>
    <row r="57" spans="1:13" s="71" customFormat="1" ht="30" customHeight="1" x14ac:dyDescent="0.35">
      <c r="A57" s="419" t="s">
        <v>753</v>
      </c>
      <c r="B57" s="427" t="str">
        <f>"Anteil Schmutzwasserbeseitigung in %  "
&amp; "Durchschnitt von "&amp;C40 &amp; " bis "&amp;C40+4</f>
        <v>Anteil Schmutzwasserbeseitigung in %  Durchschnitt von 2012 bis 2016</v>
      </c>
      <c r="C57" s="666">
        <f>IF(SUM(C12,C21,C25,E12,E21,E25,G12,G21,G25,I12,I21,I25,K12,K21,K25)&lt;&gt;0,ROUND(SUM(C12,C21,C25,E12,E21,E25,G12,G21,G25,I12,I21,I25,K12,K21,K25)/SUM(C12,C21,C25,E12,E21,E25,G12,G21,G25,I12,I21,I25,K12,K21,K25,D12,D21,D25,F12,F21,F25,H12,H21,H25,J12,J21,J25,L12,L21,L25),4),"-")</f>
        <v>0.86809999999999998</v>
      </c>
      <c r="D57" s="667"/>
      <c r="E57" s="667"/>
      <c r="F57" s="667"/>
      <c r="G57" s="667"/>
      <c r="H57" s="667"/>
      <c r="I57" s="667"/>
      <c r="J57" s="667"/>
      <c r="K57" s="667"/>
      <c r="L57" s="668"/>
      <c r="M57" s="72"/>
    </row>
    <row r="58" spans="1:13" s="71" customFormat="1" ht="30" customHeight="1" x14ac:dyDescent="0.35">
      <c r="A58" s="419" t="s">
        <v>754</v>
      </c>
      <c r="B58" s="423" t="str">
        <f>"Anteil Regenwasserbeseit. aus GrSt in %  "
&amp; "Durchschnitt von "&amp;C40 &amp; " bis "&amp;C40+4&amp;"   1)"</f>
        <v>Anteil Regenwasserbeseit. aus GrSt in %  Durchschnitt von 2012 bis 2016   1)</v>
      </c>
      <c r="C58" s="669">
        <f>IF(SUM(D12,D21,D25,F12,F21,F25,H12,H21,H25,J12,J21,J25,L12,L21,L25)&lt;&gt;0,ROUND(SUM(D12,D21,D25,F12,F21,F25,H12,H21,H25,J12,J21,J25,L12,L21,L25)/SUM(C12,C21,C25,E12,E21,E25,G12,G21,G25,I12,I21,I25,K12,K21,K25,D12,D21,D25,F12,F21,F25,H12,H21,H25,J12,J21,J25,L12,L21,L25),4),"-")</f>
        <v>0.13189999999999999</v>
      </c>
      <c r="D58" s="670"/>
      <c r="E58" s="670"/>
      <c r="F58" s="670"/>
      <c r="G58" s="670"/>
      <c r="H58" s="670"/>
      <c r="I58" s="670"/>
      <c r="J58" s="670"/>
      <c r="K58" s="670"/>
      <c r="L58" s="671"/>
      <c r="M58" s="72"/>
    </row>
    <row r="59" spans="1:13" s="71" customFormat="1" ht="28.5" customHeight="1" thickBot="1" x14ac:dyDescent="0.4">
      <c r="A59" s="435" t="s">
        <v>755</v>
      </c>
      <c r="B59" s="672" t="s">
        <v>878</v>
      </c>
      <c r="C59" s="673"/>
      <c r="D59" s="673"/>
      <c r="E59" s="673"/>
      <c r="F59" s="673"/>
      <c r="G59" s="673"/>
      <c r="H59" s="673"/>
      <c r="I59" s="673"/>
      <c r="J59" s="673"/>
      <c r="K59" s="673"/>
      <c r="L59" s="674"/>
      <c r="M59" s="72"/>
    </row>
    <row r="60" spans="1:13" s="73" customFormat="1" ht="6.75" customHeight="1" x14ac:dyDescent="0.35">
      <c r="A60" s="436"/>
      <c r="B60" s="416"/>
      <c r="C60" s="416"/>
      <c r="D60" s="416"/>
      <c r="E60" s="416"/>
      <c r="F60" s="416"/>
      <c r="G60" s="416"/>
      <c r="H60" s="416"/>
      <c r="I60" s="416"/>
      <c r="J60" s="416"/>
      <c r="K60" s="416"/>
      <c r="L60" s="430"/>
    </row>
    <row r="61" spans="1:13" s="71" customFormat="1" ht="33" customHeight="1" x14ac:dyDescent="0.35">
      <c r="A61" s="419" t="s">
        <v>756</v>
      </c>
      <c r="B61" s="659" t="s">
        <v>447</v>
      </c>
      <c r="C61" s="660"/>
      <c r="D61" s="660"/>
      <c r="E61" s="660"/>
      <c r="F61" s="660"/>
      <c r="G61" s="660"/>
      <c r="H61" s="660"/>
      <c r="I61" s="660"/>
      <c r="J61" s="660"/>
      <c r="K61" s="465"/>
      <c r="L61" s="466"/>
      <c r="M61" s="72"/>
    </row>
    <row r="62" spans="1:13" s="71" customFormat="1" ht="19.5" customHeight="1" x14ac:dyDescent="0.35">
      <c r="A62" s="419" t="s">
        <v>757</v>
      </c>
      <c r="B62" s="467" t="s">
        <v>803</v>
      </c>
      <c r="C62" s="675">
        <f>C6</f>
        <v>2012</v>
      </c>
      <c r="D62" s="676"/>
      <c r="E62" s="675">
        <f t="shared" ref="E62" si="66">E6</f>
        <v>2013</v>
      </c>
      <c r="F62" s="676"/>
      <c r="G62" s="675">
        <f t="shared" ref="G62" si="67">G6</f>
        <v>2014</v>
      </c>
      <c r="H62" s="676"/>
      <c r="I62" s="675">
        <f t="shared" ref="I62" si="68">I6</f>
        <v>2015</v>
      </c>
      <c r="J62" s="676"/>
      <c r="K62" s="675">
        <f t="shared" ref="K62" si="69">K6</f>
        <v>2016</v>
      </c>
      <c r="L62" s="676"/>
      <c r="M62" s="72"/>
    </row>
    <row r="63" spans="1:13" s="71" customFormat="1" ht="21" customHeight="1" x14ac:dyDescent="0.35">
      <c r="A63" s="419" t="s">
        <v>758</v>
      </c>
      <c r="B63" s="410" t="s">
        <v>448</v>
      </c>
      <c r="C63" s="677">
        <f>IF(C6="-","-",IF(HLOOKUP(C6,Grund_be,2,FALSE)=2,ROUND(HLOOKUP(C6,Anlageg,47,FALSE)-HLOOKUP(C6,Zuwend,14,FALSE),2),ROUND(HLOOKUP(C6,Anlageg,30,FALSE)-HLOOKUP(C6,Zuwend,14,FALSE),2)))</f>
        <v>0</v>
      </c>
      <c r="D63" s="678"/>
      <c r="E63" s="677">
        <f>IF(E6="-","-",IF(HLOOKUP(E6,Grund_be,2,FALSE)=2,ROUND(HLOOKUP(E6,Anlageg,47,FALSE)-HLOOKUP(E6,Zuwend,14,FALSE),2),ROUND(HLOOKUP(E6,Anlageg,30,FALSE)-HLOOKUP(E6,Zuwend,14,FALSE),2)))</f>
        <v>0</v>
      </c>
      <c r="F63" s="678"/>
      <c r="G63" s="677">
        <f>IF(G6="-","-",IF(HLOOKUP(G6,Grund_be,2,FALSE)=2,ROUND(HLOOKUP(G6,Anlageg,47,FALSE)-HLOOKUP(G6,Zuwend,14,FALSE),2),ROUND(HLOOKUP(G6,Anlageg,30,FALSE)-HLOOKUP(G6,Zuwend,14,FALSE),2)))</f>
        <v>0</v>
      </c>
      <c r="H63" s="678"/>
      <c r="I63" s="677">
        <f>IF(I6="-","-",IF(HLOOKUP(I6,Grund_be,2,FALSE)=2,ROUND(HLOOKUP(I6,Anlageg,47,FALSE)-HLOOKUP(I6,Zuwend,14,FALSE),2),ROUND(HLOOKUP(I6,Anlageg,30,FALSE)-HLOOKUP(I6,Zuwend,14,FALSE),2)))</f>
        <v>0</v>
      </c>
      <c r="J63" s="678"/>
      <c r="K63" s="677">
        <f>IF(K6="-","-",IF(HLOOKUP(K6,Grund_be,2,FALSE)=2,ROUND(HLOOKUP(K6,Anlageg,47,FALSE)-HLOOKUP(K6,Zuwend,14,FALSE),2),ROUND(HLOOKUP(K6,Anlageg,30,FALSE)-HLOOKUP(K6,Zuwend,14,FALSE),2)))</f>
        <v>0</v>
      </c>
      <c r="L63" s="678"/>
      <c r="M63" s="72"/>
    </row>
    <row r="64" spans="1:13" s="71" customFormat="1" ht="21" customHeight="1" x14ac:dyDescent="0.35">
      <c r="A64" s="419" t="s">
        <v>759</v>
      </c>
      <c r="B64" s="410" t="s">
        <v>449</v>
      </c>
      <c r="C64" s="677">
        <f>IF(C6&lt;&gt;"-",ROUND(HLOOKUP(C6,Anlageg,110,FALSE)-HLOOKUP(C6,Zuwend,45,FALSE),2),"-")</f>
        <v>0.21</v>
      </c>
      <c r="D64" s="678"/>
      <c r="E64" s="677">
        <f>IF(E6&lt;&gt;"-",ROUND(HLOOKUP(E6,Anlageg,110,FALSE)-HLOOKUP(E6,Zuwend,45,FALSE),2),"-")</f>
        <v>0.21</v>
      </c>
      <c r="F64" s="678"/>
      <c r="G64" s="677">
        <f>IF(G6&lt;&gt;"-",ROUND(HLOOKUP(G6,Anlageg,110,FALSE)-HLOOKUP(G6,Zuwend,45,FALSE),2),"-")</f>
        <v>0.21</v>
      </c>
      <c r="H64" s="678"/>
      <c r="I64" s="677">
        <f>IF(I6&lt;&gt;"-",ROUND(HLOOKUP(I6,Anlageg,110,FALSE)-HLOOKUP(I6,Zuwend,45,FALSE),2),"-")</f>
        <v>0.21</v>
      </c>
      <c r="J64" s="678"/>
      <c r="K64" s="677">
        <f>IF(K6&lt;&gt;"-",ROUND(HLOOKUP(K6,Anlageg,110,FALSE)-HLOOKUP(K6,Zuwend,45,FALSE),2),"-")</f>
        <v>0.21</v>
      </c>
      <c r="L64" s="678"/>
      <c r="M64" s="72"/>
    </row>
    <row r="65" spans="1:13" s="71" customFormat="1" ht="21" customHeight="1" x14ac:dyDescent="0.35">
      <c r="A65" s="419" t="s">
        <v>760</v>
      </c>
      <c r="B65" s="445" t="s">
        <v>450</v>
      </c>
      <c r="C65" s="677">
        <f>IF(C6&lt;&gt;"-",ROUND(HLOOKUP(C6,Betriebsko,11,FALSE),2)-ROUND(HLOOKUP(C6,Betriebsko,6,FALSE),2),"-")</f>
        <v>74934.600000000006</v>
      </c>
      <c r="D65" s="678"/>
      <c r="E65" s="677">
        <f>IF(E6&lt;&gt;"-",ROUND(HLOOKUP(E6,Betriebsko,11,FALSE),2)-ROUND(HLOOKUP(E6,Betriebsko,6,FALSE),2),"-")</f>
        <v>78928.3</v>
      </c>
      <c r="F65" s="678"/>
      <c r="G65" s="677">
        <f>IF(G6&lt;&gt;"-",ROUND(HLOOKUP(G6,Betriebsko,11,FALSE),2)-ROUND(HLOOKUP(G6,Betriebsko,6,FALSE),2),"-")</f>
        <v>80501.03</v>
      </c>
      <c r="H65" s="678"/>
      <c r="I65" s="677">
        <f>IF(I6&lt;&gt;"-",ROUND(HLOOKUP(I6,Betriebsko,11,FALSE),2)-ROUND(HLOOKUP(I6,Betriebsko,6,FALSE),2),"-")</f>
        <v>82106.679999999993</v>
      </c>
      <c r="J65" s="678"/>
      <c r="K65" s="677">
        <f>IF(K6&lt;&gt;"-",ROUND(HLOOKUP(K6,Betriebsko,11,FALSE),2)-ROUND(HLOOKUP(K6,Betriebsko,6,FALSE),2),"-")</f>
        <v>91244.73</v>
      </c>
      <c r="L65" s="678"/>
      <c r="M65" s="72"/>
    </row>
    <row r="66" spans="1:13" s="71" customFormat="1" ht="21" customHeight="1" x14ac:dyDescent="0.35">
      <c r="A66" s="419" t="s">
        <v>761</v>
      </c>
      <c r="B66" s="445" t="s">
        <v>451</v>
      </c>
      <c r="C66" s="677">
        <f>IF(SUM(C63:C65)&gt;0,SUM(C63:C65),"-")</f>
        <v>74934.810000000012</v>
      </c>
      <c r="D66" s="678"/>
      <c r="E66" s="677">
        <f t="shared" ref="E66" si="70">IF(SUM(E63:E65)&gt;0,SUM(E63:E65),"-")</f>
        <v>78928.510000000009</v>
      </c>
      <c r="F66" s="678"/>
      <c r="G66" s="677">
        <f t="shared" ref="G66" si="71">IF(SUM(G63:G65)&gt;0,SUM(G63:G65),"-")</f>
        <v>80501.240000000005</v>
      </c>
      <c r="H66" s="678"/>
      <c r="I66" s="677">
        <f t="shared" ref="I66" si="72">IF(SUM(I63:I65)&gt;0,SUM(I63:I65),"-")</f>
        <v>82106.89</v>
      </c>
      <c r="J66" s="678"/>
      <c r="K66" s="677">
        <f t="shared" ref="K66" si="73">IF(SUM(K63:K65)&gt;0,SUM(K63:K65),"-")</f>
        <v>91244.94</v>
      </c>
      <c r="L66" s="678"/>
      <c r="M66" s="72"/>
    </row>
    <row r="67" spans="1:13" s="71" customFormat="1" ht="21" customHeight="1" thickBot="1" x14ac:dyDescent="0.4">
      <c r="A67" s="419" t="s">
        <v>762</v>
      </c>
      <c r="B67" s="446" t="s">
        <v>452</v>
      </c>
      <c r="C67" s="679">
        <f>IF(C6&lt;&gt;"-",ROUND(C66/(C66+SUM(C12,C21,C25,D12,D21,D25)),4),"-")</f>
        <v>4.58E-2</v>
      </c>
      <c r="D67" s="680"/>
      <c r="E67" s="679">
        <f>IF(E6&lt;&gt;"-",ROUND(E66/(E66+SUM(E12,E21,E25,F12,F21,F25)),4),"-")</f>
        <v>4.8000000000000001E-2</v>
      </c>
      <c r="F67" s="680"/>
      <c r="G67" s="679">
        <f>IF(G6&lt;&gt;"-",ROUND(G66/(G66+SUM(G12,G21,G25,H12,H21,H25)),4),"-")</f>
        <v>4.8899999999999999E-2</v>
      </c>
      <c r="H67" s="680"/>
      <c r="I67" s="679">
        <f>IF(I6&lt;&gt;"-",ROUND(I66/(I66+SUM(I12,I21,I25,J12,J21,J25)),4),"-")</f>
        <v>4.9299999999999997E-2</v>
      </c>
      <c r="J67" s="680"/>
      <c r="K67" s="679">
        <f>IF(K6&lt;&gt;"-",ROUND(K66/(K66+SUM(K12,K21,K25,L12,L21,L25)),4),"-")</f>
        <v>5.3100000000000001E-2</v>
      </c>
      <c r="L67" s="680"/>
      <c r="M67" s="72"/>
    </row>
    <row r="68" spans="1:13" s="71" customFormat="1" ht="30" customHeight="1" x14ac:dyDescent="0.35">
      <c r="A68" s="419" t="s">
        <v>763</v>
      </c>
      <c r="B68" s="405" t="s">
        <v>883</v>
      </c>
      <c r="C68" s="675">
        <f>C6</f>
        <v>2012</v>
      </c>
      <c r="D68" s="676"/>
      <c r="E68" s="675">
        <f t="shared" ref="E68" si="74">E6</f>
        <v>2013</v>
      </c>
      <c r="F68" s="676"/>
      <c r="G68" s="675">
        <f t="shared" ref="G68" si="75">G6</f>
        <v>2014</v>
      </c>
      <c r="H68" s="676"/>
      <c r="I68" s="675">
        <f t="shared" ref="I68" si="76">I6</f>
        <v>2015</v>
      </c>
      <c r="J68" s="676"/>
      <c r="K68" s="675">
        <f t="shared" ref="K68" si="77">K6</f>
        <v>2016</v>
      </c>
      <c r="L68" s="676"/>
    </row>
    <row r="69" spans="1:13" s="71" customFormat="1" ht="21" customHeight="1" x14ac:dyDescent="0.35">
      <c r="A69" s="419" t="s">
        <v>764</v>
      </c>
      <c r="B69" s="410" t="s">
        <v>453</v>
      </c>
      <c r="C69" s="681">
        <f>IF(C6&lt;&gt;"-",HLOOKUP(C6,Anlageg,116,FALSE),"-")</f>
        <v>0</v>
      </c>
      <c r="D69" s="644"/>
      <c r="E69" s="681">
        <f>IF(E6&lt;&gt;"-",HLOOKUP(E6,Anlageg,116,FALSE),"-")</f>
        <v>0</v>
      </c>
      <c r="F69" s="644"/>
      <c r="G69" s="681">
        <f>IF(G6&lt;&gt;"-",HLOOKUP(G6,Anlageg,116,FALSE),"-")</f>
        <v>0</v>
      </c>
      <c r="H69" s="644"/>
      <c r="I69" s="681">
        <f>IF(I6&lt;&gt;"-",HLOOKUP(I6,Anlageg,116,FALSE),"-")</f>
        <v>0</v>
      </c>
      <c r="J69" s="644"/>
      <c r="K69" s="681">
        <f>IF(K6&lt;&gt;"-",HLOOKUP(K6,Anlageg,116,FALSE),"-")</f>
        <v>0</v>
      </c>
      <c r="L69" s="644"/>
      <c r="M69" s="72"/>
    </row>
    <row r="70" spans="1:13" s="71" customFormat="1" ht="21" customHeight="1" x14ac:dyDescent="0.35">
      <c r="A70" s="419" t="s">
        <v>765</v>
      </c>
      <c r="B70" s="410" t="s">
        <v>454</v>
      </c>
      <c r="C70" s="681">
        <f>IF(C6&lt;&gt;"-",HLOOKUP(C6,Beitr,51,FALSE),"-")</f>
        <v>2.9700000000000001E-2</v>
      </c>
      <c r="D70" s="644"/>
      <c r="E70" s="681">
        <f>IF(E6&lt;&gt;"-",HLOOKUP(E6,Beitr,51,FALSE),"-")</f>
        <v>2.9700000000000001E-2</v>
      </c>
      <c r="F70" s="644"/>
      <c r="G70" s="681">
        <f>IF(G6&lt;&gt;"-",HLOOKUP(G6,Beitr,51,FALSE),"-")</f>
        <v>2.9700000000000001E-2</v>
      </c>
      <c r="H70" s="644"/>
      <c r="I70" s="681">
        <f>IF(I6&lt;&gt;"-",HLOOKUP(I6,Beitr,51,FALSE),"-")</f>
        <v>2.9700000000000001E-2</v>
      </c>
      <c r="J70" s="644"/>
      <c r="K70" s="681">
        <f>IF(K6&lt;&gt;"-",HLOOKUP(K6,Beitr,51,FALSE),"-")</f>
        <v>2.9700000000000001E-2</v>
      </c>
      <c r="L70" s="644"/>
      <c r="M70" s="72"/>
    </row>
    <row r="71" spans="1:13" s="71" customFormat="1" ht="21" customHeight="1" x14ac:dyDescent="0.35">
      <c r="A71" s="419" t="s">
        <v>766</v>
      </c>
      <c r="B71" s="423" t="s">
        <v>455</v>
      </c>
      <c r="C71" s="692">
        <f>IF(C6&lt;&gt;"-",HLOOKUP(C6,Zuwend,51,FALSE),"-")</f>
        <v>2.9499999999999998E-2</v>
      </c>
      <c r="D71" s="653"/>
      <c r="E71" s="692">
        <f>IF(E6&lt;&gt;"-",HLOOKUP(E6,Zuwend,51,FALSE),"-")</f>
        <v>2.9600000000000001E-2</v>
      </c>
      <c r="F71" s="653"/>
      <c r="G71" s="692">
        <f>IF(G6&lt;&gt;"-",HLOOKUP(G6,Zuwend,51,FALSE),"-")</f>
        <v>2.98E-2</v>
      </c>
      <c r="H71" s="653"/>
      <c r="I71" s="692">
        <f>IF(I6&lt;&gt;"-",HLOOKUP(I6,Zuwend,51,FALSE),"-")</f>
        <v>2.98E-2</v>
      </c>
      <c r="J71" s="653"/>
      <c r="K71" s="692">
        <f>IF(K6&lt;&gt;"-",HLOOKUP(K6,Zuwend,51,FALSE),"-")</f>
        <v>2.86E-2</v>
      </c>
      <c r="L71" s="653"/>
      <c r="M71" s="72"/>
    </row>
    <row r="72" spans="1:13" s="71" customFormat="1" ht="21" customHeight="1" thickBot="1" x14ac:dyDescent="0.4">
      <c r="A72" s="424" t="s">
        <v>767</v>
      </c>
      <c r="B72" s="426" t="s">
        <v>456</v>
      </c>
      <c r="C72" s="693">
        <f>IF(C6&lt;&gt;"-",HLOOKUP(C6,Grund_zins,2,FALSE),"-")</f>
        <v>3.5000000000000003E-2</v>
      </c>
      <c r="D72" s="694"/>
      <c r="E72" s="693">
        <f>IF(E6&lt;&gt;"-",HLOOKUP(E6,Grund_zins,2,FALSE),"-")</f>
        <v>3.5000000000000003E-2</v>
      </c>
      <c r="F72" s="694"/>
      <c r="G72" s="693">
        <f>IF(G6&lt;&gt;"-",HLOOKUP(G6,Grund_zins,2,FALSE),"-")</f>
        <v>3.5000000000000003E-2</v>
      </c>
      <c r="H72" s="694"/>
      <c r="I72" s="693">
        <f>IF(I6&lt;&gt;"-",HLOOKUP(I6,Grund_zins,2,FALSE),"-")</f>
        <v>3.5000000000000003E-2</v>
      </c>
      <c r="J72" s="694"/>
      <c r="K72" s="693">
        <f>IF(K6&lt;&gt;"-",HLOOKUP(K6,Grund_zins,2,FALSE),"-")</f>
        <v>3.5000000000000003E-2</v>
      </c>
      <c r="L72" s="694"/>
      <c r="M72" s="72"/>
    </row>
    <row r="73" spans="1:13" s="73" customFormat="1" ht="6.75" customHeight="1" x14ac:dyDescent="0.35">
      <c r="A73" s="416"/>
      <c r="B73" s="416"/>
      <c r="C73" s="416"/>
      <c r="D73" s="416"/>
      <c r="E73" s="416"/>
      <c r="F73" s="416"/>
      <c r="G73" s="416"/>
      <c r="H73" s="416"/>
      <c r="I73" s="416"/>
      <c r="J73" s="416"/>
      <c r="K73" s="416"/>
      <c r="L73" s="430"/>
    </row>
    <row r="74" spans="1:13" s="71" customFormat="1" ht="40.5" customHeight="1" x14ac:dyDescent="0.35">
      <c r="A74" s="419" t="s">
        <v>768</v>
      </c>
      <c r="B74" s="687" t="str">
        <f>IF(OR(C75&lt;&gt;"-",E75&lt;&gt;"-"),"Berechnung der endgültigen Rücklagenzuführungen aus Abschreibungen vom zuwendungsfinanzierten Anlagevermögen aufgrund der Nachkalkulation "&amp;MIN(C6:L6)&amp;" bis "&amp;MAX(C6:L6),"Keine Rücklagenzuführungen aus Abschreibungen vom zuwendungsfinanzierten Anlagevermögen ")</f>
        <v>Berechnung der endgültigen Rücklagenzuführungen aus Abschreibungen vom zuwendungsfinanzierten Anlagevermögen aufgrund der Nachkalkulation 2012 bis 2016</v>
      </c>
      <c r="C74" s="688"/>
      <c r="D74" s="688"/>
      <c r="E74" s="688"/>
      <c r="F74" s="688"/>
      <c r="G74" s="688"/>
      <c r="H74" s="688"/>
      <c r="I74" s="688"/>
      <c r="J74" s="688"/>
      <c r="K74" s="688"/>
      <c r="L74" s="689"/>
      <c r="M74" s="72"/>
    </row>
    <row r="75" spans="1:13" s="71" customFormat="1" ht="45" customHeight="1" x14ac:dyDescent="0.35">
      <c r="A75" s="448" t="s">
        <v>775</v>
      </c>
      <c r="B75" s="473" t="s">
        <v>941</v>
      </c>
      <c r="C75" s="690">
        <f>IF(C6="-","-", IF(Grunddaten!$D$13=2,C6,"-"))</f>
        <v>2012</v>
      </c>
      <c r="D75" s="691"/>
      <c r="E75" s="690">
        <f>IF(E6="-","-", IF(Grunddaten!$E$13=2,E6,"-"))</f>
        <v>2013</v>
      </c>
      <c r="F75" s="691"/>
      <c r="G75" s="690">
        <f>IF(G6="-","-", IF(Grunddaten!$E$13=2,G6,"-"))</f>
        <v>2014</v>
      </c>
      <c r="H75" s="691"/>
      <c r="I75" s="690">
        <f>IF(I6="-","-",  IF(Grunddaten!$E$13=2,I6,"-"))</f>
        <v>2015</v>
      </c>
      <c r="J75" s="691"/>
      <c r="K75" s="690">
        <f>IF(K6="-","-",  IF(Grunddaten!$E$13=2,K6,"-"))</f>
        <v>2016</v>
      </c>
      <c r="L75" s="691"/>
    </row>
    <row r="76" spans="1:13" s="71" customFormat="1" ht="21" customHeight="1" x14ac:dyDescent="0.35">
      <c r="A76" s="97" t="s">
        <v>769</v>
      </c>
      <c r="B76" s="450" t="s">
        <v>474</v>
      </c>
      <c r="C76" s="67" t="str">
        <f>IF(C75="-","-", IF(Grunddaten!$D$13=2,"SW","-"))</f>
        <v>SW</v>
      </c>
      <c r="D76" s="68" t="str">
        <f>IF(C75="-","-", IF(Grunddaten!$D$13=2,"RW-GrSt","-"))</f>
        <v>RW-GrSt</v>
      </c>
      <c r="E76" s="67" t="str">
        <f>IF(E75="-","-", IF(Grunddaten!$E$13=2,"SW","-"))</f>
        <v>SW</v>
      </c>
      <c r="F76" s="68" t="str">
        <f>IF(E75="-","-", IF(Grunddaten!$E$13=2,"RW-GrSt","-"))</f>
        <v>RW-GrSt</v>
      </c>
      <c r="G76" s="67" t="str">
        <f>IF(G75="-","-", IF(Grunddaten!$E$13=2,"SW","-"))</f>
        <v>SW</v>
      </c>
      <c r="H76" s="68" t="str">
        <f>IF(G75="-","-", IF(Grunddaten!$E$13=2,"RW-GrSt","-"))</f>
        <v>RW-GrSt</v>
      </c>
      <c r="I76" s="67" t="str">
        <f>IF(I75="-","-", IF(Grunddaten!$E$13=2,"SW","-"))</f>
        <v>SW</v>
      </c>
      <c r="J76" s="68" t="str">
        <f>IF(I75="-","-", IF(Grunddaten!$E$13=2,"RW-GrSt","-"))</f>
        <v>RW-GrSt</v>
      </c>
      <c r="K76" s="67" t="str">
        <f>IF(K75="-","-", IF(Grunddaten!$E$13=2,"SW","-"))</f>
        <v>SW</v>
      </c>
      <c r="L76" s="68" t="str">
        <f>IF(K75="-","-", IF(Grunddaten!$E$13=2,"RW-GrSt","-"))</f>
        <v>RW-GrSt</v>
      </c>
    </row>
    <row r="77" spans="1:13" s="71" customFormat="1" ht="30" customHeight="1" x14ac:dyDescent="0.35">
      <c r="A77" s="419" t="s">
        <v>770</v>
      </c>
      <c r="B77" s="450" t="s">
        <v>959</v>
      </c>
      <c r="C77" s="400">
        <f>IF(C75="-","-", IF(Grunddaten!$D$13=2,HLOOKUP(C75,Zuwend,62,FALSE),"-"))</f>
        <v>143626.57999999999</v>
      </c>
      <c r="D77" s="69">
        <f>IF(C75="-","-", IF(Grunddaten!$D$13=2,HLOOKUP(C75,Zuwend,63,FALSE),"-"))</f>
        <v>55453.42</v>
      </c>
      <c r="E77" s="400">
        <f>IF(E75="-","-", IF(Grunddaten!$E$13=2,HLOOKUP(E75,Zuwend,62,FALSE),"-"))</f>
        <v>142623.67999999999</v>
      </c>
      <c r="F77" s="69">
        <f>IF(E75="-","-", IF(Grunddaten!$E$13=2,HLOOKUP(E75,Zuwend,63,FALSE),"-"))</f>
        <v>54456.32</v>
      </c>
      <c r="G77" s="400">
        <f>IF(G75="-","-", IF(Grunddaten!$E$13=2,HLOOKUP(G75,Zuwend,62,FALSE),"-"))</f>
        <v>141628.51</v>
      </c>
      <c r="H77" s="69">
        <f>IF(G75="-","-", IF(Grunddaten!$E$13=2,HLOOKUP(G75,Zuwend,63,FALSE),"-"))</f>
        <v>53451.49</v>
      </c>
      <c r="I77" s="400">
        <f>IF(I75="-","-", IF(Grunddaten!$E$13=2,HLOOKUP(I75,Zuwend,62,FALSE),"-"))</f>
        <v>141633.89000000001</v>
      </c>
      <c r="J77" s="69">
        <f>IF(I75="-","-", IF(Grunddaten!$E$13=2,HLOOKUP(I75,Zuwend,63,FALSE),"-"))</f>
        <v>53446.11</v>
      </c>
      <c r="K77" s="400">
        <f>IF(K75="-","-", IF(Grunddaten!$E$13=2,HLOOKUP(K75,Zuwend,62,FALSE),"-"))</f>
        <v>115684.08</v>
      </c>
      <c r="L77" s="69">
        <f>IF(K75="-","-", IF(Grunddaten!$E$13=2,HLOOKUP(K75,Zuwend,63,FALSE),"-"))</f>
        <v>51378.42</v>
      </c>
    </row>
    <row r="78" spans="1:13" s="71" customFormat="1" ht="21" customHeight="1" x14ac:dyDescent="0.35">
      <c r="A78" s="419" t="s">
        <v>771</v>
      </c>
      <c r="B78" s="450" t="s">
        <v>475</v>
      </c>
      <c r="C78" s="400">
        <f>IF(C75="-","-", IF(Grunddaten!$D$13=2,HLOOKUP(C75,Zuwend,66,FALSE),"-"))</f>
        <v>143626.57999999999</v>
      </c>
      <c r="D78" s="69">
        <f>IF(C75="-","-", IF(Grunddaten!$D$13=2,HLOOKUP(C75,Zuwend,67,FALSE),"-"))</f>
        <v>55453.42</v>
      </c>
      <c r="E78" s="400">
        <f>IF(E75="-","-", IF(Grunddaten!$E$13=2,HLOOKUP(E75,Zuwend,66,FALSE),"-"))</f>
        <v>142623.67999999999</v>
      </c>
      <c r="F78" s="69">
        <f>IF(E75="-","-", IF(Grunddaten!$E$13=2,HLOOKUP(E75,Zuwend,67,FALSE),"-"))</f>
        <v>54456.32</v>
      </c>
      <c r="G78" s="400">
        <f>IF(G75="-","-", IF(Grunddaten!$E$13=2,HLOOKUP(G75,Zuwend,66,FALSE),"-"))</f>
        <v>141628.51</v>
      </c>
      <c r="H78" s="69">
        <f>IF(G75="-","-", IF(Grunddaten!$E$13=2,HLOOKUP(G75,Zuwend,67,FALSE),"-"))</f>
        <v>53451.49</v>
      </c>
      <c r="I78" s="400">
        <f>IF(I75="-","-", IF(Grunddaten!$E$13=2,HLOOKUP(I75,Zuwend,66,FALSE),"-"))</f>
        <v>141633.89000000001</v>
      </c>
      <c r="J78" s="69">
        <f>IF(I75="-","-", IF(Grunddaten!$E$13=2,HLOOKUP(I75,Zuwend,67,FALSE),"-"))</f>
        <v>53446.11</v>
      </c>
      <c r="K78" s="400">
        <f>IF(K75="-","-", IF(Grunddaten!$E$13=2,HLOOKUP(K75,Zuwend,66,FALSE),"-"))</f>
        <v>115684.08</v>
      </c>
      <c r="L78" s="69">
        <f>IF(K75="-","-", IF(Grunddaten!$E$13=2,HLOOKUP(K75,Zuwend,67,FALSE),"-"))</f>
        <v>51378.42</v>
      </c>
    </row>
    <row r="79" spans="1:13" s="71" customFormat="1" ht="21" customHeight="1" x14ac:dyDescent="0.35">
      <c r="A79" s="419" t="s">
        <v>772</v>
      </c>
      <c r="B79" s="450" t="str">
        <f>"Bereits zugeführte Rücklage im Jahr "&amp;C75</f>
        <v>Bereits zugeführte Rücklage im Jahr 2012</v>
      </c>
      <c r="C79" s="695">
        <f>IF(C75="-","-", IF(Grunddaten!$D$13=2,Grunddaten!D103,"-"))</f>
        <v>0</v>
      </c>
      <c r="D79" s="614"/>
      <c r="E79" s="397"/>
      <c r="F79" s="398"/>
      <c r="G79" s="397"/>
      <c r="H79" s="398"/>
      <c r="I79" s="397"/>
      <c r="J79" s="398"/>
      <c r="K79" s="397"/>
      <c r="L79" s="398"/>
      <c r="M79" s="72"/>
    </row>
    <row r="80" spans="1:13" s="71" customFormat="1" ht="45" customHeight="1" x14ac:dyDescent="0.35">
      <c r="A80" s="419" t="s">
        <v>773</v>
      </c>
      <c r="B80" s="450" t="s">
        <v>960</v>
      </c>
      <c r="C80" s="686">
        <f>IF(C75="-","-", IF(Grunddaten!$D$13=2,SUM(C78,D78,-C79),"-"))</f>
        <v>199080</v>
      </c>
      <c r="D80" s="625"/>
      <c r="E80" s="686">
        <f>IF(E75="-","-", IF(Grunddaten!$E$13=2,SUM(E78,F78,-E79),"-"))</f>
        <v>197080</v>
      </c>
      <c r="F80" s="625"/>
      <c r="G80" s="686">
        <f>IF(G75="-","-", IF(Grunddaten!$E$13=2,SUM(G78,H78,-G79),"-"))</f>
        <v>195080</v>
      </c>
      <c r="H80" s="625"/>
      <c r="I80" s="686">
        <f>IF(I75="-","-", IF(Grunddaten!$E$13=2,SUM(I78,J78,-I79),"-"))</f>
        <v>195080</v>
      </c>
      <c r="J80" s="625"/>
      <c r="K80" s="686">
        <f>IF(K75="-","-", IF(Grunddaten!$E$13=2,SUM(K78,L78,-K79),"-"))</f>
        <v>167062.5</v>
      </c>
      <c r="L80" s="625"/>
    </row>
    <row r="81" spans="1:12" s="71" customFormat="1" ht="47.25" customHeight="1" thickBot="1" x14ac:dyDescent="0.4">
      <c r="A81" s="419" t="s">
        <v>774</v>
      </c>
      <c r="B81" s="451" t="s">
        <v>958</v>
      </c>
      <c r="C81" s="682">
        <f>IF(SUM(C80,E80,G80,I80,K80)&lt;&gt;0,SUM(C80,E80,G80,I80,K80),"-")</f>
        <v>953382.5</v>
      </c>
      <c r="D81" s="683"/>
      <c r="E81" s="683"/>
      <c r="F81" s="683"/>
      <c r="G81" s="683"/>
      <c r="H81" s="683"/>
      <c r="I81" s="683"/>
      <c r="J81" s="683"/>
      <c r="K81" s="684"/>
      <c r="L81" s="685"/>
    </row>
  </sheetData>
  <mergeCells count="149">
    <mergeCell ref="C81:L81"/>
    <mergeCell ref="K80:L80"/>
    <mergeCell ref="B74:L74"/>
    <mergeCell ref="C75:D75"/>
    <mergeCell ref="E75:F75"/>
    <mergeCell ref="G75:H75"/>
    <mergeCell ref="I75:J75"/>
    <mergeCell ref="K75:L75"/>
    <mergeCell ref="C71:D71"/>
    <mergeCell ref="E71:F71"/>
    <mergeCell ref="G71:H71"/>
    <mergeCell ref="I71:J71"/>
    <mergeCell ref="K71:L71"/>
    <mergeCell ref="C72:D72"/>
    <mergeCell ref="E72:F72"/>
    <mergeCell ref="G72:H72"/>
    <mergeCell ref="I72:J72"/>
    <mergeCell ref="K72:L72"/>
    <mergeCell ref="C79:D79"/>
    <mergeCell ref="C80:D80"/>
    <mergeCell ref="E80:F80"/>
    <mergeCell ref="G80:H80"/>
    <mergeCell ref="I80:J80"/>
    <mergeCell ref="C69:D69"/>
    <mergeCell ref="E69:F69"/>
    <mergeCell ref="G69:H69"/>
    <mergeCell ref="I69:J69"/>
    <mergeCell ref="K69:L69"/>
    <mergeCell ref="C70:D70"/>
    <mergeCell ref="E70:F70"/>
    <mergeCell ref="G70:H70"/>
    <mergeCell ref="I70:J70"/>
    <mergeCell ref="K70:L70"/>
    <mergeCell ref="C67:D67"/>
    <mergeCell ref="E67:F67"/>
    <mergeCell ref="G67:H67"/>
    <mergeCell ref="I67:J67"/>
    <mergeCell ref="K67:L67"/>
    <mergeCell ref="C68:D68"/>
    <mergeCell ref="E68:F68"/>
    <mergeCell ref="G68:H68"/>
    <mergeCell ref="I68:J68"/>
    <mergeCell ref="K68:L68"/>
    <mergeCell ref="C65:D65"/>
    <mergeCell ref="E65:F65"/>
    <mergeCell ref="G65:H65"/>
    <mergeCell ref="I65:J65"/>
    <mergeCell ref="K65:L65"/>
    <mergeCell ref="C66:D66"/>
    <mergeCell ref="E66:F66"/>
    <mergeCell ref="G66:H66"/>
    <mergeCell ref="I66:J66"/>
    <mergeCell ref="K66:L66"/>
    <mergeCell ref="C63:D63"/>
    <mergeCell ref="E63:F63"/>
    <mergeCell ref="G63:H63"/>
    <mergeCell ref="I63:J63"/>
    <mergeCell ref="K63:L63"/>
    <mergeCell ref="C64:D64"/>
    <mergeCell ref="E64:F64"/>
    <mergeCell ref="G64:H64"/>
    <mergeCell ref="I64:J64"/>
    <mergeCell ref="K64:L64"/>
    <mergeCell ref="C57:L57"/>
    <mergeCell ref="C58:L58"/>
    <mergeCell ref="B59:L59"/>
    <mergeCell ref="B61:J61"/>
    <mergeCell ref="C62:D62"/>
    <mergeCell ref="E62:F62"/>
    <mergeCell ref="G62:H62"/>
    <mergeCell ref="I62:J62"/>
    <mergeCell ref="K62:L62"/>
    <mergeCell ref="B51:J51"/>
    <mergeCell ref="K51:L51"/>
    <mergeCell ref="B53:L53"/>
    <mergeCell ref="C54:D54"/>
    <mergeCell ref="E54:F54"/>
    <mergeCell ref="G54:H54"/>
    <mergeCell ref="I54:J54"/>
    <mergeCell ref="K54:L54"/>
    <mergeCell ref="C48:D48"/>
    <mergeCell ref="E48:F48"/>
    <mergeCell ref="G48:H48"/>
    <mergeCell ref="I48:J48"/>
    <mergeCell ref="K48:L48"/>
    <mergeCell ref="C49:D49"/>
    <mergeCell ref="E49:F49"/>
    <mergeCell ref="G49:H49"/>
    <mergeCell ref="I49:J49"/>
    <mergeCell ref="K49:L49"/>
    <mergeCell ref="C47:D47"/>
    <mergeCell ref="C44:D44"/>
    <mergeCell ref="E44:F44"/>
    <mergeCell ref="G44:H44"/>
    <mergeCell ref="I44:J44"/>
    <mergeCell ref="K44:L44"/>
    <mergeCell ref="C45:D45"/>
    <mergeCell ref="E45:F45"/>
    <mergeCell ref="G45:H45"/>
    <mergeCell ref="I45:J45"/>
    <mergeCell ref="K45:L45"/>
    <mergeCell ref="C43:D43"/>
    <mergeCell ref="E43:F43"/>
    <mergeCell ref="G43:H43"/>
    <mergeCell ref="I43:J43"/>
    <mergeCell ref="K43:L43"/>
    <mergeCell ref="C46:D46"/>
    <mergeCell ref="E46:F46"/>
    <mergeCell ref="G46:H46"/>
    <mergeCell ref="I46:J46"/>
    <mergeCell ref="K46:L46"/>
    <mergeCell ref="E28:F28"/>
    <mergeCell ref="G28:H28"/>
    <mergeCell ref="I28:J28"/>
    <mergeCell ref="K28:L28"/>
    <mergeCell ref="C42:D42"/>
    <mergeCell ref="E42:F42"/>
    <mergeCell ref="G42:H42"/>
    <mergeCell ref="I42:J42"/>
    <mergeCell ref="K42:L42"/>
    <mergeCell ref="C41:D41"/>
    <mergeCell ref="E41:F41"/>
    <mergeCell ref="G41:H41"/>
    <mergeCell ref="I41:J41"/>
    <mergeCell ref="K41:L41"/>
    <mergeCell ref="A27:A29"/>
    <mergeCell ref="A39:A41"/>
    <mergeCell ref="A1:L1"/>
    <mergeCell ref="A2:L2"/>
    <mergeCell ref="A3:L3"/>
    <mergeCell ref="A4:L4"/>
    <mergeCell ref="A5:A7"/>
    <mergeCell ref="B5:B7"/>
    <mergeCell ref="C5:L5"/>
    <mergeCell ref="C6:D6"/>
    <mergeCell ref="E6:F6"/>
    <mergeCell ref="G6:H6"/>
    <mergeCell ref="C36:D36"/>
    <mergeCell ref="B39:L39"/>
    <mergeCell ref="C40:D40"/>
    <mergeCell ref="E40:F40"/>
    <mergeCell ref="G40:H40"/>
    <mergeCell ref="I40:J40"/>
    <mergeCell ref="K40:L40"/>
    <mergeCell ref="I6:J6"/>
    <mergeCell ref="K6:L6"/>
    <mergeCell ref="C8:D8"/>
    <mergeCell ref="B27:L27"/>
    <mergeCell ref="C28:D28"/>
  </mergeCells>
  <printOptions gridLines="1"/>
  <pageMargins left="0.19685039370078741" right="0.19685039370078741" top="0.39370078740157483" bottom="0.39370078740157483" header="0.11811023622047245" footer="0.11811023622047245"/>
  <pageSetup paperSize="9" scale="85" fitToHeight="0" orientation="landscape" r:id="rId1"/>
  <headerFooter>
    <oddFooter>&amp;L&amp;6
Verfasser: Josef Beer
Geschützt (§ 69a UrhG)</oddFooter>
  </headerFooter>
  <rowBreaks count="3" manualBreakCount="3">
    <brk id="26" max="16383" man="1"/>
    <brk id="52" max="16383" man="1"/>
    <brk id="7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workbookViewId="0">
      <selection activeCell="D5" sqref="D5"/>
    </sheetView>
  </sheetViews>
  <sheetFormatPr baseColWidth="10" defaultColWidth="11.453125" defaultRowHeight="14.5" x14ac:dyDescent="0.35"/>
  <cols>
    <col min="1" max="1" width="30.54296875" style="71" customWidth="1"/>
    <col min="2" max="5" width="11.7265625" style="71" customWidth="1"/>
    <col min="6" max="6" width="12.81640625" style="71" customWidth="1"/>
    <col min="7" max="7" width="28.54296875" style="71" customWidth="1"/>
    <col min="8" max="12" width="11.7265625" style="71" customWidth="1"/>
    <col min="13" max="16384" width="11.453125" style="10"/>
  </cols>
  <sheetData>
    <row r="1" spans="1:12" s="71" customFormat="1" ht="22.5" customHeight="1" x14ac:dyDescent="0.35">
      <c r="A1" s="617" t="str">
        <f>Grunddaten!A1 &amp; "   " &amp; Grunddaten!A2</f>
        <v>Gemeinde A   Abwasserbeseitigungseinrichtung</v>
      </c>
      <c r="B1" s="617"/>
      <c r="C1" s="617"/>
      <c r="D1" s="617"/>
      <c r="E1" s="617"/>
      <c r="F1" s="617"/>
      <c r="G1" s="1045"/>
      <c r="H1" s="1045"/>
      <c r="I1" s="1045"/>
      <c r="J1" s="1045"/>
      <c r="K1" s="1045"/>
      <c r="L1" s="1045"/>
    </row>
    <row r="2" spans="1:12" s="71" customFormat="1" ht="24" customHeight="1" x14ac:dyDescent="0.35">
      <c r="A2" s="1046" t="s">
        <v>498</v>
      </c>
      <c r="B2" s="1047"/>
      <c r="C2" s="1047"/>
      <c r="D2" s="1047"/>
      <c r="E2" s="1047"/>
      <c r="F2" s="1048"/>
      <c r="G2" s="1046" t="s">
        <v>498</v>
      </c>
      <c r="H2" s="1047"/>
      <c r="I2" s="1047"/>
      <c r="J2" s="1047"/>
      <c r="K2" s="1047"/>
      <c r="L2" s="1047"/>
    </row>
    <row r="3" spans="1:12" s="71" customFormat="1" ht="35.25" customHeight="1" x14ac:dyDescent="0.35">
      <c r="A3" s="688" t="s">
        <v>831</v>
      </c>
      <c r="B3" s="688"/>
      <c r="C3" s="688"/>
      <c r="D3" s="688"/>
      <c r="E3" s="688"/>
      <c r="F3" s="1037"/>
      <c r="G3" s="688" t="s">
        <v>832</v>
      </c>
      <c r="H3" s="688"/>
      <c r="I3" s="688"/>
      <c r="J3" s="688"/>
      <c r="K3" s="688"/>
      <c r="L3" s="688"/>
    </row>
    <row r="4" spans="1:12" s="71" customFormat="1" ht="15" thickBot="1" x14ac:dyDescent="0.4">
      <c r="A4" s="334" t="s">
        <v>499</v>
      </c>
      <c r="B4" s="335">
        <f>Nachkalkulation!$C$6</f>
        <v>2012</v>
      </c>
      <c r="C4" s="335">
        <f>Nachkalkulation!$E$6</f>
        <v>2013</v>
      </c>
      <c r="D4" s="335">
        <f>Nachkalkulation!$G$6</f>
        <v>2014</v>
      </c>
      <c r="E4" s="335">
        <f>Nachkalkulation!$I$6</f>
        <v>2015</v>
      </c>
      <c r="F4" s="336">
        <f>Nachkalkulation!$K$6</f>
        <v>2016</v>
      </c>
      <c r="G4" s="337" t="s">
        <v>499</v>
      </c>
      <c r="H4" s="335">
        <f>Nachkalkulation!$C$6</f>
        <v>2012</v>
      </c>
      <c r="I4" s="335">
        <f>Nachkalkulation!$E$6</f>
        <v>2013</v>
      </c>
      <c r="J4" s="335">
        <f>Nachkalkulation!$G$6</f>
        <v>2014</v>
      </c>
      <c r="K4" s="335">
        <f>Nachkalkulation!$I$6</f>
        <v>2015</v>
      </c>
      <c r="L4" s="336">
        <f>Nachkalkulation!$K$6</f>
        <v>2016</v>
      </c>
    </row>
    <row r="5" spans="1:12" s="71" customFormat="1" ht="29" x14ac:dyDescent="0.35">
      <c r="A5" s="338" t="s">
        <v>500</v>
      </c>
      <c r="B5" s="339">
        <f>IF(AND(Grunddaten!$D$17=2,B4&lt;&gt;"-"),HLOOKUP(B4,Grund_ue_u,5,FALSE),0)</f>
        <v>0</v>
      </c>
      <c r="C5" s="339">
        <f>IF(AND(Grunddaten!$D$17=2,C4&lt;&gt;"-"),HLOOKUP(C4,Grund_ue_u,5,FALSE),0)</f>
        <v>0</v>
      </c>
      <c r="D5" s="339">
        <f>IF(AND(Grunddaten!$D$17=2,D4&lt;&gt;"-"),HLOOKUP(D4,Grund_ue_u,5,FALSE),0)</f>
        <v>0</v>
      </c>
      <c r="E5" s="339">
        <f>IF(AND(Grunddaten!$D$17=2,E4&lt;&gt;"-"),HLOOKUP(E4,Grund_ue_u,5,FALSE),0)</f>
        <v>0</v>
      </c>
      <c r="F5" s="339">
        <f>IF(AND(Grunddaten!$D$17=2,F4&lt;&gt;"-"),HLOOKUP(F4,Grund_ue_u,5,FALSE),0)</f>
        <v>0</v>
      </c>
      <c r="G5" s="340" t="s">
        <v>500</v>
      </c>
      <c r="H5" s="339">
        <f>IF(AND(Grunddaten!$D$17=2,H4&lt;&gt;"-"),HLOOKUP(H4,Grund_ue_u,6,FALSE),0)</f>
        <v>0</v>
      </c>
      <c r="I5" s="339">
        <f>IF(AND(Grunddaten!$D$17=2,I4&lt;&gt;"-"),HLOOKUP(I4,Grund_ue_u,6,FALSE),0)</f>
        <v>0</v>
      </c>
      <c r="J5" s="339">
        <f>IF(AND(Grunddaten!$D$17=2,J4&lt;&gt;"-"),HLOOKUP(J4,Grund_ue_u,6,FALSE),0)</f>
        <v>0</v>
      </c>
      <c r="K5" s="339">
        <f>IF(AND(Grunddaten!$D$17=2,K4&lt;&gt;"-"),HLOOKUP(K4,Grund_ue_u,6,FALSE),0)</f>
        <v>0</v>
      </c>
      <c r="L5" s="352">
        <f>IF(AND(Grunddaten!$D$17=2,L4&lt;&gt;"-"),HLOOKUP(L4,Grund_ue_u,6,FALSE),0)</f>
        <v>0</v>
      </c>
    </row>
    <row r="6" spans="1:12" s="71" customFormat="1" x14ac:dyDescent="0.35">
      <c r="A6" s="124" t="s">
        <v>487</v>
      </c>
      <c r="B6" s="341">
        <f>IF(B4&lt;&gt;"-",HLOOKUP(B4,Grund_zins,3,FALSE),0)</f>
        <v>2.2499999999999999E-2</v>
      </c>
      <c r="C6" s="341">
        <f>IF(C4&lt;&gt;"-",HLOOKUP(C4,Grund_zins,3,FALSE),0)</f>
        <v>2.2499999999999999E-2</v>
      </c>
      <c r="D6" s="341">
        <f>IF(D4&lt;&gt;"-",HLOOKUP(D4,Grund_zins,3,FALSE),0)</f>
        <v>2.2499999999999999E-2</v>
      </c>
      <c r="E6" s="341">
        <f>IF(E4&lt;&gt;"-",HLOOKUP(E4,Grund_zins,3,FALSE),0)</f>
        <v>2.2499999999999999E-2</v>
      </c>
      <c r="F6" s="342">
        <f>IF(F4&lt;&gt;"-",HLOOKUP(F4,Grund_zins,3,FALSE),0)</f>
        <v>2.2499999999999999E-2</v>
      </c>
      <c r="G6" s="282" t="s">
        <v>487</v>
      </c>
      <c r="H6" s="341">
        <f>IF(H4&lt;&gt;"-",HLOOKUP(H4,Grund_zins,3,FALSE),0)</f>
        <v>2.2499999999999999E-2</v>
      </c>
      <c r="I6" s="341">
        <f>IF(I4&lt;&gt;"-",HLOOKUP(I4,Grund_zins,3,FALSE),0)</f>
        <v>2.2499999999999999E-2</v>
      </c>
      <c r="J6" s="341">
        <f>IF(J4&lt;&gt;"-",HLOOKUP(J4,Grund_zins,3,FALSE),0)</f>
        <v>2.2499999999999999E-2</v>
      </c>
      <c r="K6" s="341">
        <f>IF(K4&lt;&gt;"-",HLOOKUP(K4,Grund_zins,3,FALSE),0)</f>
        <v>2.2499999999999999E-2</v>
      </c>
      <c r="L6" s="342">
        <f>IF(L4&lt;&gt;"-",HLOOKUP(L4,Grund_zins,3,FALSE),0)</f>
        <v>2.2499999999999999E-2</v>
      </c>
    </row>
    <row r="7" spans="1:12" s="71" customFormat="1" ht="25.5" customHeight="1" x14ac:dyDescent="0.35">
      <c r="A7" s="343" t="s">
        <v>835</v>
      </c>
      <c r="B7" s="502"/>
      <c r="C7" s="501">
        <f>IF(C4&lt;&gt;"-",B10,0)</f>
        <v>0</v>
      </c>
      <c r="D7" s="501">
        <f>IF(D4&lt;&gt;"-",C10,0)</f>
        <v>0</v>
      </c>
      <c r="E7" s="501">
        <f>IF(E4&lt;&gt;"-",D10,0)</f>
        <v>0</v>
      </c>
      <c r="F7" s="281">
        <f>IF(F4&lt;&gt;"-",E10,0)</f>
        <v>0</v>
      </c>
      <c r="G7" s="344" t="s">
        <v>835</v>
      </c>
      <c r="H7" s="502"/>
      <c r="I7" s="501">
        <f>IF(I4&lt;&gt;"-",H10,0)</f>
        <v>0</v>
      </c>
      <c r="J7" s="501">
        <f>IF(J4&lt;&gt;"-",I10,0)</f>
        <v>0</v>
      </c>
      <c r="K7" s="501">
        <f>IF(K4&lt;&gt;"-",J10,0)</f>
        <v>0</v>
      </c>
      <c r="L7" s="281">
        <f>IF(L4&lt;&gt;"-",K10,0)</f>
        <v>0</v>
      </c>
    </row>
    <row r="8" spans="1:12" s="71" customFormat="1" ht="29" x14ac:dyDescent="0.35">
      <c r="A8" s="343" t="s">
        <v>501</v>
      </c>
      <c r="B8" s="501">
        <f>IF(B4&lt;&gt;"-",ROUND(B5*0.5,2)+B7,0)</f>
        <v>0</v>
      </c>
      <c r="C8" s="501">
        <f>IF(C4&lt;&gt;"-",ROUND(C5*0.5,2)+C7,0)</f>
        <v>0</v>
      </c>
      <c r="D8" s="501">
        <f>IF(D4&lt;&gt;"-",ROUND(D5*0.5,2)+D7,0)</f>
        <v>0</v>
      </c>
      <c r="E8" s="501">
        <f>IF(E4&lt;&gt;"-",ROUND(E5*0.5,2)+E7,0)</f>
        <v>0</v>
      </c>
      <c r="F8" s="281">
        <f>IF(F4&lt;&gt;"-",ROUND(F5*0.5,2)+F7,0)</f>
        <v>0</v>
      </c>
      <c r="G8" s="344" t="s">
        <v>501</v>
      </c>
      <c r="H8" s="501">
        <f>IF(H4&lt;&gt;"-",ROUND(H5*0.5,2)+H7,0)</f>
        <v>0</v>
      </c>
      <c r="I8" s="501">
        <f>IF(I4&lt;&gt;"-",ROUND(I5*0.5,2)+I7,0)</f>
        <v>0</v>
      </c>
      <c r="J8" s="501">
        <f>IF(J4&lt;&gt;"-",ROUND(J5*0.5,2)+J7,0)</f>
        <v>0</v>
      </c>
      <c r="K8" s="501">
        <f>IF(K4&lt;&gt;"-",ROUND(K5*0.5,2)+K7,0)</f>
        <v>0</v>
      </c>
      <c r="L8" s="281">
        <f>IF(L4&lt;&gt;"-",ROUND(L5*0.5,2)+L7,0)</f>
        <v>0</v>
      </c>
    </row>
    <row r="9" spans="1:12" s="71" customFormat="1" x14ac:dyDescent="0.35">
      <c r="A9" s="124" t="s">
        <v>502</v>
      </c>
      <c r="B9" s="501">
        <f>IF(B4&lt;&gt;"-",ROUND(B8*B6,2),0)</f>
        <v>0</v>
      </c>
      <c r="C9" s="501">
        <f>IF(C4&lt;&gt;"-",ROUND(C8*C6,2),0)</f>
        <v>0</v>
      </c>
      <c r="D9" s="501">
        <f>IF(D4&lt;&gt;"-",ROUND(D8*D6,2),0)</f>
        <v>0</v>
      </c>
      <c r="E9" s="501">
        <f>IF(E4&lt;&gt;"-",ROUND(E8*E6,2),0)</f>
        <v>0</v>
      </c>
      <c r="F9" s="281">
        <f>IF(F4&lt;&gt;"-",ROUND(F8*F6,2),0)</f>
        <v>0</v>
      </c>
      <c r="G9" s="282" t="s">
        <v>502</v>
      </c>
      <c r="H9" s="501">
        <f>IF(H4&lt;&gt;"-",ROUND(H8*H6,2),0)</f>
        <v>0</v>
      </c>
      <c r="I9" s="501">
        <f>IF(I4&lt;&gt;"-",ROUND(I8*I6,2),0)</f>
        <v>0</v>
      </c>
      <c r="J9" s="501">
        <f>IF(J4&lt;&gt;"-",ROUND(J8*J6,2),0)</f>
        <v>0</v>
      </c>
      <c r="K9" s="501">
        <f>IF(K4&lt;&gt;"-",ROUND(K8*K6,2),0)</f>
        <v>0</v>
      </c>
      <c r="L9" s="281">
        <f>IF(L4&lt;&gt;"-",ROUND(L8*L6,2),0)</f>
        <v>0</v>
      </c>
    </row>
    <row r="10" spans="1:12" s="71" customFormat="1" x14ac:dyDescent="0.35">
      <c r="A10" s="124" t="s">
        <v>503</v>
      </c>
      <c r="B10" s="501">
        <f>IF(B4&lt;&gt;"-",B5+B7+B9,0)</f>
        <v>0</v>
      </c>
      <c r="C10" s="501">
        <f>IF(C4&lt;&gt;"-",C5+C7+C9,0)</f>
        <v>0</v>
      </c>
      <c r="D10" s="501">
        <f>IF(D4&lt;&gt;"-",D5+D7+D9,0)</f>
        <v>0</v>
      </c>
      <c r="E10" s="501">
        <f>IF(E4&lt;&gt;"-",E5+E7+E9,0)</f>
        <v>0</v>
      </c>
      <c r="F10" s="281">
        <f>IF(F4&lt;&gt;"-",F5+F7+F9,0)</f>
        <v>0</v>
      </c>
      <c r="G10" s="282" t="s">
        <v>503</v>
      </c>
      <c r="H10" s="501">
        <f>IF(H4&lt;&gt;"-",H5+H7+H9,0)</f>
        <v>0</v>
      </c>
      <c r="I10" s="501">
        <f>IF(I4&lt;&gt;"-",I5+I7+I9,0)</f>
        <v>0</v>
      </c>
      <c r="J10" s="501">
        <f>IF(J4&lt;&gt;"-",J5+J7+J9,0)</f>
        <v>0</v>
      </c>
      <c r="K10" s="501">
        <f>IF(K4&lt;&gt;"-",K5+K7+K9,0)</f>
        <v>0</v>
      </c>
      <c r="L10" s="281">
        <f>IF(L4&lt;&gt;"-",L5+L7+L9,0)</f>
        <v>0</v>
      </c>
    </row>
    <row r="11" spans="1:12" s="71" customFormat="1" ht="29" x14ac:dyDescent="0.35">
      <c r="A11" s="124" t="s">
        <v>504</v>
      </c>
      <c r="B11" s="1020">
        <f>SUM(B5:F5)</f>
        <v>0</v>
      </c>
      <c r="C11" s="1038"/>
      <c r="D11" s="1038"/>
      <c r="E11" s="1038"/>
      <c r="F11" s="1039"/>
      <c r="G11" s="282" t="s">
        <v>504</v>
      </c>
      <c r="H11" s="1020">
        <f>SUM(H5:L5)</f>
        <v>0</v>
      </c>
      <c r="I11" s="1038"/>
      <c r="J11" s="1038"/>
      <c r="K11" s="1038"/>
      <c r="L11" s="1039"/>
    </row>
    <row r="12" spans="1:12" s="71" customFormat="1" x14ac:dyDescent="0.35">
      <c r="A12" s="124" t="s">
        <v>505</v>
      </c>
      <c r="B12" s="1020">
        <f>SUM(B9:F9)</f>
        <v>0</v>
      </c>
      <c r="C12" s="1038"/>
      <c r="D12" s="1038"/>
      <c r="E12" s="1038"/>
      <c r="F12" s="1039"/>
      <c r="G12" s="282" t="s">
        <v>505</v>
      </c>
      <c r="H12" s="1020">
        <f>SUM(H9:L9)</f>
        <v>0</v>
      </c>
      <c r="I12" s="1038"/>
      <c r="J12" s="1038"/>
      <c r="K12" s="1038"/>
      <c r="L12" s="1039"/>
    </row>
    <row r="13" spans="1:12" s="71" customFormat="1" x14ac:dyDescent="0.35">
      <c r="A13" s="125" t="s">
        <v>506</v>
      </c>
      <c r="B13" s="1020">
        <f>SUM(B11,B12)</f>
        <v>0</v>
      </c>
      <c r="C13" s="1038"/>
      <c r="D13" s="1038"/>
      <c r="E13" s="1038"/>
      <c r="F13" s="1039"/>
      <c r="G13" s="283" t="s">
        <v>506</v>
      </c>
      <c r="H13" s="1020">
        <f>SUM(H11,H12)</f>
        <v>0</v>
      </c>
      <c r="I13" s="1038"/>
      <c r="J13" s="1038"/>
      <c r="K13" s="1038"/>
      <c r="L13" s="1039"/>
    </row>
    <row r="14" spans="1:12" s="71" customFormat="1" x14ac:dyDescent="0.35">
      <c r="A14" s="126"/>
      <c r="B14" s="127"/>
      <c r="C14" s="127"/>
      <c r="D14" s="127"/>
      <c r="E14" s="127"/>
      <c r="F14" s="128"/>
      <c r="G14" s="284"/>
      <c r="H14" s="127"/>
      <c r="I14" s="127"/>
      <c r="J14" s="127"/>
      <c r="K14" s="127"/>
      <c r="L14" s="128"/>
    </row>
    <row r="15" spans="1:12" s="71" customFormat="1" ht="35.25" customHeight="1" x14ac:dyDescent="0.35">
      <c r="A15" s="688" t="s">
        <v>833</v>
      </c>
      <c r="B15" s="688"/>
      <c r="C15" s="688"/>
      <c r="D15" s="688"/>
      <c r="E15" s="688"/>
      <c r="F15" s="1037"/>
      <c r="G15" s="1044" t="s">
        <v>833</v>
      </c>
      <c r="H15" s="688"/>
      <c r="I15" s="688"/>
      <c r="J15" s="688"/>
      <c r="K15" s="688"/>
      <c r="L15" s="1037"/>
    </row>
    <row r="16" spans="1:12" s="71" customFormat="1" ht="15" thickBot="1" x14ac:dyDescent="0.4">
      <c r="A16" s="334" t="s">
        <v>507</v>
      </c>
      <c r="B16" s="335">
        <f>Vorkalkulation!$C$6</f>
        <v>2017</v>
      </c>
      <c r="C16" s="335">
        <f>Vorkalkulation!$E$6</f>
        <v>2018</v>
      </c>
      <c r="D16" s="335">
        <f>Vorkalkulation!$G$6</f>
        <v>2019</v>
      </c>
      <c r="E16" s="335">
        <f>Vorkalkulation!$I$6</f>
        <v>2020</v>
      </c>
      <c r="F16" s="129"/>
      <c r="G16" s="337" t="s">
        <v>507</v>
      </c>
      <c r="H16" s="335">
        <f>Vorkalkulation!$C$6</f>
        <v>2017</v>
      </c>
      <c r="I16" s="335">
        <f>Vorkalkulation!$E$6</f>
        <v>2018</v>
      </c>
      <c r="J16" s="335">
        <f>Vorkalkulation!$G$6</f>
        <v>2019</v>
      </c>
      <c r="K16" s="335">
        <f>Vorkalkulation!$I$6</f>
        <v>2020</v>
      </c>
      <c r="L16" s="129"/>
    </row>
    <row r="17" spans="1:12" s="71" customFormat="1" ht="43.5" x14ac:dyDescent="0.35">
      <c r="A17" s="130" t="s">
        <v>508</v>
      </c>
      <c r="B17" s="1040">
        <f>SUM(B11,B12)</f>
        <v>0</v>
      </c>
      <c r="C17" s="1040"/>
      <c r="D17" s="1040"/>
      <c r="E17" s="1040"/>
      <c r="F17" s="131"/>
      <c r="G17" s="285" t="s">
        <v>508</v>
      </c>
      <c r="H17" s="1040">
        <f>SUM(H11,H12)</f>
        <v>0</v>
      </c>
      <c r="I17" s="1040"/>
      <c r="J17" s="1040"/>
      <c r="K17" s="1040"/>
      <c r="L17" s="131"/>
    </row>
    <row r="18" spans="1:12" s="71" customFormat="1" ht="15" thickBot="1" x14ac:dyDescent="0.4">
      <c r="A18" s="125" t="s">
        <v>509</v>
      </c>
      <c r="B18" s="1041">
        <f>COUNT(B16:E16)</f>
        <v>4</v>
      </c>
      <c r="C18" s="1042"/>
      <c r="D18" s="1042"/>
      <c r="E18" s="1043"/>
      <c r="F18" s="131"/>
      <c r="G18" s="283" t="s">
        <v>509</v>
      </c>
      <c r="H18" s="1041">
        <f>COUNT(H16:K16)</f>
        <v>4</v>
      </c>
      <c r="I18" s="1042"/>
      <c r="J18" s="1042"/>
      <c r="K18" s="1043"/>
      <c r="L18" s="131"/>
    </row>
    <row r="19" spans="1:12" s="71" customFormat="1" x14ac:dyDescent="0.35">
      <c r="A19" s="132" t="s">
        <v>487</v>
      </c>
      <c r="B19" s="345">
        <f>IF(B16&lt;&gt;"-",HLOOKUP(B16,Grund_zins,3,FALSE),0)</f>
        <v>0.02</v>
      </c>
      <c r="C19" s="345">
        <f>IF(C16&lt;&gt;"-",HLOOKUP(C16,Grund_zins,3,FALSE),0)</f>
        <v>0.02</v>
      </c>
      <c r="D19" s="345">
        <f>IF(D16&lt;&gt;"-",HLOOKUP(D16,Grund_zins,3,FALSE),0)</f>
        <v>0.02</v>
      </c>
      <c r="E19" s="345">
        <f>IF(E16&lt;&gt;"-",HLOOKUP(E16,Grund_zins,3,FALSE),0)</f>
        <v>0.02</v>
      </c>
      <c r="F19" s="131"/>
      <c r="G19" s="286" t="s">
        <v>487</v>
      </c>
      <c r="H19" s="345">
        <f>IF(H16&lt;&gt;"-",HLOOKUP(H16,Grund_zins,3,FALSE),0)</f>
        <v>0.02</v>
      </c>
      <c r="I19" s="345">
        <f>IF(I16&lt;&gt;"-",HLOOKUP(I16,Grund_zins,3,FALSE),0)</f>
        <v>0.02</v>
      </c>
      <c r="J19" s="345">
        <f>IF(J16&lt;&gt;"-",HLOOKUP(J16,Grund_zins,3,FALSE),0)</f>
        <v>0.02</v>
      </c>
      <c r="K19" s="345">
        <f>IF(K16&lt;&gt;"-",HLOOKUP(K16,Grund_zins,3,FALSE),0)</f>
        <v>0.02</v>
      </c>
      <c r="L19" s="131"/>
    </row>
    <row r="20" spans="1:12" s="71" customFormat="1" ht="29" x14ac:dyDescent="0.35">
      <c r="A20" s="346" t="s">
        <v>510</v>
      </c>
      <c r="B20" s="347">
        <f>B17</f>
        <v>0</v>
      </c>
      <c r="C20" s="348">
        <f>IF(OR($B$18=2,$B$18=3,$B$18=4),B26,0)</f>
        <v>0</v>
      </c>
      <c r="D20" s="348">
        <f>IF(OR($B$18=3,$B$18=4),C26,0)</f>
        <v>0</v>
      </c>
      <c r="E20" s="348">
        <f>IF($B$18=4,D26,0)</f>
        <v>0</v>
      </c>
      <c r="F20" s="131"/>
      <c r="G20" s="349" t="s">
        <v>510</v>
      </c>
      <c r="H20" s="347">
        <f>H17</f>
        <v>0</v>
      </c>
      <c r="I20" s="348">
        <f>IF(OR($B$18=2,$B$18=3,$B$18=4),H26,0)</f>
        <v>0</v>
      </c>
      <c r="J20" s="348">
        <f>IF(OR($B$18=3,$B$18=4),I26,0)</f>
        <v>0</v>
      </c>
      <c r="K20" s="348">
        <f>IF($B$18=4,J26,0)</f>
        <v>0</v>
      </c>
      <c r="L20" s="131"/>
    </row>
    <row r="21" spans="1:12" s="71" customFormat="1" ht="43.5" x14ac:dyDescent="0.35">
      <c r="A21" s="343" t="s">
        <v>836</v>
      </c>
      <c r="B21" s="348">
        <f>IF($B$18=1,B17,IF($B$18=2,ROUND(B17/2,2),IF($B$18=3,ROUND(B17/3,2),IF($B$18=4,ROUND(B17/4,2),0))))</f>
        <v>0</v>
      </c>
      <c r="C21" s="348">
        <f>IF($B$18=2,ROUND(B17/2,2),IF($B$18=3,ROUND(B17/3,2),IF($B$18=4,ROUND(B17/4,2),0)))</f>
        <v>0</v>
      </c>
      <c r="D21" s="348">
        <f>IF($B$18=3,ROUND(B17/3,2),IF($B$18=4,ROUND(B17/4,2),0))</f>
        <v>0</v>
      </c>
      <c r="E21" s="348">
        <f>IF($B$18=4,ROUND(B17/4,2),0)</f>
        <v>0</v>
      </c>
      <c r="F21" s="131"/>
      <c r="G21" s="344" t="s">
        <v>836</v>
      </c>
      <c r="H21" s="348">
        <f>IF($B$18=1,H17,IF($B$18=2,ROUND(H17/2,2),IF($B$18=3,ROUND(H17/3,2),IF($B$18=4,ROUND(H17/4,2),0))))</f>
        <v>0</v>
      </c>
      <c r="I21" s="348">
        <f>IF($B$18=2,ROUND(H17/2,2),IF($B$18=3,ROUND(H17/3,2),IF($B$18=4,ROUND(H17/4,2),0)))</f>
        <v>0</v>
      </c>
      <c r="J21" s="348">
        <f>IF($B$18=3,ROUND(H17/3,2),IF($B$18=4,ROUND(H17/4,2),0))</f>
        <v>0</v>
      </c>
      <c r="K21" s="348">
        <f>IF($B$18=4,ROUND(H17/4,2),0)</f>
        <v>0</v>
      </c>
      <c r="L21" s="131"/>
    </row>
    <row r="22" spans="1:12" s="71" customFormat="1" ht="29" x14ac:dyDescent="0.35">
      <c r="A22" s="343" t="s">
        <v>511</v>
      </c>
      <c r="B22" s="133">
        <f>ROUND(B21*0.5,2)</f>
        <v>0</v>
      </c>
      <c r="C22" s="133">
        <f t="shared" ref="C22:D22" si="0">ROUND(C21*0.5,2)</f>
        <v>0</v>
      </c>
      <c r="D22" s="133">
        <f t="shared" si="0"/>
        <v>0</v>
      </c>
      <c r="E22" s="133">
        <f t="shared" ref="E22" si="1">ROUND(E21*0.5,2)</f>
        <v>0</v>
      </c>
      <c r="F22" s="131"/>
      <c r="G22" s="344" t="s">
        <v>511</v>
      </c>
      <c r="H22" s="133">
        <f>ROUND(H21*0.5,2)</f>
        <v>0</v>
      </c>
      <c r="I22" s="133">
        <f t="shared" ref="I22" si="2">ROUND(I21*0.5,2)</f>
        <v>0</v>
      </c>
      <c r="J22" s="133">
        <f t="shared" ref="J22:K22" si="3">ROUND(J21*0.5,2)</f>
        <v>0</v>
      </c>
      <c r="K22" s="133">
        <f t="shared" si="3"/>
        <v>0</v>
      </c>
      <c r="L22" s="131"/>
    </row>
    <row r="23" spans="1:12" s="71" customFormat="1" ht="25.5" customHeight="1" x14ac:dyDescent="0.35">
      <c r="A23" s="343" t="s">
        <v>512</v>
      </c>
      <c r="B23" s="133">
        <f>IF(B21&lt;&gt;0,B20-B21,0)</f>
        <v>0</v>
      </c>
      <c r="C23" s="133">
        <f t="shared" ref="C23:E23" si="4">IF(C21&lt;&gt;0,C20-C21,0)</f>
        <v>0</v>
      </c>
      <c r="D23" s="133">
        <f t="shared" si="4"/>
        <v>0</v>
      </c>
      <c r="E23" s="133">
        <f t="shared" si="4"/>
        <v>0</v>
      </c>
      <c r="F23" s="131"/>
      <c r="G23" s="344" t="s">
        <v>512</v>
      </c>
      <c r="H23" s="133">
        <f>IF(H21&lt;&gt;0,H20-H21,0)</f>
        <v>0</v>
      </c>
      <c r="I23" s="133">
        <f t="shared" ref="I23:K23" si="5">IF(I21&lt;&gt;0,I20-I21,0)</f>
        <v>0</v>
      </c>
      <c r="J23" s="133">
        <f t="shared" si="5"/>
        <v>0</v>
      </c>
      <c r="K23" s="133">
        <f t="shared" si="5"/>
        <v>0</v>
      </c>
      <c r="L23" s="131"/>
    </row>
    <row r="24" spans="1:12" s="71" customFormat="1" x14ac:dyDescent="0.35">
      <c r="A24" s="343" t="s">
        <v>513</v>
      </c>
      <c r="B24" s="133">
        <f>ROUND(B22*B19,2)</f>
        <v>0</v>
      </c>
      <c r="C24" s="133">
        <f t="shared" ref="C24:E24" si="6">ROUND(C22*C19,2)</f>
        <v>0</v>
      </c>
      <c r="D24" s="133">
        <f t="shared" si="6"/>
        <v>0</v>
      </c>
      <c r="E24" s="133">
        <f t="shared" si="6"/>
        <v>0</v>
      </c>
      <c r="F24" s="131"/>
      <c r="G24" s="344" t="s">
        <v>513</v>
      </c>
      <c r="H24" s="133">
        <f>ROUND(H22*H19,2)</f>
        <v>0</v>
      </c>
      <c r="I24" s="133">
        <f t="shared" ref="I24:K24" si="7">ROUND(I22*I19,2)</f>
        <v>0</v>
      </c>
      <c r="J24" s="133">
        <f t="shared" si="7"/>
        <v>0</v>
      </c>
      <c r="K24" s="133">
        <f t="shared" si="7"/>
        <v>0</v>
      </c>
      <c r="L24" s="131"/>
    </row>
    <row r="25" spans="1:12" s="71" customFormat="1" x14ac:dyDescent="0.35">
      <c r="A25" s="124" t="s">
        <v>514</v>
      </c>
      <c r="B25" s="133">
        <f>ROUND(B23*B19,2)</f>
        <v>0</v>
      </c>
      <c r="C25" s="133">
        <f t="shared" ref="C25:E25" si="8">ROUND(C23*C19,2)</f>
        <v>0</v>
      </c>
      <c r="D25" s="133">
        <f t="shared" si="8"/>
        <v>0</v>
      </c>
      <c r="E25" s="133">
        <f t="shared" si="8"/>
        <v>0</v>
      </c>
      <c r="F25" s="131"/>
      <c r="G25" s="282" t="s">
        <v>514</v>
      </c>
      <c r="H25" s="133">
        <f>ROUND(H23*H19,2)</f>
        <v>0</v>
      </c>
      <c r="I25" s="133">
        <f t="shared" ref="I25:K25" si="9">ROUND(I23*I19,2)</f>
        <v>0</v>
      </c>
      <c r="J25" s="133">
        <f t="shared" si="9"/>
        <v>0</v>
      </c>
      <c r="K25" s="133">
        <f t="shared" si="9"/>
        <v>0</v>
      </c>
      <c r="L25" s="131"/>
    </row>
    <row r="26" spans="1:12" s="71" customFormat="1" ht="29" x14ac:dyDescent="0.35">
      <c r="A26" s="343" t="s">
        <v>515</v>
      </c>
      <c r="B26" s="133">
        <f>B23+B24+B25</f>
        <v>0</v>
      </c>
      <c r="C26" s="133">
        <f t="shared" ref="C26:E26" si="10">C23+C24+C25</f>
        <v>0</v>
      </c>
      <c r="D26" s="133">
        <f>D23+D24+D25</f>
        <v>0</v>
      </c>
      <c r="E26" s="133">
        <f t="shared" si="10"/>
        <v>0</v>
      </c>
      <c r="F26" s="134"/>
      <c r="G26" s="344" t="s">
        <v>515</v>
      </c>
      <c r="H26" s="133">
        <f>H23+H24+H25</f>
        <v>0</v>
      </c>
      <c r="I26" s="133">
        <f t="shared" ref="I26" si="11">I23+I24+I25</f>
        <v>0</v>
      </c>
      <c r="J26" s="133">
        <f>J23+J24+J25</f>
        <v>0</v>
      </c>
      <c r="K26" s="133">
        <f t="shared" ref="K26" si="12">K23+K24+K25</f>
        <v>0</v>
      </c>
      <c r="L26" s="134"/>
    </row>
    <row r="27" spans="1:12" s="71" customFormat="1" ht="29" x14ac:dyDescent="0.35">
      <c r="A27" s="124" t="s">
        <v>504</v>
      </c>
      <c r="B27" s="1020">
        <f>B11</f>
        <v>0</v>
      </c>
      <c r="C27" s="1020"/>
      <c r="D27" s="1020"/>
      <c r="E27" s="1020"/>
      <c r="F27" s="131"/>
      <c r="G27" s="282" t="s">
        <v>504</v>
      </c>
      <c r="H27" s="1020">
        <f>H11</f>
        <v>0</v>
      </c>
      <c r="I27" s="1020"/>
      <c r="J27" s="1020"/>
      <c r="K27" s="1020"/>
      <c r="L27" s="131"/>
    </row>
    <row r="28" spans="1:12" s="71" customFormat="1" x14ac:dyDescent="0.35">
      <c r="A28" s="125" t="s">
        <v>516</v>
      </c>
      <c r="B28" s="1020">
        <f>B12</f>
        <v>0</v>
      </c>
      <c r="C28" s="1020"/>
      <c r="D28" s="1020"/>
      <c r="E28" s="1020"/>
      <c r="F28" s="131"/>
      <c r="G28" s="283" t="s">
        <v>516</v>
      </c>
      <c r="H28" s="1020">
        <f>H12</f>
        <v>0</v>
      </c>
      <c r="I28" s="1020"/>
      <c r="J28" s="1020"/>
      <c r="K28" s="1020"/>
      <c r="L28" s="131"/>
    </row>
    <row r="29" spans="1:12" s="71" customFormat="1" x14ac:dyDescent="0.35">
      <c r="A29" s="343" t="s">
        <v>517</v>
      </c>
      <c r="B29" s="1020">
        <f>B24+C24+D24+E24+B25+C25+D25+E25</f>
        <v>0</v>
      </c>
      <c r="C29" s="1020"/>
      <c r="D29" s="1020"/>
      <c r="E29" s="1020"/>
      <c r="F29" s="131"/>
      <c r="G29" s="344" t="s">
        <v>517</v>
      </c>
      <c r="H29" s="1020">
        <f>H24+I24+J24+K24+H25+I25+J25+K25</f>
        <v>0</v>
      </c>
      <c r="I29" s="1020"/>
      <c r="J29" s="1020"/>
      <c r="K29" s="1020"/>
      <c r="L29" s="131"/>
    </row>
    <row r="30" spans="1:12" s="71" customFormat="1" ht="29" x14ac:dyDescent="0.35">
      <c r="A30" s="125" t="s">
        <v>518</v>
      </c>
      <c r="B30" s="1021">
        <f>B27+B28+B29</f>
        <v>0</v>
      </c>
      <c r="C30" s="1022"/>
      <c r="D30" s="1022"/>
      <c r="E30" s="1023"/>
      <c r="F30" s="131"/>
      <c r="G30" s="283" t="s">
        <v>518</v>
      </c>
      <c r="H30" s="1021">
        <f>H27+H28+H29</f>
        <v>0</v>
      </c>
      <c r="I30" s="1022"/>
      <c r="J30" s="1022"/>
      <c r="K30" s="1023"/>
      <c r="L30" s="131"/>
    </row>
    <row r="31" spans="1:12" s="71" customFormat="1" ht="43.5" x14ac:dyDescent="0.35">
      <c r="A31" s="343" t="s">
        <v>837</v>
      </c>
      <c r="B31" s="350">
        <f>IF($B$18=1,B30,IF($B$18=2,ROUND(B30/2,2),IF($B$18=3,ROUND(B30/3,2),IF($B$18=4,ROUND(B30/4,2),0))))</f>
        <v>0</v>
      </c>
      <c r="C31" s="350">
        <f>IF($B$18=2,ROUND(B30/2,2),IF($B$18=3,ROUND(B30/3,2),IF($B$18=4,ROUND(B30/4,2),0)))</f>
        <v>0</v>
      </c>
      <c r="D31" s="350">
        <f>IF($B$18=3,ROUND(B30/3,2),IF($B$18=4,ROUND(B30/4,2),0))</f>
        <v>0</v>
      </c>
      <c r="E31" s="350">
        <f>IF($B$18=4,ROUND(B30/4,2),0)</f>
        <v>0</v>
      </c>
      <c r="F31" s="131"/>
      <c r="G31" s="344" t="s">
        <v>837</v>
      </c>
      <c r="H31" s="350">
        <f>IF($B$18=1,H30,IF($B$18=2,ROUND(H30/2,2),IF($B$18=3,ROUND(H30/3,2),IF($B$18=4,ROUND(H30/4,2),0))))</f>
        <v>0</v>
      </c>
      <c r="I31" s="350">
        <f>IF($B$18=2,ROUND(H30/2,2),IF($B$18=3,ROUND(H30/3,2),IF($B$18=4,ROUND(H30/4,2),0)))</f>
        <v>0</v>
      </c>
      <c r="J31" s="350">
        <f>IF($B$18=3,ROUND(H30/3,2),IF($B$18=4,ROUND(H30/4,2),0))</f>
        <v>0</v>
      </c>
      <c r="K31" s="350">
        <f>IF($B$18=4,ROUND(H30/4,2),0)</f>
        <v>0</v>
      </c>
      <c r="L31" s="131"/>
    </row>
    <row r="32" spans="1:12" s="71" customFormat="1" x14ac:dyDescent="0.35">
      <c r="A32" s="135"/>
      <c r="B32" s="135"/>
      <c r="C32" s="135"/>
      <c r="D32" s="135"/>
      <c r="E32" s="135"/>
      <c r="F32" s="136"/>
      <c r="G32" s="287"/>
      <c r="H32" s="135"/>
      <c r="I32" s="135"/>
      <c r="J32" s="135"/>
      <c r="K32" s="135"/>
      <c r="L32" s="136"/>
    </row>
    <row r="33" spans="1:12" s="137" customFormat="1" ht="44.25" customHeight="1" x14ac:dyDescent="0.35">
      <c r="A33" s="621" t="s">
        <v>519</v>
      </c>
      <c r="B33" s="1035"/>
      <c r="C33" s="1035"/>
      <c r="D33" s="1035"/>
      <c r="E33" s="1035"/>
      <c r="F33" s="1036"/>
      <c r="G33" s="351"/>
      <c r="H33" s="351"/>
      <c r="I33" s="351"/>
      <c r="J33" s="351"/>
      <c r="K33" s="351"/>
      <c r="L33" s="351"/>
    </row>
    <row r="34" spans="1:12" s="137" customFormat="1" ht="48" customHeight="1" x14ac:dyDescent="0.35">
      <c r="A34" s="688" t="s">
        <v>834</v>
      </c>
      <c r="B34" s="688"/>
      <c r="C34" s="688"/>
      <c r="D34" s="688"/>
      <c r="E34" s="688"/>
      <c r="F34" s="1037"/>
      <c r="G34" s="102"/>
      <c r="H34" s="102"/>
      <c r="I34" s="102"/>
      <c r="J34" s="102"/>
      <c r="K34" s="102"/>
      <c r="L34" s="102"/>
    </row>
    <row r="35" spans="1:12" s="137" customFormat="1" ht="15" thickBot="1" x14ac:dyDescent="0.4">
      <c r="A35" s="334" t="s">
        <v>499</v>
      </c>
      <c r="B35" s="335">
        <f>Nachkalkulation!$C$6</f>
        <v>2012</v>
      </c>
      <c r="C35" s="335">
        <f>Nachkalkulation!$E$6</f>
        <v>2013</v>
      </c>
      <c r="D35" s="335">
        <f>Nachkalkulation!$G$6</f>
        <v>2014</v>
      </c>
      <c r="E35" s="335">
        <f>Nachkalkulation!$I$6</f>
        <v>2015</v>
      </c>
      <c r="F35" s="336">
        <f>Nachkalkulation!$K$6</f>
        <v>2016</v>
      </c>
      <c r="G35" s="102"/>
      <c r="H35" s="102"/>
      <c r="I35" s="102"/>
      <c r="J35" s="102"/>
      <c r="K35" s="102"/>
      <c r="L35" s="102"/>
    </row>
    <row r="36" spans="1:12" s="137" customFormat="1" ht="29" x14ac:dyDescent="0.35">
      <c r="A36" s="338" t="s">
        <v>500</v>
      </c>
      <c r="B36" s="339">
        <f>IF(AND(Grunddaten!$D$17&lt;&gt;2,B35&lt;&gt;"-"),HLOOKUP(B35,Grund_ue_u,7,FALSE),0)</f>
        <v>-217911.14999999991</v>
      </c>
      <c r="C36" s="339">
        <f>IF(AND(Grunddaten!$D$17&lt;&gt;2,C35&lt;&gt;"-"),HLOOKUP(C35,Grund_ue_u,7,FALSE),0)</f>
        <v>-225966.82000000007</v>
      </c>
      <c r="D36" s="339">
        <f>IF(AND(Grunddaten!$D$17&lt;&gt;2,D35&lt;&gt;"-"),HLOOKUP(D35,Grund_ue_u,7,FALSE),0)</f>
        <v>-214362.58999999985</v>
      </c>
      <c r="E36" s="339">
        <f>IF(AND(Grunddaten!$D$17&lt;&gt;2,E35&lt;&gt;"-"),HLOOKUP(E35,Grund_ue_u,7,FALSE),0)</f>
        <v>-228130.3600000001</v>
      </c>
      <c r="F36" s="352">
        <f>IF(AND(Grunddaten!$D$17&lt;&gt;2,F35&lt;&gt;"-"),HLOOKUP(F35,Grund_ue_u,7,FALSE),0)</f>
        <v>-215401.09999999986</v>
      </c>
      <c r="G36" s="102"/>
      <c r="H36" s="102"/>
      <c r="I36" s="102"/>
      <c r="J36" s="102"/>
      <c r="K36" s="102"/>
      <c r="L36" s="102"/>
    </row>
    <row r="37" spans="1:12" s="137" customFormat="1" x14ac:dyDescent="0.35">
      <c r="A37" s="124" t="s">
        <v>487</v>
      </c>
      <c r="B37" s="341">
        <f>IF(B35&lt;&gt;"-",HLOOKUP(B35,Grund_zins,3,FALSE),0)</f>
        <v>2.2499999999999999E-2</v>
      </c>
      <c r="C37" s="341">
        <f>IF(C35&lt;&gt;"-",HLOOKUP(C35,Grund_zins,3,FALSE),0)</f>
        <v>2.2499999999999999E-2</v>
      </c>
      <c r="D37" s="341">
        <f>IF(D35&lt;&gt;"-",HLOOKUP(D35,Grund_zins,3,FALSE),0)</f>
        <v>2.2499999999999999E-2</v>
      </c>
      <c r="E37" s="341">
        <f>IF(E35&lt;&gt;"-",HLOOKUP(E35,Grund_zins,3,FALSE),0)</f>
        <v>2.2499999999999999E-2</v>
      </c>
      <c r="F37" s="342">
        <f>IF(F35&lt;&gt;"-",HLOOKUP(F35,Grund_zins,3,FALSE),0)</f>
        <v>2.2499999999999999E-2</v>
      </c>
      <c r="G37" s="102"/>
      <c r="H37" s="102"/>
      <c r="I37" s="102"/>
      <c r="J37" s="102"/>
      <c r="K37" s="102"/>
      <c r="L37" s="102"/>
    </row>
    <row r="38" spans="1:12" s="137" customFormat="1" ht="29" x14ac:dyDescent="0.35">
      <c r="A38" s="343" t="s">
        <v>835</v>
      </c>
      <c r="B38" s="502"/>
      <c r="C38" s="501">
        <f>IF(C35&lt;&gt;"-",B41,0)</f>
        <v>-220362.64999999991</v>
      </c>
      <c r="D38" s="501">
        <f>IF(D35&lt;&gt;"-",C41,0)</f>
        <v>-453829.75999999995</v>
      </c>
      <c r="E38" s="501">
        <f>IF(E35&lt;&gt;"-",D41,0)</f>
        <v>-680815.09999999986</v>
      </c>
      <c r="F38" s="281">
        <f>IF(F35&lt;&gt;"-",E41,0)</f>
        <v>-926830.27</v>
      </c>
      <c r="G38" s="102"/>
      <c r="H38" s="102"/>
      <c r="I38" s="102"/>
      <c r="J38" s="102"/>
      <c r="K38" s="102"/>
      <c r="L38" s="102"/>
    </row>
    <row r="39" spans="1:12" s="137" customFormat="1" ht="29" x14ac:dyDescent="0.35">
      <c r="A39" s="343" t="s">
        <v>501</v>
      </c>
      <c r="B39" s="501">
        <f>IF(B35&lt;&gt;"-",ROUND(B36*0.5,2)+B38,0)</f>
        <v>-108955.58</v>
      </c>
      <c r="C39" s="501">
        <f>IF(C35&lt;&gt;"-",ROUND(C36*0.5,2)+C38,0)</f>
        <v>-333346.05999999994</v>
      </c>
      <c r="D39" s="501">
        <f>IF(D35&lt;&gt;"-",ROUND(D36*0.5,2)+D38,0)</f>
        <v>-561011.05999999994</v>
      </c>
      <c r="E39" s="501">
        <f>IF(E35&lt;&gt;"-",ROUND(E36*0.5,2)+E38,0)</f>
        <v>-794880.2799999998</v>
      </c>
      <c r="F39" s="281">
        <f>IF(F35&lt;&gt;"-",ROUND(F36*0.5,2)+F38,0)</f>
        <v>-1034530.8200000001</v>
      </c>
      <c r="G39" s="102"/>
      <c r="H39" s="102"/>
      <c r="I39" s="102"/>
      <c r="J39" s="102"/>
      <c r="K39" s="102"/>
      <c r="L39" s="102"/>
    </row>
    <row r="40" spans="1:12" s="137" customFormat="1" x14ac:dyDescent="0.35">
      <c r="A40" s="124" t="s">
        <v>502</v>
      </c>
      <c r="B40" s="501">
        <f>IF(B35&lt;&gt;"-",ROUND(B39*B37,2),0)</f>
        <v>-2451.5</v>
      </c>
      <c r="C40" s="501">
        <f>IF(C35&lt;&gt;"-",ROUND(C39*C37,2),0)</f>
        <v>-7500.29</v>
      </c>
      <c r="D40" s="501">
        <f>IF(D35&lt;&gt;"-",ROUND(D39*D37,2),0)</f>
        <v>-12622.75</v>
      </c>
      <c r="E40" s="501">
        <f>IF(E35&lt;&gt;"-",ROUND(E39*E37,2),0)</f>
        <v>-17884.810000000001</v>
      </c>
      <c r="F40" s="281">
        <f>IF(F35&lt;&gt;"-",ROUND(F39*F37,2),0)</f>
        <v>-23276.94</v>
      </c>
      <c r="G40" s="102"/>
      <c r="H40" s="102"/>
      <c r="I40" s="102"/>
      <c r="J40" s="102"/>
      <c r="K40" s="102"/>
      <c r="L40" s="102"/>
    </row>
    <row r="41" spans="1:12" s="137" customFormat="1" x14ac:dyDescent="0.35">
      <c r="A41" s="124" t="s">
        <v>503</v>
      </c>
      <c r="B41" s="501">
        <f>IF(B35&lt;&gt;"-",B36+B38+B40,0)</f>
        <v>-220362.64999999991</v>
      </c>
      <c r="C41" s="501">
        <f>IF(C35&lt;&gt;"-",C36+C38+C40,0)</f>
        <v>-453829.75999999995</v>
      </c>
      <c r="D41" s="501">
        <f>IF(D35&lt;&gt;"-",D36+D38+D40,0)</f>
        <v>-680815.09999999986</v>
      </c>
      <c r="E41" s="501">
        <f>IF(E35&lt;&gt;"-",E36+E38+E40,0)</f>
        <v>-926830.27</v>
      </c>
      <c r="F41" s="281">
        <f>IF(F35&lt;&gt;"-",F36+F38+F40,0)</f>
        <v>-1165508.3099999998</v>
      </c>
      <c r="G41" s="102"/>
      <c r="H41" s="102"/>
      <c r="I41" s="102"/>
      <c r="J41" s="102"/>
      <c r="K41" s="102"/>
      <c r="L41" s="102"/>
    </row>
    <row r="42" spans="1:12" s="137" customFormat="1" ht="29" x14ac:dyDescent="0.35">
      <c r="A42" s="124" t="s">
        <v>504</v>
      </c>
      <c r="B42" s="1020">
        <f>SUM(B36:F36)</f>
        <v>-1101772.0199999998</v>
      </c>
      <c r="C42" s="1038"/>
      <c r="D42" s="1038"/>
      <c r="E42" s="1038"/>
      <c r="F42" s="1039"/>
      <c r="G42" s="102"/>
      <c r="H42" s="102"/>
      <c r="I42" s="102"/>
      <c r="J42" s="102"/>
      <c r="K42" s="102"/>
      <c r="L42" s="102"/>
    </row>
    <row r="43" spans="1:12" s="137" customFormat="1" x14ac:dyDescent="0.35">
      <c r="A43" s="124" t="s">
        <v>505</v>
      </c>
      <c r="B43" s="1020">
        <f>SUM(B40:F40)</f>
        <v>-63736.290000000008</v>
      </c>
      <c r="C43" s="1038"/>
      <c r="D43" s="1038"/>
      <c r="E43" s="1038"/>
      <c r="F43" s="1039"/>
      <c r="G43" s="102"/>
      <c r="H43" s="102"/>
      <c r="I43" s="102"/>
      <c r="J43" s="102"/>
      <c r="K43" s="102"/>
      <c r="L43" s="102"/>
    </row>
    <row r="44" spans="1:12" s="137" customFormat="1" x14ac:dyDescent="0.35">
      <c r="A44" s="125" t="s">
        <v>506</v>
      </c>
      <c r="B44" s="1020">
        <f>SUM(B42,B43)</f>
        <v>-1165508.3099999998</v>
      </c>
      <c r="C44" s="1038"/>
      <c r="D44" s="1038"/>
      <c r="E44" s="1038"/>
      <c r="F44" s="1039"/>
      <c r="G44" s="102"/>
      <c r="H44" s="102"/>
      <c r="I44" s="102"/>
      <c r="J44" s="102"/>
      <c r="K44" s="102"/>
      <c r="L44" s="102"/>
    </row>
    <row r="45" spans="1:12" s="137" customFormat="1" x14ac:dyDescent="0.35">
      <c r="A45" s="126"/>
      <c r="B45" s="127"/>
      <c r="C45" s="127"/>
      <c r="D45" s="127"/>
      <c r="E45" s="127"/>
      <c r="F45" s="128"/>
      <c r="G45" s="102"/>
      <c r="H45" s="102"/>
      <c r="I45" s="102"/>
      <c r="J45" s="102"/>
      <c r="K45" s="102"/>
      <c r="L45" s="102"/>
    </row>
    <row r="46" spans="1:12" s="137" customFormat="1" ht="48" customHeight="1" x14ac:dyDescent="0.35">
      <c r="A46" s="688" t="s">
        <v>833</v>
      </c>
      <c r="B46" s="688"/>
      <c r="C46" s="688"/>
      <c r="D46" s="688"/>
      <c r="E46" s="688"/>
      <c r="F46" s="1037"/>
      <c r="G46" s="102"/>
      <c r="H46" s="102"/>
      <c r="I46" s="102"/>
      <c r="J46" s="102"/>
      <c r="K46" s="102"/>
      <c r="L46" s="102"/>
    </row>
    <row r="47" spans="1:12" s="137" customFormat="1" ht="15" thickBot="1" x14ac:dyDescent="0.4">
      <c r="A47" s="334" t="s">
        <v>507</v>
      </c>
      <c r="B47" s="335">
        <f>Vorkalkulation!$C$6</f>
        <v>2017</v>
      </c>
      <c r="C47" s="335">
        <f>Vorkalkulation!$E$6</f>
        <v>2018</v>
      </c>
      <c r="D47" s="335">
        <f>Vorkalkulation!$G$6</f>
        <v>2019</v>
      </c>
      <c r="E47" s="335">
        <f>Vorkalkulation!$I$6</f>
        <v>2020</v>
      </c>
      <c r="F47" s="129"/>
      <c r="G47" s="102"/>
      <c r="H47" s="102"/>
      <c r="I47" s="102"/>
      <c r="J47" s="102"/>
      <c r="K47" s="102"/>
      <c r="L47" s="102"/>
    </row>
    <row r="48" spans="1:12" s="137" customFormat="1" ht="43.5" x14ac:dyDescent="0.35">
      <c r="A48" s="130" t="s">
        <v>508</v>
      </c>
      <c r="B48" s="1040">
        <f>SUM(B42,B43)</f>
        <v>-1165508.3099999998</v>
      </c>
      <c r="C48" s="1040"/>
      <c r="D48" s="1040"/>
      <c r="E48" s="1040"/>
      <c r="F48" s="131"/>
      <c r="G48" s="102"/>
      <c r="H48" s="102"/>
      <c r="I48" s="102"/>
      <c r="J48" s="102"/>
      <c r="K48" s="102"/>
      <c r="L48" s="102"/>
    </row>
    <row r="49" spans="1:12" s="137" customFormat="1" ht="15" thickBot="1" x14ac:dyDescent="0.4">
      <c r="A49" s="125" t="s">
        <v>509</v>
      </c>
      <c r="B49" s="1041">
        <f>COUNT(B47:E47)</f>
        <v>4</v>
      </c>
      <c r="C49" s="1042"/>
      <c r="D49" s="1042"/>
      <c r="E49" s="1043"/>
      <c r="F49" s="131"/>
      <c r="G49" s="102"/>
      <c r="H49" s="102"/>
      <c r="I49" s="102"/>
      <c r="J49" s="102"/>
      <c r="K49" s="102"/>
      <c r="L49" s="102"/>
    </row>
    <row r="50" spans="1:12" s="137" customFormat="1" x14ac:dyDescent="0.35">
      <c r="A50" s="132" t="s">
        <v>487</v>
      </c>
      <c r="B50" s="345">
        <f>IF(B47&lt;&gt;"-",HLOOKUP(B47,Grund_zins,3,FALSE),0)</f>
        <v>0.02</v>
      </c>
      <c r="C50" s="345">
        <f>IF(C47&lt;&gt;"-",HLOOKUP(C47,Grund_zins,3,FALSE),0)</f>
        <v>0.02</v>
      </c>
      <c r="D50" s="345">
        <f>IF(D47&lt;&gt;"-",HLOOKUP(D47,Grund_zins,3,FALSE),0)</f>
        <v>0.02</v>
      </c>
      <c r="E50" s="345">
        <f>IF(E47&lt;&gt;"-",HLOOKUP(E47,Grund_zins,3,FALSE),0)</f>
        <v>0.02</v>
      </c>
      <c r="F50" s="131"/>
      <c r="G50" s="102"/>
      <c r="H50" s="102"/>
      <c r="I50" s="102"/>
      <c r="J50" s="102"/>
      <c r="K50" s="102"/>
      <c r="L50" s="102"/>
    </row>
    <row r="51" spans="1:12" s="137" customFormat="1" ht="29" x14ac:dyDescent="0.35">
      <c r="A51" s="346" t="s">
        <v>510</v>
      </c>
      <c r="B51" s="347">
        <f>B48</f>
        <v>-1165508.3099999998</v>
      </c>
      <c r="C51" s="348">
        <f>IF(OR($B$18=2,$B$18=3,$B$18=4),B57,0)</f>
        <v>-894527.61999999976</v>
      </c>
      <c r="D51" s="348">
        <f>IF(OR($B$18=3,$B$18=4),C57,0)</f>
        <v>-618127.31999999983</v>
      </c>
      <c r="E51" s="348">
        <f>IF($B$18=4,D57,0)</f>
        <v>-336199.00999999983</v>
      </c>
      <c r="F51" s="131"/>
      <c r="G51" s="102"/>
      <c r="H51" s="102"/>
      <c r="I51" s="102"/>
      <c r="J51" s="102"/>
      <c r="K51" s="102"/>
      <c r="L51" s="102"/>
    </row>
    <row r="52" spans="1:12" s="137" customFormat="1" ht="43.5" x14ac:dyDescent="0.35">
      <c r="A52" s="343" t="s">
        <v>836</v>
      </c>
      <c r="B52" s="348">
        <f>IF($B$18=1,B48,IF($B$18=2,ROUND(B48/2,2),IF($B$18=3,ROUND(B48/3,2),IF($B$18=4,ROUND(B48/4,2),0))))</f>
        <v>-291377.08</v>
      </c>
      <c r="C52" s="348">
        <f>IF($B$18=2,ROUND(B48/2,2),IF($B$18=3,ROUND(B48/3,2),IF($B$18=4,ROUND(B48/4,2),0)))</f>
        <v>-291377.08</v>
      </c>
      <c r="D52" s="348">
        <f>IF($B$18=3,ROUND(B48/3,2),IF($B$18=4,ROUND(B48/4,2),0))</f>
        <v>-291377.08</v>
      </c>
      <c r="E52" s="348">
        <f>IF($B$18=4,ROUND(B48/4,2),0)</f>
        <v>-291377.08</v>
      </c>
      <c r="F52" s="131"/>
      <c r="G52" s="102"/>
      <c r="H52" s="102"/>
      <c r="I52" s="102"/>
      <c r="J52" s="102"/>
      <c r="K52" s="102"/>
      <c r="L52" s="102"/>
    </row>
    <row r="53" spans="1:12" s="137" customFormat="1" ht="29" x14ac:dyDescent="0.35">
      <c r="A53" s="343" t="s">
        <v>511</v>
      </c>
      <c r="B53" s="133">
        <f>ROUND(B52*0.5,2)</f>
        <v>-145688.54</v>
      </c>
      <c r="C53" s="133">
        <f t="shared" ref="C53" si="13">ROUND(C52*0.5,2)</f>
        <v>-145688.54</v>
      </c>
      <c r="D53" s="133">
        <f t="shared" ref="D53:E53" si="14">ROUND(D52*0.5,2)</f>
        <v>-145688.54</v>
      </c>
      <c r="E53" s="133">
        <f t="shared" si="14"/>
        <v>-145688.54</v>
      </c>
      <c r="F53" s="131"/>
      <c r="G53" s="102"/>
      <c r="H53" s="102"/>
      <c r="I53" s="102"/>
      <c r="J53" s="102"/>
      <c r="K53" s="102"/>
      <c r="L53" s="102"/>
    </row>
    <row r="54" spans="1:12" s="137" customFormat="1" ht="29" x14ac:dyDescent="0.35">
      <c r="A54" s="343" t="s">
        <v>512</v>
      </c>
      <c r="B54" s="133">
        <f>IF(B52&lt;&gt;0,B51-B52,0)</f>
        <v>-874131.22999999975</v>
      </c>
      <c r="C54" s="133">
        <f t="shared" ref="C54:E54" si="15">IF(C52&lt;&gt;0,C51-C52,0)</f>
        <v>-603150.5399999998</v>
      </c>
      <c r="D54" s="133">
        <f t="shared" si="15"/>
        <v>-326750.23999999982</v>
      </c>
      <c r="E54" s="133">
        <f t="shared" si="15"/>
        <v>-44821.929999999818</v>
      </c>
      <c r="F54" s="131"/>
      <c r="G54" s="102"/>
      <c r="H54" s="102"/>
      <c r="I54" s="102"/>
      <c r="J54" s="102"/>
      <c r="K54" s="102"/>
      <c r="L54" s="102"/>
    </row>
    <row r="55" spans="1:12" s="137" customFormat="1" x14ac:dyDescent="0.35">
      <c r="A55" s="343" t="s">
        <v>513</v>
      </c>
      <c r="B55" s="133">
        <f>ROUND(B53*B50,2)</f>
        <v>-2913.77</v>
      </c>
      <c r="C55" s="133">
        <f t="shared" ref="C55:E55" si="16">ROUND(C53*C50,2)</f>
        <v>-2913.77</v>
      </c>
      <c r="D55" s="133">
        <f t="shared" si="16"/>
        <v>-2913.77</v>
      </c>
      <c r="E55" s="133">
        <f t="shared" si="16"/>
        <v>-2913.77</v>
      </c>
      <c r="F55" s="131"/>
      <c r="G55" s="102"/>
      <c r="H55" s="102"/>
      <c r="I55" s="102"/>
      <c r="J55" s="102"/>
      <c r="K55" s="102"/>
      <c r="L55" s="102"/>
    </row>
    <row r="56" spans="1:12" s="137" customFormat="1" x14ac:dyDescent="0.35">
      <c r="A56" s="124" t="s">
        <v>514</v>
      </c>
      <c r="B56" s="133">
        <f>ROUND(B54*B50,2)</f>
        <v>-17482.62</v>
      </c>
      <c r="C56" s="133">
        <f t="shared" ref="C56:E56" si="17">ROUND(C54*C50,2)</f>
        <v>-12063.01</v>
      </c>
      <c r="D56" s="133">
        <f t="shared" si="17"/>
        <v>-6535</v>
      </c>
      <c r="E56" s="133">
        <f t="shared" si="17"/>
        <v>-896.44</v>
      </c>
      <c r="F56" s="131"/>
      <c r="G56" s="102"/>
      <c r="H56" s="102"/>
      <c r="I56" s="102"/>
      <c r="J56" s="102"/>
      <c r="K56" s="102"/>
      <c r="L56" s="102"/>
    </row>
    <row r="57" spans="1:12" s="137" customFormat="1" ht="29" x14ac:dyDescent="0.35">
      <c r="A57" s="343" t="s">
        <v>515</v>
      </c>
      <c r="B57" s="133">
        <f>B54+B55+B56</f>
        <v>-894527.61999999976</v>
      </c>
      <c r="C57" s="133">
        <f t="shared" ref="C57" si="18">C54+C55+C56</f>
        <v>-618127.31999999983</v>
      </c>
      <c r="D57" s="133">
        <f>D54+D55+D56</f>
        <v>-336199.00999999983</v>
      </c>
      <c r="E57" s="133">
        <f t="shared" ref="E57" si="19">E54+E55+E56</f>
        <v>-48632.139999999818</v>
      </c>
      <c r="F57" s="134"/>
      <c r="G57" s="102"/>
      <c r="H57" s="102"/>
      <c r="I57" s="102"/>
      <c r="J57" s="102"/>
      <c r="K57" s="102"/>
      <c r="L57" s="102"/>
    </row>
    <row r="58" spans="1:12" s="137" customFormat="1" ht="29" x14ac:dyDescent="0.35">
      <c r="A58" s="124" t="s">
        <v>504</v>
      </c>
      <c r="B58" s="1020">
        <f>B42</f>
        <v>-1101772.0199999998</v>
      </c>
      <c r="C58" s="1020"/>
      <c r="D58" s="1020"/>
      <c r="E58" s="1020"/>
      <c r="F58" s="131"/>
      <c r="G58" s="102"/>
      <c r="H58" s="102"/>
      <c r="I58" s="102"/>
      <c r="J58" s="102"/>
      <c r="K58" s="102"/>
      <c r="L58" s="102"/>
    </row>
    <row r="59" spans="1:12" s="137" customFormat="1" x14ac:dyDescent="0.35">
      <c r="A59" s="125" t="s">
        <v>516</v>
      </c>
      <c r="B59" s="1020">
        <f>B43</f>
        <v>-63736.290000000008</v>
      </c>
      <c r="C59" s="1020"/>
      <c r="D59" s="1020"/>
      <c r="E59" s="1020"/>
      <c r="F59" s="131"/>
      <c r="G59" s="102"/>
      <c r="H59" s="102"/>
      <c r="I59" s="102"/>
      <c r="J59" s="102"/>
      <c r="K59" s="102"/>
      <c r="L59" s="102"/>
    </row>
    <row r="60" spans="1:12" s="137" customFormat="1" x14ac:dyDescent="0.35">
      <c r="A60" s="343" t="s">
        <v>517</v>
      </c>
      <c r="B60" s="1020">
        <f>B55+C55+D55+E55+B56+C56+D56+E56</f>
        <v>-48632.15</v>
      </c>
      <c r="C60" s="1020"/>
      <c r="D60" s="1020"/>
      <c r="E60" s="1020"/>
      <c r="F60" s="131"/>
      <c r="G60" s="102"/>
      <c r="H60" s="102"/>
      <c r="I60" s="102"/>
      <c r="J60" s="102"/>
      <c r="K60" s="102"/>
      <c r="L60" s="102"/>
    </row>
    <row r="61" spans="1:12" s="137" customFormat="1" ht="29" x14ac:dyDescent="0.35">
      <c r="A61" s="125" t="s">
        <v>518</v>
      </c>
      <c r="B61" s="1021">
        <f>B58+B59+B60</f>
        <v>-1214140.4599999997</v>
      </c>
      <c r="C61" s="1022"/>
      <c r="D61" s="1022"/>
      <c r="E61" s="1023"/>
      <c r="F61" s="131"/>
      <c r="G61" s="102"/>
      <c r="H61" s="102"/>
      <c r="I61" s="102"/>
      <c r="J61" s="102"/>
      <c r="K61" s="102"/>
      <c r="L61" s="102"/>
    </row>
    <row r="62" spans="1:12" s="137" customFormat="1" ht="29" x14ac:dyDescent="0.35">
      <c r="A62" s="343" t="s">
        <v>837</v>
      </c>
      <c r="B62" s="350">
        <f>IF($B$18=1,B61,IF($B$18=2,ROUND(B61/2,2),IF($B$18=3,ROUND(B61/3,2),IF($B$18=4,ROUND(B61/4,2),0))))</f>
        <v>-303535.12</v>
      </c>
      <c r="C62" s="350">
        <f>IF($B$18=2,ROUND(B61/2,2),IF($B$18=3,ROUND(B61/3,2),IF($B$18=4,ROUND(B61/4,2),0)))</f>
        <v>-303535.12</v>
      </c>
      <c r="D62" s="350">
        <f>IF($B$18=3,ROUND(B61/3,2),IF($B$18=4,ROUND(B61/4,2),0))</f>
        <v>-303535.12</v>
      </c>
      <c r="E62" s="350">
        <f>IF($B$18=4,ROUND(B61/4,2),0)</f>
        <v>-303535.12</v>
      </c>
      <c r="F62" s="131"/>
      <c r="G62" s="102"/>
      <c r="H62" s="102"/>
      <c r="I62" s="102"/>
      <c r="J62" s="102"/>
      <c r="K62" s="102"/>
      <c r="L62" s="102"/>
    </row>
    <row r="63" spans="1:12" s="137" customFormat="1" x14ac:dyDescent="0.35">
      <c r="A63" s="135"/>
      <c r="B63" s="135"/>
      <c r="C63" s="135"/>
      <c r="D63" s="135"/>
      <c r="E63" s="135"/>
      <c r="F63" s="136"/>
      <c r="G63" s="135"/>
      <c r="H63" s="135"/>
      <c r="I63" s="135"/>
      <c r="J63" s="135"/>
      <c r="K63" s="135"/>
      <c r="L63" s="102"/>
    </row>
    <row r="64" spans="1:12" s="71" customFormat="1" ht="27.75" customHeight="1" x14ac:dyDescent="0.35">
      <c r="A64" s="1024" t="s">
        <v>484</v>
      </c>
      <c r="B64" s="1025"/>
      <c r="C64" s="1025"/>
      <c r="D64" s="1025"/>
      <c r="E64" s="1025"/>
      <c r="F64" s="1026"/>
      <c r="G64" s="1027" t="s">
        <v>485</v>
      </c>
      <c r="H64" s="1028"/>
      <c r="I64" s="1028"/>
      <c r="J64" s="1028"/>
      <c r="K64" s="1029"/>
      <c r="L64" s="72"/>
    </row>
    <row r="65" spans="1:12" s="71" customFormat="1" ht="15" customHeight="1" x14ac:dyDescent="0.35">
      <c r="A65" s="353" t="s">
        <v>137</v>
      </c>
      <c r="B65" s="575">
        <f>B4</f>
        <v>2012</v>
      </c>
      <c r="C65" s="575">
        <f>C4</f>
        <v>2013</v>
      </c>
      <c r="D65" s="575">
        <f>D4</f>
        <v>2014</v>
      </c>
      <c r="E65" s="575">
        <f>E4</f>
        <v>2015</v>
      </c>
      <c r="F65" s="587">
        <f>F4</f>
        <v>2016</v>
      </c>
      <c r="G65" s="586" t="s">
        <v>137</v>
      </c>
      <c r="H65" s="585">
        <f>B16</f>
        <v>2017</v>
      </c>
      <c r="I65" s="585">
        <f>C16</f>
        <v>2018</v>
      </c>
      <c r="J65" s="585">
        <f>D16</f>
        <v>2019</v>
      </c>
      <c r="K65" s="585">
        <f>E16</f>
        <v>2020</v>
      </c>
      <c r="L65" s="72"/>
    </row>
    <row r="66" spans="1:12" s="71" customFormat="1" ht="31.5" customHeight="1" x14ac:dyDescent="0.35">
      <c r="A66" s="1030" t="s">
        <v>1084</v>
      </c>
      <c r="B66" s="711"/>
      <c r="C66" s="711"/>
      <c r="D66" s="711"/>
      <c r="E66" s="711"/>
      <c r="F66" s="1031"/>
      <c r="G66" s="1032" t="s">
        <v>1086</v>
      </c>
      <c r="H66" s="1033"/>
      <c r="I66" s="1033"/>
      <c r="J66" s="1033"/>
      <c r="K66" s="1034"/>
      <c r="L66" s="333">
        <v>2</v>
      </c>
    </row>
    <row r="67" spans="1:12" s="71" customFormat="1" ht="31.5" customHeight="1" x14ac:dyDescent="0.35">
      <c r="A67" s="466" t="s">
        <v>838</v>
      </c>
      <c r="B67" s="583">
        <f>B5</f>
        <v>0</v>
      </c>
      <c r="C67" s="583">
        <f>C5</f>
        <v>0</v>
      </c>
      <c r="D67" s="583">
        <f>D5</f>
        <v>0</v>
      </c>
      <c r="E67" s="583">
        <f>E5</f>
        <v>0</v>
      </c>
      <c r="F67" s="588">
        <f>F5</f>
        <v>0</v>
      </c>
      <c r="G67" s="466" t="s">
        <v>839</v>
      </c>
      <c r="H67" s="584">
        <f>IF(AND(Grunddaten!$D$17=2,Grunddaten!$H$17=2),B31,IF(AND(Grunddaten!$D$17&lt;&gt;2,Grunddaten!$H$17=2),ROUND(B62*HLOOKUP($H$65,Verteil_sw,36,FALSE),2),0))</f>
        <v>0</v>
      </c>
      <c r="I67" s="584">
        <f>IF(AND(Grunddaten!$D$17=2,Grunddaten!$H$17=2),C31,IF(AND(Grunddaten!$D$17&lt;&gt;2,Grunddaten!$H$17=2),ROUND(C62*HLOOKUP($H$65,Verteil_sw,36,FALSE),2),0))</f>
        <v>0</v>
      </c>
      <c r="J67" s="584">
        <f>IF(AND(Grunddaten!$D$17=2,Grunddaten!$H$17=2),D31,IF(AND(Grunddaten!$D$17&lt;&gt;2,Grunddaten!$H$17=2),ROUND(D62*HLOOKUP($H$65,Verteil_sw,36,FALSE),2),0))</f>
        <v>0</v>
      </c>
      <c r="K67" s="584">
        <f>IF(AND(Grunddaten!$D$17=2,Grunddaten!$H$17=2),E31,IF(AND(Grunddaten!$D$17&lt;&gt;2,Grunddaten!$H$17=2),ROUND(E62*HLOOKUP($H$65,Verteil_sw,36,FALSE),2),0))</f>
        <v>0</v>
      </c>
      <c r="L67" s="333">
        <v>3</v>
      </c>
    </row>
    <row r="68" spans="1:12" s="71" customFormat="1" ht="31.5" customHeight="1" thickBot="1" x14ac:dyDescent="0.4">
      <c r="A68" s="376" t="s">
        <v>840</v>
      </c>
      <c r="B68" s="377">
        <f>H5</f>
        <v>0</v>
      </c>
      <c r="C68" s="377">
        <f>I5</f>
        <v>0</v>
      </c>
      <c r="D68" s="377">
        <f>J5</f>
        <v>0</v>
      </c>
      <c r="E68" s="377">
        <f>K5</f>
        <v>0</v>
      </c>
      <c r="F68" s="589">
        <f>L5</f>
        <v>0</v>
      </c>
      <c r="G68" s="376" t="s">
        <v>841</v>
      </c>
      <c r="H68" s="242">
        <f>IF(AND(Grunddaten!$D$17=2,Grunddaten!$H$17=2),H31,IF(AND(Grunddaten!$D$17&lt;&gt;2,Grunddaten!$H$17=2),ROUND(B62*HLOOKUP($H$65,Verteil_rwgr,35,FALSE),2),0))</f>
        <v>0</v>
      </c>
      <c r="I68" s="242">
        <f>IF(AND(Grunddaten!$D$17=2,Grunddaten!$H$17=2),I31,IF(AND(Grunddaten!$D$17&lt;&gt;2,Grunddaten!$H$17=2),ROUND(C62*HLOOKUP($H$65,Verteil_rwgr,35,FALSE),2),0))</f>
        <v>0</v>
      </c>
      <c r="J68" s="242">
        <f>IF(AND(Grunddaten!$D$17=2,Grunddaten!$H$17=2),J31,IF(AND(Grunddaten!$D$17&lt;&gt;2,Grunddaten!$H$17=2),ROUND(D62*HLOOKUP($H$65,Verteil_rwgr,35,FALSE),2),0))</f>
        <v>0</v>
      </c>
      <c r="K68" s="242">
        <f>IF(AND(Grunddaten!$D$17=2,Grunddaten!$H$17=2),K31,IF(AND(Grunddaten!$D$17&lt;&gt;2,Grunddaten!$H$17=2),ROUND(E62*HLOOKUP($H$65,Verteil_rwgr,35,FALSE),2),0))</f>
        <v>0</v>
      </c>
      <c r="L68" s="333">
        <v>4</v>
      </c>
    </row>
    <row r="69" spans="1:12" s="71" customFormat="1" ht="31.5" customHeight="1" x14ac:dyDescent="0.35">
      <c r="A69" s="1015" t="s">
        <v>1085</v>
      </c>
      <c r="B69" s="1016"/>
      <c r="C69" s="1016"/>
      <c r="D69" s="1016"/>
      <c r="E69" s="1016"/>
      <c r="F69" s="1017"/>
      <c r="G69" s="1018" t="s">
        <v>1087</v>
      </c>
      <c r="H69" s="1019"/>
      <c r="I69" s="1019"/>
      <c r="J69" s="1019"/>
      <c r="K69" s="1019"/>
      <c r="L69" s="333">
        <v>5</v>
      </c>
    </row>
    <row r="70" spans="1:12" s="71" customFormat="1" ht="31.5" customHeight="1" thickBot="1" x14ac:dyDescent="0.4">
      <c r="A70" s="376" t="s">
        <v>976</v>
      </c>
      <c r="B70" s="377">
        <f>B36</f>
        <v>-217911.14999999991</v>
      </c>
      <c r="C70" s="377">
        <f>C36</f>
        <v>-225966.82000000007</v>
      </c>
      <c r="D70" s="377">
        <f>D36</f>
        <v>-214362.58999999985</v>
      </c>
      <c r="E70" s="377">
        <f>E36</f>
        <v>-228130.3600000001</v>
      </c>
      <c r="F70" s="589">
        <f>F36</f>
        <v>-215401.09999999986</v>
      </c>
      <c r="G70" s="376" t="s">
        <v>842</v>
      </c>
      <c r="H70" s="242">
        <f>IF(AND(Grunddaten!$D$17&lt;&gt;2,Grunddaten!$H$17&lt;&gt;2),B62,IF(AND(Grunddaten!$D$17=2,Grunddaten!$H$17&lt;&gt;2),B31+H31,0))</f>
        <v>-303535.12</v>
      </c>
      <c r="I70" s="242">
        <f>IF(AND(Grunddaten!$D$17&lt;&gt;2,Grunddaten!$H$17&lt;&gt;2),C62,IF(AND(Grunddaten!$D$17=2,Grunddaten!$H$17&lt;&gt;2),C31+I31,0))</f>
        <v>-303535.12</v>
      </c>
      <c r="J70" s="242">
        <f>IF(AND(Grunddaten!$D$17&lt;&gt;2,Grunddaten!$H$17&lt;&gt;2),D62,IF(AND(Grunddaten!$D$17=2,Grunddaten!$H$17&lt;&gt;2),D31+J31,0))</f>
        <v>-303535.12</v>
      </c>
      <c r="K70" s="242">
        <f>IF(AND(Grunddaten!$D$17&lt;&gt;2,Grunddaten!$H$17&lt;&gt;2),E62,IF(AND(Grunddaten!$D$17=2,Grunddaten!$H$17&lt;&gt;2),E31+K31,0))</f>
        <v>-303535.12</v>
      </c>
      <c r="L70" s="333">
        <v>6</v>
      </c>
    </row>
    <row r="71" spans="1:12" s="71" customFormat="1" ht="22.5" customHeight="1" x14ac:dyDescent="0.35">
      <c r="A71" s="1013" t="str">
        <f>"Zwischen Zeile "&amp;ROW(65:65)&amp;" und Zeile "&amp;ROW(71:71)&amp;" weder eine Zeile einfügen noch löschen!!!"</f>
        <v>Zwischen Zeile 65 und Zeile 71 weder eine Zeile einfügen noch löschen!!!</v>
      </c>
      <c r="B71" s="1014"/>
      <c r="C71" s="1014"/>
      <c r="D71" s="1014"/>
      <c r="E71" s="1014"/>
      <c r="F71" s="1014"/>
      <c r="G71" s="75"/>
      <c r="H71" s="75"/>
      <c r="I71" s="75"/>
      <c r="J71" s="75"/>
      <c r="K71" s="72"/>
      <c r="L71" s="333">
        <v>7</v>
      </c>
    </row>
    <row r="72" spans="1:12" x14ac:dyDescent="0.35">
      <c r="G72" s="72"/>
      <c r="H72" s="72"/>
      <c r="I72" s="72"/>
      <c r="J72" s="72"/>
      <c r="K72" s="72"/>
      <c r="L72" s="72"/>
    </row>
  </sheetData>
  <sheetProtection sheet="1" objects="1" scenarios="1"/>
  <mergeCells count="45">
    <mergeCell ref="A1:F1"/>
    <mergeCell ref="G1:L1"/>
    <mergeCell ref="A2:F2"/>
    <mergeCell ref="G2:L2"/>
    <mergeCell ref="A3:F3"/>
    <mergeCell ref="G3:L3"/>
    <mergeCell ref="B11:F11"/>
    <mergeCell ref="H11:L11"/>
    <mergeCell ref="B12:F12"/>
    <mergeCell ref="H12:L12"/>
    <mergeCell ref="B13:F13"/>
    <mergeCell ref="H13:L13"/>
    <mergeCell ref="A15:F15"/>
    <mergeCell ref="G15:L15"/>
    <mergeCell ref="B17:E17"/>
    <mergeCell ref="H17:K17"/>
    <mergeCell ref="B18:E18"/>
    <mergeCell ref="H18:K18"/>
    <mergeCell ref="B27:E27"/>
    <mergeCell ref="H27:K27"/>
    <mergeCell ref="B28:E28"/>
    <mergeCell ref="H28:K28"/>
    <mergeCell ref="B29:E29"/>
    <mergeCell ref="H29:K29"/>
    <mergeCell ref="B59:E59"/>
    <mergeCell ref="B30:E30"/>
    <mergeCell ref="H30:K30"/>
    <mergeCell ref="A33:F33"/>
    <mergeCell ref="A34:F34"/>
    <mergeCell ref="B42:F42"/>
    <mergeCell ref="B43:F43"/>
    <mergeCell ref="B44:F44"/>
    <mergeCell ref="A46:F46"/>
    <mergeCell ref="B48:E48"/>
    <mergeCell ref="B49:E49"/>
    <mergeCell ref="B58:E58"/>
    <mergeCell ref="A71:F71"/>
    <mergeCell ref="A69:F69"/>
    <mergeCell ref="G69:K69"/>
    <mergeCell ref="B60:E60"/>
    <mergeCell ref="B61:E61"/>
    <mergeCell ref="A64:F64"/>
    <mergeCell ref="G64:K64"/>
    <mergeCell ref="A66:F66"/>
    <mergeCell ref="G66:K6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heetViews>
  <sheetFormatPr baseColWidth="10" defaultRowHeight="14.5" x14ac:dyDescent="0.35"/>
  <cols>
    <col min="1" max="1" width="6" customWidth="1"/>
    <col min="2" max="2" width="47.81640625" customWidth="1"/>
    <col min="3" max="11" width="17.26953125" customWidth="1"/>
  </cols>
  <sheetData>
    <row r="1" spans="1:11" ht="23.25" customHeight="1" x14ac:dyDescent="0.35">
      <c r="A1" s="384" t="str">
        <f>Grunddaten!A1 &amp; "   " &amp; Grunddaten!A2</f>
        <v>Gemeinde A   Abwasserbeseitigungseinrichtung</v>
      </c>
      <c r="B1" s="384"/>
      <c r="C1" s="384"/>
    </row>
    <row r="2" spans="1:11" ht="21" customHeight="1" x14ac:dyDescent="0.35">
      <c r="A2" s="393" t="s">
        <v>921</v>
      </c>
      <c r="B2" s="387"/>
      <c r="C2" s="387"/>
    </row>
    <row r="3" spans="1:11" ht="18" customHeight="1" x14ac:dyDescent="0.35">
      <c r="A3" s="1049" t="s">
        <v>906</v>
      </c>
      <c r="B3" s="1049" t="s">
        <v>439</v>
      </c>
      <c r="C3" s="388">
        <f>YEAR(EOMONTH(Grunddaten!H6,0))</f>
        <v>2012</v>
      </c>
      <c r="D3" s="388">
        <f>C3+1</f>
        <v>2013</v>
      </c>
      <c r="E3" s="388">
        <f t="shared" ref="E3:I3" si="0">D3+1</f>
        <v>2014</v>
      </c>
      <c r="F3" s="388">
        <f t="shared" si="0"/>
        <v>2015</v>
      </c>
      <c r="G3" s="388">
        <f t="shared" si="0"/>
        <v>2016</v>
      </c>
      <c r="H3" s="388">
        <f t="shared" si="0"/>
        <v>2017</v>
      </c>
      <c r="I3" s="388">
        <f t="shared" si="0"/>
        <v>2018</v>
      </c>
      <c r="J3" s="388">
        <f t="shared" ref="J3:K3" si="1">I3+1</f>
        <v>2019</v>
      </c>
      <c r="K3" s="388">
        <f t="shared" si="1"/>
        <v>2020</v>
      </c>
    </row>
    <row r="4" spans="1:11" ht="18" customHeight="1" x14ac:dyDescent="0.35">
      <c r="A4" s="1050"/>
      <c r="B4" s="1050"/>
      <c r="C4" s="388" t="s">
        <v>905</v>
      </c>
      <c r="D4" s="388" t="s">
        <v>905</v>
      </c>
      <c r="E4" s="388" t="s">
        <v>905</v>
      </c>
      <c r="F4" s="388" t="s">
        <v>905</v>
      </c>
      <c r="G4" s="388" t="s">
        <v>905</v>
      </c>
      <c r="H4" s="388" t="s">
        <v>905</v>
      </c>
      <c r="I4" s="388" t="s">
        <v>905</v>
      </c>
      <c r="J4" s="388" t="s">
        <v>905</v>
      </c>
      <c r="K4" s="388" t="s">
        <v>905</v>
      </c>
    </row>
    <row r="5" spans="1:11" ht="18" customHeight="1" x14ac:dyDescent="0.35">
      <c r="A5" s="386" t="s">
        <v>11</v>
      </c>
      <c r="B5" s="385" t="s">
        <v>909</v>
      </c>
      <c r="C5" s="389">
        <f t="shared" ref="C5:K5" si="2">HLOOKUP(C3,Anlageg,118,FALSE)</f>
        <v>0</v>
      </c>
      <c r="D5" s="389">
        <f t="shared" si="2"/>
        <v>0</v>
      </c>
      <c r="E5" s="389">
        <f t="shared" si="2"/>
        <v>0</v>
      </c>
      <c r="F5" s="389">
        <f t="shared" si="2"/>
        <v>0</v>
      </c>
      <c r="G5" s="389">
        <f t="shared" si="2"/>
        <v>0</v>
      </c>
      <c r="H5" s="389">
        <f t="shared" si="2"/>
        <v>0</v>
      </c>
      <c r="I5" s="389">
        <f t="shared" si="2"/>
        <v>0</v>
      </c>
      <c r="J5" s="389">
        <f t="shared" si="2"/>
        <v>0</v>
      </c>
      <c r="K5" s="389">
        <f t="shared" si="2"/>
        <v>0</v>
      </c>
    </row>
    <row r="6" spans="1:11" ht="18" customHeight="1" x14ac:dyDescent="0.35">
      <c r="A6" s="386" t="s">
        <v>13</v>
      </c>
      <c r="B6" s="385" t="s">
        <v>884</v>
      </c>
      <c r="C6" s="389">
        <f t="shared" ref="C6:K6" si="3">HLOOKUP(C3,Anlageg,119,FALSE)</f>
        <v>0</v>
      </c>
      <c r="D6" s="389">
        <f t="shared" si="3"/>
        <v>0</v>
      </c>
      <c r="E6" s="389">
        <f t="shared" si="3"/>
        <v>0</v>
      </c>
      <c r="F6" s="389">
        <f t="shared" si="3"/>
        <v>0</v>
      </c>
      <c r="G6" s="389">
        <f t="shared" si="3"/>
        <v>0</v>
      </c>
      <c r="H6" s="389">
        <f t="shared" si="3"/>
        <v>0</v>
      </c>
      <c r="I6" s="389">
        <f t="shared" si="3"/>
        <v>0</v>
      </c>
      <c r="J6" s="389">
        <f t="shared" si="3"/>
        <v>0</v>
      </c>
      <c r="K6" s="389">
        <f t="shared" si="3"/>
        <v>0</v>
      </c>
    </row>
    <row r="7" spans="1:11" ht="18" customHeight="1" x14ac:dyDescent="0.35">
      <c r="A7" s="390" t="s">
        <v>16</v>
      </c>
      <c r="B7" s="391" t="s">
        <v>887</v>
      </c>
      <c r="C7" s="392">
        <f>C5-C6</f>
        <v>0</v>
      </c>
      <c r="D7" s="392">
        <f t="shared" ref="D7:K7" si="4">D5-D6</f>
        <v>0</v>
      </c>
      <c r="E7" s="392">
        <f t="shared" si="4"/>
        <v>0</v>
      </c>
      <c r="F7" s="392">
        <f t="shared" si="4"/>
        <v>0</v>
      </c>
      <c r="G7" s="392">
        <f t="shared" si="4"/>
        <v>0</v>
      </c>
      <c r="H7" s="392">
        <f t="shared" si="4"/>
        <v>0</v>
      </c>
      <c r="I7" s="392">
        <f t="shared" si="4"/>
        <v>0</v>
      </c>
      <c r="J7" s="392">
        <f t="shared" si="4"/>
        <v>0</v>
      </c>
      <c r="K7" s="392">
        <f t="shared" si="4"/>
        <v>0</v>
      </c>
    </row>
    <row r="8" spans="1:11" ht="18" customHeight="1" x14ac:dyDescent="0.35">
      <c r="A8" s="386" t="s">
        <v>86</v>
      </c>
      <c r="B8" s="385" t="s">
        <v>907</v>
      </c>
      <c r="C8" s="389">
        <f t="shared" ref="C8:K8" si="5">HLOOKUP(C3,Anlageg,120,FALSE)</f>
        <v>0</v>
      </c>
      <c r="D8" s="389">
        <f t="shared" si="5"/>
        <v>0</v>
      </c>
      <c r="E8" s="389">
        <f t="shared" si="5"/>
        <v>0</v>
      </c>
      <c r="F8" s="389">
        <f t="shared" si="5"/>
        <v>0</v>
      </c>
      <c r="G8" s="389">
        <f t="shared" si="5"/>
        <v>0</v>
      </c>
      <c r="H8" s="389">
        <f t="shared" si="5"/>
        <v>0</v>
      </c>
      <c r="I8" s="389">
        <f t="shared" si="5"/>
        <v>0</v>
      </c>
      <c r="J8" s="389">
        <f t="shared" si="5"/>
        <v>0</v>
      </c>
      <c r="K8" s="389">
        <f t="shared" si="5"/>
        <v>0</v>
      </c>
    </row>
    <row r="9" spans="1:11" ht="18" customHeight="1" x14ac:dyDescent="0.35">
      <c r="A9" s="386" t="s">
        <v>89</v>
      </c>
      <c r="B9" s="385" t="s">
        <v>908</v>
      </c>
      <c r="C9" s="389">
        <f t="shared" ref="C9:K9" si="6">HLOOKUP(C3,Anlageg,121,FALSE)</f>
        <v>0</v>
      </c>
      <c r="D9" s="389">
        <f t="shared" si="6"/>
        <v>0</v>
      </c>
      <c r="E9" s="389">
        <f t="shared" si="6"/>
        <v>0</v>
      </c>
      <c r="F9" s="389">
        <f t="shared" si="6"/>
        <v>0</v>
      </c>
      <c r="G9" s="389">
        <f t="shared" si="6"/>
        <v>0</v>
      </c>
      <c r="H9" s="389">
        <f t="shared" si="6"/>
        <v>0</v>
      </c>
      <c r="I9" s="389">
        <f t="shared" si="6"/>
        <v>0</v>
      </c>
      <c r="J9" s="389">
        <f t="shared" si="6"/>
        <v>0</v>
      </c>
      <c r="K9" s="389">
        <f t="shared" si="6"/>
        <v>0</v>
      </c>
    </row>
    <row r="10" spans="1:11" ht="18" customHeight="1" x14ac:dyDescent="0.35">
      <c r="A10" s="390" t="s">
        <v>92</v>
      </c>
      <c r="B10" s="391" t="s">
        <v>887</v>
      </c>
      <c r="C10" s="392">
        <f>C8-C9</f>
        <v>0</v>
      </c>
      <c r="D10" s="392">
        <f t="shared" ref="D10:K10" si="7">D8-D9</f>
        <v>0</v>
      </c>
      <c r="E10" s="392">
        <f t="shared" si="7"/>
        <v>0</v>
      </c>
      <c r="F10" s="392">
        <f t="shared" si="7"/>
        <v>0</v>
      </c>
      <c r="G10" s="392">
        <f t="shared" si="7"/>
        <v>0</v>
      </c>
      <c r="H10" s="392">
        <f t="shared" si="7"/>
        <v>0</v>
      </c>
      <c r="I10" s="392">
        <f t="shared" si="7"/>
        <v>0</v>
      </c>
      <c r="J10" s="392">
        <f t="shared" si="7"/>
        <v>0</v>
      </c>
      <c r="K10" s="392">
        <f t="shared" si="7"/>
        <v>0</v>
      </c>
    </row>
    <row r="11" spans="1:11" ht="18" customHeight="1" x14ac:dyDescent="0.35">
      <c r="A11" s="386" t="s">
        <v>105</v>
      </c>
      <c r="B11" s="385" t="s">
        <v>904</v>
      </c>
      <c r="C11" s="389">
        <f t="shared" ref="C11:K11" si="8">HLOOKUP(C3,Anlageg,122,FALSE)</f>
        <v>0</v>
      </c>
      <c r="D11" s="389">
        <f t="shared" si="8"/>
        <v>0</v>
      </c>
      <c r="E11" s="389">
        <f t="shared" si="8"/>
        <v>0</v>
      </c>
      <c r="F11" s="389">
        <f t="shared" si="8"/>
        <v>0</v>
      </c>
      <c r="G11" s="389">
        <f t="shared" si="8"/>
        <v>0</v>
      </c>
      <c r="H11" s="389">
        <f t="shared" si="8"/>
        <v>0</v>
      </c>
      <c r="I11" s="389">
        <f t="shared" si="8"/>
        <v>0</v>
      </c>
      <c r="J11" s="389">
        <f t="shared" si="8"/>
        <v>0</v>
      </c>
      <c r="K11" s="389">
        <f t="shared" si="8"/>
        <v>0</v>
      </c>
    </row>
    <row r="12" spans="1:11" ht="18" customHeight="1" x14ac:dyDescent="0.35">
      <c r="A12" s="386" t="s">
        <v>108</v>
      </c>
      <c r="B12" s="385" t="s">
        <v>889</v>
      </c>
      <c r="C12" s="389">
        <f t="shared" ref="C12:K12" si="9">HLOOKUP(C3,Anlageg,123,FALSE)</f>
        <v>0</v>
      </c>
      <c r="D12" s="389">
        <f t="shared" si="9"/>
        <v>0</v>
      </c>
      <c r="E12" s="389">
        <f t="shared" si="9"/>
        <v>0</v>
      </c>
      <c r="F12" s="389">
        <f t="shared" si="9"/>
        <v>0</v>
      </c>
      <c r="G12" s="389">
        <f t="shared" si="9"/>
        <v>0</v>
      </c>
      <c r="H12" s="389">
        <f t="shared" si="9"/>
        <v>0</v>
      </c>
      <c r="I12" s="389">
        <f t="shared" si="9"/>
        <v>0</v>
      </c>
      <c r="J12" s="389">
        <f t="shared" si="9"/>
        <v>0</v>
      </c>
      <c r="K12" s="389">
        <f t="shared" si="9"/>
        <v>0</v>
      </c>
    </row>
    <row r="13" spans="1:11" ht="18" customHeight="1" x14ac:dyDescent="0.35">
      <c r="A13" s="390" t="s">
        <v>111</v>
      </c>
      <c r="B13" s="391" t="s">
        <v>887</v>
      </c>
      <c r="C13" s="392">
        <f>C11-C12</f>
        <v>0</v>
      </c>
      <c r="D13" s="392">
        <f t="shared" ref="D13:K13" si="10">D11-D12</f>
        <v>0</v>
      </c>
      <c r="E13" s="392">
        <f t="shared" si="10"/>
        <v>0</v>
      </c>
      <c r="F13" s="392">
        <f t="shared" si="10"/>
        <v>0</v>
      </c>
      <c r="G13" s="392">
        <f t="shared" si="10"/>
        <v>0</v>
      </c>
      <c r="H13" s="392">
        <f t="shared" si="10"/>
        <v>0</v>
      </c>
      <c r="I13" s="392">
        <f t="shared" si="10"/>
        <v>0</v>
      </c>
      <c r="J13" s="392">
        <f t="shared" si="10"/>
        <v>0</v>
      </c>
      <c r="K13" s="392">
        <f t="shared" si="10"/>
        <v>0</v>
      </c>
    </row>
    <row r="14" spans="1:11" ht="18" customHeight="1" x14ac:dyDescent="0.35">
      <c r="A14" s="386" t="s">
        <v>105</v>
      </c>
      <c r="B14" s="385" t="s">
        <v>910</v>
      </c>
      <c r="C14" s="389">
        <f t="shared" ref="C14:K14" si="11">HLOOKUP(C3,Beitr,53,FALSE)</f>
        <v>6305203</v>
      </c>
      <c r="D14" s="389">
        <f t="shared" si="11"/>
        <v>6305203</v>
      </c>
      <c r="E14" s="389">
        <f t="shared" si="11"/>
        <v>6305203</v>
      </c>
      <c r="F14" s="389">
        <f t="shared" si="11"/>
        <v>6305203</v>
      </c>
      <c r="G14" s="389">
        <f t="shared" si="11"/>
        <v>6305203</v>
      </c>
      <c r="H14" s="389">
        <f t="shared" si="11"/>
        <v>6305203</v>
      </c>
      <c r="I14" s="389">
        <f t="shared" si="11"/>
        <v>6305203</v>
      </c>
      <c r="J14" s="389">
        <f t="shared" si="11"/>
        <v>6305203</v>
      </c>
      <c r="K14" s="389">
        <f t="shared" si="11"/>
        <v>6305203</v>
      </c>
    </row>
    <row r="15" spans="1:11" ht="18" customHeight="1" x14ac:dyDescent="0.35">
      <c r="A15" s="386" t="s">
        <v>108</v>
      </c>
      <c r="B15" s="385" t="s">
        <v>892</v>
      </c>
      <c r="C15" s="389">
        <f t="shared" ref="C15:K15" si="12">HLOOKUP(C3,Beitr,54,FALSE)</f>
        <v>6305203</v>
      </c>
      <c r="D15" s="389">
        <f t="shared" si="12"/>
        <v>6305203</v>
      </c>
      <c r="E15" s="389">
        <f t="shared" si="12"/>
        <v>6305203</v>
      </c>
      <c r="F15" s="389">
        <f t="shared" si="12"/>
        <v>6305203</v>
      </c>
      <c r="G15" s="389">
        <f t="shared" si="12"/>
        <v>6305203</v>
      </c>
      <c r="H15" s="389">
        <f t="shared" si="12"/>
        <v>6305203</v>
      </c>
      <c r="I15" s="389">
        <f t="shared" si="12"/>
        <v>6305203</v>
      </c>
      <c r="J15" s="389">
        <f t="shared" si="12"/>
        <v>6305203</v>
      </c>
      <c r="K15" s="389">
        <f t="shared" si="12"/>
        <v>6305203</v>
      </c>
    </row>
    <row r="16" spans="1:11" ht="18" customHeight="1" x14ac:dyDescent="0.35">
      <c r="A16" s="390" t="s">
        <v>111</v>
      </c>
      <c r="B16" s="391" t="s">
        <v>887</v>
      </c>
      <c r="C16" s="392">
        <f>C14-C15</f>
        <v>0</v>
      </c>
      <c r="D16" s="392">
        <f t="shared" ref="D16:K16" si="13">D14-D15</f>
        <v>0</v>
      </c>
      <c r="E16" s="392">
        <f t="shared" si="13"/>
        <v>0</v>
      </c>
      <c r="F16" s="392">
        <f t="shared" si="13"/>
        <v>0</v>
      </c>
      <c r="G16" s="392">
        <f t="shared" si="13"/>
        <v>0</v>
      </c>
      <c r="H16" s="392">
        <f t="shared" si="13"/>
        <v>0</v>
      </c>
      <c r="I16" s="392">
        <f t="shared" si="13"/>
        <v>0</v>
      </c>
      <c r="J16" s="392">
        <f t="shared" si="13"/>
        <v>0</v>
      </c>
      <c r="K16" s="392">
        <f t="shared" si="13"/>
        <v>0</v>
      </c>
    </row>
    <row r="17" spans="1:11" ht="18" customHeight="1" x14ac:dyDescent="0.35">
      <c r="A17" s="386" t="s">
        <v>105</v>
      </c>
      <c r="B17" s="385" t="s">
        <v>913</v>
      </c>
      <c r="C17" s="389">
        <f t="shared" ref="C17:K17" si="14">HLOOKUP(C3,Beitr,55,FALSE)</f>
        <v>187264.53</v>
      </c>
      <c r="D17" s="389">
        <f t="shared" si="14"/>
        <v>187264.53</v>
      </c>
      <c r="E17" s="389">
        <f t="shared" si="14"/>
        <v>187264.53</v>
      </c>
      <c r="F17" s="389">
        <f t="shared" si="14"/>
        <v>178934.53</v>
      </c>
      <c r="G17" s="389">
        <f t="shared" si="14"/>
        <v>162019.53</v>
      </c>
      <c r="H17" s="389">
        <f t="shared" si="14"/>
        <v>150790.53</v>
      </c>
      <c r="I17" s="389">
        <f t="shared" si="14"/>
        <v>145090.53</v>
      </c>
      <c r="J17" s="389">
        <f t="shared" si="14"/>
        <v>145090.53</v>
      </c>
      <c r="K17" s="389">
        <f t="shared" si="14"/>
        <v>145090.53</v>
      </c>
    </row>
    <row r="18" spans="1:11" ht="18" customHeight="1" x14ac:dyDescent="0.35">
      <c r="A18" s="386" t="s">
        <v>108</v>
      </c>
      <c r="B18" s="385" t="s">
        <v>914</v>
      </c>
      <c r="C18" s="389">
        <f t="shared" ref="C18:K18" si="15">HLOOKUP(C3,Beitr,56,FALSE)</f>
        <v>187264.53</v>
      </c>
      <c r="D18" s="389">
        <f t="shared" si="15"/>
        <v>187264.53</v>
      </c>
      <c r="E18" s="389">
        <f t="shared" si="15"/>
        <v>187264.53</v>
      </c>
      <c r="F18" s="389">
        <f t="shared" si="15"/>
        <v>178934.53</v>
      </c>
      <c r="G18" s="389">
        <f t="shared" si="15"/>
        <v>162019.53</v>
      </c>
      <c r="H18" s="389">
        <f t="shared" si="15"/>
        <v>150790.53</v>
      </c>
      <c r="I18" s="389">
        <f t="shared" si="15"/>
        <v>145090.53</v>
      </c>
      <c r="J18" s="389">
        <f t="shared" si="15"/>
        <v>145090.53</v>
      </c>
      <c r="K18" s="389">
        <f t="shared" si="15"/>
        <v>145090.53</v>
      </c>
    </row>
    <row r="19" spans="1:11" ht="18" customHeight="1" x14ac:dyDescent="0.35">
      <c r="A19" s="390" t="s">
        <v>111</v>
      </c>
      <c r="B19" s="391" t="s">
        <v>887</v>
      </c>
      <c r="C19" s="392">
        <f>C17-C18</f>
        <v>0</v>
      </c>
      <c r="D19" s="392">
        <f t="shared" ref="D19:K19" si="16">D17-D18</f>
        <v>0</v>
      </c>
      <c r="E19" s="392">
        <f t="shared" si="16"/>
        <v>0</v>
      </c>
      <c r="F19" s="392">
        <f t="shared" si="16"/>
        <v>0</v>
      </c>
      <c r="G19" s="392">
        <f t="shared" si="16"/>
        <v>0</v>
      </c>
      <c r="H19" s="392">
        <f t="shared" si="16"/>
        <v>0</v>
      </c>
      <c r="I19" s="392">
        <f t="shared" si="16"/>
        <v>0</v>
      </c>
      <c r="J19" s="392">
        <f t="shared" si="16"/>
        <v>0</v>
      </c>
      <c r="K19" s="392">
        <f t="shared" si="16"/>
        <v>0</v>
      </c>
    </row>
    <row r="20" spans="1:11" ht="18" customHeight="1" x14ac:dyDescent="0.35">
      <c r="A20" s="386" t="s">
        <v>105</v>
      </c>
      <c r="B20" s="385" t="s">
        <v>915</v>
      </c>
      <c r="C20" s="389">
        <f t="shared" ref="C20:K20" si="17">HLOOKUP(C3,Beitr,57,FALSE)</f>
        <v>108345.55</v>
      </c>
      <c r="D20" s="389">
        <f t="shared" si="17"/>
        <v>101791.3</v>
      </c>
      <c r="E20" s="389">
        <f t="shared" si="17"/>
        <v>95237.04</v>
      </c>
      <c r="F20" s="389">
        <f t="shared" si="17"/>
        <v>88828.55</v>
      </c>
      <c r="G20" s="389">
        <f t="shared" si="17"/>
        <v>82861.86</v>
      </c>
      <c r="H20" s="389">
        <f t="shared" si="17"/>
        <v>66332.3</v>
      </c>
      <c r="I20" s="389">
        <f t="shared" si="17"/>
        <v>61894.080000000002</v>
      </c>
      <c r="J20" s="389">
        <f t="shared" si="17"/>
        <v>57541.37</v>
      </c>
      <c r="K20" s="389">
        <f t="shared" si="17"/>
        <v>53188.65</v>
      </c>
    </row>
    <row r="21" spans="1:11" ht="18" customHeight="1" x14ac:dyDescent="0.35">
      <c r="A21" s="386" t="s">
        <v>108</v>
      </c>
      <c r="B21" s="385" t="s">
        <v>916</v>
      </c>
      <c r="C21" s="389">
        <f t="shared" ref="C21:K21" si="18">HLOOKUP(C3,Beitr,58,FALSE)</f>
        <v>108345.55</v>
      </c>
      <c r="D21" s="389">
        <f t="shared" si="18"/>
        <v>101791.3</v>
      </c>
      <c r="E21" s="389">
        <f t="shared" si="18"/>
        <v>95237.04</v>
      </c>
      <c r="F21" s="389">
        <f t="shared" si="18"/>
        <v>88828.55</v>
      </c>
      <c r="G21" s="389">
        <f t="shared" si="18"/>
        <v>82861.86</v>
      </c>
      <c r="H21" s="389">
        <f t="shared" si="18"/>
        <v>66332.3</v>
      </c>
      <c r="I21" s="389">
        <f t="shared" si="18"/>
        <v>61894.080000000002</v>
      </c>
      <c r="J21" s="389">
        <f t="shared" si="18"/>
        <v>57541.37</v>
      </c>
      <c r="K21" s="389">
        <f t="shared" si="18"/>
        <v>53188.65</v>
      </c>
    </row>
    <row r="22" spans="1:11" ht="18" customHeight="1" x14ac:dyDescent="0.35">
      <c r="A22" s="390" t="s">
        <v>111</v>
      </c>
      <c r="B22" s="391" t="s">
        <v>887</v>
      </c>
      <c r="C22" s="392">
        <f>C20-C21</f>
        <v>0</v>
      </c>
      <c r="D22" s="392">
        <f t="shared" ref="D22:K22" si="19">D20-D21</f>
        <v>0</v>
      </c>
      <c r="E22" s="392">
        <f t="shared" si="19"/>
        <v>0</v>
      </c>
      <c r="F22" s="392">
        <f t="shared" si="19"/>
        <v>0</v>
      </c>
      <c r="G22" s="392">
        <f t="shared" si="19"/>
        <v>0</v>
      </c>
      <c r="H22" s="392">
        <f t="shared" si="19"/>
        <v>0</v>
      </c>
      <c r="I22" s="392">
        <f t="shared" si="19"/>
        <v>0</v>
      </c>
      <c r="J22" s="392">
        <f t="shared" si="19"/>
        <v>0</v>
      </c>
      <c r="K22" s="392">
        <f t="shared" si="19"/>
        <v>0</v>
      </c>
    </row>
    <row r="23" spans="1:11" ht="18" customHeight="1" x14ac:dyDescent="0.35">
      <c r="A23" s="386" t="s">
        <v>105</v>
      </c>
      <c r="B23" s="385" t="s">
        <v>911</v>
      </c>
      <c r="C23" s="389">
        <f t="shared" ref="C23:K23" si="20">HLOOKUP(C3,Zuwend,53,FALSE)</f>
        <v>6751000</v>
      </c>
      <c r="D23" s="389">
        <f t="shared" si="20"/>
        <v>6751000</v>
      </c>
      <c r="E23" s="389">
        <f t="shared" si="20"/>
        <v>6751000</v>
      </c>
      <c r="F23" s="389">
        <f t="shared" si="20"/>
        <v>6751000</v>
      </c>
      <c r="G23" s="389">
        <f t="shared" si="20"/>
        <v>6751000</v>
      </c>
      <c r="H23" s="389">
        <f t="shared" si="20"/>
        <v>6751000</v>
      </c>
      <c r="I23" s="389">
        <f t="shared" si="20"/>
        <v>6751000</v>
      </c>
      <c r="J23" s="389">
        <f t="shared" si="20"/>
        <v>6751000</v>
      </c>
      <c r="K23" s="389">
        <f t="shared" si="20"/>
        <v>6751000</v>
      </c>
    </row>
    <row r="24" spans="1:11" ht="18" customHeight="1" x14ac:dyDescent="0.35">
      <c r="A24" s="386" t="s">
        <v>108</v>
      </c>
      <c r="B24" s="385" t="s">
        <v>912</v>
      </c>
      <c r="C24" s="389">
        <f t="shared" ref="C24:K24" si="21">HLOOKUP(C3,Zuwend,54,FALSE)</f>
        <v>6751000</v>
      </c>
      <c r="D24" s="389">
        <f t="shared" si="21"/>
        <v>6751000</v>
      </c>
      <c r="E24" s="389">
        <f t="shared" si="21"/>
        <v>6751000</v>
      </c>
      <c r="F24" s="389">
        <f t="shared" si="21"/>
        <v>6751000</v>
      </c>
      <c r="G24" s="389">
        <f t="shared" si="21"/>
        <v>6751000</v>
      </c>
      <c r="H24" s="389">
        <f t="shared" si="21"/>
        <v>6751000</v>
      </c>
      <c r="I24" s="389">
        <f t="shared" si="21"/>
        <v>6751000</v>
      </c>
      <c r="J24" s="389">
        <f t="shared" si="21"/>
        <v>6751000</v>
      </c>
      <c r="K24" s="389">
        <f t="shared" si="21"/>
        <v>6751000</v>
      </c>
    </row>
    <row r="25" spans="1:11" ht="18" customHeight="1" x14ac:dyDescent="0.35">
      <c r="A25" s="390" t="s">
        <v>111</v>
      </c>
      <c r="B25" s="391" t="s">
        <v>887</v>
      </c>
      <c r="C25" s="392">
        <f>C23-C24</f>
        <v>0</v>
      </c>
      <c r="D25" s="392">
        <f t="shared" ref="D25:K25" si="22">D23-D24</f>
        <v>0</v>
      </c>
      <c r="E25" s="392">
        <f t="shared" si="22"/>
        <v>0</v>
      </c>
      <c r="F25" s="392">
        <f t="shared" si="22"/>
        <v>0</v>
      </c>
      <c r="G25" s="392">
        <f t="shared" si="22"/>
        <v>0</v>
      </c>
      <c r="H25" s="392">
        <f t="shared" si="22"/>
        <v>0</v>
      </c>
      <c r="I25" s="392">
        <f t="shared" si="22"/>
        <v>0</v>
      </c>
      <c r="J25" s="392">
        <f t="shared" si="22"/>
        <v>0</v>
      </c>
      <c r="K25" s="392">
        <f t="shared" si="22"/>
        <v>0</v>
      </c>
    </row>
    <row r="26" spans="1:11" ht="18" customHeight="1" x14ac:dyDescent="0.35">
      <c r="A26" s="386" t="s">
        <v>105</v>
      </c>
      <c r="B26" s="385" t="s">
        <v>919</v>
      </c>
      <c r="C26" s="389">
        <f t="shared" ref="C26:K26" si="23">HLOOKUP(C3,Zuwend,55,FALSE)</f>
        <v>199080</v>
      </c>
      <c r="D26" s="389">
        <f t="shared" si="23"/>
        <v>197080</v>
      </c>
      <c r="E26" s="389">
        <f t="shared" si="23"/>
        <v>195080</v>
      </c>
      <c r="F26" s="389">
        <f t="shared" si="23"/>
        <v>195080</v>
      </c>
      <c r="G26" s="389">
        <f t="shared" si="23"/>
        <v>167062.5</v>
      </c>
      <c r="H26" s="389">
        <f t="shared" si="23"/>
        <v>112970</v>
      </c>
      <c r="I26" s="389">
        <f t="shared" si="23"/>
        <v>112970</v>
      </c>
      <c r="J26" s="389">
        <f t="shared" si="23"/>
        <v>112970</v>
      </c>
      <c r="K26" s="389">
        <f t="shared" si="23"/>
        <v>112970</v>
      </c>
    </row>
    <row r="27" spans="1:11" ht="18" customHeight="1" x14ac:dyDescent="0.35">
      <c r="A27" s="386" t="s">
        <v>108</v>
      </c>
      <c r="B27" s="385" t="s">
        <v>920</v>
      </c>
      <c r="C27" s="389">
        <f t="shared" ref="C27:K27" si="24">HLOOKUP(C3,Zuwend,56,FALSE)</f>
        <v>199080</v>
      </c>
      <c r="D27" s="389">
        <f t="shared" si="24"/>
        <v>197080</v>
      </c>
      <c r="E27" s="389">
        <f t="shared" si="24"/>
        <v>195080</v>
      </c>
      <c r="F27" s="389">
        <f t="shared" si="24"/>
        <v>195080</v>
      </c>
      <c r="G27" s="389">
        <f t="shared" si="24"/>
        <v>167062.5</v>
      </c>
      <c r="H27" s="389">
        <f t="shared" si="24"/>
        <v>112970</v>
      </c>
      <c r="I27" s="389">
        <f t="shared" si="24"/>
        <v>112970</v>
      </c>
      <c r="J27" s="389">
        <f t="shared" si="24"/>
        <v>112970</v>
      </c>
      <c r="K27" s="389">
        <f t="shared" si="24"/>
        <v>112970</v>
      </c>
    </row>
    <row r="28" spans="1:11" ht="18" customHeight="1" x14ac:dyDescent="0.35">
      <c r="A28" s="390" t="s">
        <v>111</v>
      </c>
      <c r="B28" s="391" t="s">
        <v>887</v>
      </c>
      <c r="C28" s="392">
        <f>C26-C27</f>
        <v>0</v>
      </c>
      <c r="D28" s="392">
        <f t="shared" ref="D28:K28" si="25">D26-D27</f>
        <v>0</v>
      </c>
      <c r="E28" s="392">
        <f t="shared" si="25"/>
        <v>0</v>
      </c>
      <c r="F28" s="392">
        <f t="shared" si="25"/>
        <v>0</v>
      </c>
      <c r="G28" s="392">
        <f t="shared" si="25"/>
        <v>0</v>
      </c>
      <c r="H28" s="392">
        <f t="shared" si="25"/>
        <v>0</v>
      </c>
      <c r="I28" s="392">
        <f t="shared" si="25"/>
        <v>0</v>
      </c>
      <c r="J28" s="392">
        <f t="shared" si="25"/>
        <v>0</v>
      </c>
      <c r="K28" s="392">
        <f t="shared" si="25"/>
        <v>0</v>
      </c>
    </row>
    <row r="29" spans="1:11" ht="18" customHeight="1" x14ac:dyDescent="0.35">
      <c r="A29" s="386" t="s">
        <v>105</v>
      </c>
      <c r="B29" s="385" t="s">
        <v>917</v>
      </c>
      <c r="C29" s="389">
        <f t="shared" ref="C29:K29" si="26">HLOOKUP(C3,Zuwend,57,FALSE)</f>
        <v>95557.79</v>
      </c>
      <c r="D29" s="389">
        <f t="shared" si="26"/>
        <v>88624.99</v>
      </c>
      <c r="E29" s="389">
        <f t="shared" si="26"/>
        <v>81762.19</v>
      </c>
      <c r="F29" s="389">
        <f t="shared" si="26"/>
        <v>74934.39</v>
      </c>
      <c r="G29" s="389">
        <f t="shared" si="26"/>
        <v>68596.89</v>
      </c>
      <c r="H29" s="389">
        <f t="shared" si="26"/>
        <v>54596.85</v>
      </c>
      <c r="I29" s="389">
        <f t="shared" si="26"/>
        <v>51207.75</v>
      </c>
      <c r="J29" s="389">
        <f t="shared" si="26"/>
        <v>47818.65</v>
      </c>
      <c r="K29" s="389">
        <f t="shared" si="26"/>
        <v>44429.55</v>
      </c>
    </row>
    <row r="30" spans="1:11" ht="18" customHeight="1" x14ac:dyDescent="0.35">
      <c r="A30" s="386" t="s">
        <v>108</v>
      </c>
      <c r="B30" s="385" t="s">
        <v>918</v>
      </c>
      <c r="C30" s="389">
        <f t="shared" ref="C30:K30" si="27">HLOOKUP(C3,Zuwend,58,FALSE)</f>
        <v>95557.79</v>
      </c>
      <c r="D30" s="389">
        <f t="shared" si="27"/>
        <v>88624.99</v>
      </c>
      <c r="E30" s="389">
        <f t="shared" si="27"/>
        <v>81762.19</v>
      </c>
      <c r="F30" s="389">
        <f t="shared" si="27"/>
        <v>74934.39</v>
      </c>
      <c r="G30" s="389">
        <f t="shared" si="27"/>
        <v>68596.89</v>
      </c>
      <c r="H30" s="389">
        <f t="shared" si="27"/>
        <v>54596.85</v>
      </c>
      <c r="I30" s="389">
        <f t="shared" si="27"/>
        <v>51207.75</v>
      </c>
      <c r="J30" s="389">
        <f t="shared" si="27"/>
        <v>47818.65</v>
      </c>
      <c r="K30" s="389">
        <f t="shared" si="27"/>
        <v>44429.55</v>
      </c>
    </row>
    <row r="31" spans="1:11" ht="18" customHeight="1" x14ac:dyDescent="0.35">
      <c r="A31" s="390" t="s">
        <v>111</v>
      </c>
      <c r="B31" s="391" t="s">
        <v>887</v>
      </c>
      <c r="C31" s="392">
        <f>C29-C30</f>
        <v>0</v>
      </c>
      <c r="D31" s="392">
        <f t="shared" ref="D31:K31" si="28">D29-D30</f>
        <v>0</v>
      </c>
      <c r="E31" s="392">
        <f t="shared" si="28"/>
        <v>0</v>
      </c>
      <c r="F31" s="392">
        <f t="shared" si="28"/>
        <v>0</v>
      </c>
      <c r="G31" s="392">
        <f t="shared" si="28"/>
        <v>0</v>
      </c>
      <c r="H31" s="392">
        <f t="shared" si="28"/>
        <v>0</v>
      </c>
      <c r="I31" s="392">
        <f t="shared" si="28"/>
        <v>0</v>
      </c>
      <c r="J31" s="392">
        <f t="shared" si="28"/>
        <v>0</v>
      </c>
      <c r="K31" s="392">
        <f t="shared" si="28"/>
        <v>0</v>
      </c>
    </row>
  </sheetData>
  <sheetProtection sheet="1" objects="1" scenarios="1"/>
  <mergeCells count="2">
    <mergeCell ref="A3:A4"/>
    <mergeCell ref="B3:B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topLeftCell="B1" zoomScaleNormal="100" zoomScalePageLayoutView="157" workbookViewId="0">
      <pane ySplit="7" topLeftCell="A8" activePane="bottomLeft" state="frozen"/>
      <selection pane="bottomLeft" activeCell="B5" sqref="B5:B7"/>
    </sheetView>
  </sheetViews>
  <sheetFormatPr baseColWidth="10" defaultColWidth="11.453125" defaultRowHeight="14.5" x14ac:dyDescent="0.35"/>
  <cols>
    <col min="1" max="1" width="4.1796875" style="72" customWidth="1"/>
    <col min="2" max="2" width="39" style="71" customWidth="1"/>
    <col min="3" max="9" width="13.1796875" style="71" customWidth="1"/>
    <col min="10" max="10" width="13.1796875" style="72" customWidth="1"/>
    <col min="11" max="16384" width="11.453125" style="10"/>
  </cols>
  <sheetData>
    <row r="1" spans="1:10" s="71" customFormat="1" ht="18" customHeight="1" x14ac:dyDescent="0.35">
      <c r="A1" s="617" t="str">
        <f>Grunddaten!A1</f>
        <v>Gemeinde A</v>
      </c>
      <c r="B1" s="619"/>
      <c r="C1" s="619"/>
      <c r="D1" s="619"/>
      <c r="E1" s="619"/>
      <c r="F1" s="619"/>
      <c r="G1" s="619"/>
      <c r="H1" s="619"/>
      <c r="I1" s="619"/>
      <c r="J1" s="619"/>
    </row>
    <row r="2" spans="1:10" s="71" customFormat="1" ht="15" customHeight="1" x14ac:dyDescent="0.35">
      <c r="A2" s="619" t="str">
        <f>Grunddaten!A2</f>
        <v>Abwasserbeseitigungseinrichtung</v>
      </c>
      <c r="B2" s="619"/>
      <c r="C2" s="619"/>
      <c r="D2" s="619"/>
      <c r="E2" s="619"/>
      <c r="F2" s="619"/>
      <c r="G2" s="619"/>
      <c r="H2" s="619"/>
      <c r="I2" s="619"/>
      <c r="J2" s="619"/>
    </row>
    <row r="3" spans="1:10" s="71" customFormat="1" ht="36.75" customHeight="1" x14ac:dyDescent="0.35">
      <c r="A3" s="621" t="s">
        <v>1067</v>
      </c>
      <c r="B3" s="622"/>
      <c r="C3" s="622"/>
      <c r="D3" s="622"/>
      <c r="E3" s="622"/>
      <c r="F3" s="622"/>
      <c r="G3" s="622"/>
      <c r="H3" s="622"/>
      <c r="I3" s="622"/>
      <c r="J3" s="622"/>
    </row>
    <row r="4" spans="1:10" s="71" customFormat="1" ht="18.75" customHeight="1" x14ac:dyDescent="0.35">
      <c r="A4" s="696" t="str">
        <f xml:space="preserve"> "für den Zeitraum vom "&amp; TEXT(Grunddaten!H8,"TT.MM.JJJJ") &amp; " bis " &amp; TEXT(Grunddaten!J8,"TT.MM.JJJJ")</f>
        <v>für den Zeitraum vom 01.01.2017 bis 31.12.2020</v>
      </c>
      <c r="B4" s="696"/>
      <c r="C4" s="696"/>
      <c r="D4" s="696"/>
      <c r="E4" s="696"/>
      <c r="F4" s="696"/>
      <c r="G4" s="696"/>
      <c r="H4" s="696"/>
      <c r="I4" s="696"/>
      <c r="J4" s="697"/>
    </row>
    <row r="5" spans="1:10" s="71" customFormat="1" x14ac:dyDescent="0.35">
      <c r="A5" s="624" t="s">
        <v>0</v>
      </c>
      <c r="B5" s="626" t="s">
        <v>439</v>
      </c>
      <c r="C5" s="629" t="s">
        <v>442</v>
      </c>
      <c r="D5" s="630"/>
      <c r="E5" s="630"/>
      <c r="F5" s="630"/>
      <c r="G5" s="630"/>
      <c r="H5" s="630"/>
      <c r="I5" s="630"/>
      <c r="J5" s="631"/>
    </row>
    <row r="6" spans="1:10" s="71" customFormat="1" ht="15" customHeight="1" x14ac:dyDescent="0.35">
      <c r="A6" s="614"/>
      <c r="B6" s="627"/>
      <c r="C6" s="633">
        <f>YEAR(Grunddaten!H8)</f>
        <v>2017</v>
      </c>
      <c r="D6" s="632"/>
      <c r="E6" s="632">
        <f>IF(C6="-","-",IF(C6&lt;YEAR(Grunddaten!$J$8),C6+1,"-"))</f>
        <v>2018</v>
      </c>
      <c r="F6" s="632"/>
      <c r="G6" s="632">
        <f>IF(E6="-","-",IF(E6&lt;YEAR(Grunddaten!$J$8),E6+1,"-"))</f>
        <v>2019</v>
      </c>
      <c r="H6" s="632"/>
      <c r="I6" s="632">
        <f>IF(G6="-","-",IF(G6&lt;YEAR(Grunddaten!$J$8),G6+1,"-"))</f>
        <v>2020</v>
      </c>
      <c r="J6" s="632"/>
    </row>
    <row r="7" spans="1:10" s="407" customFormat="1" ht="26.25" customHeight="1" x14ac:dyDescent="0.35">
      <c r="A7" s="625"/>
      <c r="B7" s="628"/>
      <c r="C7" s="406" t="s">
        <v>599</v>
      </c>
      <c r="D7" s="406" t="s">
        <v>441</v>
      </c>
      <c r="E7" s="406" t="s">
        <v>599</v>
      </c>
      <c r="F7" s="406" t="s">
        <v>441</v>
      </c>
      <c r="G7" s="406" t="s">
        <v>599</v>
      </c>
      <c r="H7" s="406" t="s">
        <v>441</v>
      </c>
      <c r="I7" s="406" t="s">
        <v>599</v>
      </c>
      <c r="J7" s="406" t="s">
        <v>441</v>
      </c>
    </row>
    <row r="8" spans="1:10" s="72" customFormat="1" ht="24" customHeight="1" x14ac:dyDescent="0.35">
      <c r="A8" s="97" t="s">
        <v>616</v>
      </c>
      <c r="B8" s="55" t="s">
        <v>429</v>
      </c>
      <c r="C8" s="56"/>
      <c r="D8" s="56"/>
      <c r="E8" s="57"/>
      <c r="F8" s="56"/>
      <c r="G8" s="57"/>
      <c r="H8" s="56"/>
      <c r="I8" s="57"/>
      <c r="J8" s="58"/>
    </row>
    <row r="9" spans="1:10" s="71" customFormat="1" ht="30" customHeight="1" x14ac:dyDescent="0.35">
      <c r="A9" s="97" t="s">
        <v>11</v>
      </c>
      <c r="B9" s="408" t="s">
        <v>1104</v>
      </c>
      <c r="C9" s="59">
        <f>IF(C6="-","-",HLOOKUP(C6,Anlageg,24,FALSE))</f>
        <v>608752.29</v>
      </c>
      <c r="D9" s="59">
        <f>IF(C6="-","-",HLOOKUP(C6,Anlageg,25,FALSE))</f>
        <v>107928.85</v>
      </c>
      <c r="E9" s="59">
        <f>IF(E6="-","-",HLOOKUP(E6,Anlageg,24,FALSE))</f>
        <v>605905.87</v>
      </c>
      <c r="F9" s="59">
        <f>IF(E6="-","-",HLOOKUP(E6,Anlageg,25,FALSE))</f>
        <v>106867.06</v>
      </c>
      <c r="G9" s="59">
        <f>IF(G6="-","-",HLOOKUP(G6,Anlageg,24,FALSE))</f>
        <v>402148.89</v>
      </c>
      <c r="H9" s="59">
        <f>IF(G6="-","-",HLOOKUP(G6,Anlageg,25,FALSE))</f>
        <v>102775.55</v>
      </c>
      <c r="I9" s="59">
        <f>IF(I6="-","-",HLOOKUP(I6,Anlageg,24,FALSE))</f>
        <v>386212.62</v>
      </c>
      <c r="J9" s="59">
        <f>IF(I6="-","-",HLOOKUP(I6,Anlageg,25,FALSE))</f>
        <v>101493.69</v>
      </c>
    </row>
    <row r="10" spans="1:10" s="71" customFormat="1" ht="21" customHeight="1" x14ac:dyDescent="0.35">
      <c r="A10" s="97" t="s">
        <v>13</v>
      </c>
      <c r="B10" s="409" t="s">
        <v>430</v>
      </c>
      <c r="C10" s="59">
        <f>IF(C6="-","-",HLOOKUP(C6,Beitr,12,FALSE)*-1)</f>
        <v>-128081.48</v>
      </c>
      <c r="D10" s="59">
        <f>IF(C6="-","-",HLOOKUP(C6,Beitr,13,FALSE)*-1)</f>
        <v>-22709.05</v>
      </c>
      <c r="E10" s="59">
        <f>IF(E6="-","-",HLOOKUP(E6,Beitr,12,FALSE)*-1)</f>
        <v>-123337.11</v>
      </c>
      <c r="F10" s="59">
        <f>IF(E6="-","-",HLOOKUP(E6,Beitr,13,FALSE)*-1)</f>
        <v>-21753.42</v>
      </c>
      <c r="G10" s="59">
        <f>IF(G6="-","-",HLOOKUP(G6,Beitr,12,FALSE)*-1)</f>
        <v>-115557.35</v>
      </c>
      <c r="H10" s="59">
        <f>IF(G6="-","-",HLOOKUP(G6,Beitr,13,FALSE)*-1)</f>
        <v>-29533.18</v>
      </c>
      <c r="I10" s="59">
        <f>IF(I6="-","-",HLOOKUP(I6,Beitr,12,FALSE)*-1)</f>
        <v>-114897.19</v>
      </c>
      <c r="J10" s="59">
        <f>IF(I6="-","-",HLOOKUP(I6,Beitr,13,FALSE)*-1)</f>
        <v>-30193.34</v>
      </c>
    </row>
    <row r="11" spans="1:10" s="71" customFormat="1" ht="28.5" customHeight="1" x14ac:dyDescent="0.35">
      <c r="A11" s="97" t="s">
        <v>16</v>
      </c>
      <c r="B11" s="410" t="s">
        <v>431</v>
      </c>
      <c r="C11" s="59">
        <f>IF(C6="-","-",IF(HLOOKUP(C6,Grund_be,2,FALSE)=2,HLOOKUP(C6,Zuwend,70,FALSE)*-1,HLOOKUP(C6,Zuwend,12,FALSE)*-1))</f>
        <v>0</v>
      </c>
      <c r="D11" s="59">
        <f>IF(C6="-","-",IF(HLOOKUP(C6,Grund_be,2,FALSE)=2,HLOOKUP(C6,Zuwend,71,FALSE)*-1,HLOOKUP(C6,Zuwend,13,FALSE)*-1))</f>
        <v>0</v>
      </c>
      <c r="E11" s="59">
        <f>IF(E6="-","-",IF(HLOOKUP(E6,Grund_be,2,FALSE)=2,HLOOKUP(E6,Zuwend,70,FALSE)*-1,HLOOKUP(E6,Zuwend,12,FALSE)*-1))</f>
        <v>0</v>
      </c>
      <c r="F11" s="59">
        <f>IF(E6="-","-",IF(HLOOKUP(E6,Grund_be,2,FALSE)=2,HLOOKUP(E6,Zuwend,71,FALSE)*-1,HLOOKUP(E6,Zuwend,13,FALSE)*-1))</f>
        <v>0</v>
      </c>
      <c r="G11" s="59">
        <f>IF(G6="-","-",IF(HLOOKUP(G6,Grund_be,2,FALSE)=2,HLOOKUP(G6,Zuwend,70,FALSE)*-1,HLOOKUP(G6,Zuwend,12,FALSE)*-1))</f>
        <v>0</v>
      </c>
      <c r="H11" s="59">
        <f>IF(G6="-","-",IF(HLOOKUP(G6,Grund_be,2,FALSE)=2,HLOOKUP(G6,Zuwend,71,FALSE)*-1,HLOOKUP(G6,Zuwend,13,FALSE)*-1))</f>
        <v>0</v>
      </c>
      <c r="I11" s="59">
        <f>IF(I6="-","-",IF(HLOOKUP(I6,Grund_be,2,FALSE)=2,HLOOKUP(I6,Zuwend,70,FALSE)*-1,HLOOKUP(I6,Zuwend,12,FALSE)*-1))</f>
        <v>0</v>
      </c>
      <c r="J11" s="59">
        <f>IF(I6="-","-",IF(HLOOKUP(I6,Grund_be,2,FALSE)=2,HLOOKUP(I6,Zuwend,71,FALSE)*-1,HLOOKUP(I6,Zuwend,13,FALSE)*-1))</f>
        <v>0</v>
      </c>
    </row>
    <row r="12" spans="1:10" s="71" customFormat="1" ht="30" customHeight="1" thickBot="1" x14ac:dyDescent="0.4">
      <c r="A12" s="97" t="s">
        <v>19</v>
      </c>
      <c r="B12" s="411" t="s">
        <v>432</v>
      </c>
      <c r="C12" s="412">
        <f>IF(C6="-","-",SUM(C9,C10,C11))</f>
        <v>480670.81000000006</v>
      </c>
      <c r="D12" s="412">
        <f>IF(C6="-","-",SUM(D9,D10,D11))</f>
        <v>85219.8</v>
      </c>
      <c r="E12" s="412">
        <f t="shared" ref="E12" si="0">IF(E6="-","-",SUM(E9,E10,E11))</f>
        <v>482568.76</v>
      </c>
      <c r="F12" s="412">
        <f t="shared" ref="F12" si="1">IF(E6="-","-",SUM(F9,F10,F11))</f>
        <v>85113.64</v>
      </c>
      <c r="G12" s="412">
        <f t="shared" ref="G12" si="2">IF(G6="-","-",SUM(G9,G10,G11))</f>
        <v>286591.54000000004</v>
      </c>
      <c r="H12" s="412">
        <f t="shared" ref="H12" si="3">IF(G6="-","-",SUM(H9,H10,H11))</f>
        <v>73242.37</v>
      </c>
      <c r="I12" s="412">
        <f t="shared" ref="I12" si="4">IF(I6="-","-",SUM(I9,I10,I11))</f>
        <v>271315.43</v>
      </c>
      <c r="J12" s="412">
        <f t="shared" ref="J12" si="5">IF(I6="-","-",SUM(J9,J10,J11))</f>
        <v>71300.350000000006</v>
      </c>
    </row>
    <row r="13" spans="1:10" s="71" customFormat="1" ht="21" customHeight="1" x14ac:dyDescent="0.35">
      <c r="A13" s="97" t="s">
        <v>22</v>
      </c>
      <c r="B13" s="408" t="s">
        <v>927</v>
      </c>
      <c r="C13" s="59">
        <f>IF(C6="-","-",HLOOKUP(C6,Anlageg,49,FALSE))</f>
        <v>327942.43</v>
      </c>
      <c r="D13" s="59">
        <f>IF(C6="-","-",HLOOKUP(C6,Anlageg,50,FALSE))</f>
        <v>69229.52</v>
      </c>
      <c r="E13" s="59">
        <f>IF(E6="-","-",HLOOKUP(E6,Anlageg,49,FALSE))</f>
        <v>309722.55</v>
      </c>
      <c r="F13" s="59">
        <f>IF(E6="-","-",HLOOKUP(E6,Anlageg,50,FALSE))</f>
        <v>66007.59</v>
      </c>
      <c r="G13" s="59">
        <f>IF(G6="-","-",HLOOKUP(G6,Anlageg,49,FALSE))</f>
        <v>294601.73</v>
      </c>
      <c r="H13" s="59">
        <f>IF(G6="-","-",HLOOKUP(G6,Anlageg,50,FALSE))</f>
        <v>62862.94</v>
      </c>
      <c r="I13" s="59">
        <f>IF(I6="-","-",HLOOKUP(I6,Anlageg,49,FALSE))</f>
        <v>282776.3</v>
      </c>
      <c r="J13" s="59">
        <f>IF(I6="-","-",HLOOKUP(I6,Anlageg,50,FALSE))</f>
        <v>59798.91</v>
      </c>
    </row>
    <row r="14" spans="1:10" s="71" customFormat="1" ht="21" customHeight="1" x14ac:dyDescent="0.35">
      <c r="A14" s="97" t="s">
        <v>25</v>
      </c>
      <c r="B14" s="409" t="s">
        <v>433</v>
      </c>
      <c r="C14" s="59">
        <f>IF(C6="-","-",HLOOKUP(C6,Beitr,25,FALSE)*-1)</f>
        <v>-54769.919999999998</v>
      </c>
      <c r="D14" s="59">
        <f>IF(C6="-","-",HLOOKUP(C6,Beitr,26,FALSE)*-1)</f>
        <v>-11562.38</v>
      </c>
      <c r="E14" s="59">
        <f>IF(E6="-","-",HLOOKUP(E6,Beitr,25,FALSE)*-1)</f>
        <v>-51020.53</v>
      </c>
      <c r="F14" s="59">
        <f>IF(E6="-","-",HLOOKUP(E6,Beitr,26,FALSE)*-1)</f>
        <v>-10873.55</v>
      </c>
      <c r="G14" s="59">
        <f>IF(G6="-","-",HLOOKUP(G6,Beitr,25,FALSE)*-1)</f>
        <v>-47422.14</v>
      </c>
      <c r="H14" s="59">
        <f>IF(G6="-","-",HLOOKUP(G6,Beitr,26,FALSE)*-1)</f>
        <v>-10119.219999999999</v>
      </c>
      <c r="I14" s="59">
        <f>IF(I6="-","-",HLOOKUP(I6,Beitr,25,FALSE)*-1)</f>
        <v>-43904.04</v>
      </c>
      <c r="J14" s="59">
        <f>IF(I6="-","-",HLOOKUP(I6,Beitr,26,FALSE)*-1)</f>
        <v>-9284.61</v>
      </c>
    </row>
    <row r="15" spans="1:10" s="71" customFormat="1" ht="21" customHeight="1" x14ac:dyDescent="0.35">
      <c r="A15" s="97" t="s">
        <v>27</v>
      </c>
      <c r="B15" s="409" t="s">
        <v>434</v>
      </c>
      <c r="C15" s="60">
        <f>IF(C6="-","-",HLOOKUP(C6,Zuwend,25,FALSE)*-1)</f>
        <v>-31818.93</v>
      </c>
      <c r="D15" s="60">
        <f>IF(C6="-","-",HLOOKUP(C6,Zuwend,26,FALSE)*-1)</f>
        <v>-22777.919999999998</v>
      </c>
      <c r="E15" s="60">
        <f>IF(E6="-","-",HLOOKUP(E6,Zuwend,25,FALSE)*-1)</f>
        <v>-29848.15</v>
      </c>
      <c r="F15" s="60">
        <f>IF(E6="-","-",HLOOKUP(E6,Zuwend,26,FALSE)*-1)</f>
        <v>-21359.599999999999</v>
      </c>
      <c r="G15" s="60">
        <f>IF(G6="-","-",HLOOKUP(G6,Zuwend,25,FALSE)*-1)</f>
        <v>-27888.83</v>
      </c>
      <c r="H15" s="60">
        <f>IF(G6="-","-",HLOOKUP(G6,Zuwend,26,FALSE)*-1)</f>
        <v>-19929.82</v>
      </c>
      <c r="I15" s="60">
        <f>IF(I6="-","-",HLOOKUP(I6,Zuwend,25,FALSE)*-1)</f>
        <v>-25941.91</v>
      </c>
      <c r="J15" s="60">
        <f>IF(I6="-","-",HLOOKUP(I6,Zuwend,26,FALSE)*-1)</f>
        <v>-18487.64</v>
      </c>
    </row>
    <row r="16" spans="1:10" s="71" customFormat="1" ht="30" customHeight="1" x14ac:dyDescent="0.35">
      <c r="A16" s="97" t="s">
        <v>30</v>
      </c>
      <c r="B16" s="413" t="s">
        <v>435</v>
      </c>
      <c r="C16" s="321">
        <f>IF(C6="-","-",SUM(C13,C14,C15))</f>
        <v>241353.58000000002</v>
      </c>
      <c r="D16" s="321">
        <f>IF(C6="-","-",SUM(D13,D14,D15))</f>
        <v>34889.220000000008</v>
      </c>
      <c r="E16" s="321">
        <f t="shared" ref="E16" si="6">IF(E6="-","-",SUM(E13,E14,E15))</f>
        <v>228853.87</v>
      </c>
      <c r="F16" s="321">
        <f t="shared" ref="F16" si="7">IF(E6="-","-",SUM(F13,F14,F15))</f>
        <v>33774.439999999995</v>
      </c>
      <c r="G16" s="321">
        <f t="shared" ref="G16" si="8">IF(G6="-","-",SUM(G13,G14,G15))</f>
        <v>219290.75999999995</v>
      </c>
      <c r="H16" s="321">
        <f t="shared" ref="H16" si="9">IF(G6="-","-",SUM(H13,H14,H15))</f>
        <v>32813.9</v>
      </c>
      <c r="I16" s="321">
        <f t="shared" ref="I16" si="10">IF(I6="-","-",SUM(I13,I14,I15))</f>
        <v>212930.34999999998</v>
      </c>
      <c r="J16" s="321">
        <f t="shared" ref="J16" si="11">IF(I6="-","-",SUM(J13,J14,J15))</f>
        <v>32026.660000000003</v>
      </c>
    </row>
    <row r="17" spans="1:11" s="71" customFormat="1" ht="21" customHeight="1" x14ac:dyDescent="0.35">
      <c r="A17" s="97" t="s">
        <v>33</v>
      </c>
      <c r="B17" s="408" t="s">
        <v>928</v>
      </c>
      <c r="C17" s="59">
        <f>IF(C6="-","-",HLOOKUP(C6,Anlageg,74,FALSE))</f>
        <v>0</v>
      </c>
      <c r="D17" s="59">
        <f>IF(C6="-","-",HLOOKUP(C6,Anlageg,75,FALSE))</f>
        <v>0</v>
      </c>
      <c r="E17" s="59">
        <f>IF(E6="-","-",HLOOKUP(E6,Anlageg,74,FALSE))</f>
        <v>0</v>
      </c>
      <c r="F17" s="59">
        <f>IF(E6="-","-",HLOOKUP(E6,Anlageg,75,FALSE))</f>
        <v>0</v>
      </c>
      <c r="G17" s="59">
        <f>IF(G6="-","-",HLOOKUP(G6,Anlageg,74,FALSE))</f>
        <v>0</v>
      </c>
      <c r="H17" s="59">
        <f>IF(G6="-","-",HLOOKUP(G6,Anlageg,75,FALSE))</f>
        <v>0</v>
      </c>
      <c r="I17" s="59">
        <f>IF(I6="-","-",HLOOKUP(I6,Anlageg,74,FALSE))</f>
        <v>0</v>
      </c>
      <c r="J17" s="59">
        <f>IF(I6="-","-",HLOOKUP(I6,Anlageg,75,FALSE))</f>
        <v>0</v>
      </c>
    </row>
    <row r="18" spans="1:11" s="71" customFormat="1" ht="21" customHeight="1" x14ac:dyDescent="0.35">
      <c r="A18" s="97" t="s">
        <v>36</v>
      </c>
      <c r="B18" s="409" t="s">
        <v>433</v>
      </c>
      <c r="C18" s="59">
        <f>IF(C6="-","-",HLOOKUP(C6,Beitr,38,FALSE)*-1)</f>
        <v>0</v>
      </c>
      <c r="D18" s="59">
        <f>IF(C6="-","-",HLOOKUP(C6,Beitr,39,FALSE)*-1)</f>
        <v>0</v>
      </c>
      <c r="E18" s="59">
        <f>IF(E6="-","-",HLOOKUP(E6,Beitr,38,FALSE)*-1)</f>
        <v>0</v>
      </c>
      <c r="F18" s="59">
        <f>IF(E6="-","-",HLOOKUP(E6,Beitr,39,FALSE)*-1)</f>
        <v>0</v>
      </c>
      <c r="G18" s="59">
        <f>IF(G6="-","-",HLOOKUP(G6,Beitr,38,FALSE)*-1)</f>
        <v>0</v>
      </c>
      <c r="H18" s="59">
        <f>IF(G6="-","-",HLOOKUP(G6,Beitr,39,FALSE)*-1)</f>
        <v>0</v>
      </c>
      <c r="I18" s="59">
        <f>IF(I6="-","-",HLOOKUP(I6,Beitr,38,FALSE)*-1)</f>
        <v>0</v>
      </c>
      <c r="J18" s="59">
        <f>IF(I6="-","-",HLOOKUP(I6,Beitr,39,FALSE)*-1)</f>
        <v>0</v>
      </c>
    </row>
    <row r="19" spans="1:11" s="71" customFormat="1" ht="21" customHeight="1" x14ac:dyDescent="0.35">
      <c r="A19" s="97" t="s">
        <v>39</v>
      </c>
      <c r="B19" s="409" t="s">
        <v>434</v>
      </c>
      <c r="C19" s="60">
        <f>IF(C6="-","-",HLOOKUP(C6,Zuwend,38,FALSE)*-1)</f>
        <v>0</v>
      </c>
      <c r="D19" s="60">
        <f>IF(C6="-","-",HLOOKUP(C6,Zuwend,39,FALSE)*-1)</f>
        <v>0</v>
      </c>
      <c r="E19" s="60">
        <f>IF(E6="-","-",HLOOKUP(E6,Zuwend,38,FALSE)*-1)</f>
        <v>0</v>
      </c>
      <c r="F19" s="60">
        <f>IF(E6="-","-",HLOOKUP(E6,Zuwend,39,FALSE)*-1)</f>
        <v>0</v>
      </c>
      <c r="G19" s="60">
        <f>IF(G6="-","-",HLOOKUP(G6,Zuwend,38,FALSE)*-1)</f>
        <v>0</v>
      </c>
      <c r="H19" s="60">
        <f>IF(G6="-","-",HLOOKUP(G6,Zuwend,39,FALSE)*-1)</f>
        <v>0</v>
      </c>
      <c r="I19" s="60">
        <f>IF(I6="-","-",HLOOKUP(I6,Zuwend,38,FALSE)*-1)</f>
        <v>0</v>
      </c>
      <c r="J19" s="60">
        <f>IF(I6="-","-",HLOOKUP(I6,Zuwend,39,FALSE)*-1)</f>
        <v>0</v>
      </c>
    </row>
    <row r="20" spans="1:11" s="71" customFormat="1" ht="30" customHeight="1" x14ac:dyDescent="0.35">
      <c r="A20" s="97" t="s">
        <v>42</v>
      </c>
      <c r="B20" s="413" t="s">
        <v>436</v>
      </c>
      <c r="C20" s="321">
        <f>IF(C6="-","-",SUM(C17,C18,C19))</f>
        <v>0</v>
      </c>
      <c r="D20" s="321">
        <f>IF(C6="-","-",SUM(D17,D18,D19))</f>
        <v>0</v>
      </c>
      <c r="E20" s="321">
        <f t="shared" ref="E20" si="12">IF(E6="-","-",SUM(E17,E18,E19))</f>
        <v>0</v>
      </c>
      <c r="F20" s="321">
        <f t="shared" ref="F20" si="13">IF(E6="-","-",SUM(F17,F18,F19))</f>
        <v>0</v>
      </c>
      <c r="G20" s="321">
        <f t="shared" ref="G20" si="14">IF(G6="-","-",SUM(G17,G18,G19))</f>
        <v>0</v>
      </c>
      <c r="H20" s="321">
        <f t="shared" ref="H20" si="15">IF(G6="-","-",SUM(H17,H18,H19))</f>
        <v>0</v>
      </c>
      <c r="I20" s="321">
        <f t="shared" ref="I20" si="16">IF(I6="-","-",SUM(I17,I18,I19))</f>
        <v>0</v>
      </c>
      <c r="J20" s="321">
        <f t="shared" ref="J20" si="17">IF(I6="-","-",SUM(J17,J18,J19))</f>
        <v>0</v>
      </c>
    </row>
    <row r="21" spans="1:11" s="71" customFormat="1" ht="23.25" customHeight="1" thickBot="1" x14ac:dyDescent="0.4">
      <c r="A21" s="97" t="s">
        <v>44</v>
      </c>
      <c r="B21" s="414" t="s">
        <v>437</v>
      </c>
      <c r="C21" s="415">
        <f>IF(C6="-","-",SUM(C16,C20))</f>
        <v>241353.58000000002</v>
      </c>
      <c r="D21" s="415">
        <f>IF(C6="-","-",SUM(D16,D20))</f>
        <v>34889.220000000008</v>
      </c>
      <c r="E21" s="415">
        <f t="shared" ref="E21" si="18">IF(E6="-","-",SUM(E16,E20))</f>
        <v>228853.87</v>
      </c>
      <c r="F21" s="415">
        <f t="shared" ref="F21" si="19">IF(E6="-","-",SUM(F16,F20))</f>
        <v>33774.439999999995</v>
      </c>
      <c r="G21" s="415">
        <f t="shared" ref="G21" si="20">IF(G6="-","-",SUM(G16,G20))</f>
        <v>219290.75999999995</v>
      </c>
      <c r="H21" s="415">
        <f t="shared" ref="H21" si="21">IF(G6="-","-",SUM(H16,H20))</f>
        <v>32813.9</v>
      </c>
      <c r="I21" s="415">
        <f t="shared" ref="I21" si="22">IF(I6="-","-",SUM(I16,I20))</f>
        <v>212930.34999999998</v>
      </c>
      <c r="J21" s="415">
        <f t="shared" ref="J21" si="23">IF(I6="-","-",SUM(J16,J20))</f>
        <v>32026.660000000003</v>
      </c>
    </row>
    <row r="22" spans="1:11" s="72" customFormat="1" ht="24" customHeight="1" x14ac:dyDescent="0.35">
      <c r="A22" s="97" t="s">
        <v>726</v>
      </c>
      <c r="B22" s="55" t="s">
        <v>438</v>
      </c>
      <c r="C22" s="63"/>
      <c r="D22" s="62"/>
      <c r="E22" s="63"/>
      <c r="F22" s="62"/>
      <c r="G22" s="63"/>
      <c r="H22" s="62"/>
      <c r="I22" s="63"/>
      <c r="J22" s="62"/>
    </row>
    <row r="23" spans="1:11" s="71" customFormat="1" ht="21" customHeight="1" x14ac:dyDescent="0.35">
      <c r="A23" s="97" t="s">
        <v>86</v>
      </c>
      <c r="B23" s="410" t="s">
        <v>438</v>
      </c>
      <c r="C23" s="59">
        <f>IF(C6&lt;&gt;"-",HLOOKUP(C6,Betriebsko,9,FALSE),"-")</f>
        <v>780841.15</v>
      </c>
      <c r="D23" s="59">
        <f>IF(C6&lt;&gt;"-",HLOOKUP(C6,Betriebsko,10,FALSE),"-")</f>
        <v>98818.93</v>
      </c>
      <c r="E23" s="59">
        <f>IF(E6&lt;&gt;"-",HLOOKUP(E6,Betriebsko,9,FALSE),"-")</f>
        <v>796454.6</v>
      </c>
      <c r="F23" s="59">
        <f>IF(E6&lt;&gt;"-",HLOOKUP(E6,Betriebsko,10,FALSE),"-")</f>
        <v>100794.2</v>
      </c>
      <c r="G23" s="59">
        <f>IF(G6&lt;&gt;"-",HLOOKUP(G6,Betriebsko,9,FALSE),"-")</f>
        <v>812383.7</v>
      </c>
      <c r="H23" s="59">
        <f>IF(G6&lt;&gt;"-",HLOOKUP(G6,Betriebsko,10,FALSE),"-")</f>
        <v>102809.65</v>
      </c>
      <c r="I23" s="59">
        <f>IF(I6&lt;&gt;"-",HLOOKUP(I6,Betriebsko,9,FALSE),"-")</f>
        <v>828632.8</v>
      </c>
      <c r="J23" s="59">
        <f>IF(I6&lt;&gt;"-",HLOOKUP(I6,Betriebsko,10,FALSE),"-")</f>
        <v>104867.6</v>
      </c>
    </row>
    <row r="24" spans="1:11" s="71" customFormat="1" ht="21" customHeight="1" x14ac:dyDescent="0.35">
      <c r="A24" s="97" t="s">
        <v>89</v>
      </c>
      <c r="B24" s="409" t="s">
        <v>806</v>
      </c>
      <c r="C24" s="59">
        <f>IF(C6&lt;&gt;"-",HLOOKUP(C6,Betriebsko,4,FALSE)*-1,"-")</f>
        <v>-32269.8</v>
      </c>
      <c r="D24" s="59">
        <f>IF(C6&lt;&gt;"-",HLOOKUP(C6,Betriebsko,5,FALSE)*-1,"-")</f>
        <v>-737.2</v>
      </c>
      <c r="E24" s="59">
        <f>IF(E6&lt;&gt;"-",HLOOKUP(E6,Betriebsko,4,FALSE)*-1,"-")</f>
        <v>-32914.1</v>
      </c>
      <c r="F24" s="59">
        <f>IF(E6&lt;&gt;"-",HLOOKUP(E6,Betriebsko,5,FALSE)*-1,"-")</f>
        <v>-751.9</v>
      </c>
      <c r="G24" s="59">
        <f>IF(G6&lt;&gt;"-",HLOOKUP(G6,Betriebsko,4,FALSE)*-1,"-")</f>
        <v>-33574</v>
      </c>
      <c r="H24" s="59">
        <f>IF(G6&lt;&gt;"-",HLOOKUP(G6,Betriebsko,5,FALSE)*-1,"-")</f>
        <v>-767</v>
      </c>
      <c r="I24" s="59">
        <f>IF(I6&lt;&gt;"-",HLOOKUP(I6,Betriebsko,4,FALSE)*-1,"-")</f>
        <v>-34245.699999999997</v>
      </c>
      <c r="J24" s="59">
        <f>IF(I6&lt;&gt;"-",HLOOKUP(I6,Betriebsko,5,FALSE)*-1,"-")</f>
        <v>-782.3</v>
      </c>
    </row>
    <row r="25" spans="1:11" s="71" customFormat="1" ht="22.5" customHeight="1" thickBot="1" x14ac:dyDescent="0.4">
      <c r="A25" s="97" t="s">
        <v>92</v>
      </c>
      <c r="B25" s="414" t="s">
        <v>811</v>
      </c>
      <c r="C25" s="415">
        <f>IF(C6="-","-",SUM(C23,C24))</f>
        <v>748571.35</v>
      </c>
      <c r="D25" s="415">
        <f>IF(C6="-","-",SUM(D23,D24))</f>
        <v>98081.73</v>
      </c>
      <c r="E25" s="415">
        <f t="shared" ref="E25" si="24">IF(E6="-","-",SUM(E23,E24))</f>
        <v>763540.5</v>
      </c>
      <c r="F25" s="415">
        <f t="shared" ref="F25" si="25">IF(E6="-","-",SUM(F23,F24))</f>
        <v>100042.3</v>
      </c>
      <c r="G25" s="415">
        <f t="shared" ref="G25" si="26">IF(G6="-","-",SUM(G23,G24))</f>
        <v>778809.7</v>
      </c>
      <c r="H25" s="415">
        <f t="shared" ref="H25" si="27">IF(G6="-","-",SUM(H23,H24))</f>
        <v>102042.65</v>
      </c>
      <c r="I25" s="415">
        <f t="shared" ref="I25" si="28">IF(I6="-","-",SUM(I23,I24))</f>
        <v>794387.10000000009</v>
      </c>
      <c r="J25" s="415">
        <f t="shared" ref="J25" si="29">IF(I6="-","-",SUM(J23,J24))</f>
        <v>104085.3</v>
      </c>
    </row>
    <row r="26" spans="1:11" s="73" customFormat="1" ht="6.75" customHeight="1" x14ac:dyDescent="0.35">
      <c r="A26" s="416"/>
      <c r="B26" s="416"/>
      <c r="C26" s="416"/>
      <c r="D26" s="416"/>
      <c r="E26" s="416"/>
      <c r="F26" s="416"/>
      <c r="G26" s="416"/>
      <c r="H26" s="416"/>
      <c r="I26" s="416"/>
      <c r="J26" s="417"/>
    </row>
    <row r="27" spans="1:11" s="71" customFormat="1" ht="21" customHeight="1" x14ac:dyDescent="0.35">
      <c r="A27" s="616" t="s">
        <v>730</v>
      </c>
      <c r="B27" s="710" t="str">
        <f>IF(Grunddaten!H17=2,"Gesplittete Gebühren -Berechnung je cbm Einleitungsmenge bzw. je qm befestige Fläche-","Gesplittete Gebühren - keine Berechnung, da Gebühren nach dem modifizierten Frischwassermaßstab berechnet werden - siehe Nr. 3b")</f>
        <v>Gesplittete Gebühren - keine Berechnung, da Gebühren nach dem modifizierten Frischwassermaßstab berechnet werden - siehe Nr. 3b</v>
      </c>
      <c r="C27" s="711"/>
      <c r="D27" s="711"/>
      <c r="E27" s="711"/>
      <c r="F27" s="711"/>
      <c r="G27" s="711"/>
      <c r="H27" s="711"/>
      <c r="I27" s="711"/>
      <c r="J27" s="712"/>
    </row>
    <row r="28" spans="1:11" s="71" customFormat="1" x14ac:dyDescent="0.35">
      <c r="A28" s="614"/>
      <c r="B28" s="418" t="s">
        <v>137</v>
      </c>
      <c r="C28" s="639">
        <f>C6</f>
        <v>2017</v>
      </c>
      <c r="D28" s="633"/>
      <c r="E28" s="639">
        <f t="shared" ref="E28" si="30">E6</f>
        <v>2018</v>
      </c>
      <c r="F28" s="633"/>
      <c r="G28" s="639">
        <f t="shared" ref="G28" si="31">G6</f>
        <v>2019</v>
      </c>
      <c r="H28" s="633"/>
      <c r="I28" s="639">
        <f t="shared" ref="I28" si="32">I6</f>
        <v>2020</v>
      </c>
      <c r="J28" s="633"/>
    </row>
    <row r="29" spans="1:11" s="71" customFormat="1" ht="14.15" customHeight="1" x14ac:dyDescent="0.35">
      <c r="A29" s="615"/>
      <c r="B29" s="410" t="s">
        <v>445</v>
      </c>
      <c r="C29" s="420" t="str">
        <f>IF(AND(Grunddaten!$H$17=2,C6&lt;&gt;"-"),"SW","-")</f>
        <v>-</v>
      </c>
      <c r="D29" s="421" t="str">
        <f>IF(AND(Grunddaten!$H$17=2,C6&lt;&gt;"-"),"RW","-")</f>
        <v>-</v>
      </c>
      <c r="E29" s="505" t="str">
        <f>IF(AND(Grunddaten!$H$17=2,E6&lt;&gt;"-"),"SW","-")</f>
        <v>-</v>
      </c>
      <c r="F29" s="421" t="str">
        <f>IF(AND(Grunddaten!$H$17=2,E6&lt;&gt;"-"),"RW","-")</f>
        <v>-</v>
      </c>
      <c r="G29" s="505" t="str">
        <f>IF(AND(Grunddaten!$H$17=2,G6&lt;&gt;"-"),"SW","-")</f>
        <v>-</v>
      </c>
      <c r="H29" s="421" t="str">
        <f>IF(AND(Grunddaten!$H$17=2,G6&lt;&gt;"-"),"RW","-")</f>
        <v>-</v>
      </c>
      <c r="I29" s="505" t="str">
        <f>IF(AND(Grunddaten!$H$17=2,I6&lt;&gt;"-"),"SW","-")</f>
        <v>-</v>
      </c>
      <c r="J29" s="421" t="str">
        <f>IF(AND(Grunddaten!$H$17=2,I6&lt;&gt;"-"),"RW","-")</f>
        <v>-</v>
      </c>
      <c r="K29" s="72"/>
    </row>
    <row r="30" spans="1:11" s="71" customFormat="1" ht="15" customHeight="1" x14ac:dyDescent="0.35">
      <c r="A30" s="419" t="s">
        <v>731</v>
      </c>
      <c r="B30" s="410" t="s">
        <v>809</v>
      </c>
      <c r="C30" s="308" t="str">
        <f>IF(AND(Grunddaten!$H$17=2,C6&lt;&gt;"-"),SUM(C12,C21),"-")</f>
        <v>-</v>
      </c>
      <c r="D30" s="309" t="str">
        <f>IF(AND(Grunddaten!$H$17=2,C6&lt;&gt;"-"),SUM(D12,D21),"-")</f>
        <v>-</v>
      </c>
      <c r="E30" s="308" t="str">
        <f>IF(AND(Grunddaten!$H$17=2,E6&lt;&gt;"-"),SUM(E12,E21),"-")</f>
        <v>-</v>
      </c>
      <c r="F30" s="309" t="str">
        <f>IF(AND(Grunddaten!$H$17=2,E6&lt;&gt;"-"),SUM(F12,F21),"-")</f>
        <v>-</v>
      </c>
      <c r="G30" s="308" t="str">
        <f>IF(AND(Grunddaten!$H$17=2,G6&lt;&gt;"-"),SUM(G12,G21),"-")</f>
        <v>-</v>
      </c>
      <c r="H30" s="309" t="str">
        <f>IF(AND(Grunddaten!$H$17=2,G6&lt;&gt;"-"),SUM(H12,H21),"-")</f>
        <v>-</v>
      </c>
      <c r="I30" s="308" t="str">
        <f>IF(AND(Grunddaten!$H$17=2,I6&lt;&gt;"-"),SUM(I12,I21),"-")</f>
        <v>-</v>
      </c>
      <c r="J30" s="309" t="str">
        <f>IF(AND(Grunddaten!$H$17=2,I6&lt;&gt;"-"),SUM(J12,J21),"-")</f>
        <v>-</v>
      </c>
    </row>
    <row r="31" spans="1:11" s="71" customFormat="1" ht="15" customHeight="1" x14ac:dyDescent="0.35">
      <c r="A31" s="419" t="s">
        <v>732</v>
      </c>
      <c r="B31" s="410" t="s">
        <v>810</v>
      </c>
      <c r="C31" s="310" t="str">
        <f>IF(AND(Grunddaten!$H$17=2,C6&lt;&gt;"-"),C25,"-")</f>
        <v>-</v>
      </c>
      <c r="D31" s="309" t="str">
        <f>IF(AND(Grunddaten!$H$17=2,C6&lt;&gt;"-"),D25,"-")</f>
        <v>-</v>
      </c>
      <c r="E31" s="310" t="str">
        <f>IF(AND(Grunddaten!$H$17=2,E6&lt;&gt;"-"),E25,"-")</f>
        <v>-</v>
      </c>
      <c r="F31" s="309" t="str">
        <f>IF(AND(Grunddaten!$H$17=2,E6&lt;&gt;"-"),F25,"-")</f>
        <v>-</v>
      </c>
      <c r="G31" s="310" t="str">
        <f>IF(AND(Grunddaten!$H$17=2,G6&lt;&gt;"-"),G25,"-")</f>
        <v>-</v>
      </c>
      <c r="H31" s="309" t="str">
        <f>IF(AND(Grunddaten!$H$17=2,G6&lt;&gt;"-"),H25,"-")</f>
        <v>-</v>
      </c>
      <c r="I31" s="310" t="str">
        <f>IF(AND(Grunddaten!$H$17=2,I6&lt;&gt;"-"),I25,"-")</f>
        <v>-</v>
      </c>
      <c r="J31" s="309" t="str">
        <f>IF(AND(Grunddaten!$H$17=2,I6&lt;&gt;"-"),J25,"-")</f>
        <v>-</v>
      </c>
    </row>
    <row r="32" spans="1:11" s="71" customFormat="1" ht="27" customHeight="1" x14ac:dyDescent="0.35">
      <c r="A32" s="419" t="s">
        <v>733</v>
      </c>
      <c r="B32" s="452" t="s">
        <v>945</v>
      </c>
      <c r="C32" s="322" t="str">
        <f>IF(AND(Grunddaten!$H$17=2,C6&lt;&gt;"-"),SUM(C30,C31),"-")</f>
        <v>-</v>
      </c>
      <c r="D32" s="312" t="str">
        <f>IF(AND(Grunddaten!$H$17=2,C6&lt;&gt;"-"),SUM(D30,D31),"-")</f>
        <v>-</v>
      </c>
      <c r="E32" s="322" t="str">
        <f>IF(AND(Grunddaten!$H$17=2,E6&lt;&gt;"-"),SUM(E30,E31),"-")</f>
        <v>-</v>
      </c>
      <c r="F32" s="312" t="str">
        <f>IF(AND(Grunddaten!$H$17=2,E6&lt;&gt;"-"),SUM(F30,F31),"-")</f>
        <v>-</v>
      </c>
      <c r="G32" s="322" t="str">
        <f>IF(AND(Grunddaten!$H$17=2,G6&lt;&gt;"-"),SUM(G30,G31),"-")</f>
        <v>-</v>
      </c>
      <c r="H32" s="312" t="str">
        <f>IF(AND(Grunddaten!$H$17=2,G6&lt;&gt;"-"),SUM(H30,H31),"-")</f>
        <v>-</v>
      </c>
      <c r="I32" s="322" t="str">
        <f>IF(AND(Grunddaten!$H$17=2,I6&lt;&gt;"-"),SUM(I30,I31),"-")</f>
        <v>-</v>
      </c>
      <c r="J32" s="312" t="str">
        <f>IF(AND(Grunddaten!$H$17=2,I6&lt;&gt;"-"),SUM(J30,J31),"-")</f>
        <v>-</v>
      </c>
    </row>
    <row r="33" spans="1:11" s="71" customFormat="1" ht="15" customHeight="1" x14ac:dyDescent="0.35">
      <c r="A33" s="419" t="s">
        <v>734</v>
      </c>
      <c r="B33" s="410" t="s">
        <v>458</v>
      </c>
      <c r="C33" s="310" t="str">
        <f>IF(AND(Grunddaten!$H$17=2,C6&lt;&gt;"-"),HLOOKUP(C6,Grund_geb_ein,2,FALSE)*-1,"-")</f>
        <v>-</v>
      </c>
      <c r="D33" s="309" t="str">
        <f>IF(AND(Grunddaten!$H$17=2,C6&lt;&gt;"-"),HLOOKUP(C6,Grund_geb_ein,3,FALSE)*-1,"-")</f>
        <v>-</v>
      </c>
      <c r="E33" s="310" t="str">
        <f>IF(AND(Grunddaten!$H$17=2,E6&lt;&gt;"-"),HLOOKUP(E6,Grund_geb_ein,2,FALSE)*-1,"-")</f>
        <v>-</v>
      </c>
      <c r="F33" s="309" t="str">
        <f>IF(AND(Grunddaten!$H$17=2,E6&lt;&gt;"-"),HLOOKUP(E6,Grund_geb_ein,3,FALSE)*-1,"-")</f>
        <v>-</v>
      </c>
      <c r="G33" s="310" t="str">
        <f>IF(AND(Grunddaten!$H$17=2,G6&lt;&gt;"-"),HLOOKUP(G6,Grund_geb_ein,2,FALSE)*-1,"-")</f>
        <v>-</v>
      </c>
      <c r="H33" s="309" t="str">
        <f>IF(AND(Grunddaten!$H$17=2,G6&lt;&gt;"-"),HLOOKUP(G6,Grund_geb_ein,3,FALSE)*-1,"-")</f>
        <v>-</v>
      </c>
      <c r="I33" s="310" t="str">
        <f>IF(AND(Grunddaten!$H$17=2,I6&lt;&gt;"-"),HLOOKUP(I6,Grund_geb_ein,2,FALSE)*-1,"-")</f>
        <v>-</v>
      </c>
      <c r="J33" s="309" t="str">
        <f>IF(AND(Grunddaten!$H$17=2,I6&lt;&gt;"-"),HLOOKUP(I6,Grund_geb_ein,3,FALSE)*-1,"-")</f>
        <v>-</v>
      </c>
    </row>
    <row r="34" spans="1:11" s="71" customFormat="1" ht="15" customHeight="1" x14ac:dyDescent="0.35">
      <c r="A34" s="419" t="s">
        <v>736</v>
      </c>
      <c r="B34" s="413" t="s">
        <v>459</v>
      </c>
      <c r="C34" s="320" t="str">
        <f>IF(AND(Grunddaten!$H$17=2,C6&lt;&gt;"-"),SUM(C32,C33),"-")</f>
        <v>-</v>
      </c>
      <c r="D34" s="321" t="str">
        <f>IF(AND(Grunddaten!$H$17=2,C6&lt;&gt;"-"),SUM(D32,D33),"-")</f>
        <v>-</v>
      </c>
      <c r="E34" s="320" t="str">
        <f>IF(AND(Grunddaten!$H$17=2,E6&lt;&gt;"-"),SUM(E32,E33),"-")</f>
        <v>-</v>
      </c>
      <c r="F34" s="321" t="str">
        <f>IF(AND(Grunddaten!$H$17=2,E6&lt;&gt;"-"),SUM(F32,F33),"-")</f>
        <v>-</v>
      </c>
      <c r="G34" s="320" t="str">
        <f>IF(AND(Grunddaten!$H$17=2,G6&lt;&gt;"-"),SUM(G32,G33),"-")</f>
        <v>-</v>
      </c>
      <c r="H34" s="321" t="str">
        <f>IF(AND(Grunddaten!$H$17=2,G6&lt;&gt;"-"),SUM(H32,H33),"-")</f>
        <v>-</v>
      </c>
      <c r="I34" s="320" t="str">
        <f>IF(AND(Grunddaten!$H$17=2,I6&lt;&gt;"-"),SUM(I32,I33),"-")</f>
        <v>-</v>
      </c>
      <c r="J34" s="321" t="str">
        <f>IF(AND(Grunddaten!$H$17=2,I6&lt;&gt;"-"),SUM(J32,J33),"-")</f>
        <v>-</v>
      </c>
    </row>
    <row r="35" spans="1:11" s="71" customFormat="1" ht="27" customHeight="1" x14ac:dyDescent="0.35">
      <c r="A35" s="419" t="s">
        <v>735</v>
      </c>
      <c r="B35" s="422" t="s">
        <v>936</v>
      </c>
      <c r="C35" s="323" t="str">
        <f>IF(AND(Grunddaten!$H$17=2,C6&lt;&gt;"-"),HLOOKUP(C6,Grund_ue_u,2,FALSE),"-")</f>
        <v>-</v>
      </c>
      <c r="D35" s="316" t="str">
        <f>IF(AND(Grunddaten!$H$17=2,C6&lt;&gt;"-"),HLOOKUP(C6,Grund_ue_u,3,FALSE),"-")</f>
        <v>-</v>
      </c>
      <c r="E35" s="323" t="str">
        <f>IF(AND(Grunddaten!$H$17=2,E6&lt;&gt;"-"),HLOOKUP(E6,Grund_ue_u,2,FALSE),"-")</f>
        <v>-</v>
      </c>
      <c r="F35" s="316" t="str">
        <f>IF(AND(Grunddaten!$H$17=2,E6&lt;&gt;"-"),HLOOKUP(E6,Grund_ue_u,3,FALSE),"-")</f>
        <v>-</v>
      </c>
      <c r="G35" s="323" t="str">
        <f>IF(AND(Grunddaten!$H$17=2,G6&lt;&gt;"-"),HLOOKUP(G6,Grund_ue_u,2,FALSE),"-")</f>
        <v>-</v>
      </c>
      <c r="H35" s="316" t="str">
        <f>IF(AND(Grunddaten!$H$17=2,G6&lt;&gt;"-"),HLOOKUP(G6,Grund_ue_u,3,FALSE),"-")</f>
        <v>-</v>
      </c>
      <c r="I35" s="323" t="str">
        <f>IF(AND(Grunddaten!$H$17=2,I6&lt;&gt;"-"),HLOOKUP(I6,Grund_ue_u,2,FALSE),"-")</f>
        <v>-</v>
      </c>
      <c r="J35" s="316" t="str">
        <f>IF(AND(Grunddaten!$H$17=2,I6&lt;&gt;"-"),HLOOKUP(I6,Grund_ue_u,3,FALSE),"-")</f>
        <v>-</v>
      </c>
    </row>
    <row r="36" spans="1:11" s="71" customFormat="1" ht="15" customHeight="1" x14ac:dyDescent="0.35">
      <c r="A36" s="419" t="s">
        <v>776</v>
      </c>
      <c r="B36" s="423" t="s">
        <v>460</v>
      </c>
      <c r="C36" s="475" t="str">
        <f>IF(AND(Grunddaten!$H$17=2,C6&lt;&gt;"-"),ROUND(SUM(C34,-C35),2),"-")</f>
        <v>-</v>
      </c>
      <c r="D36" s="476" t="str">
        <f>IF(AND(Grunddaten!$H$17=2,C6&lt;&gt;"-"),ROUND(SUM(D34,-D35),2),"-")</f>
        <v>-</v>
      </c>
      <c r="E36" s="475" t="str">
        <f>IF(AND(Grunddaten!$H$17=2,E6&lt;&gt;"-"),ROUND(SUM(E34,-E35),2),"-")</f>
        <v>-</v>
      </c>
      <c r="F36" s="476" t="str">
        <f>IF(AND(Grunddaten!$H$17=2,E6&lt;&gt;"-"),ROUND(SUM(F34,-F35),2),"-")</f>
        <v>-</v>
      </c>
      <c r="G36" s="475" t="str">
        <f>IF(AND(Grunddaten!$H$17=2,G6&lt;&gt;"-"),ROUND(SUM(G34,-G35),2),"-")</f>
        <v>-</v>
      </c>
      <c r="H36" s="476" t="str">
        <f>IF(AND(Grunddaten!$H$17=2,G6&lt;&gt;"-"),ROUND(SUM(H34,-H35),2),"-")</f>
        <v>-</v>
      </c>
      <c r="I36" s="475" t="str">
        <f>IF(AND(Grunddaten!$H$17=2,I6&lt;&gt;"-"),ROUND(SUM(I34,-I35),2),"-")</f>
        <v>-</v>
      </c>
      <c r="J36" s="476" t="str">
        <f>IF(AND(Grunddaten!$H$17=2,I6&lt;&gt;"-"),ROUND(SUM(J34,-J35),2),"-")</f>
        <v>-</v>
      </c>
    </row>
    <row r="37" spans="1:11" s="71" customFormat="1" ht="28.5" customHeight="1" thickBot="1" x14ac:dyDescent="0.4">
      <c r="A37" s="424" t="s">
        <v>777</v>
      </c>
      <c r="B37" s="425" t="s">
        <v>937</v>
      </c>
      <c r="C37" s="698" t="str">
        <f>IF(AND(SUM(C36,E36,G36,I36)&gt;0,SUM(C39,E39,G39,I39)&gt;0),SUM(C36,E36,G36,I36),"-")</f>
        <v>-</v>
      </c>
      <c r="D37" s="699"/>
      <c r="E37" s="699"/>
      <c r="F37" s="700"/>
      <c r="G37" s="698" t="str">
        <f>IF(AND(SUM(D36,F36,H36,J36)&gt;0,SUM(D39,F39,H39,J39)&gt;0),SUM(D36,F36,H36,J36),"-")</f>
        <v>-</v>
      </c>
      <c r="H37" s="699"/>
      <c r="I37" s="699"/>
      <c r="J37" s="700"/>
    </row>
    <row r="38" spans="1:11" s="403" customFormat="1" ht="15" customHeight="1" x14ac:dyDescent="0.35">
      <c r="A38" s="419" t="s">
        <v>778</v>
      </c>
      <c r="B38" s="410" t="s">
        <v>932</v>
      </c>
      <c r="C38" s="401" t="str">
        <f>IF(AND(Grunddaten!$H$17=2,C6&lt;&gt;"-"),"cbm","-")</f>
        <v>-</v>
      </c>
      <c r="D38" s="324" t="str">
        <f>IF(AND(Grunddaten!$H$17=2,C6&lt;&gt;"-"),"qm","-")</f>
        <v>-</v>
      </c>
      <c r="E38" s="531" t="str">
        <f>IF(AND(Grunddaten!$H$17=2,E6&lt;&gt;"-"),"cbm","-")</f>
        <v>-</v>
      </c>
      <c r="F38" s="324" t="str">
        <f>IF(AND(Grunddaten!$H$17=2,E6&lt;&gt;"-"),"qm","-")</f>
        <v>-</v>
      </c>
      <c r="G38" s="531" t="str">
        <f>IF(AND(Grunddaten!$H$17=2,G6&lt;&gt;"-"),"cbm","-")</f>
        <v>-</v>
      </c>
      <c r="H38" s="324" t="str">
        <f>IF(AND(Grunddaten!$H$17=2,G6&lt;&gt;"-"),"qm","-")</f>
        <v>-</v>
      </c>
      <c r="I38" s="531" t="str">
        <f>IF(AND(Grunddaten!$H$17=2,I6&lt;&gt;"-"),"cbm","-")</f>
        <v>-</v>
      </c>
      <c r="J38" s="324" t="str">
        <f>IF(AND(Grunddaten!$H$17=2,I6&lt;&gt;"-"),"qm","-")</f>
        <v>-</v>
      </c>
    </row>
    <row r="39" spans="1:11" s="72" customFormat="1" ht="15" customHeight="1" thickBot="1" x14ac:dyDescent="0.4">
      <c r="A39" s="419" t="s">
        <v>779</v>
      </c>
      <c r="B39" s="426" t="s">
        <v>876</v>
      </c>
      <c r="C39" s="325" t="str">
        <f>IF(AND(Grunddaten!$H$17=2,C6&lt;&gt;"-"),HLOOKUP(C6,Grund_me_fl,2,FALSE),"-")</f>
        <v>-</v>
      </c>
      <c r="D39" s="326" t="str">
        <f>IF(AND(Grunddaten!$H$17=2,C6&lt;&gt;"-"),HLOOKUP(C6,Grund_me_fl,3,FALSE),"-")</f>
        <v>-</v>
      </c>
      <c r="E39" s="325" t="str">
        <f>IF(AND(Grunddaten!$H$17=2,E6&lt;&gt;"-"),HLOOKUP(E6,Grund_me_fl,2,FALSE),"-")</f>
        <v>-</v>
      </c>
      <c r="F39" s="326" t="str">
        <f>IF(AND(Grunddaten!$H$17=2,E6&lt;&gt;"-"),HLOOKUP(E6,Grund_me_fl,3,FALSE),"-")</f>
        <v>-</v>
      </c>
      <c r="G39" s="325" t="str">
        <f>IF(AND(Grunddaten!$H$17=2,G6&lt;&gt;"-"),HLOOKUP(G6,Grund_me_fl,2,FALSE),"-")</f>
        <v>-</v>
      </c>
      <c r="H39" s="326" t="str">
        <f>IF(AND(Grunddaten!$H$17=2,G6&lt;&gt;"-"),HLOOKUP(G6,Grund_me_fl,3,FALSE),"-")</f>
        <v>-</v>
      </c>
      <c r="I39" s="325" t="str">
        <f>IF(AND(Grunddaten!$H$17=2,I6&lt;&gt;"-"),HLOOKUP(I6,Grund_me_fl,2,FALSE),"-")</f>
        <v>-</v>
      </c>
      <c r="J39" s="326" t="str">
        <f>IF(AND(Grunddaten!$H$17=2,I6&lt;&gt;"-"),HLOOKUP(I6,Grund_me_fl,3,FALSE),"-")</f>
        <v>-</v>
      </c>
    </row>
    <row r="40" spans="1:11" s="71" customFormat="1" ht="27" customHeight="1" x14ac:dyDescent="0.35">
      <c r="A40" s="419" t="s">
        <v>780</v>
      </c>
      <c r="B40" s="76" t="s">
        <v>461</v>
      </c>
      <c r="C40" s="701" t="str">
        <f>IF(Grunddaten!$H$17&lt;&gt;2,"-",IF(AND(Grunddaten!$H$17=2,C6&lt;&gt;"-",SUM(C39,E39,G39,I39)&gt;0),"Schmutzwassergebühr 
für den Berechnungszeitraum von "&amp;MIN(C6:I6)&amp;" bis "&amp;MAX(C6:I6), "Keine Berechnung, da keine Angabe der Einleitungsmengen"))</f>
        <v>-</v>
      </c>
      <c r="D40" s="702"/>
      <c r="E40" s="702"/>
      <c r="F40" s="703"/>
      <c r="G40" s="702" t="str">
        <f>IF(Grunddaten!$H$17&lt;&gt;2,"-",IF(AND(Grunddaten!$H$17=2,C6&lt;&gt;"-",SUM(D39,F39,H39,J39)&gt;0),"Regenwassergebühr 
für den Berechnungszeitraum von "&amp;MIN(C6:I6)&amp;" bis "&amp;MAX(C6:I6),"Keine Berechnung, da keine Angabe der befestigten Flächen"))</f>
        <v>-</v>
      </c>
      <c r="H40" s="702"/>
      <c r="I40" s="702"/>
      <c r="J40" s="703"/>
    </row>
    <row r="41" spans="1:11" s="71" customFormat="1" ht="25.5" customHeight="1" thickBot="1" x14ac:dyDescent="0.4">
      <c r="A41" s="424" t="s">
        <v>781</v>
      </c>
      <c r="B41" s="453" t="str">
        <f>IF(Grunddaten!H17=2,"Gebühr für SW bzw. für RW","Keine Berechnung")</f>
        <v>Keine Berechnung</v>
      </c>
      <c r="C41" s="704" t="str">
        <f>IF(SUM(C39,E39,G39,I39)&gt;0,ROUND(C37/SUM(C39,E39,G39,I39),2),"-")</f>
        <v>-</v>
      </c>
      <c r="D41" s="705"/>
      <c r="E41" s="705"/>
      <c r="F41" s="706"/>
      <c r="G41" s="707" t="str">
        <f>IF(SUM(D39,F39,H39,J39)&gt;0,ROUND(G37/SUM(D39,F39,H39,J39),2),"-")</f>
        <v>-</v>
      </c>
      <c r="H41" s="708"/>
      <c r="I41" s="708"/>
      <c r="J41" s="709"/>
    </row>
    <row r="42" spans="1:11" s="73" customFormat="1" ht="6.75" customHeight="1" x14ac:dyDescent="0.35">
      <c r="A42" s="416"/>
      <c r="B42" s="416"/>
      <c r="C42" s="416"/>
      <c r="D42" s="416"/>
      <c r="E42" s="416"/>
      <c r="F42" s="416"/>
      <c r="G42" s="416"/>
      <c r="H42" s="416"/>
      <c r="I42" s="416"/>
      <c r="J42" s="417"/>
    </row>
    <row r="43" spans="1:11" s="71" customFormat="1" ht="21" customHeight="1" x14ac:dyDescent="0.35">
      <c r="A43" s="616" t="s">
        <v>740</v>
      </c>
      <c r="B43" s="713" t="str">
        <f>IF(Grunddaten!H17&lt;&gt;2,"Gebühren nach dem modifizierten Frischwassermaßstab -Berechnung je cbm Einleitungsmenge-","Gebühren nach dem modifizierten Frischwassermaßstab -  keine Berechnung, da gesplittete Gebühren berechnet werden - siehe Nr. 3a")</f>
        <v>Gebühren nach dem modifizierten Frischwassermaßstab -Berechnung je cbm Einleitungsmenge-</v>
      </c>
      <c r="C43" s="714"/>
      <c r="D43" s="714"/>
      <c r="E43" s="714"/>
      <c r="F43" s="714"/>
      <c r="G43" s="714"/>
      <c r="H43" s="714"/>
      <c r="I43" s="714"/>
      <c r="J43" s="715"/>
    </row>
    <row r="44" spans="1:11" s="71" customFormat="1" x14ac:dyDescent="0.35">
      <c r="A44" s="614"/>
      <c r="B44" s="418" t="s">
        <v>137</v>
      </c>
      <c r="C44" s="639">
        <f>C6</f>
        <v>2017</v>
      </c>
      <c r="D44" s="633"/>
      <c r="E44" s="639">
        <f t="shared" ref="E44" si="33">E6</f>
        <v>2018</v>
      </c>
      <c r="F44" s="633"/>
      <c r="G44" s="639">
        <f t="shared" ref="G44" si="34">G6</f>
        <v>2019</v>
      </c>
      <c r="H44" s="633"/>
      <c r="I44" s="639">
        <f t="shared" ref="I44" si="35">I6</f>
        <v>2020</v>
      </c>
      <c r="J44" s="633"/>
    </row>
    <row r="45" spans="1:11" s="71" customFormat="1" ht="14.15" customHeight="1" x14ac:dyDescent="0.35">
      <c r="A45" s="615"/>
      <c r="B45" s="410" t="s">
        <v>445</v>
      </c>
      <c r="C45" s="645" t="str">
        <f>IF(OR(Grunddaten!$H$17=2,C6="-"),"-","SW + RW")</f>
        <v>SW + RW</v>
      </c>
      <c r="D45" s="646"/>
      <c r="E45" s="645" t="str">
        <f>IF(OR(Grunddaten!$H$17=2,E6="-"),"-","SW + RW")</f>
        <v>SW + RW</v>
      </c>
      <c r="F45" s="646"/>
      <c r="G45" s="645" t="str">
        <f>IF(OR(Grunddaten!$H$17=2,G6="-"),"-","SW + RW")</f>
        <v>SW + RW</v>
      </c>
      <c r="H45" s="646"/>
      <c r="I45" s="645" t="str">
        <f>IF(OR(Grunddaten!$H$17=2,I6="-"),"-","SW + RW")</f>
        <v>SW + RW</v>
      </c>
      <c r="J45" s="646"/>
      <c r="K45" s="72"/>
    </row>
    <row r="46" spans="1:11" s="71" customFormat="1" ht="15" customHeight="1" x14ac:dyDescent="0.35">
      <c r="A46" s="97" t="s">
        <v>741</v>
      </c>
      <c r="B46" s="410" t="s">
        <v>933</v>
      </c>
      <c r="C46" s="643">
        <f>IF(OR(Grunddaten!$H$17=2,C6="-"),"-",SUM(C12,D12,C21,D21))</f>
        <v>842133.41000000015</v>
      </c>
      <c r="D46" s="644"/>
      <c r="E46" s="643">
        <f>IF(OR(Grunddaten!$H$17=2,E6="-"),"-",SUM(E12,F12,E21,F21))</f>
        <v>830310.71</v>
      </c>
      <c r="F46" s="644"/>
      <c r="G46" s="643">
        <f>IF(OR(Grunddaten!$H$17=2,G6="-"),"-",SUM(G12,H12,G21,H21))</f>
        <v>611938.56999999995</v>
      </c>
      <c r="H46" s="644"/>
      <c r="I46" s="643">
        <f>IF(OR(Grunddaten!$H$17=2,I6="-"),"-",SUM(I12,J12,I21,J21))</f>
        <v>587572.79</v>
      </c>
      <c r="J46" s="644"/>
    </row>
    <row r="47" spans="1:11" s="71" customFormat="1" ht="15" customHeight="1" x14ac:dyDescent="0.35">
      <c r="A47" s="419" t="s">
        <v>742</v>
      </c>
      <c r="B47" s="410" t="s">
        <v>934</v>
      </c>
      <c r="C47" s="643">
        <f>IF(OR(Grunddaten!$H$17=2,C6="-"),"-",SUM(C25,D25))</f>
        <v>846653.08</v>
      </c>
      <c r="D47" s="644"/>
      <c r="E47" s="643">
        <f>IF(OR(Grunddaten!$H$17=2,E6="-"),"-",SUM(E25,F25))</f>
        <v>863582.8</v>
      </c>
      <c r="F47" s="644"/>
      <c r="G47" s="643">
        <f>IF(OR(Grunddaten!$H$17=2,G6="-"),"-",SUM(G25,H25))</f>
        <v>880852.35</v>
      </c>
      <c r="H47" s="644"/>
      <c r="I47" s="643">
        <f>IF(OR(Grunddaten!$H$17=2,I6="-"),"-",SUM(I25,J25))</f>
        <v>898472.40000000014</v>
      </c>
      <c r="J47" s="644"/>
    </row>
    <row r="48" spans="1:11" s="71" customFormat="1" ht="16.5" customHeight="1" x14ac:dyDescent="0.35">
      <c r="A48" s="419" t="s">
        <v>743</v>
      </c>
      <c r="B48" s="452" t="s">
        <v>946</v>
      </c>
      <c r="C48" s="650">
        <f>IF(OR(Grunddaten!$H$17=2,C6="-"),"-",SUM(C46:C47))</f>
        <v>1688786.4900000002</v>
      </c>
      <c r="D48" s="651"/>
      <c r="E48" s="650">
        <f>IF(OR(Grunddaten!$H$17=2,E6="-"),"-",SUM(E46:E47))</f>
        <v>1693893.51</v>
      </c>
      <c r="F48" s="651"/>
      <c r="G48" s="650">
        <f>IF(OR(Grunddaten!$H$17=2,G6="-"),"-",SUM(G46:G47))</f>
        <v>1492790.92</v>
      </c>
      <c r="H48" s="651"/>
      <c r="I48" s="650">
        <f>IF(OR(Grunddaten!$H$17=2,I6="-"),"-",SUM(I46:I47))</f>
        <v>1486045.1900000002</v>
      </c>
      <c r="J48" s="651"/>
    </row>
    <row r="49" spans="1:11" s="71" customFormat="1" ht="15" customHeight="1" x14ac:dyDescent="0.35">
      <c r="A49" s="419" t="s">
        <v>744</v>
      </c>
      <c r="B49" s="410" t="s">
        <v>458</v>
      </c>
      <c r="C49" s="643">
        <f>IF(OR(Grunddaten!$H$17=2,C6="-"),"-",HLOOKUP(C6,Grund_geb_ein,4,FALSE)*-1)</f>
        <v>-74000</v>
      </c>
      <c r="D49" s="644"/>
      <c r="E49" s="643">
        <f>IF(OR(Grunddaten!$H$17=2,E6="-"),"-",HLOOKUP(E6,Grund_geb_ein,4,FALSE)*-1)</f>
        <v>-74850</v>
      </c>
      <c r="F49" s="644"/>
      <c r="G49" s="643">
        <f>IF(OR(Grunddaten!$H$17=2,G6="-"),"-",HLOOKUP(G6,Grund_geb_ein,4,FALSE)*-1)</f>
        <v>-75750</v>
      </c>
      <c r="H49" s="644"/>
      <c r="I49" s="643">
        <f>IF(OR(Grunddaten!$H$17=2,I6="-"),"-",HLOOKUP(I6,Grund_geb_ein,4,FALSE)*-1)</f>
        <v>-78350</v>
      </c>
      <c r="J49" s="644"/>
    </row>
    <row r="50" spans="1:11" s="71" customFormat="1" ht="15" customHeight="1" x14ac:dyDescent="0.35">
      <c r="A50" s="419" t="s">
        <v>783</v>
      </c>
      <c r="B50" s="413" t="s">
        <v>462</v>
      </c>
      <c r="C50" s="663">
        <f>IF(OR(Grunddaten!$H$17=2,C6="-"),"-",SUM(C48,C49))</f>
        <v>1614786.4900000002</v>
      </c>
      <c r="D50" s="653"/>
      <c r="E50" s="663">
        <f>IF(OR(Grunddaten!$H$17=2,E6="-"),"-",SUM(E48,E49))</f>
        <v>1619043.51</v>
      </c>
      <c r="F50" s="653"/>
      <c r="G50" s="663">
        <f>IF(OR(Grunddaten!$H$17=2,G6="-"),"-",SUM(G48,G49))</f>
        <v>1417040.92</v>
      </c>
      <c r="H50" s="653"/>
      <c r="I50" s="663">
        <f>IF(OR(Grunddaten!$H$17=2,I6="-"),"-",SUM(I48,I49))</f>
        <v>1407695.1900000002</v>
      </c>
      <c r="J50" s="653"/>
    </row>
    <row r="51" spans="1:11" s="71" customFormat="1" ht="27" customHeight="1" x14ac:dyDescent="0.35">
      <c r="A51" s="419" t="s">
        <v>745</v>
      </c>
      <c r="B51" s="422" t="s">
        <v>935</v>
      </c>
      <c r="C51" s="716">
        <f>IF(OR(Grunddaten!$H$17=2,C6="-"),"-",HLOOKUP(C6,Grund_ue_u,4,FALSE))</f>
        <v>-303535.12</v>
      </c>
      <c r="D51" s="717"/>
      <c r="E51" s="716">
        <f>IF(OR(Grunddaten!$H$17=2,E6="-"),"-",HLOOKUP(E6,Grund_ue_u,4,FALSE))</f>
        <v>-303535.12</v>
      </c>
      <c r="F51" s="717"/>
      <c r="G51" s="716">
        <f>IF(OR(Grunddaten!$H$17=2,G6="-"),"-",HLOOKUP(G6,Grund_ue_u,4,FALSE))</f>
        <v>-303535.12</v>
      </c>
      <c r="H51" s="717"/>
      <c r="I51" s="716">
        <f>IF(OR(Grunddaten!$H$17=2,I6="-"),"-",HLOOKUP(I6,Grund_ue_u,4,FALSE))</f>
        <v>-303535.12</v>
      </c>
      <c r="J51" s="717"/>
    </row>
    <row r="52" spans="1:11" s="71" customFormat="1" ht="15" customHeight="1" x14ac:dyDescent="0.35">
      <c r="A52" s="419" t="s">
        <v>782</v>
      </c>
      <c r="B52" s="427" t="s">
        <v>463</v>
      </c>
      <c r="C52" s="721">
        <f>IF(OR(Grunddaten!$H$17=2,C6="-"),"-",ROUND(SUM(C50,-C51),2))</f>
        <v>1918321.61</v>
      </c>
      <c r="D52" s="717"/>
      <c r="E52" s="721">
        <f>IF(OR(Grunddaten!$H$17=2,E6="-"),"-",ROUND(SUM(E50,-E51),2))</f>
        <v>1922578.63</v>
      </c>
      <c r="F52" s="717"/>
      <c r="G52" s="721">
        <f>IF(OR(Grunddaten!$H$17=2,G6="-"),"-",ROUND(SUM(G50,-G51),2))</f>
        <v>1720576.04</v>
      </c>
      <c r="H52" s="717"/>
      <c r="I52" s="721">
        <f>IF(OR(Grunddaten!$H$17=2,I6="-"),"-",ROUND(SUM(I50,-I51),2))</f>
        <v>1711230.31</v>
      </c>
      <c r="J52" s="717"/>
    </row>
    <row r="53" spans="1:11" s="71" customFormat="1" ht="28.5" customHeight="1" thickBot="1" x14ac:dyDescent="0.4">
      <c r="A53" s="419" t="s">
        <v>784</v>
      </c>
      <c r="B53" s="425" t="s">
        <v>944</v>
      </c>
      <c r="C53" s="698">
        <f>IF(OR(Grunddaten!$H$17=2,C6="-"),"-",SUM(C52,E52,G52,I52))</f>
        <v>7272706.5899999999</v>
      </c>
      <c r="D53" s="699"/>
      <c r="E53" s="699"/>
      <c r="F53" s="699"/>
      <c r="G53" s="699"/>
      <c r="H53" s="699"/>
      <c r="I53" s="699"/>
      <c r="J53" s="700"/>
    </row>
    <row r="54" spans="1:11" s="403" customFormat="1" ht="15" customHeight="1" x14ac:dyDescent="0.35">
      <c r="A54" s="419" t="s">
        <v>785</v>
      </c>
      <c r="B54" s="410" t="s">
        <v>929</v>
      </c>
      <c r="C54" s="722" t="str">
        <f>IF(OR(Grunddaten!$H$17=2,C6="-"),"-","cbm")</f>
        <v>cbm</v>
      </c>
      <c r="D54" s="614"/>
      <c r="E54" s="722" t="str">
        <f>IF(OR(Grunddaten!$H$17=2,E6="-"),"-","cbm")</f>
        <v>cbm</v>
      </c>
      <c r="F54" s="614"/>
      <c r="G54" s="722" t="str">
        <f>IF(OR(Grunddaten!$H$17=2,G6="-"),"-","cbm")</f>
        <v>cbm</v>
      </c>
      <c r="H54" s="614"/>
      <c r="I54" s="722" t="str">
        <f>IF(OR(Grunddaten!$H$17=2,I6="-"),"-","cbm")</f>
        <v>cbm</v>
      </c>
      <c r="J54" s="614"/>
    </row>
    <row r="55" spans="1:11" s="72" customFormat="1" ht="15" customHeight="1" x14ac:dyDescent="0.35">
      <c r="A55" s="419" t="s">
        <v>786</v>
      </c>
      <c r="B55" s="410" t="s">
        <v>464</v>
      </c>
      <c r="C55" s="718">
        <f>IF(OR(Grunddaten!$H$17=2,C6="-"),"-",HLOOKUP(C6,Grund_me_fl,4,FALSE))</f>
        <v>590000</v>
      </c>
      <c r="D55" s="644"/>
      <c r="E55" s="718">
        <f>IF(OR(Grunddaten!$H$17=2,E6="-"),"-",HLOOKUP(E6,Grund_me_fl,4,FALSE))</f>
        <v>608000</v>
      </c>
      <c r="F55" s="644"/>
      <c r="G55" s="718">
        <f>IF(OR(Grunddaten!$H$17=2,G6="-"),"-",HLOOKUP(G6,Grund_me_fl,4,FALSE))</f>
        <v>636000</v>
      </c>
      <c r="H55" s="644"/>
      <c r="I55" s="718">
        <f>IF(OR(Grunddaten!$H$17=2,I6="-"),"-",HLOOKUP(I6,Grund_me_fl,4,FALSE))</f>
        <v>646000</v>
      </c>
      <c r="J55" s="644"/>
    </row>
    <row r="56" spans="1:11" s="72" customFormat="1" ht="15" customHeight="1" thickBot="1" x14ac:dyDescent="0.4">
      <c r="A56" s="424" t="s">
        <v>787</v>
      </c>
      <c r="B56" s="426" t="s">
        <v>465</v>
      </c>
      <c r="C56" s="719">
        <f>IF(OR(Grunddaten!$H$17=2,C6="-"),"-",HLOOKUP(C6,Grund_me_fl,5,FALSE))</f>
        <v>60000</v>
      </c>
      <c r="D56" s="720"/>
      <c r="E56" s="719">
        <f>IF(OR(Grunddaten!$H$17=2,E6="-"),"-",HLOOKUP(E6,Grund_me_fl,5,FALSE))</f>
        <v>62000</v>
      </c>
      <c r="F56" s="720"/>
      <c r="G56" s="719">
        <f>IF(OR(Grunddaten!$H$17=2,G6="-"),"-",HLOOKUP(G6,Grund_me_fl,5,FALSE))</f>
        <v>64000</v>
      </c>
      <c r="H56" s="720"/>
      <c r="I56" s="719">
        <f>IF(OR(Grunddaten!$H$17=2,I6="-"),"-",HLOOKUP(I6,Grund_me_fl,5,FALSE))</f>
        <v>64000</v>
      </c>
      <c r="J56" s="720"/>
    </row>
    <row r="57" spans="1:11" s="71" customFormat="1" ht="27" customHeight="1" x14ac:dyDescent="0.35">
      <c r="A57" s="428" t="s">
        <v>788</v>
      </c>
      <c r="B57" s="77" t="s">
        <v>466</v>
      </c>
      <c r="C57" s="701" t="str">
        <f>IF(Grunddaten!$H$17=2,"-",IF(SUM(C55,E55,G55,I55)&gt;0,"Einleitungsgebühr für SW + RW 
für den Berechnungszeitraum von "&amp;MIN(C6:J6)&amp;" bis "&amp;MAX(C6:J6),"Keine Berechnung, da keine Angabe der Einleitungsmengen"))</f>
        <v>Einleitungsgebühr für SW + RW 
für den Berechnungszeitraum von 2017 bis 2020</v>
      </c>
      <c r="D57" s="702"/>
      <c r="E57" s="702"/>
      <c r="F57" s="703"/>
      <c r="G57" s="701" t="str">
        <f>IF(OR(Grunddaten!$H$17=2,C6="-"),"-",IF(AND(SUM(C55,E55,G55,I55),SUM(C56,E56,G56,I56)&gt;0),"Einleitungsgebühr nur für SW 
für den Berechnungszeitraum von "&amp;MIN(C6:J6)&amp;" bis "&amp;MAX(C6:J6),"Keine Berechnung "-"nur SW"-", da keine Angabe der Einleitungsmengen"))</f>
        <v>Einleitungsgebühr nur für SW 
für den Berechnungszeitraum von 2017 bis 2020</v>
      </c>
      <c r="H57" s="702"/>
      <c r="I57" s="702"/>
      <c r="J57" s="703"/>
    </row>
    <row r="58" spans="1:11" s="399" customFormat="1" ht="24" customHeight="1" thickBot="1" x14ac:dyDescent="0.4">
      <c r="A58" s="429" t="s">
        <v>789</v>
      </c>
      <c r="B58" s="453" t="str">
        <f>IF(Grunddaten!H17&lt;&gt;2,"Gebühr für SW+RW bzw. nur SW","Keine Berechnung")</f>
        <v>Gebühr für SW+RW bzw. nur SW</v>
      </c>
      <c r="C58" s="704">
        <f>IF(AND(C53&lt;&gt;"-",SUM(C55,E55,G55,I55)&gt;0,C64&lt;&gt;"-"),ROUND(C53/(SUM(C55,E55,G55,I55)+SUM(C56,E56,G56,I56)*C64),2),"-")</f>
        <v>2.7</v>
      </c>
      <c r="D58" s="705"/>
      <c r="E58" s="705"/>
      <c r="F58" s="706"/>
      <c r="G58" s="704">
        <f>IF(AND(C58&lt;&gt;"-",SUM(C56,E56,G56,I56)&gt;0,C64&lt;&gt;"-"),ROUND(C58*C64,2),"-")</f>
        <v>2.34</v>
      </c>
      <c r="H58" s="705"/>
      <c r="I58" s="705"/>
      <c r="J58" s="706"/>
    </row>
    <row r="59" spans="1:11" s="73" customFormat="1" ht="6.75" customHeight="1" x14ac:dyDescent="0.35">
      <c r="A59" s="416"/>
      <c r="B59" s="416"/>
      <c r="C59" s="416"/>
      <c r="D59" s="416"/>
      <c r="E59" s="416"/>
      <c r="F59" s="416"/>
      <c r="G59" s="416"/>
      <c r="H59" s="416"/>
      <c r="I59" s="416"/>
      <c r="J59" s="430"/>
    </row>
    <row r="60" spans="1:11" s="404" customFormat="1" ht="28.5" customHeight="1" x14ac:dyDescent="0.35">
      <c r="A60" s="431" t="s">
        <v>756</v>
      </c>
      <c r="B60" s="723" t="s">
        <v>467</v>
      </c>
      <c r="C60" s="724"/>
      <c r="D60" s="724"/>
      <c r="E60" s="724"/>
      <c r="F60" s="724"/>
      <c r="G60" s="724"/>
      <c r="H60" s="724"/>
      <c r="I60" s="724"/>
      <c r="J60" s="725"/>
    </row>
    <row r="61" spans="1:11" s="71" customFormat="1" ht="15" customHeight="1" x14ac:dyDescent="0.35">
      <c r="A61" s="432" t="s">
        <v>757</v>
      </c>
      <c r="B61" s="338" t="s">
        <v>137</v>
      </c>
      <c r="C61" s="659">
        <f>C6</f>
        <v>2017</v>
      </c>
      <c r="D61" s="676"/>
      <c r="E61" s="659">
        <f t="shared" ref="E61" si="36">E6</f>
        <v>2018</v>
      </c>
      <c r="F61" s="676"/>
      <c r="G61" s="659">
        <f t="shared" ref="G61" si="37">G6</f>
        <v>2019</v>
      </c>
      <c r="H61" s="676"/>
      <c r="I61" s="659">
        <f t="shared" ref="I61" si="38">I6</f>
        <v>2020</v>
      </c>
      <c r="J61" s="676"/>
    </row>
    <row r="62" spans="1:11" s="71" customFormat="1" ht="15" customHeight="1" x14ac:dyDescent="0.35">
      <c r="A62" s="433" t="s">
        <v>758</v>
      </c>
      <c r="B62" s="423" t="s">
        <v>808</v>
      </c>
      <c r="C62" s="434" t="str">
        <f>IF(C61="-","-","SW")</f>
        <v>SW</v>
      </c>
      <c r="D62" s="66" t="str">
        <f>IF(C61="-","-","RW")</f>
        <v>RW</v>
      </c>
      <c r="E62" s="434" t="str">
        <f t="shared" ref="E62" si="39">IF(E61="-","-","SW")</f>
        <v>SW</v>
      </c>
      <c r="F62" s="66" t="str">
        <f t="shared" ref="F62" si="40">IF(E61="-","-","RW")</f>
        <v>RW</v>
      </c>
      <c r="G62" s="434" t="str">
        <f t="shared" ref="G62" si="41">IF(G61="-","-","SW")</f>
        <v>SW</v>
      </c>
      <c r="H62" s="66" t="str">
        <f t="shared" ref="H62" si="42">IF(G61="-","-","RW")</f>
        <v>RW</v>
      </c>
      <c r="I62" s="434" t="str">
        <f t="shared" ref="I62" si="43">IF(I61="-","-","SW")</f>
        <v>SW</v>
      </c>
      <c r="J62" s="66" t="str">
        <f t="shared" ref="J62" si="44">IF(I61="-","-","RW")</f>
        <v>RW</v>
      </c>
    </row>
    <row r="63" spans="1:11" s="71" customFormat="1" ht="27" customHeight="1" x14ac:dyDescent="0.35">
      <c r="A63" s="433" t="s">
        <v>759</v>
      </c>
      <c r="B63" s="423" t="s">
        <v>713</v>
      </c>
      <c r="C63" s="65">
        <f>IF(SUM(C12,C21,C25,D12,D21,D25)&lt;&gt;0,SUM(C12,C21,C25)/(SUM(C12,C21,C25,D12,D21,D25)),"-")</f>
        <v>0.87080027505430835</v>
      </c>
      <c r="D63" s="66">
        <f>IF(SUM(C12,C21,C25,D12,D21,D25)&lt;&gt;0,SUM(D12,D21,D25)/(SUM(C12,C21,C25,D12,D21,D25)),"-")</f>
        <v>0.1291997249456916</v>
      </c>
      <c r="E63" s="65">
        <f t="shared" ref="E63" si="45">IF(SUM(E12,E21,E25,F12,F21,F25)&lt;&gt;0,SUM(E12,E21,E25)/(SUM(E12,E21,E25,F12,F21,F25)),"-")</f>
        <v>0.87075316204499775</v>
      </c>
      <c r="F63" s="66">
        <f t="shared" ref="F63" si="46">IF(SUM(E12,E21,E25,F12,F21,F25)&lt;&gt;0,SUM(F12,F21,F25)/(SUM(E12,E21,E25,F12,F21,F25)),"-")</f>
        <v>0.12924683795500228</v>
      </c>
      <c r="G63" s="65">
        <f t="shared" ref="G63" si="47">IF(SUM(G12,G21,G25,H12,H21,H25)&lt;&gt;0,SUM(G12,G21,G25)/(SUM(G12,G21,G25,H12,H21,H25)),"-")</f>
        <v>0.86059741038617787</v>
      </c>
      <c r="H63" s="66">
        <f t="shared" ref="H63" si="48">IF(SUM(G12,G21,G25,H12,H21,H25)&lt;&gt;0,SUM(H12,H21,H25)/(SUM(G12,G21,G25,H12,H21,H25)),"-")</f>
        <v>0.13940258961382213</v>
      </c>
      <c r="I63" s="65">
        <f t="shared" ref="I63" si="49">IF(SUM(I12,I21,I25,J12,J21,J25)&lt;&gt;0,SUM(I12,I21,I25)/(SUM(I12,I21,I25,J12,J21,J25)),"-")</f>
        <v>0.86042664691778314</v>
      </c>
      <c r="J63" s="66">
        <f t="shared" ref="J63" si="50">IF(SUM(I12,I21,I25,J12,J21,J25)&lt;&gt;0,SUM(J12,J21,J25)/(SUM(I12,I21,I25,J12,J21,J25)),"-")</f>
        <v>0.13957335308221683</v>
      </c>
      <c r="K63" s="72"/>
    </row>
    <row r="64" spans="1:11" s="71" customFormat="1" ht="27" customHeight="1" x14ac:dyDescent="0.35">
      <c r="A64" s="433" t="s">
        <v>760</v>
      </c>
      <c r="B64" s="427" t="str">
        <f>"Anteil Schmutzwasserbeseitigung in %  "
&amp; "Durchschnitt von "&amp;C61 &amp; " bis "&amp;C61+3</f>
        <v>Anteil Schmutzwasserbeseitigung in %  Durchschnitt von 2017 bis 2020</v>
      </c>
      <c r="C64" s="726">
        <f>IF(SUM(C12,C21,C25,E12,E21,E25,G12,G21,G25,I12,I21,I25)&lt;&gt;0,ROUND(SUM(C12,C21,C25,E12,E21,E25,G12,G21,G25,I12,I21,I25)/SUM(C12,C21,C25,E12,E21,E25,G12,G21,G25,I12,I21,I25,D12,D21,D25,F12,F21,F25,H12,H21,H25,J12,J21,J25),4),"-")</f>
        <v>0.86599999999999999</v>
      </c>
      <c r="D64" s="727"/>
      <c r="E64" s="727"/>
      <c r="F64" s="727"/>
      <c r="G64" s="727"/>
      <c r="H64" s="727"/>
      <c r="I64" s="727"/>
      <c r="J64" s="728"/>
    </row>
    <row r="65" spans="1:10" s="71" customFormat="1" ht="27" customHeight="1" x14ac:dyDescent="0.35">
      <c r="A65" s="433" t="s">
        <v>761</v>
      </c>
      <c r="B65" s="427" t="str">
        <f>"Anteil Regenwasserbeseitigung aus GrSt in % "
&amp; "Durchschnitt von "&amp;C61 &amp; " bis "&amp;C61+3&amp;"   1)"</f>
        <v>Anteil Regenwasserbeseitigung aus GrSt in % Durchschnitt von 2017 bis 2020   1)</v>
      </c>
      <c r="C65" s="729">
        <f>IF(SUM(D12,D21,D25,F12,F21,F25,H12,H21,H25,J12,J21,J25)&lt;&gt;0,ROUND(SUM(D12,D21,D25,F12,F21,F25,H12,H21,H25,J12,J21,J25)/SUM(C12,C21,C25,E12,E21,E25,G12,G21,G25,I12,I21,I25,D12,D21,D25,F12,F21,F25,H12,H21,H25,J12,J21,J25),4),"-")</f>
        <v>0.13400000000000001</v>
      </c>
      <c r="D65" s="730"/>
      <c r="E65" s="730"/>
      <c r="F65" s="730"/>
      <c r="G65" s="730"/>
      <c r="H65" s="730"/>
      <c r="I65" s="730"/>
      <c r="J65" s="731"/>
    </row>
    <row r="66" spans="1:10" s="71" customFormat="1" ht="25.5" customHeight="1" thickBot="1" x14ac:dyDescent="0.4">
      <c r="A66" s="435" t="s">
        <v>755</v>
      </c>
      <c r="B66" s="732" t="s">
        <v>877</v>
      </c>
      <c r="C66" s="733"/>
      <c r="D66" s="733"/>
      <c r="E66" s="733"/>
      <c r="F66" s="733"/>
      <c r="G66" s="733"/>
      <c r="H66" s="733"/>
      <c r="I66" s="733"/>
      <c r="J66" s="734"/>
    </row>
    <row r="67" spans="1:10" s="73" customFormat="1" ht="6.75" customHeight="1" x14ac:dyDescent="0.35">
      <c r="A67" s="436"/>
      <c r="B67" s="416"/>
      <c r="C67" s="416"/>
      <c r="D67" s="416"/>
      <c r="E67" s="416"/>
      <c r="F67" s="416"/>
      <c r="G67" s="416"/>
      <c r="H67" s="416"/>
      <c r="I67" s="416"/>
      <c r="J67" s="430"/>
    </row>
    <row r="68" spans="1:10" s="99" customFormat="1" ht="28.5" customHeight="1" x14ac:dyDescent="0.35">
      <c r="A68" s="437" t="s">
        <v>762</v>
      </c>
      <c r="B68" s="659" t="s">
        <v>447</v>
      </c>
      <c r="C68" s="660"/>
      <c r="D68" s="660"/>
      <c r="E68" s="660"/>
      <c r="F68" s="660"/>
      <c r="G68" s="660"/>
      <c r="H68" s="660"/>
      <c r="I68" s="660"/>
      <c r="J68" s="735"/>
    </row>
    <row r="69" spans="1:10" s="71" customFormat="1" ht="20.149999999999999" customHeight="1" x14ac:dyDescent="0.35">
      <c r="A69" s="419" t="s">
        <v>763</v>
      </c>
      <c r="B69" s="338" t="s">
        <v>468</v>
      </c>
      <c r="C69" s="639">
        <f>C6</f>
        <v>2017</v>
      </c>
      <c r="D69" s="633"/>
      <c r="E69" s="675">
        <f t="shared" ref="E69" si="51">E6</f>
        <v>2018</v>
      </c>
      <c r="F69" s="676"/>
      <c r="G69" s="675">
        <f t="shared" ref="G69" si="52">G6</f>
        <v>2019</v>
      </c>
      <c r="H69" s="676"/>
      <c r="I69" s="675">
        <f t="shared" ref="I69" si="53">I6</f>
        <v>2020</v>
      </c>
      <c r="J69" s="676"/>
    </row>
    <row r="70" spans="1:10" s="71" customFormat="1" ht="19.5" customHeight="1" x14ac:dyDescent="0.35">
      <c r="A70" s="419" t="s">
        <v>764</v>
      </c>
      <c r="B70" s="410" t="s">
        <v>445</v>
      </c>
      <c r="C70" s="438" t="str">
        <f>IF(C61="-","-","SW")</f>
        <v>SW</v>
      </c>
      <c r="D70" s="438" t="str">
        <f>IF(C61="-","-","RW")</f>
        <v>RW</v>
      </c>
      <c r="E70" s="438" t="str">
        <f t="shared" ref="E70" si="54">IF(E61="-","-","SW")</f>
        <v>SW</v>
      </c>
      <c r="F70" s="438" t="str">
        <f t="shared" ref="F70" si="55">IF(E61="-","-","RW")</f>
        <v>RW</v>
      </c>
      <c r="G70" s="438" t="str">
        <f t="shared" ref="G70" si="56">IF(G61="-","-","SW")</f>
        <v>SW</v>
      </c>
      <c r="H70" s="438" t="str">
        <f t="shared" ref="H70" si="57">IF(G61="-","-","RW")</f>
        <v>RW</v>
      </c>
      <c r="I70" s="438" t="str">
        <f t="shared" ref="I70" si="58">IF(I61="-","-","SW")</f>
        <v>SW</v>
      </c>
      <c r="J70" s="438" t="str">
        <f t="shared" ref="J70" si="59">IF(I61="-","-","RW")</f>
        <v>RW</v>
      </c>
    </row>
    <row r="71" spans="1:10" s="71" customFormat="1" ht="27" customHeight="1" x14ac:dyDescent="0.35">
      <c r="A71" s="419" t="s">
        <v>765</v>
      </c>
      <c r="B71" s="410" t="s">
        <v>938</v>
      </c>
      <c r="C71" s="439" t="str">
        <f>IF(OR(Grunddaten!$H$17&lt;&gt;2,C69="-",C39=0),"-",ROUND(C36/C39,2))</f>
        <v>-</v>
      </c>
      <c r="D71" s="439" t="str">
        <f>IF(OR(Grunddaten!$H$17&lt;&gt;2,C69="-",D39=0),"-",ROUND(D36/D39,2))</f>
        <v>-</v>
      </c>
      <c r="E71" s="439" t="str">
        <f>IF(OR(Grunddaten!$H$17&lt;&gt;2,E69="-",E39=0),"-",ROUND(E36/E39,2))</f>
        <v>-</v>
      </c>
      <c r="F71" s="439" t="str">
        <f>IF(OR(Grunddaten!$H$17&lt;&gt;2,E69="-",F39=0),"-",ROUND(F36/F39,2))</f>
        <v>-</v>
      </c>
      <c r="G71" s="439" t="str">
        <f>IF(OR(Grunddaten!$H$17&lt;&gt;2,G69="-",G39=0),"-",ROUND(G36/G39,2))</f>
        <v>-</v>
      </c>
      <c r="H71" s="439" t="str">
        <f>IF(OR(Grunddaten!$H$17&lt;&gt;2,G69="-",H39=0),"-",ROUND(H36/H39,2))</f>
        <v>-</v>
      </c>
      <c r="I71" s="439" t="str">
        <f>IF(OR(Grunddaten!$H$17&lt;&gt;2,I69="-",I39=0),"-",ROUND(I36/I39,2))</f>
        <v>-</v>
      </c>
      <c r="J71" s="439" t="str">
        <f>IF(OR(Grunddaten!$H$17&lt;&gt;2,I69="-",J39=0),"-",ROUND(J36/J39,2))</f>
        <v>-</v>
      </c>
    </row>
    <row r="72" spans="1:10" s="71" customFormat="1" ht="27" customHeight="1" x14ac:dyDescent="0.35">
      <c r="A72" s="419" t="s">
        <v>766</v>
      </c>
      <c r="B72" s="423" t="s">
        <v>939</v>
      </c>
      <c r="C72" s="440" t="str">
        <f>IF(OR(Grunddaten!$H$17&lt;&gt;2,C69="-",C39=0),"-",ROUND(C34/C39,2))</f>
        <v>-</v>
      </c>
      <c r="D72" s="441" t="str">
        <f>IF(OR(Grunddaten!$H$17&lt;&gt;2,C69="-",D39=0),"-",ROUND(D34/D39,2))</f>
        <v>-</v>
      </c>
      <c r="E72" s="440" t="str">
        <f>IF(OR(Grunddaten!$H$17&lt;&gt;2,E69="-",E39=0),"-",ROUND(E34/E39,2))</f>
        <v>-</v>
      </c>
      <c r="F72" s="441" t="str">
        <f>IF(OR(Grunddaten!$H$17&lt;&gt;2,E69="-",F39=0),"-",ROUND(F34/F39,2))</f>
        <v>-</v>
      </c>
      <c r="G72" s="440" t="str">
        <f>IF(OR(Grunddaten!$H$17&lt;&gt;2,G69="-",G39=0),"-",ROUND(G34/G39,2))</f>
        <v>-</v>
      </c>
      <c r="H72" s="441" t="str">
        <f>IF(OR(Grunddaten!$H$17&lt;&gt;2,G69="-",H39=0),"-",ROUND(H34/H39,2))</f>
        <v>-</v>
      </c>
      <c r="I72" s="440" t="str">
        <f>IF(OR(Grunddaten!$H$17&lt;&gt;2,I69="-",I39=0),"-",ROUND(I34/I39,2))</f>
        <v>-</v>
      </c>
      <c r="J72" s="441" t="str">
        <f>IF(OR(Grunddaten!$H$17&lt;&gt;2,I69="-",J39=0),"-",ROUND(J34/J39,2))</f>
        <v>-</v>
      </c>
    </row>
    <row r="73" spans="1:10" s="71" customFormat="1" ht="15" customHeight="1" x14ac:dyDescent="0.35">
      <c r="A73" s="419" t="s">
        <v>767</v>
      </c>
      <c r="B73" s="410" t="s">
        <v>445</v>
      </c>
      <c r="C73" s="442" t="str">
        <f>IF(C69="-","-","SW+RW")</f>
        <v>SW+RW</v>
      </c>
      <c r="D73" s="442" t="str">
        <f>IF(C69="-","-","nur SW")</f>
        <v>nur SW</v>
      </c>
      <c r="E73" s="442" t="str">
        <f t="shared" ref="E73" si="60">IF(E69="-","-","SW+RW")</f>
        <v>SW+RW</v>
      </c>
      <c r="F73" s="442" t="str">
        <f t="shared" ref="F73" si="61">IF(E69="-","-","nur SW")</f>
        <v>nur SW</v>
      </c>
      <c r="G73" s="442" t="str">
        <f t="shared" ref="G73" si="62">IF(G69="-","-","SW+RW")</f>
        <v>SW+RW</v>
      </c>
      <c r="H73" s="442" t="str">
        <f t="shared" ref="H73" si="63">IF(G69="-","-","nur SW")</f>
        <v>nur SW</v>
      </c>
      <c r="I73" s="442" t="str">
        <f t="shared" ref="I73" si="64">IF(I69="-","-","SW+RW")</f>
        <v>SW+RW</v>
      </c>
      <c r="J73" s="442" t="str">
        <f t="shared" ref="J73" si="65">IF(I69="-","-","nur SW")</f>
        <v>nur SW</v>
      </c>
    </row>
    <row r="74" spans="1:10" s="71" customFormat="1" ht="27" customHeight="1" x14ac:dyDescent="0.35">
      <c r="A74" s="419" t="s">
        <v>790</v>
      </c>
      <c r="B74" s="410" t="s">
        <v>930</v>
      </c>
      <c r="C74" s="439">
        <f>IF(OR(Grunddaten!$H$17=2,C69="-",C55=0),"-",ROUND(C52/(C55+C56*C63),2))</f>
        <v>2.99</v>
      </c>
      <c r="D74" s="439">
        <f>IF(OR(Grunddaten!$H$17=2,C69="-",C56=0),"-",ROUND(C74*C63,2))</f>
        <v>2.6</v>
      </c>
      <c r="E74" s="439">
        <f>IF(OR(Grunddaten!$H$17=2,E69="-",E55=0),"-",ROUND(E52/(E55+E56*E63),2))</f>
        <v>2.9</v>
      </c>
      <c r="F74" s="439">
        <f>IF(OR(Grunddaten!$H$17=2,E69="-",E56=0),"-",ROUND(E74*E63,2))</f>
        <v>2.5299999999999998</v>
      </c>
      <c r="G74" s="439">
        <f>IF(OR(Grunddaten!$H$17=2,G69="-",G55=0),"-",ROUND(G52/(G55+G56*G63),2))</f>
        <v>2.4900000000000002</v>
      </c>
      <c r="H74" s="439">
        <f>IF(OR(Grunddaten!$H$17=2,G69="-",G56=0),"-",ROUND(G74*G63,2))</f>
        <v>2.14</v>
      </c>
      <c r="I74" s="439">
        <f>IF(OR(Grunddaten!$H$17=2,I69="-",I55=0),"-",ROUND(I52/(I55+I56*I63),2))</f>
        <v>2.44</v>
      </c>
      <c r="J74" s="439">
        <f>IF(OR(Grunddaten!$H$17=2,I69="-",I56=0),"-",ROUND(I74*I63,2))</f>
        <v>2.1</v>
      </c>
    </row>
    <row r="75" spans="1:10" s="71" customFormat="1" ht="27" customHeight="1" x14ac:dyDescent="0.35">
      <c r="A75" s="419" t="s">
        <v>791</v>
      </c>
      <c r="B75" s="410" t="s">
        <v>931</v>
      </c>
      <c r="C75" s="443">
        <f>IF(OR(Grunddaten!$H$17=2,C69="-",C55=0),"-",ROUND(C50/(C55+C56*C63),2))</f>
        <v>2.5099999999999998</v>
      </c>
      <c r="D75" s="443">
        <f>IF(OR(Grunddaten!$H$17=2,C69="-",C56=0),"-",ROUND(C75*C63,2))</f>
        <v>2.19</v>
      </c>
      <c r="E75" s="443">
        <f>IF(OR(Grunddaten!$H$17=2,E69="-",E55=0),"-",ROUND(E50/(E55+E56*E63),2))</f>
        <v>2.4500000000000002</v>
      </c>
      <c r="F75" s="443">
        <f>IF(OR(Grunddaten!$H$17=2,E69="-",E56=0),"-",ROUND(E75*E63,2))</f>
        <v>2.13</v>
      </c>
      <c r="G75" s="443">
        <f>IF(OR(Grunddaten!$H$17=2,G69="-",G55=0),"-",ROUND(G50/(G55+G56*G63),2))</f>
        <v>2.0499999999999998</v>
      </c>
      <c r="H75" s="443">
        <f>IF(OR(Grunddaten!$H$17=2,G69="-",G56=0),"-",ROUND(G75*G63,2))</f>
        <v>1.76</v>
      </c>
      <c r="I75" s="443">
        <f>IF(OR(Grunddaten!$H$17=2,I69="-",I55=0),"-",ROUND(I50/(I55+I56*I63),2))</f>
        <v>2.0099999999999998</v>
      </c>
      <c r="J75" s="443">
        <f>IF(OR(Grunddaten!$H$17=2,I69="-",I56=0),"-",ROUND(I75*I63,2))</f>
        <v>1.73</v>
      </c>
    </row>
    <row r="76" spans="1:10" s="71" customFormat="1" ht="20.149999999999999" customHeight="1" x14ac:dyDescent="0.35">
      <c r="A76" s="419" t="s">
        <v>792</v>
      </c>
      <c r="B76" s="444" t="s">
        <v>803</v>
      </c>
      <c r="C76" s="659">
        <f>C6</f>
        <v>2017</v>
      </c>
      <c r="D76" s="676"/>
      <c r="E76" s="675">
        <f t="shared" ref="E76" si="66">E6</f>
        <v>2018</v>
      </c>
      <c r="F76" s="676"/>
      <c r="G76" s="675">
        <f t="shared" ref="G76" si="67">G6</f>
        <v>2019</v>
      </c>
      <c r="H76" s="676"/>
      <c r="I76" s="675">
        <f t="shared" ref="I76" si="68">I6</f>
        <v>2020</v>
      </c>
      <c r="J76" s="676"/>
    </row>
    <row r="77" spans="1:10" s="71" customFormat="1" ht="18" customHeight="1" x14ac:dyDescent="0.35">
      <c r="A77" s="419" t="s">
        <v>793</v>
      </c>
      <c r="B77" s="410" t="s">
        <v>448</v>
      </c>
      <c r="C77" s="677">
        <f>IF(C6="-","-",IF(HLOOKUP(C6,Grund_be,2,FALSE)=2,ROUND(HLOOKUP(C6,Anlageg,47,FALSE)-HLOOKUP(C6,Zuwend,14,FALSE),2),ROUND(HLOOKUP(C6,Anlageg,30,FALSE)-HLOOKUP(C6,Zuwend,14,FALSE),2)))</f>
        <v>0</v>
      </c>
      <c r="D77" s="678"/>
      <c r="E77" s="677">
        <f>IF(E6="-","-",IF(HLOOKUP(E6,Grund_be,2,FALSE)=2,ROUND(HLOOKUP(E6,Anlageg,47,FALSE)-HLOOKUP(E6,Zuwend,14,FALSE),2),ROUND(HLOOKUP(E6,Anlageg,30,FALSE)-HLOOKUP(E6,Zuwend,14,FALSE),2)))</f>
        <v>0</v>
      </c>
      <c r="F77" s="678"/>
      <c r="G77" s="677">
        <f>IF(G6="-","-",IF(HLOOKUP(G6,Grund_be,2,FALSE)=2,ROUND(HLOOKUP(G6,Anlageg,47,FALSE)-HLOOKUP(G6,Zuwend,14,FALSE),2),ROUND(HLOOKUP(G6,Anlageg,30,FALSE)-HLOOKUP(G6,Zuwend,14,FALSE),2)))</f>
        <v>0</v>
      </c>
      <c r="H77" s="678"/>
      <c r="I77" s="677">
        <f>IF(I6="-","-",IF(HLOOKUP(I6,Grund_be,2,FALSE)=2,ROUND(HLOOKUP(I6,Anlageg,47,FALSE)-HLOOKUP(I6,Zuwend,14,FALSE),2),ROUND(HLOOKUP(I6,Anlageg,30,FALSE)-HLOOKUP(I6,Zuwend,14,FALSE),2)))</f>
        <v>0</v>
      </c>
      <c r="J77" s="678"/>
    </row>
    <row r="78" spans="1:10" s="71" customFormat="1" ht="18" customHeight="1" x14ac:dyDescent="0.35">
      <c r="A78" s="419" t="s">
        <v>794</v>
      </c>
      <c r="B78" s="410" t="s">
        <v>469</v>
      </c>
      <c r="C78" s="677">
        <f>IF(C6&lt;&gt;"-",ROUND(HLOOKUP(C6,Anlageg,110,FALSE)-HLOOKUP(C6,Zuwend,45,FALSE),2),"-")</f>
        <v>0.21</v>
      </c>
      <c r="D78" s="678"/>
      <c r="E78" s="677">
        <f>IF(E6&lt;&gt;"-",ROUND(HLOOKUP(E6,Anlageg,110,FALSE)-HLOOKUP(E6,Zuwend,45,FALSE),2),"-")</f>
        <v>0.21</v>
      </c>
      <c r="F78" s="678"/>
      <c r="G78" s="677">
        <f>IF(G6&lt;&gt;"-",ROUND(HLOOKUP(G6,Anlageg,110,FALSE)-HLOOKUP(G6,Zuwend,45,FALSE),2),"-")</f>
        <v>0.21</v>
      </c>
      <c r="H78" s="678"/>
      <c r="I78" s="677">
        <f>IF(I6&lt;&gt;"-",ROUND(HLOOKUP(I6,Anlageg,110,FALSE)-HLOOKUP(I6,Zuwend,45,FALSE),2),"-")</f>
        <v>0.21</v>
      </c>
      <c r="J78" s="678"/>
    </row>
    <row r="79" spans="1:10" s="71" customFormat="1" ht="18" customHeight="1" x14ac:dyDescent="0.35">
      <c r="A79" s="419" t="s">
        <v>795</v>
      </c>
      <c r="B79" s="445" t="s">
        <v>450</v>
      </c>
      <c r="C79" s="736">
        <f>IF(C6&lt;&gt;"-",ROUND(HLOOKUP(C6,Betriebsko,11,FALSE),2)-ROUND(HLOOKUP(C6,Betriebsko,6,FALSE),2),"-")</f>
        <v>98818.93</v>
      </c>
      <c r="D79" s="678"/>
      <c r="E79" s="677">
        <f>IF(E6&lt;&gt;"-",ROUND(HLOOKUP(E6,Betriebsko,11,FALSE),2)-ROUND(HLOOKUP(E6,Betriebsko,6,FALSE),2),"-")</f>
        <v>100794.2</v>
      </c>
      <c r="F79" s="678"/>
      <c r="G79" s="677">
        <f>IF(G6&lt;&gt;"-",ROUND(HLOOKUP(G6,Betriebsko,11,FALSE),2)-ROUND(HLOOKUP(G6,Betriebsko,6,FALSE),2),"-")</f>
        <v>102809.65</v>
      </c>
      <c r="H79" s="678"/>
      <c r="I79" s="677">
        <f>IF(I6&lt;&gt;"-",ROUND(HLOOKUP(I6,Betriebsko,11,FALSE),2)-ROUND(HLOOKUP(I6,Betriebsko,6,FALSE),2),"-")</f>
        <v>104867.6</v>
      </c>
      <c r="J79" s="678"/>
    </row>
    <row r="80" spans="1:10" s="71" customFormat="1" ht="18" customHeight="1" x14ac:dyDescent="0.35">
      <c r="A80" s="419" t="s">
        <v>796</v>
      </c>
      <c r="B80" s="445" t="s">
        <v>470</v>
      </c>
      <c r="C80" s="736">
        <f>IF(SUM(C77:C79)&gt;0,SUM(C78:C79),"-")</f>
        <v>98819.14</v>
      </c>
      <c r="D80" s="678"/>
      <c r="E80" s="677">
        <f t="shared" ref="E80" si="69">IF(SUM(E77:E79)&gt;0,SUM(E78:E79),"-")</f>
        <v>100794.41</v>
      </c>
      <c r="F80" s="678"/>
      <c r="G80" s="677">
        <f t="shared" ref="G80" si="70">IF(SUM(G77:G79)&gt;0,SUM(G78:G79),"-")</f>
        <v>102809.86</v>
      </c>
      <c r="H80" s="678"/>
      <c r="I80" s="677">
        <f t="shared" ref="I80" si="71">IF(SUM(I77:I79)&gt;0,SUM(I78:I79),"-")</f>
        <v>104867.81000000001</v>
      </c>
      <c r="J80" s="678"/>
    </row>
    <row r="81" spans="1:10" s="71" customFormat="1" ht="18" customHeight="1" x14ac:dyDescent="0.35">
      <c r="A81" s="419" t="s">
        <v>797</v>
      </c>
      <c r="B81" s="446" t="s">
        <v>471</v>
      </c>
      <c r="C81" s="737">
        <f>IF(C6&lt;&gt;"-",ROUND(C80/(C80+SUM(C12,C21,C25,D12,D21,D25)),4),"-")</f>
        <v>5.5300000000000002E-2</v>
      </c>
      <c r="D81" s="680"/>
      <c r="E81" s="679">
        <f>IF(E6&lt;&gt;"-",ROUND(E80/(E80+SUM(E12,E21,E25,F12,F21,F25)),4),"-")</f>
        <v>5.62E-2</v>
      </c>
      <c r="F81" s="680"/>
      <c r="G81" s="679">
        <f>IF(G6&lt;&gt;"-",ROUND(G80/(G80+SUM(G12,G21,G25,H12,H21,H25)),4),"-")</f>
        <v>6.4399999999999999E-2</v>
      </c>
      <c r="H81" s="680"/>
      <c r="I81" s="679">
        <f>IF(I6&lt;&gt;"-",ROUND(I80/(I80+SUM(I12,I21,I25,J12,J21,J25)),4),"-")</f>
        <v>6.59E-2</v>
      </c>
      <c r="J81" s="680"/>
    </row>
    <row r="82" spans="1:10" s="71" customFormat="1" ht="27.75" customHeight="1" x14ac:dyDescent="0.35">
      <c r="A82" s="419" t="s">
        <v>798</v>
      </c>
      <c r="B82" s="338" t="s">
        <v>940</v>
      </c>
      <c r="C82" s="659">
        <f>C6</f>
        <v>2017</v>
      </c>
      <c r="D82" s="676"/>
      <c r="E82" s="675">
        <f t="shared" ref="E82" si="72">E6</f>
        <v>2018</v>
      </c>
      <c r="F82" s="676"/>
      <c r="G82" s="675">
        <f t="shared" ref="G82" si="73">G6</f>
        <v>2019</v>
      </c>
      <c r="H82" s="676"/>
      <c r="I82" s="675">
        <f t="shared" ref="I82" si="74">I6</f>
        <v>2020</v>
      </c>
      <c r="J82" s="676"/>
    </row>
    <row r="83" spans="1:10" s="71" customFormat="1" ht="18" customHeight="1" x14ac:dyDescent="0.35">
      <c r="A83" s="419" t="s">
        <v>799</v>
      </c>
      <c r="B83" s="410" t="s">
        <v>472</v>
      </c>
      <c r="C83" s="738">
        <f>IF(C6&lt;&gt;"-",HLOOKUP(C6,Anlageg,116,FALSE),"-")</f>
        <v>0</v>
      </c>
      <c r="D83" s="644"/>
      <c r="E83" s="681">
        <f>IF(E6&lt;&gt;"-",HLOOKUP(E6,Anlageg,116,FALSE),"-")</f>
        <v>0</v>
      </c>
      <c r="F83" s="644"/>
      <c r="G83" s="681">
        <f>IF(G6&lt;&gt;"-",HLOOKUP(G6,Anlageg,116,FALSE),"-")</f>
        <v>0</v>
      </c>
      <c r="H83" s="644"/>
      <c r="I83" s="681">
        <f>IF(I6&lt;&gt;"-",HLOOKUP(I6,Anlageg,116,FALSE),"-")</f>
        <v>0</v>
      </c>
      <c r="J83" s="644"/>
    </row>
    <row r="84" spans="1:10" s="71" customFormat="1" ht="18" customHeight="1" x14ac:dyDescent="0.35">
      <c r="A84" s="419" t="s">
        <v>800</v>
      </c>
      <c r="B84" s="410" t="s">
        <v>454</v>
      </c>
      <c r="C84" s="738">
        <f>IF(C6&lt;&gt;"-",HLOOKUP(C6,Beitr,51,FALSE),"-")</f>
        <v>2.9700000000000001E-2</v>
      </c>
      <c r="D84" s="644"/>
      <c r="E84" s="681">
        <f>IF(E6&lt;&gt;"-",HLOOKUP(E6,Beitr,51,FALSE),"-")</f>
        <v>2.9700000000000001E-2</v>
      </c>
      <c r="F84" s="644"/>
      <c r="G84" s="681">
        <f>IF(G6&lt;&gt;"-",HLOOKUP(G6,Beitr,51,FALSE),"-")</f>
        <v>2.9700000000000001E-2</v>
      </c>
      <c r="H84" s="644"/>
      <c r="I84" s="681">
        <f>IF(I6&lt;&gt;"-",HLOOKUP(I6,Beitr,51,FALSE),"-")</f>
        <v>2.9700000000000001E-2</v>
      </c>
      <c r="J84" s="644"/>
    </row>
    <row r="85" spans="1:10" s="71" customFormat="1" ht="18" customHeight="1" x14ac:dyDescent="0.35">
      <c r="A85" s="419" t="s">
        <v>801</v>
      </c>
      <c r="B85" s="423" t="s">
        <v>473</v>
      </c>
      <c r="C85" s="739">
        <f>IF(C6&lt;&gt;"-",HLOOKUP(C6,Zuwend,51,FALSE),"-")</f>
        <v>2.5399999999999999E-2</v>
      </c>
      <c r="D85" s="653"/>
      <c r="E85" s="692">
        <f>IF(E6&lt;&gt;"-",HLOOKUP(E6,Zuwend,51,FALSE),"-")</f>
        <v>2.5399999999999999E-2</v>
      </c>
      <c r="F85" s="653"/>
      <c r="G85" s="692">
        <f>IF(G6&lt;&gt;"-",HLOOKUP(G6,Zuwend,51,FALSE),"-")</f>
        <v>2.5399999999999999E-2</v>
      </c>
      <c r="H85" s="653"/>
      <c r="I85" s="692">
        <f>IF(I6&lt;&gt;"-",HLOOKUP(I6,Zuwend,51,FALSE),"-")</f>
        <v>2.5399999999999999E-2</v>
      </c>
      <c r="J85" s="653"/>
    </row>
    <row r="86" spans="1:10" s="71" customFormat="1" ht="18" customHeight="1" thickBot="1" x14ac:dyDescent="0.4">
      <c r="A86" s="424" t="s">
        <v>802</v>
      </c>
      <c r="B86" s="426" t="s">
        <v>456</v>
      </c>
      <c r="C86" s="743">
        <f>IF(C6&lt;&gt;"-",HLOOKUP(C6,Grund_zins,2,FALSE),"-")</f>
        <v>0.03</v>
      </c>
      <c r="D86" s="694"/>
      <c r="E86" s="693">
        <f>IF(E6&lt;&gt;"-",HLOOKUP(E6,Grund_zins,2,FALSE),"-")</f>
        <v>0.03</v>
      </c>
      <c r="F86" s="694"/>
      <c r="G86" s="693">
        <f>IF(G6&lt;&gt;"-",HLOOKUP(G6,Grund_zins,2,FALSE),"-")</f>
        <v>0.03</v>
      </c>
      <c r="H86" s="694"/>
      <c r="I86" s="693">
        <f>IF(I6&lt;&gt;"-",HLOOKUP(I6,Grund_zins,2,FALSE),"-")</f>
        <v>0.03</v>
      </c>
      <c r="J86" s="694"/>
    </row>
    <row r="87" spans="1:10" s="73" customFormat="1" ht="6.75" customHeight="1" x14ac:dyDescent="0.35">
      <c r="A87" s="416"/>
      <c r="B87" s="416"/>
      <c r="C87" s="416"/>
      <c r="D87" s="416"/>
      <c r="E87" s="416"/>
      <c r="F87" s="416"/>
      <c r="G87" s="416"/>
      <c r="H87" s="416"/>
      <c r="I87" s="416"/>
      <c r="J87" s="430"/>
    </row>
    <row r="88" spans="1:10" s="71" customFormat="1" ht="45" customHeight="1" x14ac:dyDescent="0.35">
      <c r="A88" s="447" t="s">
        <v>768</v>
      </c>
      <c r="B88" s="688" t="str">
        <f>IF(OR(C89&lt;&gt;"-"),"Berechnung der voraussichtlichen Rücklagenzuführungen aus Abschreibungen von vom zuwendungsfinanzierten Anlagevermögen aufgrund der Vorkalkulation "&amp;MIN(C6:J6)&amp;" bis "&amp;MAX(C6:J6),"Keine Rücklagenzuführungen aus Abschreibungen vom zuwendungsfinanzierten Anlagevermögen")</f>
        <v>Berechnung der voraussichtlichen Rücklagenzuführungen aus Abschreibungen von vom zuwendungsfinanzierten Anlagevermögen aufgrund der Vorkalkulation 2017 bis 2020</v>
      </c>
      <c r="C88" s="688"/>
      <c r="D88" s="688"/>
      <c r="E88" s="688"/>
      <c r="F88" s="688"/>
      <c r="G88" s="688"/>
      <c r="H88" s="688"/>
      <c r="I88" s="688"/>
      <c r="J88" s="689"/>
    </row>
    <row r="89" spans="1:10" s="71" customFormat="1" ht="45" customHeight="1" x14ac:dyDescent="0.35">
      <c r="A89" s="448" t="s">
        <v>775</v>
      </c>
      <c r="B89" s="449" t="s">
        <v>941</v>
      </c>
      <c r="C89" s="744">
        <f>IF(C6="-","-", IF(Grunddaten!$H$13=2,C6,"-"))</f>
        <v>2017</v>
      </c>
      <c r="D89" s="745"/>
      <c r="E89" s="744">
        <f>IF(E6="-","-", IF(Grunddaten!$H$13=2,E6,"-"))</f>
        <v>2018</v>
      </c>
      <c r="F89" s="745"/>
      <c r="G89" s="744">
        <f>IF(G6="-","-", IF(Grunddaten!$H$13=2,G6,"-"))</f>
        <v>2019</v>
      </c>
      <c r="H89" s="745"/>
      <c r="I89" s="744">
        <f>IF(I6="-","-", IF(Grunddaten!$H$13=2,I6,"-"))</f>
        <v>2020</v>
      </c>
      <c r="J89" s="745"/>
    </row>
    <row r="90" spans="1:10" s="71" customFormat="1" ht="21" customHeight="1" x14ac:dyDescent="0.35">
      <c r="A90" s="97" t="s">
        <v>769</v>
      </c>
      <c r="B90" s="450" t="s">
        <v>474</v>
      </c>
      <c r="C90" s="67" t="str">
        <f>IF(C89="-","-", IF(Grunddaten!$H$13=2,"SW","-"))</f>
        <v>SW</v>
      </c>
      <c r="D90" s="68" t="str">
        <f>IF(C89="-","-", IF(Grunddaten!$H$13=2,"RW-GrSt","-"))</f>
        <v>RW-GrSt</v>
      </c>
      <c r="E90" s="67" t="str">
        <f>IF(E89="-","-", IF(Grunddaten!$H$13=2,"SW","-"))</f>
        <v>SW</v>
      </c>
      <c r="F90" s="68" t="str">
        <f>IF(E89="-","-", IF(Grunddaten!$H$13=2,"RW-GrSt","-"))</f>
        <v>RW-GrSt</v>
      </c>
      <c r="G90" s="67" t="str">
        <f>IF(G89="-","-", IF(Grunddaten!$H$13=2,"SW","-"))</f>
        <v>SW</v>
      </c>
      <c r="H90" s="68" t="str">
        <f>IF(G89="-","-", IF(Grunddaten!$H$13=2,"RW-GrSt","-"))</f>
        <v>RW-GrSt</v>
      </c>
      <c r="I90" s="67" t="str">
        <f>IF(I89="-","-", IF(Grunddaten!$H$13=2,"SW","-"))</f>
        <v>SW</v>
      </c>
      <c r="J90" s="68" t="str">
        <f>IF(I89="-","-", IF(Grunddaten!$H$13=2,"RW-GrSt","-"))</f>
        <v>RW-GrSt</v>
      </c>
    </row>
    <row r="91" spans="1:10" s="71" customFormat="1" ht="30" customHeight="1" x14ac:dyDescent="0.35">
      <c r="A91" s="419" t="s">
        <v>770</v>
      </c>
      <c r="B91" s="450" t="s">
        <v>457</v>
      </c>
      <c r="C91" s="400">
        <f>IF(C89="-","-", IF(Grunddaten!$H$13=2,HLOOKUP(C89,Zuwend,62,FALSE),"-"))</f>
        <v>65604.41</v>
      </c>
      <c r="D91" s="69">
        <f>IF(C89="-","-", IF(Grunddaten!$H$13=2,HLOOKUP(C89,Zuwend,63,FALSE),"-"))</f>
        <v>47365.59</v>
      </c>
      <c r="E91" s="400">
        <f>IF(E89="-","-", IF(Grunddaten!$H$13=2,HLOOKUP(E89,Zuwend,62,FALSE),"-"))</f>
        <v>65613.66</v>
      </c>
      <c r="F91" s="69">
        <f>IF(E89="-","-", IF(Grunddaten!$H$13=2,HLOOKUP(E89,Zuwend,63,FALSE),"-"))</f>
        <v>47356.34</v>
      </c>
      <c r="G91" s="400">
        <f>IF(G89="-","-", IF(Grunddaten!$H$13=2,HLOOKUP(G89,Zuwend,62,FALSE),"-"))</f>
        <v>64873.7</v>
      </c>
      <c r="H91" s="69">
        <f>IF(G89="-","-", IF(Grunddaten!$H$13=2,HLOOKUP(G89,Zuwend,63,FALSE),"-"))</f>
        <v>48096.3</v>
      </c>
      <c r="I91" s="400">
        <f>IF(I89="-","-", IF(Grunddaten!$H$13=2,HLOOKUP(I89,Zuwend,62,FALSE),"-"))</f>
        <v>64810.91</v>
      </c>
      <c r="J91" s="69">
        <f>IF(I89="-","-", IF(Grunddaten!$H$13=2,HLOOKUP(I89,Zuwend,63,FALSE),"-"))</f>
        <v>48159.09</v>
      </c>
    </row>
    <row r="92" spans="1:10" s="71" customFormat="1" ht="21" customHeight="1" x14ac:dyDescent="0.35">
      <c r="A92" s="419" t="s">
        <v>771</v>
      </c>
      <c r="B92" s="450" t="s">
        <v>475</v>
      </c>
      <c r="C92" s="400">
        <f>IF(C89="-","-", IF(Grunddaten!$H$13=2,HLOOKUP(C89,Zuwend,66,FALSE),"-"))</f>
        <v>65604.41</v>
      </c>
      <c r="D92" s="69">
        <f>IF(C89="-","-", IF(Grunddaten!$H$13=2,HLOOKUP(C89,Zuwend,67,FALSE),"-"))</f>
        <v>47365.59</v>
      </c>
      <c r="E92" s="400">
        <f>IF(E89="-","-", IF(Grunddaten!$H$13=2,HLOOKUP(E89,Zuwend,66,FALSE),"-"))</f>
        <v>65613.66</v>
      </c>
      <c r="F92" s="69">
        <f>IF(E89="-","-", IF(Grunddaten!$H$13=2,HLOOKUP(E89,Zuwend,67,FALSE),"-"))</f>
        <v>47356.34</v>
      </c>
      <c r="G92" s="400">
        <f>IF(G89="-","-", IF(Grunddaten!$H$13=2,HLOOKUP(G89,Zuwend,66,FALSE),"-"))</f>
        <v>64873.7</v>
      </c>
      <c r="H92" s="69">
        <f>IF(G89="-","-", IF(Grunddaten!$H$13=2,HLOOKUP(G89,Zuwend,67,FALSE),"-"))</f>
        <v>48096.3</v>
      </c>
      <c r="I92" s="400">
        <f>IF(I89="-","-", IF(Grunddaten!$H$13=2,HLOOKUP(I89,Zuwend,66,FALSE),"-"))</f>
        <v>64810.91</v>
      </c>
      <c r="J92" s="69">
        <f>IF(I89="-","-", IF(Grunddaten!$H$13=2,HLOOKUP(I89,Zuwend,67,FALSE),"-"))</f>
        <v>48159.09</v>
      </c>
    </row>
    <row r="93" spans="1:10" s="71" customFormat="1" ht="45" customHeight="1" x14ac:dyDescent="0.35">
      <c r="A93" s="419" t="s">
        <v>772</v>
      </c>
      <c r="B93" s="450" t="s">
        <v>960</v>
      </c>
      <c r="C93" s="686">
        <f>IF(C89="-","-", IF(Grunddaten!$H$13=2,SUM(C92,D92),"-"))</f>
        <v>112970</v>
      </c>
      <c r="D93" s="625"/>
      <c r="E93" s="686">
        <f>IF(E89="-","-", IF(Grunddaten!$H$13=2,SUM(E92,F92),"-"))</f>
        <v>112970</v>
      </c>
      <c r="F93" s="625"/>
      <c r="G93" s="686">
        <f>IF(G89="-","-", IF(Grunddaten!$H$13=2,SUM(G92,H92),"-"))</f>
        <v>112970</v>
      </c>
      <c r="H93" s="625"/>
      <c r="I93" s="686">
        <f>IF(I89="-","-", IF(Grunddaten!$H$13=2,SUM(I92,J92),"-"))</f>
        <v>112970</v>
      </c>
      <c r="J93" s="625"/>
    </row>
    <row r="94" spans="1:10" s="71" customFormat="1" ht="47.25" customHeight="1" thickBot="1" x14ac:dyDescent="0.4">
      <c r="A94" s="419" t="s">
        <v>773</v>
      </c>
      <c r="B94" s="451" t="s">
        <v>942</v>
      </c>
      <c r="C94" s="740">
        <f>IF(SUM(C93,E93,G93,I93)&lt;&gt;0,SUM(C93,E93,G93,I93),"-")</f>
        <v>451880</v>
      </c>
      <c r="D94" s="741"/>
      <c r="E94" s="741"/>
      <c r="F94" s="741"/>
      <c r="G94" s="741"/>
      <c r="H94" s="741"/>
      <c r="I94" s="741"/>
      <c r="J94" s="742"/>
    </row>
  </sheetData>
  <mergeCells count="145">
    <mergeCell ref="C93:D93"/>
    <mergeCell ref="E93:F93"/>
    <mergeCell ref="G93:H93"/>
    <mergeCell ref="I93:J93"/>
    <mergeCell ref="C94:J94"/>
    <mergeCell ref="C86:D86"/>
    <mergeCell ref="E86:F86"/>
    <mergeCell ref="G86:H86"/>
    <mergeCell ref="I86:J86"/>
    <mergeCell ref="B88:J88"/>
    <mergeCell ref="C89:D89"/>
    <mergeCell ref="E89:F89"/>
    <mergeCell ref="G89:H89"/>
    <mergeCell ref="I89:J89"/>
    <mergeCell ref="C84:D84"/>
    <mergeCell ref="E84:F84"/>
    <mergeCell ref="G84:H84"/>
    <mergeCell ref="I84:J84"/>
    <mergeCell ref="C85:D85"/>
    <mergeCell ref="E85:F85"/>
    <mergeCell ref="G85:H85"/>
    <mergeCell ref="I85:J85"/>
    <mergeCell ref="C82:D82"/>
    <mergeCell ref="E82:F82"/>
    <mergeCell ref="G82:H82"/>
    <mergeCell ref="I82:J82"/>
    <mergeCell ref="C83:D83"/>
    <mergeCell ref="E83:F83"/>
    <mergeCell ref="G83:H83"/>
    <mergeCell ref="I83:J83"/>
    <mergeCell ref="C80:D80"/>
    <mergeCell ref="E80:F80"/>
    <mergeCell ref="G80:H80"/>
    <mergeCell ref="I80:J80"/>
    <mergeCell ref="C81:D81"/>
    <mergeCell ref="E81:F81"/>
    <mergeCell ref="G81:H81"/>
    <mergeCell ref="I81:J81"/>
    <mergeCell ref="C78:D78"/>
    <mergeCell ref="E78:F78"/>
    <mergeCell ref="G78:H78"/>
    <mergeCell ref="I78:J78"/>
    <mergeCell ref="C79:D79"/>
    <mergeCell ref="E79:F79"/>
    <mergeCell ref="G79:H79"/>
    <mergeCell ref="I79:J79"/>
    <mergeCell ref="C76:D76"/>
    <mergeCell ref="E76:F76"/>
    <mergeCell ref="G76:H76"/>
    <mergeCell ref="I76:J76"/>
    <mergeCell ref="C77:D77"/>
    <mergeCell ref="E77:F77"/>
    <mergeCell ref="G77:H77"/>
    <mergeCell ref="I77:J77"/>
    <mergeCell ref="C64:J64"/>
    <mergeCell ref="C65:J65"/>
    <mergeCell ref="B66:J66"/>
    <mergeCell ref="B68:J68"/>
    <mergeCell ref="C69:D69"/>
    <mergeCell ref="E69:F69"/>
    <mergeCell ref="G69:H69"/>
    <mergeCell ref="I69:J69"/>
    <mergeCell ref="C57:F57"/>
    <mergeCell ref="G57:J57"/>
    <mergeCell ref="C58:F58"/>
    <mergeCell ref="G58:J58"/>
    <mergeCell ref="B60:J60"/>
    <mergeCell ref="C61:D61"/>
    <mergeCell ref="E61:F61"/>
    <mergeCell ref="G61:H61"/>
    <mergeCell ref="I61:J61"/>
    <mergeCell ref="C55:D55"/>
    <mergeCell ref="E55:F55"/>
    <mergeCell ref="G55:H55"/>
    <mergeCell ref="I55:J55"/>
    <mergeCell ref="C56:D56"/>
    <mergeCell ref="E56:F56"/>
    <mergeCell ref="G56:H56"/>
    <mergeCell ref="I56:J56"/>
    <mergeCell ref="C52:D52"/>
    <mergeCell ref="E52:F52"/>
    <mergeCell ref="G52:H52"/>
    <mergeCell ref="I52:J52"/>
    <mergeCell ref="C53:J53"/>
    <mergeCell ref="C54:D54"/>
    <mergeCell ref="E54:F54"/>
    <mergeCell ref="G54:H54"/>
    <mergeCell ref="I54:J54"/>
    <mergeCell ref="C50:D50"/>
    <mergeCell ref="E50:F50"/>
    <mergeCell ref="G50:H50"/>
    <mergeCell ref="I50:J50"/>
    <mergeCell ref="C51:D51"/>
    <mergeCell ref="E51:F51"/>
    <mergeCell ref="G51:H51"/>
    <mergeCell ref="I51:J51"/>
    <mergeCell ref="C48:D48"/>
    <mergeCell ref="E48:F48"/>
    <mergeCell ref="G48:H48"/>
    <mergeCell ref="I48:J48"/>
    <mergeCell ref="C49:D49"/>
    <mergeCell ref="E49:F49"/>
    <mergeCell ref="G49:H49"/>
    <mergeCell ref="I49:J49"/>
    <mergeCell ref="C46:D46"/>
    <mergeCell ref="E46:F46"/>
    <mergeCell ref="G46:H46"/>
    <mergeCell ref="I46:J46"/>
    <mergeCell ref="C47:D47"/>
    <mergeCell ref="E47:F47"/>
    <mergeCell ref="G47:H47"/>
    <mergeCell ref="I47:J47"/>
    <mergeCell ref="B43:J43"/>
    <mergeCell ref="C44:D44"/>
    <mergeCell ref="E44:F44"/>
    <mergeCell ref="G44:H44"/>
    <mergeCell ref="I44:J44"/>
    <mergeCell ref="C45:D45"/>
    <mergeCell ref="E45:F45"/>
    <mergeCell ref="G45:H45"/>
    <mergeCell ref="I45:J45"/>
    <mergeCell ref="A43:A45"/>
    <mergeCell ref="C37:F37"/>
    <mergeCell ref="G37:J37"/>
    <mergeCell ref="C40:F40"/>
    <mergeCell ref="G40:J40"/>
    <mergeCell ref="C41:F41"/>
    <mergeCell ref="G41:J41"/>
    <mergeCell ref="I6:J6"/>
    <mergeCell ref="B27:J27"/>
    <mergeCell ref="C28:D28"/>
    <mergeCell ref="E28:F28"/>
    <mergeCell ref="G28:H28"/>
    <mergeCell ref="I28:J28"/>
    <mergeCell ref="A27:A29"/>
    <mergeCell ref="A1:J1"/>
    <mergeCell ref="A2:J2"/>
    <mergeCell ref="A4:J4"/>
    <mergeCell ref="A5:A7"/>
    <mergeCell ref="B5:B7"/>
    <mergeCell ref="C6:D6"/>
    <mergeCell ref="E6:F6"/>
    <mergeCell ref="G6:H6"/>
    <mergeCell ref="A3:J3"/>
    <mergeCell ref="C5:J5"/>
  </mergeCells>
  <printOptions gridLines="1"/>
  <pageMargins left="0.39370078740157483" right="0.19685039370078741" top="0.31496062992125984" bottom="0.19685039370078741" header="0.11811023622047245" footer="0.11811023622047245"/>
  <pageSetup paperSize="9" scale="95" fitToHeight="0" orientation="landscape" r:id="rId1"/>
  <headerFooter>
    <oddFooter>&amp;L&amp;6
Verfasser: Josef Beer
Geschützt (§ 69a UrhG)</oddFooter>
  </headerFooter>
  <rowBreaks count="3" manualBreakCount="3">
    <brk id="26" max="16383" man="1"/>
    <brk id="59" max="16383" man="1"/>
    <brk id="8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104"/>
  <sheetViews>
    <sheetView tabSelected="1" workbookViewId="0">
      <selection activeCell="A4" sqref="A4:H4"/>
    </sheetView>
  </sheetViews>
  <sheetFormatPr baseColWidth="10" defaultColWidth="11.453125" defaultRowHeight="14.5" x14ac:dyDescent="0.35"/>
  <cols>
    <col min="1" max="1" width="6.26953125" style="71" customWidth="1"/>
    <col min="2" max="2" width="21" style="71" customWidth="1"/>
    <col min="3" max="3" width="33.453125" style="71" customWidth="1"/>
    <col min="4" max="10" width="13.26953125" style="71" customWidth="1"/>
    <col min="11" max="12" width="12.26953125" style="71" bestFit="1" customWidth="1"/>
    <col min="13" max="16384" width="11.453125" style="71"/>
  </cols>
  <sheetData>
    <row r="1" spans="1:12" ht="18" customHeight="1" x14ac:dyDescent="0.35">
      <c r="A1" s="767" t="s">
        <v>804</v>
      </c>
      <c r="B1" s="767"/>
      <c r="C1" s="767"/>
      <c r="D1" s="767"/>
      <c r="E1" s="767"/>
      <c r="F1" s="767"/>
      <c r="G1" s="767"/>
      <c r="H1" s="767"/>
    </row>
    <row r="2" spans="1:12" ht="18" customHeight="1" x14ac:dyDescent="0.35">
      <c r="A2" s="768" t="s">
        <v>805</v>
      </c>
      <c r="B2" s="768"/>
      <c r="C2" s="768"/>
      <c r="D2" s="768"/>
      <c r="E2" s="768"/>
      <c r="F2" s="768"/>
      <c r="G2" s="768"/>
      <c r="H2" s="768"/>
    </row>
    <row r="3" spans="1:12" ht="24" customHeight="1" x14ac:dyDescent="0.35">
      <c r="A3" s="769" t="s">
        <v>476</v>
      </c>
      <c r="B3" s="769"/>
      <c r="C3" s="769"/>
      <c r="D3" s="769"/>
      <c r="E3" s="769"/>
      <c r="F3" s="769"/>
      <c r="G3" s="769"/>
      <c r="H3" s="770"/>
    </row>
    <row r="4" spans="1:12" ht="18.75" customHeight="1" x14ac:dyDescent="0.45">
      <c r="A4" s="769" t="s">
        <v>477</v>
      </c>
      <c r="B4" s="771"/>
      <c r="C4" s="771"/>
      <c r="D4" s="771"/>
      <c r="E4" s="771"/>
      <c r="F4" s="771"/>
      <c r="G4" s="771"/>
      <c r="H4" s="771"/>
    </row>
    <row r="5" spans="1:12" ht="21" customHeight="1" x14ac:dyDescent="0.45">
      <c r="A5" s="542" t="s">
        <v>616</v>
      </c>
      <c r="B5" s="772" t="s">
        <v>879</v>
      </c>
      <c r="C5" s="773"/>
      <c r="D5" s="773"/>
      <c r="E5" s="773"/>
      <c r="F5" s="773"/>
      <c r="G5" s="773"/>
      <c r="H5" s="696" t="s">
        <v>480</v>
      </c>
      <c r="I5" s="697"/>
      <c r="J5" s="697"/>
      <c r="L5" s="72"/>
    </row>
    <row r="6" spans="1:12" s="72" customFormat="1" ht="19.5" customHeight="1" x14ac:dyDescent="0.35">
      <c r="A6" s="97" t="s">
        <v>11</v>
      </c>
      <c r="B6" s="761" t="s">
        <v>851</v>
      </c>
      <c r="C6" s="619"/>
      <c r="D6" s="619"/>
      <c r="E6" s="619"/>
      <c r="F6" s="620"/>
      <c r="G6" s="533" t="s">
        <v>478</v>
      </c>
      <c r="H6" s="121">
        <v>40909</v>
      </c>
      <c r="I6" s="543"/>
      <c r="J6" s="121">
        <v>42735</v>
      </c>
      <c r="K6" s="71"/>
    </row>
    <row r="7" spans="1:12" ht="7" customHeight="1" x14ac:dyDescent="0.35">
      <c r="A7" s="544"/>
      <c r="B7" s="135"/>
      <c r="C7" s="135"/>
      <c r="D7" s="135"/>
      <c r="E7" s="135"/>
      <c r="F7" s="135"/>
      <c r="G7" s="135"/>
      <c r="H7" s="135"/>
      <c r="I7" s="135"/>
      <c r="J7" s="31"/>
      <c r="L7" s="72"/>
    </row>
    <row r="8" spans="1:12" s="72" customFormat="1" ht="20.25" customHeight="1" x14ac:dyDescent="0.35">
      <c r="A8" s="97" t="s">
        <v>13</v>
      </c>
      <c r="B8" s="761" t="s">
        <v>479</v>
      </c>
      <c r="C8" s="619"/>
      <c r="D8" s="619"/>
      <c r="E8" s="619"/>
      <c r="F8" s="620"/>
      <c r="G8" s="536" t="s">
        <v>478</v>
      </c>
      <c r="H8" s="122">
        <f>IF(J6&gt;EOMONTH(Grunddaten!H6,59)+1,EOMONTH(Grunddaten!H6,59)+1,J6+1)</f>
        <v>42736</v>
      </c>
      <c r="I8" s="545"/>
      <c r="J8" s="123">
        <v>44196</v>
      </c>
      <c r="K8" s="71"/>
    </row>
    <row r="9" spans="1:12" ht="6.75" customHeight="1" x14ac:dyDescent="0.35">
      <c r="A9" s="544"/>
      <c r="B9" s="135"/>
      <c r="C9" s="416"/>
      <c r="D9" s="416"/>
      <c r="E9" s="416"/>
      <c r="F9" s="416"/>
      <c r="G9" s="135"/>
      <c r="H9" s="546"/>
      <c r="I9" s="546"/>
      <c r="J9" s="546"/>
      <c r="L9" s="72"/>
    </row>
    <row r="10" spans="1:12" ht="33.75" customHeight="1" thickBot="1" x14ac:dyDescent="0.4">
      <c r="A10" s="96" t="s">
        <v>726</v>
      </c>
      <c r="B10" s="762" t="s">
        <v>481</v>
      </c>
      <c r="C10" s="763"/>
      <c r="D10" s="534" t="s">
        <v>483</v>
      </c>
      <c r="E10" s="779" t="s">
        <v>496</v>
      </c>
      <c r="F10" s="780"/>
      <c r="G10" s="781"/>
      <c r="H10" s="774" t="s">
        <v>497</v>
      </c>
      <c r="I10" s="775"/>
      <c r="J10" s="776"/>
      <c r="K10" s="535"/>
      <c r="L10" s="535"/>
    </row>
    <row r="11" spans="1:12" ht="15" customHeight="1" x14ac:dyDescent="0.35">
      <c r="A11" s="97" t="s">
        <v>86</v>
      </c>
      <c r="B11" s="777" t="s">
        <v>137</v>
      </c>
      <c r="C11" s="661"/>
      <c r="D11" s="98">
        <f>Nachkalkulation!C6</f>
        <v>2012</v>
      </c>
      <c r="E11" s="750" t="str">
        <f>" der Jahre "&amp;YEAR(H6)+1&amp;" bis " &amp;YEAR(H8)-1</f>
        <v xml:space="preserve"> der Jahre 2013 bis 2016</v>
      </c>
      <c r="F11" s="751"/>
      <c r="G11" s="778"/>
      <c r="H11" s="750" t="str">
        <f>" der Jahre "&amp;YEAR(H8)&amp;" bis " &amp;YEAR(J8)</f>
        <v xml:space="preserve"> der Jahre 2017 bis 2020</v>
      </c>
      <c r="I11" s="751"/>
      <c r="J11" s="778"/>
      <c r="K11" s="537"/>
      <c r="L11" s="537"/>
    </row>
    <row r="12" spans="1:12" ht="6.75" customHeight="1" x14ac:dyDescent="0.35">
      <c r="A12" s="549"/>
      <c r="B12" s="135"/>
      <c r="C12" s="135"/>
      <c r="D12" s="100"/>
      <c r="E12" s="100"/>
      <c r="F12" s="100"/>
      <c r="G12" s="100"/>
      <c r="H12" s="100"/>
      <c r="I12" s="100"/>
      <c r="J12" s="100"/>
      <c r="K12" s="99"/>
      <c r="L12" s="99"/>
    </row>
    <row r="13" spans="1:12" s="548" customFormat="1" ht="27" customHeight="1" x14ac:dyDescent="0.35">
      <c r="A13" s="547" t="s">
        <v>89</v>
      </c>
      <c r="B13" s="755" t="s">
        <v>855</v>
      </c>
      <c r="C13" s="756"/>
      <c r="D13" s="540">
        <v>2</v>
      </c>
      <c r="E13" s="760">
        <f>IF(D13=2,2,"")</f>
        <v>2</v>
      </c>
      <c r="F13" s="766"/>
      <c r="G13" s="766"/>
      <c r="H13" s="760">
        <f>IF(E13=2,2,"")</f>
        <v>2</v>
      </c>
      <c r="I13" s="760"/>
      <c r="J13" s="760"/>
      <c r="K13" s="539"/>
      <c r="L13" s="539"/>
    </row>
    <row r="14" spans="1:12" s="548" customFormat="1" ht="18" customHeight="1" x14ac:dyDescent="0.35">
      <c r="A14" s="547" t="s">
        <v>92</v>
      </c>
      <c r="B14" s="764" t="s">
        <v>482</v>
      </c>
      <c r="C14" s="756"/>
      <c r="D14" s="541">
        <v>1</v>
      </c>
      <c r="E14" s="765">
        <f>D14</f>
        <v>1</v>
      </c>
      <c r="F14" s="765"/>
      <c r="G14" s="765"/>
      <c r="H14" s="765">
        <f>E14</f>
        <v>1</v>
      </c>
      <c r="I14" s="765"/>
      <c r="J14" s="765"/>
      <c r="K14" s="99"/>
      <c r="L14" s="99"/>
    </row>
    <row r="15" spans="1:12" ht="6.75" customHeight="1" x14ac:dyDescent="0.35">
      <c r="A15" s="549"/>
      <c r="B15" s="135"/>
      <c r="C15" s="135"/>
      <c r="D15" s="550"/>
      <c r="E15" s="550"/>
      <c r="F15" s="550"/>
      <c r="G15" s="550"/>
      <c r="H15" s="550"/>
      <c r="I15" s="550"/>
      <c r="J15" s="550"/>
      <c r="K15" s="99"/>
      <c r="L15" s="99"/>
    </row>
    <row r="16" spans="1:12" s="537" customFormat="1" ht="21" customHeight="1" x14ac:dyDescent="0.35">
      <c r="A16" s="547" t="s">
        <v>95</v>
      </c>
      <c r="B16" s="748" t="s">
        <v>495</v>
      </c>
      <c r="C16" s="749"/>
      <c r="D16" s="750" t="str">
        <f>"Nachkalkulationszeitraum von "&amp;YEAR(H6)  &amp;" bis "&amp;YEAR(H8)-1</f>
        <v>Nachkalkulationszeitraum von 2012 bis 2016</v>
      </c>
      <c r="E16" s="751"/>
      <c r="F16" s="751"/>
      <c r="G16" s="751"/>
      <c r="H16" s="752" t="str">
        <f>"Vorkalkulationszeitraum von "&amp;YEAR(H8)  &amp;" bis "&amp;YEAR(J8)</f>
        <v>Vorkalkulationszeitraum von 2017 bis 2020</v>
      </c>
      <c r="I16" s="753"/>
      <c r="J16" s="754"/>
      <c r="K16" s="99"/>
      <c r="L16" s="99"/>
    </row>
    <row r="17" spans="1:12" s="537" customFormat="1" ht="43.5" customHeight="1" x14ac:dyDescent="0.35">
      <c r="A17" s="547" t="s">
        <v>98</v>
      </c>
      <c r="B17" s="755" t="s">
        <v>1105</v>
      </c>
      <c r="C17" s="756"/>
      <c r="D17" s="757"/>
      <c r="E17" s="758"/>
      <c r="F17" s="758"/>
      <c r="G17" s="759"/>
      <c r="H17" s="760" t="str">
        <f>IF(D17=2,2,"")</f>
        <v/>
      </c>
      <c r="I17" s="760"/>
      <c r="J17" s="760"/>
      <c r="K17" s="99"/>
      <c r="L17" s="99"/>
    </row>
    <row r="18" spans="1:12" s="537" customFormat="1" ht="12.75" customHeight="1" x14ac:dyDescent="0.35">
      <c r="A18" s="537" t="s">
        <v>137</v>
      </c>
      <c r="C18" s="537">
        <f>Nachkalkulation!C6</f>
        <v>2012</v>
      </c>
      <c r="D18" s="537">
        <f>Nachkalkulation!E6</f>
        <v>2013</v>
      </c>
      <c r="E18" s="537">
        <f>Nachkalkulation!G6</f>
        <v>2014</v>
      </c>
      <c r="F18" s="537">
        <f>Nachkalkulation!I6</f>
        <v>2015</v>
      </c>
      <c r="G18" s="196">
        <f>Nachkalkulation!K6</f>
        <v>2016</v>
      </c>
      <c r="H18" s="537">
        <f>Vorkalkulation!C6</f>
        <v>2017</v>
      </c>
      <c r="I18" s="537">
        <f>Vorkalkulation!E6</f>
        <v>2018</v>
      </c>
      <c r="J18" s="537">
        <f>Vorkalkulation!G6</f>
        <v>2019</v>
      </c>
      <c r="K18" s="537">
        <f>Vorkalkulation!I6</f>
        <v>2020</v>
      </c>
      <c r="L18" s="201"/>
    </row>
    <row r="19" spans="1:12" s="537" customFormat="1" ht="12.75" customHeight="1" x14ac:dyDescent="0.35">
      <c r="A19" s="537" t="s">
        <v>555</v>
      </c>
      <c r="C19" s="537">
        <f>D13</f>
        <v>2</v>
      </c>
      <c r="D19" s="537">
        <f>E13</f>
        <v>2</v>
      </c>
      <c r="E19" s="537">
        <f>D19</f>
        <v>2</v>
      </c>
      <c r="F19" s="537">
        <f t="shared" ref="F19:G21" si="0">E19</f>
        <v>2</v>
      </c>
      <c r="G19" s="196">
        <f t="shared" si="0"/>
        <v>2</v>
      </c>
      <c r="H19" s="537">
        <f>H13</f>
        <v>2</v>
      </c>
      <c r="I19" s="537">
        <f>H19</f>
        <v>2</v>
      </c>
      <c r="J19" s="537">
        <f t="shared" ref="J19:K21" si="1">I19</f>
        <v>2</v>
      </c>
      <c r="K19" s="537">
        <f t="shared" si="1"/>
        <v>2</v>
      </c>
      <c r="L19" s="365">
        <v>4</v>
      </c>
    </row>
    <row r="20" spans="1:12" s="537" customFormat="1" ht="12.75" customHeight="1" x14ac:dyDescent="0.35">
      <c r="A20" s="537" t="s">
        <v>556</v>
      </c>
      <c r="C20" s="199">
        <f>D14</f>
        <v>1</v>
      </c>
      <c r="D20" s="199">
        <f>E14</f>
        <v>1</v>
      </c>
      <c r="E20" s="198">
        <f>D20</f>
        <v>1</v>
      </c>
      <c r="F20" s="198">
        <f t="shared" si="0"/>
        <v>1</v>
      </c>
      <c r="G20" s="200">
        <f t="shared" si="0"/>
        <v>1</v>
      </c>
      <c r="H20" s="199">
        <f>H14</f>
        <v>1</v>
      </c>
      <c r="I20" s="198">
        <f>H20</f>
        <v>1</v>
      </c>
      <c r="J20" s="198">
        <f t="shared" si="1"/>
        <v>1</v>
      </c>
      <c r="K20" s="198">
        <f t="shared" si="1"/>
        <v>1</v>
      </c>
      <c r="L20" s="365">
        <v>5</v>
      </c>
    </row>
    <row r="21" spans="1:12" s="537" customFormat="1" ht="12.75" customHeight="1" x14ac:dyDescent="0.35">
      <c r="A21" s="537" t="s">
        <v>557</v>
      </c>
      <c r="C21" s="537">
        <f>D17</f>
        <v>0</v>
      </c>
      <c r="D21" s="537">
        <f>C21</f>
        <v>0</v>
      </c>
      <c r="E21" s="537">
        <f>D21</f>
        <v>0</v>
      </c>
      <c r="F21" s="537">
        <f t="shared" si="0"/>
        <v>0</v>
      </c>
      <c r="G21" s="196">
        <f t="shared" si="0"/>
        <v>0</v>
      </c>
      <c r="H21" s="537" t="str">
        <f>H17</f>
        <v/>
      </c>
      <c r="I21" s="537" t="str">
        <f>H21</f>
        <v/>
      </c>
      <c r="J21" s="537" t="str">
        <f t="shared" si="1"/>
        <v/>
      </c>
      <c r="K21" s="537" t="str">
        <f t="shared" si="1"/>
        <v/>
      </c>
      <c r="L21" s="365">
        <v>6</v>
      </c>
    </row>
    <row r="22" spans="1:12" s="574" customFormat="1" ht="17.25" customHeight="1" x14ac:dyDescent="0.35">
      <c r="A22" s="746" t="str">
        <f>"Zwischen Zeile "&amp;ROW(18:18)&amp;" und Zeile "&amp;ROW(21:21)&amp;" weder eine Zeile einfügen noch löschen!!!"</f>
        <v>Zwischen Zeile 18 und Zeile 21 weder eine Zeile einfügen noch löschen!!!</v>
      </c>
      <c r="B22" s="747"/>
      <c r="C22" s="747"/>
      <c r="L22" s="365"/>
    </row>
    <row r="23" spans="1:12" ht="6.75" customHeight="1" x14ac:dyDescent="0.35">
      <c r="A23" s="135"/>
      <c r="B23" s="135"/>
      <c r="C23" s="135"/>
      <c r="D23" s="135"/>
      <c r="E23" s="135"/>
      <c r="F23" s="135"/>
      <c r="G23" s="135"/>
      <c r="H23" s="135"/>
      <c r="I23" s="135"/>
      <c r="J23" s="135"/>
      <c r="K23" s="135"/>
      <c r="L23" s="135"/>
    </row>
    <row r="24" spans="1:12" ht="20.25" customHeight="1" thickBot="1" x14ac:dyDescent="0.4">
      <c r="A24" s="96" t="s">
        <v>813</v>
      </c>
      <c r="B24" s="873" t="s">
        <v>486</v>
      </c>
      <c r="C24" s="874"/>
      <c r="D24" s="874"/>
      <c r="E24" s="874"/>
      <c r="F24" s="874"/>
      <c r="G24" s="875"/>
      <c r="H24" s="875"/>
      <c r="I24" s="876"/>
      <c r="J24" s="876"/>
      <c r="K24" s="876"/>
      <c r="L24" s="876"/>
    </row>
    <row r="25" spans="1:12" ht="27" customHeight="1" thickBot="1" x14ac:dyDescent="0.4">
      <c r="A25" s="96"/>
      <c r="B25" s="877" t="s">
        <v>487</v>
      </c>
      <c r="C25" s="878"/>
      <c r="D25" s="101" t="s">
        <v>483</v>
      </c>
      <c r="E25" s="779" t="s">
        <v>484</v>
      </c>
      <c r="F25" s="793"/>
      <c r="G25" s="793"/>
      <c r="H25" s="794"/>
      <c r="I25" s="795" t="s">
        <v>485</v>
      </c>
      <c r="J25" s="774"/>
      <c r="K25" s="774"/>
      <c r="L25" s="796"/>
    </row>
    <row r="26" spans="1:12" s="137" customFormat="1" ht="15" customHeight="1" thickBot="1" x14ac:dyDescent="0.4">
      <c r="A26" s="551" t="s">
        <v>105</v>
      </c>
      <c r="B26" s="869" t="s">
        <v>137</v>
      </c>
      <c r="C26" s="870"/>
      <c r="D26" s="360">
        <f>Nachkalkulation!C6</f>
        <v>2012</v>
      </c>
      <c r="E26" s="360">
        <f>Nachkalkulation!E6</f>
        <v>2013</v>
      </c>
      <c r="F26" s="360">
        <f>Nachkalkulation!G6</f>
        <v>2014</v>
      </c>
      <c r="G26" s="360">
        <f>Nachkalkulation!I6</f>
        <v>2015</v>
      </c>
      <c r="H26" s="361">
        <f>Nachkalkulation!K6</f>
        <v>2016</v>
      </c>
      <c r="I26" s="359">
        <f>Vorkalkulation!C6</f>
        <v>2017</v>
      </c>
      <c r="J26" s="360">
        <f>Vorkalkulation!E6</f>
        <v>2018</v>
      </c>
      <c r="K26" s="360">
        <f>Vorkalkulation!G6</f>
        <v>2019</v>
      </c>
      <c r="L26" s="360">
        <f>Vorkalkulation!I6</f>
        <v>2020</v>
      </c>
    </row>
    <row r="27" spans="1:12" ht="17.25" customHeight="1" thickBot="1" x14ac:dyDescent="0.4">
      <c r="A27" s="551" t="s">
        <v>108</v>
      </c>
      <c r="B27" s="879" t="s">
        <v>1082</v>
      </c>
      <c r="C27" s="880"/>
      <c r="D27" s="362">
        <v>3.5000000000000003E-2</v>
      </c>
      <c r="E27" s="362">
        <f>IF(E26&lt;&gt;"-",D27,0)</f>
        <v>3.5000000000000003E-2</v>
      </c>
      <c r="F27" s="362">
        <f>IF(F26&lt;&gt;"-",E27,0)</f>
        <v>3.5000000000000003E-2</v>
      </c>
      <c r="G27" s="362">
        <f>IF(G26&lt;&gt;"-",F27,0)</f>
        <v>3.5000000000000003E-2</v>
      </c>
      <c r="H27" s="518">
        <f>IF(H26&lt;&gt;"-",G27,0)</f>
        <v>3.5000000000000003E-2</v>
      </c>
      <c r="I27" s="363">
        <v>0.03</v>
      </c>
      <c r="J27" s="362">
        <f>IF(J26&lt;&gt;"-",I27,0)</f>
        <v>0.03</v>
      </c>
      <c r="K27" s="362">
        <f>IF(K26&lt;&gt;"-",J27,0)</f>
        <v>0.03</v>
      </c>
      <c r="L27" s="362">
        <f>IF(L26&lt;&gt;"-",K27,0)</f>
        <v>0.03</v>
      </c>
    </row>
    <row r="28" spans="1:12" ht="17.25" customHeight="1" x14ac:dyDescent="0.35">
      <c r="A28" s="551" t="s">
        <v>111</v>
      </c>
      <c r="B28" s="881" t="s">
        <v>850</v>
      </c>
      <c r="C28" s="882"/>
      <c r="D28" s="362">
        <v>2.2499999999999999E-2</v>
      </c>
      <c r="E28" s="362">
        <f>IF(E26&lt;&gt;"-",D28,0)</f>
        <v>2.2499999999999999E-2</v>
      </c>
      <c r="F28" s="362">
        <f>IF(F26&lt;&gt;"-",E28,0)</f>
        <v>2.2499999999999999E-2</v>
      </c>
      <c r="G28" s="362">
        <f>IF(G26&lt;&gt;"-",F28,0)</f>
        <v>2.2499999999999999E-2</v>
      </c>
      <c r="H28" s="518">
        <f>IF(H26&lt;&gt;"-",G28,0)</f>
        <v>2.2499999999999999E-2</v>
      </c>
      <c r="I28" s="519">
        <v>0.02</v>
      </c>
      <c r="J28" s="520">
        <f>IF(J26&lt;&gt;"-",I28,0)</f>
        <v>0.02</v>
      </c>
      <c r="K28" s="520">
        <f>IF(K26&lt;&gt;"-",J28,0)</f>
        <v>0.02</v>
      </c>
      <c r="L28" s="520">
        <f>IF(L26&lt;&gt;"-",K28,0)</f>
        <v>0.02</v>
      </c>
    </row>
    <row r="29" spans="1:12" s="537" customFormat="1" ht="17.25" customHeight="1" x14ac:dyDescent="0.35">
      <c r="A29" s="551"/>
      <c r="B29" s="885" t="s">
        <v>137</v>
      </c>
      <c r="C29" s="885"/>
      <c r="D29" s="99">
        <f>D26</f>
        <v>2012</v>
      </c>
      <c r="E29" s="99">
        <f t="shared" ref="E29:L29" si="2">E26</f>
        <v>2013</v>
      </c>
      <c r="F29" s="99">
        <f t="shared" si="2"/>
        <v>2014</v>
      </c>
      <c r="G29" s="99">
        <f t="shared" si="2"/>
        <v>2015</v>
      </c>
      <c r="H29" s="99">
        <f t="shared" si="2"/>
        <v>2016</v>
      </c>
      <c r="I29" s="99">
        <f t="shared" si="2"/>
        <v>2017</v>
      </c>
      <c r="J29" s="99">
        <f t="shared" si="2"/>
        <v>2018</v>
      </c>
      <c r="K29" s="99">
        <f t="shared" si="2"/>
        <v>2019</v>
      </c>
      <c r="L29" s="99">
        <f t="shared" si="2"/>
        <v>2020</v>
      </c>
    </row>
    <row r="30" spans="1:12" s="537" customFormat="1" ht="17.25" customHeight="1" x14ac:dyDescent="0.35">
      <c r="A30" s="551"/>
      <c r="B30" s="886" t="s">
        <v>488</v>
      </c>
      <c r="C30" s="886"/>
      <c r="D30" s="364">
        <f>D27</f>
        <v>3.5000000000000003E-2</v>
      </c>
      <c r="E30" s="364">
        <f t="shared" ref="E30:L30" si="3">E27</f>
        <v>3.5000000000000003E-2</v>
      </c>
      <c r="F30" s="364">
        <f t="shared" si="3"/>
        <v>3.5000000000000003E-2</v>
      </c>
      <c r="G30" s="364">
        <f t="shared" si="3"/>
        <v>3.5000000000000003E-2</v>
      </c>
      <c r="H30" s="364">
        <f t="shared" si="3"/>
        <v>3.5000000000000003E-2</v>
      </c>
      <c r="I30" s="364">
        <f t="shared" si="3"/>
        <v>0.03</v>
      </c>
      <c r="J30" s="364">
        <f t="shared" si="3"/>
        <v>0.03</v>
      </c>
      <c r="K30" s="364">
        <f t="shared" si="3"/>
        <v>0.03</v>
      </c>
      <c r="L30" s="364">
        <f t="shared" si="3"/>
        <v>0.03</v>
      </c>
    </row>
    <row r="31" spans="1:12" s="537" customFormat="1" ht="17.25" customHeight="1" x14ac:dyDescent="0.35">
      <c r="A31" s="551"/>
      <c r="B31" s="886" t="s">
        <v>489</v>
      </c>
      <c r="C31" s="886"/>
      <c r="D31" s="364">
        <f>D28</f>
        <v>2.2499999999999999E-2</v>
      </c>
      <c r="E31" s="364">
        <f t="shared" ref="E31:L31" si="4">E28</f>
        <v>2.2499999999999999E-2</v>
      </c>
      <c r="F31" s="364">
        <f t="shared" si="4"/>
        <v>2.2499999999999999E-2</v>
      </c>
      <c r="G31" s="364">
        <f t="shared" si="4"/>
        <v>2.2499999999999999E-2</v>
      </c>
      <c r="H31" s="364">
        <f t="shared" si="4"/>
        <v>2.2499999999999999E-2</v>
      </c>
      <c r="I31" s="364">
        <f t="shared" si="4"/>
        <v>0.02</v>
      </c>
      <c r="J31" s="364">
        <f t="shared" si="4"/>
        <v>0.02</v>
      </c>
      <c r="K31" s="364">
        <f t="shared" si="4"/>
        <v>0.02</v>
      </c>
      <c r="L31" s="364">
        <f t="shared" si="4"/>
        <v>0.02</v>
      </c>
    </row>
    <row r="32" spans="1:12" s="72" customFormat="1" ht="6.75" customHeight="1" x14ac:dyDescent="0.35">
      <c r="A32" s="135"/>
      <c r="B32" s="135"/>
      <c r="C32" s="135"/>
      <c r="D32" s="135"/>
      <c r="E32" s="135"/>
      <c r="F32" s="135"/>
      <c r="G32" s="135"/>
      <c r="H32" s="136"/>
      <c r="I32" s="287"/>
      <c r="J32" s="135"/>
      <c r="K32" s="135"/>
      <c r="L32" s="552"/>
    </row>
    <row r="33" spans="1:12" s="102" customFormat="1" ht="18" customHeight="1" thickBot="1" x14ac:dyDescent="0.4">
      <c r="A33" s="553" t="s">
        <v>814</v>
      </c>
      <c r="B33" s="801" t="s">
        <v>852</v>
      </c>
      <c r="C33" s="802"/>
      <c r="D33" s="802"/>
      <c r="E33" s="802"/>
      <c r="F33" s="802"/>
      <c r="G33" s="802"/>
      <c r="H33" s="803"/>
      <c r="I33" s="804" t="s">
        <v>485</v>
      </c>
      <c r="J33" s="883"/>
      <c r="K33" s="883"/>
      <c r="L33" s="884"/>
    </row>
    <row r="34" spans="1:12" s="102" customFormat="1" ht="15" customHeight="1" thickBot="1" x14ac:dyDescent="0.4">
      <c r="A34" s="70" t="s">
        <v>737</v>
      </c>
      <c r="B34" s="807" t="s">
        <v>137</v>
      </c>
      <c r="C34" s="808"/>
      <c r="D34" s="809"/>
      <c r="E34" s="809"/>
      <c r="F34" s="809"/>
      <c r="G34" s="809"/>
      <c r="H34" s="810"/>
      <c r="I34" s="359">
        <f>Vorkalkulation!C6</f>
        <v>2017</v>
      </c>
      <c r="J34" s="360">
        <f>Vorkalkulation!E6</f>
        <v>2018</v>
      </c>
      <c r="K34" s="360">
        <f>Vorkalkulation!G6</f>
        <v>2019</v>
      </c>
      <c r="L34" s="360">
        <f>Vorkalkulation!I6</f>
        <v>2020</v>
      </c>
    </row>
    <row r="35" spans="1:12" s="102" customFormat="1" ht="17.25" customHeight="1" x14ac:dyDescent="0.35">
      <c r="A35" s="70" t="s">
        <v>738</v>
      </c>
      <c r="B35" s="797" t="s">
        <v>880</v>
      </c>
      <c r="C35" s="798"/>
      <c r="D35" s="799"/>
      <c r="E35" s="799"/>
      <c r="F35" s="799"/>
      <c r="G35" s="799"/>
      <c r="H35" s="800"/>
      <c r="I35" s="366">
        <v>650000</v>
      </c>
      <c r="J35" s="367">
        <v>670000</v>
      </c>
      <c r="K35" s="367">
        <v>700000</v>
      </c>
      <c r="L35" s="367">
        <v>710000</v>
      </c>
    </row>
    <row r="36" spans="1:12" s="102" customFormat="1" ht="17.25" customHeight="1" x14ac:dyDescent="0.35">
      <c r="A36" s="70" t="s">
        <v>815</v>
      </c>
      <c r="B36" s="797" t="s">
        <v>881</v>
      </c>
      <c r="C36" s="798"/>
      <c r="D36" s="799"/>
      <c r="E36" s="799"/>
      <c r="F36" s="799"/>
      <c r="G36" s="799"/>
      <c r="H36" s="800"/>
      <c r="I36" s="368">
        <v>450000</v>
      </c>
      <c r="J36" s="369">
        <v>465000</v>
      </c>
      <c r="K36" s="369">
        <v>480000</v>
      </c>
      <c r="L36" s="369">
        <v>492000</v>
      </c>
    </row>
    <row r="37" spans="1:12" s="72" customFormat="1" ht="6.75" customHeight="1" x14ac:dyDescent="0.35">
      <c r="A37" s="135"/>
      <c r="B37" s="135"/>
      <c r="C37" s="135"/>
      <c r="D37" s="135"/>
      <c r="E37" s="135"/>
      <c r="F37" s="135"/>
      <c r="G37" s="135"/>
      <c r="H37" s="136"/>
      <c r="I37" s="287"/>
      <c r="J37" s="135"/>
      <c r="K37" s="135"/>
      <c r="L37" s="552"/>
    </row>
    <row r="38" spans="1:12" s="102" customFormat="1" ht="18" customHeight="1" thickBot="1" x14ac:dyDescent="0.4">
      <c r="A38" s="553" t="s">
        <v>816</v>
      </c>
      <c r="B38" s="801" t="s">
        <v>849</v>
      </c>
      <c r="C38" s="802"/>
      <c r="D38" s="802"/>
      <c r="E38" s="802"/>
      <c r="F38" s="802"/>
      <c r="G38" s="802"/>
      <c r="H38" s="803"/>
      <c r="I38" s="804"/>
      <c r="J38" s="805"/>
      <c r="K38" s="805"/>
      <c r="L38" s="806"/>
    </row>
    <row r="39" spans="1:12" s="102" customFormat="1" ht="15" customHeight="1" thickBot="1" x14ac:dyDescent="0.4">
      <c r="A39" s="70" t="s">
        <v>746</v>
      </c>
      <c r="B39" s="807" t="s">
        <v>137</v>
      </c>
      <c r="C39" s="808"/>
      <c r="D39" s="809"/>
      <c r="E39" s="809"/>
      <c r="F39" s="809"/>
      <c r="G39" s="809"/>
      <c r="H39" s="810"/>
      <c r="I39" s="359">
        <f>Vorkalkulation!C6</f>
        <v>2017</v>
      </c>
      <c r="J39" s="360">
        <f>Vorkalkulation!E6</f>
        <v>2018</v>
      </c>
      <c r="K39" s="360">
        <f>Vorkalkulation!G6</f>
        <v>2019</v>
      </c>
      <c r="L39" s="360">
        <f>Vorkalkulation!I6</f>
        <v>2020</v>
      </c>
    </row>
    <row r="40" spans="1:12" s="102" customFormat="1" ht="17.25" customHeight="1" x14ac:dyDescent="0.35">
      <c r="A40" s="70" t="s">
        <v>747</v>
      </c>
      <c r="B40" s="797" t="s">
        <v>824</v>
      </c>
      <c r="C40" s="798"/>
      <c r="D40" s="799"/>
      <c r="E40" s="799"/>
      <c r="F40" s="799"/>
      <c r="G40" s="799"/>
      <c r="H40" s="800"/>
      <c r="I40" s="521">
        <v>590000</v>
      </c>
      <c r="J40" s="522">
        <v>608000</v>
      </c>
      <c r="K40" s="522">
        <v>636000</v>
      </c>
      <c r="L40" s="522">
        <v>646000</v>
      </c>
    </row>
    <row r="41" spans="1:12" s="102" customFormat="1" ht="17.25" customHeight="1" x14ac:dyDescent="0.35">
      <c r="A41" s="70" t="s">
        <v>817</v>
      </c>
      <c r="B41" s="797" t="s">
        <v>825</v>
      </c>
      <c r="C41" s="798"/>
      <c r="D41" s="799"/>
      <c r="E41" s="799"/>
      <c r="F41" s="799"/>
      <c r="G41" s="799"/>
      <c r="H41" s="800"/>
      <c r="I41" s="521">
        <v>60000</v>
      </c>
      <c r="J41" s="522">
        <v>62000</v>
      </c>
      <c r="K41" s="522">
        <v>64000</v>
      </c>
      <c r="L41" s="522">
        <v>64000</v>
      </c>
    </row>
    <row r="42" spans="1:12" s="102" customFormat="1" ht="18" hidden="1" customHeight="1" x14ac:dyDescent="0.35">
      <c r="A42" s="70" t="s">
        <v>818</v>
      </c>
      <c r="B42" s="811" t="str">
        <f>B34</f>
        <v>Jahr</v>
      </c>
      <c r="C42" s="812"/>
      <c r="D42" s="812"/>
      <c r="E42" s="812"/>
      <c r="F42" s="812"/>
      <c r="G42" s="812"/>
      <c r="H42" s="538">
        <v>1</v>
      </c>
      <c r="I42" s="523">
        <f>I26</f>
        <v>2017</v>
      </c>
      <c r="J42" s="524">
        <f t="shared" ref="J42:L42" si="5">J26</f>
        <v>2018</v>
      </c>
      <c r="K42" s="524">
        <f t="shared" si="5"/>
        <v>2019</v>
      </c>
      <c r="L42" s="524">
        <f t="shared" si="5"/>
        <v>2020</v>
      </c>
    </row>
    <row r="43" spans="1:12" s="103" customFormat="1" ht="18" hidden="1" customHeight="1" x14ac:dyDescent="0.35">
      <c r="A43" s="70" t="s">
        <v>819</v>
      </c>
      <c r="B43" s="811" t="s">
        <v>490</v>
      </c>
      <c r="C43" s="812"/>
      <c r="D43" s="812"/>
      <c r="E43" s="812"/>
      <c r="F43" s="812"/>
      <c r="G43" s="812"/>
      <c r="H43" s="538">
        <v>2</v>
      </c>
      <c r="I43" s="525">
        <f>I35</f>
        <v>650000</v>
      </c>
      <c r="J43" s="526">
        <f t="shared" ref="J43:L43" si="6">J35</f>
        <v>670000</v>
      </c>
      <c r="K43" s="526">
        <f t="shared" si="6"/>
        <v>700000</v>
      </c>
      <c r="L43" s="526">
        <f t="shared" si="6"/>
        <v>710000</v>
      </c>
    </row>
    <row r="44" spans="1:12" s="103" customFormat="1" ht="18" hidden="1" customHeight="1" x14ac:dyDescent="0.35">
      <c r="A44" s="70" t="s">
        <v>820</v>
      </c>
      <c r="B44" s="811" t="s">
        <v>491</v>
      </c>
      <c r="C44" s="812"/>
      <c r="D44" s="812"/>
      <c r="E44" s="812"/>
      <c r="F44" s="812"/>
      <c r="G44" s="812"/>
      <c r="H44" s="538">
        <v>3</v>
      </c>
      <c r="I44" s="525">
        <f>I36</f>
        <v>450000</v>
      </c>
      <c r="J44" s="526">
        <f t="shared" ref="J44:L44" si="7">J36</f>
        <v>465000</v>
      </c>
      <c r="K44" s="526">
        <f t="shared" si="7"/>
        <v>480000</v>
      </c>
      <c r="L44" s="526">
        <f t="shared" si="7"/>
        <v>492000</v>
      </c>
    </row>
    <row r="45" spans="1:12" s="103" customFormat="1" ht="18" hidden="1" customHeight="1" x14ac:dyDescent="0.35">
      <c r="A45" s="70" t="s">
        <v>821</v>
      </c>
      <c r="B45" s="811" t="s">
        <v>492</v>
      </c>
      <c r="C45" s="812"/>
      <c r="D45" s="812"/>
      <c r="E45" s="812"/>
      <c r="F45" s="812"/>
      <c r="G45" s="812"/>
      <c r="H45" s="538">
        <v>4</v>
      </c>
      <c r="I45" s="525">
        <f>I40</f>
        <v>590000</v>
      </c>
      <c r="J45" s="526">
        <f t="shared" ref="J45:L45" si="8">J40</f>
        <v>608000</v>
      </c>
      <c r="K45" s="526">
        <f t="shared" si="8"/>
        <v>636000</v>
      </c>
      <c r="L45" s="526">
        <f t="shared" si="8"/>
        <v>646000</v>
      </c>
    </row>
    <row r="46" spans="1:12" s="103" customFormat="1" ht="18" hidden="1" customHeight="1" x14ac:dyDescent="0.35">
      <c r="A46" s="70" t="s">
        <v>822</v>
      </c>
      <c r="B46" s="811" t="s">
        <v>493</v>
      </c>
      <c r="C46" s="812"/>
      <c r="D46" s="812"/>
      <c r="E46" s="812"/>
      <c r="F46" s="812"/>
      <c r="G46" s="812"/>
      <c r="H46" s="538">
        <v>5</v>
      </c>
      <c r="I46" s="525">
        <f>I41</f>
        <v>60000</v>
      </c>
      <c r="J46" s="526">
        <f>J41</f>
        <v>62000</v>
      </c>
      <c r="K46" s="526">
        <f>K41</f>
        <v>64000</v>
      </c>
      <c r="L46" s="526">
        <f>L41</f>
        <v>64000</v>
      </c>
    </row>
    <row r="47" spans="1:12" s="103" customFormat="1" ht="18" hidden="1" customHeight="1" x14ac:dyDescent="0.35">
      <c r="A47" s="70"/>
      <c r="B47" s="813" t="str">
        <f>"Zwischen Zeile "&amp;ROW(42:42)&amp;" und Zeile "&amp;ROW(46:46)&amp;" weder eine Zeile einfügen noch löschen!!!"</f>
        <v>Zwischen Zeile 42 und Zeile 46 weder eine Zeile einfügen noch löschen!!!</v>
      </c>
      <c r="C47" s="814"/>
      <c r="D47" s="814"/>
      <c r="E47" s="815"/>
      <c r="F47" s="815"/>
      <c r="G47" s="815"/>
      <c r="H47" s="576"/>
      <c r="I47" s="577"/>
      <c r="J47" s="577"/>
      <c r="K47" s="577"/>
      <c r="L47" s="578"/>
    </row>
    <row r="48" spans="1:12" s="72" customFormat="1" ht="6.75" customHeight="1" x14ac:dyDescent="0.35">
      <c r="A48" s="544"/>
      <c r="B48" s="135"/>
      <c r="C48" s="135"/>
      <c r="D48" s="135"/>
      <c r="E48" s="135"/>
      <c r="F48" s="135"/>
      <c r="G48" s="135"/>
      <c r="H48" s="135"/>
      <c r="I48" s="135"/>
      <c r="J48" s="135"/>
      <c r="K48" s="135"/>
      <c r="L48" s="552"/>
    </row>
    <row r="49" spans="1:13" s="137" customFormat="1" ht="46.5" customHeight="1" thickBot="1" x14ac:dyDescent="0.4">
      <c r="A49" s="547" t="s">
        <v>823</v>
      </c>
      <c r="B49" s="791" t="s">
        <v>964</v>
      </c>
      <c r="C49" s="792"/>
      <c r="D49" s="101" t="s">
        <v>483</v>
      </c>
      <c r="E49" s="779" t="s">
        <v>484</v>
      </c>
      <c r="F49" s="793"/>
      <c r="G49" s="793"/>
      <c r="H49" s="794"/>
      <c r="I49" s="795" t="s">
        <v>485</v>
      </c>
      <c r="J49" s="774"/>
      <c r="K49" s="774"/>
      <c r="L49" s="796"/>
    </row>
    <row r="50" spans="1:13" s="137" customFormat="1" ht="18" customHeight="1" thickBot="1" x14ac:dyDescent="0.4">
      <c r="A50" s="547" t="s">
        <v>965</v>
      </c>
      <c r="B50" s="869" t="s">
        <v>963</v>
      </c>
      <c r="C50" s="870"/>
      <c r="D50" s="594"/>
      <c r="E50" s="595"/>
      <c r="F50" s="595"/>
      <c r="G50" s="595"/>
      <c r="H50" s="596"/>
      <c r="I50" s="359">
        <f>Vorkalkulation!C6</f>
        <v>2017</v>
      </c>
      <c r="J50" s="360">
        <f>Vorkalkulation!E6</f>
        <v>2018</v>
      </c>
      <c r="K50" s="360">
        <f>Vorkalkulation!G6</f>
        <v>2019</v>
      </c>
      <c r="L50" s="360">
        <f>Vorkalkulation!I6</f>
        <v>2020</v>
      </c>
      <c r="M50" s="593"/>
    </row>
    <row r="51" spans="1:13" s="537" customFormat="1" ht="18" customHeight="1" x14ac:dyDescent="0.35">
      <c r="A51" s="547" t="s">
        <v>136</v>
      </c>
      <c r="B51" s="871" t="s">
        <v>974</v>
      </c>
      <c r="C51" s="872"/>
      <c r="D51" s="514"/>
      <c r="E51" s="106"/>
      <c r="F51" s="106"/>
      <c r="G51" s="106"/>
      <c r="H51" s="515"/>
      <c r="I51" s="507">
        <f t="shared" ref="I51" si="9">I52+I53</f>
        <v>74000</v>
      </c>
      <c r="J51" s="527">
        <f t="shared" ref="J51" si="10">J52+J53</f>
        <v>74850</v>
      </c>
      <c r="K51" s="527">
        <f t="shared" ref="K51" si="11">K52+K53</f>
        <v>75750</v>
      </c>
      <c r="L51" s="527">
        <f t="shared" ref="L51" si="12">L52+L53</f>
        <v>78350</v>
      </c>
      <c r="M51" s="593"/>
    </row>
    <row r="52" spans="1:13" s="537" customFormat="1" ht="18" customHeight="1" x14ac:dyDescent="0.35">
      <c r="A52" s="547" t="s">
        <v>966</v>
      </c>
      <c r="B52" s="816" t="s">
        <v>169</v>
      </c>
      <c r="C52" s="844"/>
      <c r="D52" s="514" t="s">
        <v>1069</v>
      </c>
      <c r="E52" s="106"/>
      <c r="F52" s="106"/>
      <c r="G52" s="106"/>
      <c r="H52" s="515"/>
      <c r="I52" s="507">
        <f>HLOOKUP(I50,Grundgeb,2,FALSE)</f>
        <v>74000</v>
      </c>
      <c r="J52" s="527">
        <f>HLOOKUP(J50,Grundgeb,2,FALSE)</f>
        <v>74850</v>
      </c>
      <c r="K52" s="527">
        <f>HLOOKUP(K50,Grundgeb,2,FALSE)</f>
        <v>75750</v>
      </c>
      <c r="L52" s="527">
        <f>HLOOKUP(L50,Grundgeb,2,FALSE)</f>
        <v>78350</v>
      </c>
      <c r="M52" s="593"/>
    </row>
    <row r="53" spans="1:13" s="537" customFormat="1" ht="18" customHeight="1" x14ac:dyDescent="0.35">
      <c r="A53" s="547" t="s">
        <v>967</v>
      </c>
      <c r="B53" s="816" t="s">
        <v>1054</v>
      </c>
      <c r="C53" s="845"/>
      <c r="D53" s="514"/>
      <c r="E53" s="106"/>
      <c r="F53" s="106"/>
      <c r="G53" s="106"/>
      <c r="H53" s="515"/>
      <c r="I53" s="508">
        <v>0</v>
      </c>
      <c r="J53" s="528">
        <v>0</v>
      </c>
      <c r="K53" s="528">
        <v>0</v>
      </c>
      <c r="L53" s="528">
        <v>0</v>
      </c>
      <c r="M53" s="593"/>
    </row>
    <row r="54" spans="1:13" s="72" customFormat="1" ht="6.75" customHeight="1" x14ac:dyDescent="0.35">
      <c r="A54" s="544"/>
      <c r="B54" s="135"/>
      <c r="C54" s="135"/>
      <c r="D54" s="135"/>
      <c r="E54" s="135"/>
      <c r="F54" s="135"/>
      <c r="G54" s="135"/>
      <c r="H54" s="135"/>
      <c r="I54" s="135"/>
      <c r="J54" s="135"/>
      <c r="K54" s="135"/>
      <c r="L54" s="552"/>
    </row>
    <row r="55" spans="1:13" s="537" customFormat="1" ht="18" customHeight="1" thickBot="1" x14ac:dyDescent="0.4">
      <c r="A55" s="547" t="s">
        <v>968</v>
      </c>
      <c r="B55" s="816" t="s">
        <v>975</v>
      </c>
      <c r="C55" s="845"/>
      <c r="D55" s="514" t="s">
        <v>1069</v>
      </c>
      <c r="E55" s="516"/>
      <c r="F55" s="516"/>
      <c r="G55" s="516"/>
      <c r="H55" s="517"/>
      <c r="I55" s="509">
        <f>HLOOKUP(I50,Grundgeb,2,FALSE)</f>
        <v>74000</v>
      </c>
      <c r="J55" s="529">
        <f>HLOOKUP(J50,Grundgeb,2,FALSE)</f>
        <v>74850</v>
      </c>
      <c r="K55" s="529">
        <f>HLOOKUP(K50,Grundgeb,2,FALSE)</f>
        <v>75750</v>
      </c>
      <c r="L55" s="529">
        <f>HLOOKUP(L50,Grundgeb,2,FALSE)</f>
        <v>78350</v>
      </c>
      <c r="M55" s="593"/>
    </row>
    <row r="56" spans="1:13" s="137" customFormat="1" ht="18" customHeight="1" thickBot="1" x14ac:dyDescent="0.4">
      <c r="A56" s="547" t="s">
        <v>969</v>
      </c>
      <c r="B56" s="869" t="s">
        <v>963</v>
      </c>
      <c r="C56" s="870"/>
      <c r="D56" s="360">
        <f>Nachkalkulation!C6</f>
        <v>2012</v>
      </c>
      <c r="E56" s="360">
        <f>Nachkalkulation!E6</f>
        <v>2013</v>
      </c>
      <c r="F56" s="360">
        <f>Nachkalkulation!G6</f>
        <v>2014</v>
      </c>
      <c r="G56" s="360">
        <f>Nachkalkulation!I6</f>
        <v>2015</v>
      </c>
      <c r="H56" s="361">
        <f>Nachkalkulation!K6</f>
        <v>2016</v>
      </c>
      <c r="I56" s="106"/>
      <c r="J56" s="106"/>
      <c r="K56" s="106"/>
      <c r="L56" s="597"/>
      <c r="M56" s="593"/>
    </row>
    <row r="57" spans="1:13" s="537" customFormat="1" ht="28.5" customHeight="1" x14ac:dyDescent="0.35">
      <c r="A57" s="547" t="s">
        <v>970</v>
      </c>
      <c r="B57" s="842" t="s">
        <v>1055</v>
      </c>
      <c r="C57" s="843"/>
      <c r="D57" s="527">
        <f t="shared" ref="D57:H57" si="13">D58+D59</f>
        <v>1301111</v>
      </c>
      <c r="E57" s="527">
        <f t="shared" si="13"/>
        <v>1322513</v>
      </c>
      <c r="F57" s="527">
        <f t="shared" si="13"/>
        <v>1335363</v>
      </c>
      <c r="G57" s="527">
        <f t="shared" si="13"/>
        <v>1338824</v>
      </c>
      <c r="H57" s="530">
        <f t="shared" si="13"/>
        <v>1397000</v>
      </c>
      <c r="I57" s="106"/>
      <c r="J57" s="106"/>
      <c r="K57" s="106"/>
      <c r="L57" s="107"/>
      <c r="M57" s="593"/>
    </row>
    <row r="58" spans="1:13" s="537" customFormat="1" ht="18" customHeight="1" x14ac:dyDescent="0.35">
      <c r="A58" s="547" t="s">
        <v>971</v>
      </c>
      <c r="B58" s="816" t="s">
        <v>169</v>
      </c>
      <c r="C58" s="844"/>
      <c r="D58" s="528">
        <v>1160810</v>
      </c>
      <c r="E58" s="528">
        <v>1178345</v>
      </c>
      <c r="F58" s="528">
        <v>1188621</v>
      </c>
      <c r="G58" s="528">
        <v>1190345</v>
      </c>
      <c r="H58" s="532">
        <v>1240000</v>
      </c>
      <c r="I58" s="106"/>
      <c r="J58" s="106"/>
      <c r="K58" s="106"/>
      <c r="L58" s="107"/>
      <c r="M58" s="593"/>
    </row>
    <row r="59" spans="1:13" s="537" customFormat="1" ht="18" customHeight="1" x14ac:dyDescent="0.35">
      <c r="A59" s="547" t="s">
        <v>972</v>
      </c>
      <c r="B59" s="816" t="s">
        <v>1054</v>
      </c>
      <c r="C59" s="845"/>
      <c r="D59" s="528">
        <v>140301</v>
      </c>
      <c r="E59" s="528">
        <v>144168</v>
      </c>
      <c r="F59" s="528">
        <v>146742</v>
      </c>
      <c r="G59" s="528">
        <v>148479</v>
      </c>
      <c r="H59" s="532">
        <v>157000</v>
      </c>
      <c r="I59" s="106"/>
      <c r="J59" s="106"/>
      <c r="K59" s="106"/>
      <c r="L59" s="107"/>
      <c r="M59" s="593"/>
    </row>
    <row r="60" spans="1:13" s="72" customFormat="1" ht="6.75" customHeight="1" x14ac:dyDescent="0.35">
      <c r="A60" s="544"/>
      <c r="B60" s="135"/>
      <c r="C60" s="135"/>
      <c r="D60" s="135"/>
      <c r="E60" s="135"/>
      <c r="F60" s="135"/>
      <c r="G60" s="135"/>
      <c r="H60" s="135"/>
      <c r="I60" s="135"/>
      <c r="J60" s="135"/>
      <c r="K60" s="135"/>
      <c r="L60" s="552"/>
    </row>
    <row r="61" spans="1:13" s="537" customFormat="1" ht="28.5" customHeight="1" x14ac:dyDescent="0.35">
      <c r="A61" s="547" t="s">
        <v>973</v>
      </c>
      <c r="B61" s="867" t="s">
        <v>1056</v>
      </c>
      <c r="C61" s="868"/>
      <c r="D61" s="528">
        <f>D58+D59</f>
        <v>1301111</v>
      </c>
      <c r="E61" s="528">
        <f t="shared" ref="E61:H61" si="14">E58+E59</f>
        <v>1322513</v>
      </c>
      <c r="F61" s="528">
        <f t="shared" si="14"/>
        <v>1335363</v>
      </c>
      <c r="G61" s="528">
        <f t="shared" si="14"/>
        <v>1338824</v>
      </c>
      <c r="H61" s="532">
        <f t="shared" si="14"/>
        <v>1397000</v>
      </c>
      <c r="I61" s="106"/>
      <c r="J61" s="106"/>
      <c r="K61" s="106"/>
      <c r="L61" s="107"/>
      <c r="M61" s="593"/>
    </row>
    <row r="62" spans="1:13" s="590" customFormat="1" ht="16.5" hidden="1" customHeight="1" x14ac:dyDescent="0.35">
      <c r="A62" s="99"/>
      <c r="B62" s="816" t="s">
        <v>963</v>
      </c>
      <c r="C62" s="817"/>
      <c r="D62" s="591">
        <f>D56</f>
        <v>2012</v>
      </c>
      <c r="E62" s="591">
        <f t="shared" ref="E62:H62" si="15">E56</f>
        <v>2013</v>
      </c>
      <c r="F62" s="591">
        <f t="shared" si="15"/>
        <v>2014</v>
      </c>
      <c r="G62" s="591">
        <f t="shared" si="15"/>
        <v>2015</v>
      </c>
      <c r="H62" s="591">
        <f t="shared" si="15"/>
        <v>2016</v>
      </c>
      <c r="I62" s="591">
        <f>I50</f>
        <v>2017</v>
      </c>
      <c r="J62" s="591">
        <f t="shared" ref="J62:L62" si="16">J50</f>
        <v>2018</v>
      </c>
      <c r="K62" s="591">
        <f t="shared" si="16"/>
        <v>2019</v>
      </c>
      <c r="L62" s="591">
        <f t="shared" si="16"/>
        <v>2020</v>
      </c>
      <c r="M62" s="554"/>
    </row>
    <row r="63" spans="1:13" s="590" customFormat="1" ht="16.5" hidden="1" customHeight="1" x14ac:dyDescent="0.35">
      <c r="A63" s="99">
        <v>2</v>
      </c>
      <c r="B63" s="816" t="s">
        <v>1088</v>
      </c>
      <c r="C63" s="816"/>
      <c r="I63" s="592">
        <f>I52</f>
        <v>74000</v>
      </c>
      <c r="J63" s="592">
        <f t="shared" ref="J63:L63" si="17">J52</f>
        <v>74850</v>
      </c>
      <c r="K63" s="592">
        <f t="shared" si="17"/>
        <v>75750</v>
      </c>
      <c r="L63" s="592">
        <f t="shared" si="17"/>
        <v>78350</v>
      </c>
      <c r="M63" s="554"/>
    </row>
    <row r="64" spans="1:13" s="590" customFormat="1" ht="16.5" hidden="1" customHeight="1" x14ac:dyDescent="0.35">
      <c r="A64" s="99">
        <v>3</v>
      </c>
      <c r="B64" s="816" t="s">
        <v>1089</v>
      </c>
      <c r="C64" s="816"/>
      <c r="I64" s="592">
        <f>I53</f>
        <v>0</v>
      </c>
      <c r="J64" s="592">
        <f t="shared" ref="J64:L64" si="18">J53</f>
        <v>0</v>
      </c>
      <c r="K64" s="592">
        <f t="shared" si="18"/>
        <v>0</v>
      </c>
      <c r="L64" s="592">
        <f t="shared" si="18"/>
        <v>0</v>
      </c>
      <c r="M64" s="554"/>
    </row>
    <row r="65" spans="1:13" s="590" customFormat="1" ht="16.5" hidden="1" customHeight="1" x14ac:dyDescent="0.35">
      <c r="A65" s="99">
        <v>4</v>
      </c>
      <c r="B65" s="816" t="s">
        <v>1090</v>
      </c>
      <c r="C65" s="816"/>
      <c r="I65" s="592">
        <f>I55</f>
        <v>74000</v>
      </c>
      <c r="J65" s="592">
        <f t="shared" ref="J65:L65" si="19">J55</f>
        <v>74850</v>
      </c>
      <c r="K65" s="592">
        <f t="shared" si="19"/>
        <v>75750</v>
      </c>
      <c r="L65" s="592">
        <f t="shared" si="19"/>
        <v>78350</v>
      </c>
      <c r="M65" s="554"/>
    </row>
    <row r="66" spans="1:13" s="590" customFormat="1" ht="16.5" hidden="1" customHeight="1" x14ac:dyDescent="0.35">
      <c r="A66" s="99">
        <v>5</v>
      </c>
      <c r="B66" s="816" t="s">
        <v>1091</v>
      </c>
      <c r="C66" s="816"/>
      <c r="D66" s="592">
        <f>D58</f>
        <v>1160810</v>
      </c>
      <c r="E66" s="592">
        <f t="shared" ref="E66:H66" si="20">E58</f>
        <v>1178345</v>
      </c>
      <c r="F66" s="592">
        <f t="shared" si="20"/>
        <v>1188621</v>
      </c>
      <c r="G66" s="592">
        <f t="shared" si="20"/>
        <v>1190345</v>
      </c>
      <c r="H66" s="592">
        <f t="shared" si="20"/>
        <v>1240000</v>
      </c>
      <c r="L66" s="196"/>
      <c r="M66" s="554"/>
    </row>
    <row r="67" spans="1:13" s="590" customFormat="1" ht="16.5" hidden="1" customHeight="1" x14ac:dyDescent="0.35">
      <c r="A67" s="99">
        <v>6</v>
      </c>
      <c r="B67" s="816" t="s">
        <v>1092</v>
      </c>
      <c r="C67" s="816"/>
      <c r="D67" s="592">
        <f>D59</f>
        <v>140301</v>
      </c>
      <c r="E67" s="592">
        <f t="shared" ref="E67:H67" si="21">E59</f>
        <v>144168</v>
      </c>
      <c r="F67" s="592">
        <f t="shared" si="21"/>
        <v>146742</v>
      </c>
      <c r="G67" s="592">
        <f t="shared" si="21"/>
        <v>148479</v>
      </c>
      <c r="H67" s="592">
        <f t="shared" si="21"/>
        <v>157000</v>
      </c>
      <c r="L67" s="196"/>
      <c r="M67" s="554"/>
    </row>
    <row r="68" spans="1:13" s="590" customFormat="1" ht="16.5" hidden="1" customHeight="1" x14ac:dyDescent="0.35">
      <c r="A68" s="99">
        <v>7</v>
      </c>
      <c r="B68" s="816" t="s">
        <v>1093</v>
      </c>
      <c r="C68" s="816"/>
      <c r="D68" s="592">
        <f>D61</f>
        <v>1301111</v>
      </c>
      <c r="E68" s="592">
        <f t="shared" ref="E68:H68" si="22">E61</f>
        <v>1322513</v>
      </c>
      <c r="F68" s="592">
        <f t="shared" si="22"/>
        <v>1335363</v>
      </c>
      <c r="G68" s="592">
        <f t="shared" si="22"/>
        <v>1338824</v>
      </c>
      <c r="H68" s="592">
        <f t="shared" si="22"/>
        <v>1397000</v>
      </c>
      <c r="L68" s="196"/>
      <c r="M68" s="554"/>
    </row>
    <row r="69" spans="1:13" s="590" customFormat="1" ht="16.5" hidden="1" customHeight="1" x14ac:dyDescent="0.45">
      <c r="A69" s="99"/>
      <c r="B69" s="818" t="str">
        <f>"Zwischen Zeile "&amp;ROW(62:62)&amp;" und Zeile "&amp;ROW(68:68)&amp;" weder eine Zeile einfügen noch löschen!!!"</f>
        <v>Zwischen Zeile 62 und Zeile 68 weder eine Zeile einfügen noch löschen!!!</v>
      </c>
      <c r="C69" s="819"/>
      <c r="D69" s="819"/>
      <c r="E69" s="819"/>
      <c r="F69" s="819"/>
      <c r="G69" s="819"/>
      <c r="H69" s="819"/>
      <c r="I69" s="819"/>
      <c r="J69" s="819"/>
      <c r="K69" s="819"/>
      <c r="L69" s="820"/>
      <c r="M69" s="554"/>
    </row>
    <row r="70" spans="1:13" s="72" customFormat="1" ht="6.75" customHeight="1" x14ac:dyDescent="0.35">
      <c r="A70" s="544"/>
      <c r="B70" s="135"/>
      <c r="C70" s="135"/>
      <c r="D70" s="135"/>
      <c r="E70" s="135"/>
      <c r="F70" s="135"/>
      <c r="G70" s="135"/>
      <c r="H70" s="135"/>
      <c r="I70" s="135"/>
      <c r="J70" s="135"/>
      <c r="K70" s="135"/>
      <c r="L70" s="552"/>
    </row>
    <row r="71" spans="1:13" s="102" customFormat="1" ht="30" customHeight="1" x14ac:dyDescent="0.4">
      <c r="A71" s="555" t="s">
        <v>749</v>
      </c>
      <c r="B71" s="859" t="s">
        <v>853</v>
      </c>
      <c r="C71" s="860"/>
      <c r="D71" s="860"/>
      <c r="E71" s="860"/>
      <c r="F71" s="860"/>
      <c r="G71" s="860"/>
      <c r="H71" s="860"/>
      <c r="I71" s="860"/>
      <c r="J71" s="860"/>
      <c r="K71" s="861"/>
      <c r="L71" s="862"/>
    </row>
    <row r="72" spans="1:13" s="102" customFormat="1" ht="30" customHeight="1" x14ac:dyDescent="0.35">
      <c r="A72" s="70" t="s">
        <v>977</v>
      </c>
      <c r="B72" s="863" t="s">
        <v>1096</v>
      </c>
      <c r="C72" s="864"/>
      <c r="D72" s="864"/>
      <c r="E72" s="864"/>
      <c r="F72" s="864"/>
      <c r="G72" s="864"/>
      <c r="H72" s="864"/>
      <c r="I72" s="864"/>
      <c r="J72" s="864"/>
      <c r="K72" s="864"/>
      <c r="L72" s="865"/>
    </row>
    <row r="73" spans="1:13" s="102" customFormat="1" ht="21.75" customHeight="1" thickBot="1" x14ac:dyDescent="0.4">
      <c r="A73" s="547"/>
      <c r="B73" s="849" t="s">
        <v>494</v>
      </c>
      <c r="C73" s="850"/>
      <c r="D73" s="104"/>
      <c r="E73" s="851"/>
      <c r="F73" s="852"/>
      <c r="G73" s="852"/>
      <c r="H73" s="853"/>
      <c r="I73" s="851"/>
      <c r="J73" s="854"/>
      <c r="K73" s="854"/>
      <c r="L73" s="855"/>
    </row>
    <row r="74" spans="1:13" s="102" customFormat="1" ht="15" customHeight="1" thickBot="1" x14ac:dyDescent="0.4">
      <c r="A74" s="70" t="s">
        <v>778</v>
      </c>
      <c r="B74" s="856" t="s">
        <v>137</v>
      </c>
      <c r="C74" s="866"/>
      <c r="D74" s="360">
        <f>Nachkalkulation!C6</f>
        <v>2012</v>
      </c>
      <c r="E74" s="360">
        <f>Nachkalkulation!E6</f>
        <v>2013</v>
      </c>
      <c r="F74" s="360">
        <f>Nachkalkulation!G6</f>
        <v>2014</v>
      </c>
      <c r="G74" s="360">
        <f>Nachkalkulation!I6</f>
        <v>2015</v>
      </c>
      <c r="H74" s="361">
        <f>Nachkalkulation!K6</f>
        <v>2016</v>
      </c>
      <c r="I74" s="359">
        <f>Vorkalkulation!C6</f>
        <v>2017</v>
      </c>
      <c r="J74" s="360">
        <f>Vorkalkulation!E6</f>
        <v>2018</v>
      </c>
      <c r="K74" s="360">
        <f>Vorkalkulation!G6</f>
        <v>2019</v>
      </c>
      <c r="L74" s="360">
        <f>Vorkalkulation!I6</f>
        <v>2020</v>
      </c>
    </row>
    <row r="75" spans="1:13" s="102" customFormat="1" ht="45" customHeight="1" x14ac:dyDescent="0.35">
      <c r="A75" s="70" t="s">
        <v>779</v>
      </c>
      <c r="B75" s="832" t="s">
        <v>856</v>
      </c>
      <c r="C75" s="858"/>
      <c r="D75" s="105">
        <v>-39765</v>
      </c>
      <c r="E75" s="557"/>
      <c r="F75" s="557"/>
      <c r="G75" s="557"/>
      <c r="H75" s="558"/>
      <c r="I75" s="106"/>
      <c r="J75" s="106"/>
      <c r="K75" s="106"/>
      <c r="L75" s="107"/>
    </row>
    <row r="76" spans="1:13" s="102" customFormat="1" ht="45" customHeight="1" thickBot="1" x14ac:dyDescent="0.4">
      <c r="A76" s="70" t="s">
        <v>978</v>
      </c>
      <c r="B76" s="832" t="s">
        <v>857</v>
      </c>
      <c r="C76" s="833"/>
      <c r="D76" s="559"/>
      <c r="E76" s="109">
        <v>14334</v>
      </c>
      <c r="F76" s="109">
        <f>IF(F74&lt;&gt;"-",E76,0)</f>
        <v>14334</v>
      </c>
      <c r="G76" s="109">
        <f>IF(G74&lt;&gt;"-",F76,0)</f>
        <v>14334</v>
      </c>
      <c r="H76" s="109">
        <f>IF(H74&lt;&gt;"-",G76,0)</f>
        <v>14334</v>
      </c>
      <c r="I76" s="782"/>
      <c r="J76" s="783"/>
      <c r="K76" s="783"/>
      <c r="L76" s="784"/>
    </row>
    <row r="77" spans="1:13" s="102" customFormat="1" ht="45" customHeight="1" thickTop="1" thickBot="1" x14ac:dyDescent="0.4">
      <c r="A77" s="70" t="s">
        <v>979</v>
      </c>
      <c r="B77" s="788" t="s">
        <v>1060</v>
      </c>
      <c r="C77" s="789"/>
      <c r="D77" s="108"/>
      <c r="E77" s="110">
        <f>IF(AND($D$17=2,$H$17=2,E74&lt;&gt;"-",F74="-"),HLOOKUP(E74,Verzins,3,FALSE)-E76,IF(AND($D$17&lt;&gt;2,$H$17=2,E74&lt;&gt;"-",F74="-"),HLOOKUP(E74,Verzins,6,FALSE)*HLOOKUP(E74,Verteil_sw,36,FALSE)-HLOOKUP(E74,Grund_ue_u,4,FALSE)*HLOOKUP(E74,Verteil_sw,36,FALSE),0))</f>
        <v>0</v>
      </c>
      <c r="F77" s="110">
        <f>IF(AND($D$17=2,$H$17=2,F74&lt;&gt;"-",G74="-"),HLOOKUP(F74,Verzins,3,FALSE)-F76,IF(AND($D$17&lt;&gt;2,$H$17=2,F74&lt;&gt;"-",G74="-"),HLOOKUP(F74,Verzins,6,FALSE)*HLOOKUP(F74,Verteil_sw,36,FALSE)-HLOOKUP(F74,Grund_ue_u,4,FALSE)*HLOOKUP(F74,Verteil_sw,36,FALSE),0))</f>
        <v>0</v>
      </c>
      <c r="G77" s="110">
        <f>IF(AND($D$17=2,$H$17=2,G74&lt;&gt;"-",H74="-"),HLOOKUP(G74,Verzins,3,FALSE)-G76,IF(AND($D$17&lt;&gt;2,$H$17=2,G74&lt;&gt;"-",H74="-"),HLOOKUP(G74,Verzins,6,FALSE)*HLOOKUP(G74,Verteil_sw,36,FALSE)-HLOOKUP(G74,Grund_ue_u,4,FALSE)*HLOOKUP(G74,Verteil_sw,36,FALSE),0))</f>
        <v>0</v>
      </c>
      <c r="H77" s="110">
        <f>IF(AND($D$17=2,$H$17=2,H74&lt;&gt;"-"),HLOOKUP(H74,Verzins,3,FALSE)-H76,IF(AND($D$17&lt;&gt;2,$H$17=2,H74&lt;&gt;"-"),HLOOKUP(H74,Verzins,6,FALSE)*HLOOKUP(H74,Verteil_sw,36,FALSE)-HLOOKUP(H74,Grund_ue_u,4,FALSE)*HLOOKUP(H74,Verteil_sw,36,FALSE),0))</f>
        <v>0</v>
      </c>
      <c r="I77" s="785"/>
      <c r="J77" s="786"/>
      <c r="K77" s="786"/>
      <c r="L77" s="787"/>
    </row>
    <row r="78" spans="1:13" s="102" customFormat="1" ht="63" customHeight="1" thickTop="1" thickBot="1" x14ac:dyDescent="0.4">
      <c r="A78" s="70" t="s">
        <v>980</v>
      </c>
      <c r="B78" s="788" t="s">
        <v>1061</v>
      </c>
      <c r="C78" s="790"/>
      <c r="D78" s="108"/>
      <c r="E78" s="111"/>
      <c r="F78" s="111"/>
      <c r="G78" s="111"/>
      <c r="H78" s="112"/>
      <c r="I78" s="113">
        <f>IF(AND($D$17=2,$H$17=2,I74&lt;&gt;"-"),HLOOKUP(I74,Verzins,3,FALSE),IF(AND($D$17&lt;&gt;2,$H$17=2,I74&lt;&gt;"-"),HLOOKUP(I74,Verzins,3,FALSE),0))</f>
        <v>0</v>
      </c>
      <c r="J78" s="113">
        <f>IF(AND($D$17=2,$H$17=2,J74&lt;&gt;"-"),HLOOKUP(J74,Verzins,3,FALSE),IF(AND($D$17&lt;&gt;2,$H$17=2,J74&lt;&gt;"-"),HLOOKUP(J74,Verzins,3,FALSE),0))</f>
        <v>0</v>
      </c>
      <c r="K78" s="113">
        <f>IF(AND($D$17=2,$H$17=2,K74&lt;&gt;"-"),HLOOKUP(K74,Verzins,3,FALSE),IF(AND($D$17&lt;&gt;2,$H$17=2,K74&lt;&gt;"-"),HLOOKUP(K74,Verzins,3,FALSE),0))</f>
        <v>0</v>
      </c>
      <c r="L78" s="113">
        <f>IF(AND($D$17=2,$H$17=2,L74&lt;&gt;"-"),HLOOKUP(L74,Verzins,3,FALSE),IF(AND($D$17&lt;&gt;2,$H$17=2,L74&lt;&gt;"-"),HLOOKUP(L74,Verzins,3,FALSE),0))</f>
        <v>0</v>
      </c>
    </row>
    <row r="79" spans="1:13" s="102" customFormat="1" ht="45" customHeight="1" thickTop="1" x14ac:dyDescent="0.35">
      <c r="A79" s="70" t="s">
        <v>981</v>
      </c>
      <c r="B79" s="832" t="s">
        <v>858</v>
      </c>
      <c r="C79" s="858"/>
      <c r="D79" s="105">
        <v>-3691</v>
      </c>
      <c r="E79" s="557"/>
      <c r="F79" s="557"/>
      <c r="G79" s="557"/>
      <c r="H79" s="558"/>
      <c r="I79" s="114"/>
      <c r="J79" s="106"/>
      <c r="K79" s="106"/>
      <c r="L79" s="107"/>
    </row>
    <row r="80" spans="1:13" s="102" customFormat="1" ht="45" customHeight="1" thickBot="1" x14ac:dyDescent="0.4">
      <c r="A80" s="70" t="s">
        <v>982</v>
      </c>
      <c r="B80" s="832" t="s">
        <v>859</v>
      </c>
      <c r="C80" s="833"/>
      <c r="D80" s="559"/>
      <c r="E80" s="109">
        <v>1331</v>
      </c>
      <c r="F80" s="109">
        <f>IF(F74&lt;&gt;"-",E80,0)</f>
        <v>1331</v>
      </c>
      <c r="G80" s="109">
        <f>IF(G74&lt;&gt;"-",F80,0)</f>
        <v>1331</v>
      </c>
      <c r="H80" s="109">
        <f>IF(H74&lt;&gt;"-",G80,0)</f>
        <v>1331</v>
      </c>
      <c r="I80" s="782"/>
      <c r="J80" s="783"/>
      <c r="K80" s="783"/>
      <c r="L80" s="784"/>
    </row>
    <row r="81" spans="1:13" s="102" customFormat="1" ht="45" customHeight="1" thickTop="1" thickBot="1" x14ac:dyDescent="0.4">
      <c r="A81" s="70" t="s">
        <v>983</v>
      </c>
      <c r="B81" s="788" t="s">
        <v>1062</v>
      </c>
      <c r="C81" s="789"/>
      <c r="D81" s="108"/>
      <c r="E81" s="110">
        <f>IF(AND($D$17=2,$H$17=2,E74&lt;&gt;"-",F74="-"),HLOOKUP(E74,Verzins,4,FALSE)-E80,IF(AND($D$17&lt;&gt;2,$H$17=2,E74&lt;&gt;"-",F74="-"),HLOOKUP(E74,Verzins,6,FALSE)*HLOOKUP(E74,Verteil_rwgr,35,FALSE)-HLOOKUP(E74,Grund_ue_u,4,FALSE)*HLOOKUP(E74,Verteil_rwgr,35,FALSE),0))</f>
        <v>0</v>
      </c>
      <c r="F81" s="110">
        <f>IF(AND($D$17=2,$H$17=2,F74&lt;&gt;"-",G74="-"),HLOOKUP(F74,Verzins,4,FALSE)-F80,IF(AND($D$17&lt;&gt;2,$H$17=2,F74&lt;&gt;"-",G74="-"),HLOOKUP(F74,Verzins,6,FALSE)*HLOOKUP(F74,Verteil_rwgr,35,FALSE)-HLOOKUP(F74,Grund_ue_u,4,FALSE)*HLOOKUP(F74,Verteil_rwgr,35,FALSE),0))</f>
        <v>0</v>
      </c>
      <c r="G81" s="110">
        <f>IF(AND($D$17=2,$H$17=2,G74&lt;&gt;"-",H74="-"),HLOOKUP(G74,Verzins,4,FALSE)-G80,IF(AND($D$17&lt;&gt;2,$H$17=2,G74&lt;&gt;"-",H74="-"),HLOOKUP(G74,Verzins,6,FALSE)*HLOOKUP(G74,Verteil_rwgr,35,FALSE)-HLOOKUP(G74,Grund_ue_u,4,FALSE)*HLOOKUP(G74,Verteil_rwgr,35,FALSE),0))</f>
        <v>0</v>
      </c>
      <c r="H81" s="110">
        <f>IF(AND($D$17=2,$H$17=2,H74&lt;&gt;"-"),HLOOKUP(H74,Verzins,4,FALSE)-H80,IF(AND($D$17&lt;&gt;2,$H$17=2,H74&lt;&gt;"-"),HLOOKUP(H74,Verzins,6,FALSE)*HLOOKUP(H74,Verteil_rwgr,35,FALSE)-HLOOKUP(H74,Grund_ue_u,4,FALSE)*HLOOKUP(H74,Verteil_rwgr,35,FALSE),0))</f>
        <v>0</v>
      </c>
      <c r="I81" s="785"/>
      <c r="J81" s="786"/>
      <c r="K81" s="786"/>
      <c r="L81" s="787"/>
    </row>
    <row r="82" spans="1:13" s="102" customFormat="1" ht="45" customHeight="1" thickTop="1" thickBot="1" x14ac:dyDescent="0.4">
      <c r="A82" s="70" t="s">
        <v>984</v>
      </c>
      <c r="B82" s="788" t="s">
        <v>1063</v>
      </c>
      <c r="C82" s="790"/>
      <c r="D82" s="115"/>
      <c r="E82" s="116"/>
      <c r="F82" s="116"/>
      <c r="G82" s="116"/>
      <c r="H82" s="116"/>
      <c r="I82" s="113">
        <f>IF(AND($D$17=2,$H$17=2,I74&lt;&gt;"-"),HLOOKUP(I74,Verzins,4,FALSE),IF(AND($D$17&lt;&gt;2,$H$17=2,I74&lt;&gt;"-"),HLOOKUP(I74,Verzins,4,FALSE),0))</f>
        <v>0</v>
      </c>
      <c r="J82" s="113">
        <f>IF(AND($D$17=2,$H$17=2,J74&lt;&gt;"-"),HLOOKUP(J74,Verzins,4,FALSE),IF(AND($D$17&lt;&gt;2,$H$17=2,J74&lt;&gt;"-"),HLOOKUP(J74,Verzins,4,FALSE),0))</f>
        <v>0</v>
      </c>
      <c r="K82" s="113">
        <f>IF(AND($D$17=2,$H$17=2,K74&lt;&gt;"-"),HLOOKUP(K74,Verzins,4,FALSE),IF(AND($D$17&lt;&gt;2,$H$17=2,K74&lt;&gt;"-"),HLOOKUP(K74,Verzins,4,FALSE),0))</f>
        <v>0</v>
      </c>
      <c r="L82" s="113">
        <f>IF(AND($D$17=2,$H$17=2,L74&lt;&gt;"-"),HLOOKUP(L74,Verzins,4,FALSE),IF(AND($D$17&lt;&gt;2,$H$17=2,L74&lt;&gt;"-"),HLOOKUP(L74,Verzins,4,FALSE),0))</f>
        <v>0</v>
      </c>
    </row>
    <row r="83" spans="1:13" s="537" customFormat="1" ht="26.25" customHeight="1" thickTop="1" x14ac:dyDescent="0.35">
      <c r="A83" s="70" t="s">
        <v>985</v>
      </c>
      <c r="B83" s="827" t="str">
        <f>IF(AND($H$17=2,I45&lt;&gt;"-"),"Die Überdeckungen bzw. Unterdeckungen(-), die in den blau markierten Feldern (Nr. 6a.4 und 6a.5 bzw. 6a.8 und 6a.9) stehen , "&amp;"sind in der nächsten Folgekalkulation  in die mit oranger Farbe markierten Felder (Nr. 6a.2 und 6a.3 bzw. 6a.6 und 6a.7) zu übernehmen  ","-")</f>
        <v>-</v>
      </c>
      <c r="C83" s="828"/>
      <c r="D83" s="828"/>
      <c r="E83" s="828"/>
      <c r="F83" s="828"/>
      <c r="G83" s="828"/>
      <c r="H83" s="828"/>
      <c r="I83" s="828"/>
      <c r="J83" s="828"/>
      <c r="K83" s="828"/>
      <c r="L83" s="829"/>
    </row>
    <row r="84" spans="1:13" s="72" customFormat="1" ht="6.75" customHeight="1" x14ac:dyDescent="0.35">
      <c r="A84" s="544"/>
      <c r="B84" s="135"/>
      <c r="C84" s="135"/>
      <c r="D84" s="135"/>
      <c r="E84" s="135"/>
      <c r="F84" s="135"/>
      <c r="G84" s="135"/>
      <c r="H84" s="135"/>
      <c r="I84" s="135"/>
      <c r="J84" s="135"/>
      <c r="K84" s="135"/>
      <c r="L84" s="552"/>
    </row>
    <row r="85" spans="1:13" s="102" customFormat="1" ht="30.75" customHeight="1" x14ac:dyDescent="0.35">
      <c r="A85" s="70" t="s">
        <v>986</v>
      </c>
      <c r="B85" s="846" t="s">
        <v>1097</v>
      </c>
      <c r="C85" s="847"/>
      <c r="D85" s="847"/>
      <c r="E85" s="847"/>
      <c r="F85" s="847"/>
      <c r="G85" s="847"/>
      <c r="H85" s="847"/>
      <c r="I85" s="847"/>
      <c r="J85" s="847"/>
      <c r="K85" s="847"/>
      <c r="L85" s="848"/>
    </row>
    <row r="86" spans="1:13" s="102" customFormat="1" ht="21.75" customHeight="1" thickBot="1" x14ac:dyDescent="0.4">
      <c r="A86" s="547"/>
      <c r="B86" s="849" t="s">
        <v>494</v>
      </c>
      <c r="C86" s="850"/>
      <c r="D86" s="104" t="s">
        <v>483</v>
      </c>
      <c r="E86" s="851" t="s">
        <v>484</v>
      </c>
      <c r="F86" s="852"/>
      <c r="G86" s="852"/>
      <c r="H86" s="853"/>
      <c r="I86" s="851" t="s">
        <v>485</v>
      </c>
      <c r="J86" s="854"/>
      <c r="K86" s="854"/>
      <c r="L86" s="855"/>
    </row>
    <row r="87" spans="1:13" s="102" customFormat="1" ht="15" customHeight="1" thickBot="1" x14ac:dyDescent="0.4">
      <c r="A87" s="70" t="s">
        <v>785</v>
      </c>
      <c r="B87" s="856" t="s">
        <v>137</v>
      </c>
      <c r="C87" s="857"/>
      <c r="D87" s="354">
        <f>Nachkalkulation!C6</f>
        <v>2012</v>
      </c>
      <c r="E87" s="355">
        <f>Nachkalkulation!E6</f>
        <v>2013</v>
      </c>
      <c r="F87" s="356">
        <f>Nachkalkulation!G6</f>
        <v>2014</v>
      </c>
      <c r="G87" s="356">
        <f>Nachkalkulation!I6</f>
        <v>2015</v>
      </c>
      <c r="H87" s="354">
        <f>Nachkalkulation!K6</f>
        <v>2016</v>
      </c>
      <c r="I87" s="357">
        <f>Vorkalkulation!C6</f>
        <v>2017</v>
      </c>
      <c r="J87" s="357">
        <f>Vorkalkulation!E6</f>
        <v>2018</v>
      </c>
      <c r="K87" s="357">
        <f>Vorkalkulation!G6</f>
        <v>2019</v>
      </c>
      <c r="L87" s="357">
        <f>Vorkalkulation!I6</f>
        <v>2020</v>
      </c>
    </row>
    <row r="88" spans="1:13" s="102" customFormat="1" ht="45" customHeight="1" x14ac:dyDescent="0.35">
      <c r="A88" s="70" t="s">
        <v>786</v>
      </c>
      <c r="B88" s="832" t="s">
        <v>860</v>
      </c>
      <c r="C88" s="858"/>
      <c r="D88" s="105">
        <f>D75+D79</f>
        <v>-43456</v>
      </c>
      <c r="E88" s="557"/>
      <c r="F88" s="557"/>
      <c r="G88" s="557"/>
      <c r="H88" s="558"/>
      <c r="I88" s="106"/>
      <c r="J88" s="106"/>
      <c r="K88" s="106"/>
      <c r="L88" s="107"/>
    </row>
    <row r="89" spans="1:13" s="102" customFormat="1" ht="45" customHeight="1" thickBot="1" x14ac:dyDescent="0.4">
      <c r="A89" s="70" t="s">
        <v>787</v>
      </c>
      <c r="B89" s="832" t="s">
        <v>861</v>
      </c>
      <c r="C89" s="833"/>
      <c r="D89" s="559"/>
      <c r="E89" s="109">
        <f>E76+E80</f>
        <v>15665</v>
      </c>
      <c r="F89" s="109">
        <f>IF(F87&lt;&gt;"-",E89,0)</f>
        <v>15665</v>
      </c>
      <c r="G89" s="109">
        <f>IF(G87&lt;&gt;"-",F89,0)</f>
        <v>15665</v>
      </c>
      <c r="H89" s="109">
        <f>IF(H87&lt;&gt;"-",G89,0)</f>
        <v>15665</v>
      </c>
      <c r="I89" s="782"/>
      <c r="J89" s="783"/>
      <c r="K89" s="783"/>
      <c r="L89" s="784"/>
    </row>
    <row r="90" spans="1:13" s="102" customFormat="1" ht="45" customHeight="1" thickTop="1" thickBot="1" x14ac:dyDescent="0.4">
      <c r="A90" s="70" t="s">
        <v>987</v>
      </c>
      <c r="B90" s="788" t="s">
        <v>1064</v>
      </c>
      <c r="C90" s="789"/>
      <c r="D90" s="108"/>
      <c r="E90" s="110">
        <f>IF(AND($D$17&lt;&gt;2,$H$17&lt;&gt;2,E87&lt;&gt;"-",F87="-"),HLOOKUP(E87,Verzins,6,FALSE)-E89,IF(AND($D$17=2,$H$17&lt;&gt;2,E87&lt;&gt;"-",F87="-"),HLOOKUP(E87,Verzins,3,FALSE)+HLOOKUP(E87,Verzins,4,FALSE)-(E76+E80),0))</f>
        <v>0</v>
      </c>
      <c r="F90" s="110">
        <f>IF(AND($D$17&lt;&gt;2,$H$17&lt;&gt;2,F87&lt;&gt;"-",G87="-"),HLOOKUP(F87,Verzins,6,FALSE)-F89,IF(AND($D$17=2,$H$17&lt;&gt;2,F87&lt;&gt;"-",G87="-"),HLOOKUP(F87,Verzins,3,FALSE)+HLOOKUP(F87,Verzins,4,FALSE)-(F76+F80),0))</f>
        <v>0</v>
      </c>
      <c r="G90" s="110">
        <f>IF(AND($D$17&lt;&gt;2,$H$17&lt;&gt;2,G87&lt;&gt;"-",H87="-"),HLOOKUP(G87,Verzins,6,FALSE)-G89,IF(AND($D$17=2,$H$17&lt;&gt;2,G87&lt;&gt;"-",H87="-"),HLOOKUP(G87,Verzins,3,FALSE)+HLOOKUP(G87,Verzins,4,FALSE)-(G76+G80),0))</f>
        <v>0</v>
      </c>
      <c r="H90" s="110">
        <f>IF(AND($D$17&lt;&gt;2,$H$17&lt;&gt;2,H87&lt;&gt;"-"),HLOOKUP(H87,Verzins,6,FALSE)-H89,IF(AND($D$17=2,$H$17&lt;&gt;2,H87&lt;&gt;"-"),HLOOKUP(H87,Verzins,3,FALSE)+HLOOKUP(H87,Verzins,4,FALSE)-(H76+H80),0))</f>
        <v>-231066.09999999986</v>
      </c>
      <c r="I90" s="785"/>
      <c r="J90" s="786"/>
      <c r="K90" s="786"/>
      <c r="L90" s="787"/>
    </row>
    <row r="91" spans="1:13" s="102" customFormat="1" ht="65.25" customHeight="1" thickTop="1" thickBot="1" x14ac:dyDescent="0.4">
      <c r="A91" s="70" t="s">
        <v>988</v>
      </c>
      <c r="B91" s="788" t="s">
        <v>1065</v>
      </c>
      <c r="C91" s="790"/>
      <c r="D91" s="115"/>
      <c r="E91" s="116"/>
      <c r="F91" s="116"/>
      <c r="G91" s="116"/>
      <c r="H91" s="116"/>
      <c r="I91" s="113">
        <f>IF(AND($D$17&lt;&gt;2,$H$17&lt;&gt;2,I74&lt;&gt;"-"),HLOOKUP(I87,Verzins,6,FALSE),IF(AND($D$17=2,$H$17&lt;&gt;2,I74&lt;&gt;"-"),HLOOKUP(I87,Verzins,6,FALSE),0))</f>
        <v>-303535.12</v>
      </c>
      <c r="J91" s="113">
        <f>IF(AND($D$17&lt;&gt;2,$H$17&lt;&gt;2,J74&lt;&gt;"-"),HLOOKUP(J87,Verzins,6,FALSE),IF(AND($D$17=2,$H$17&lt;&gt;2,J74&lt;&gt;"-"),HLOOKUP(J87,Verzins,6,FALSE),0))</f>
        <v>-303535.12</v>
      </c>
      <c r="K91" s="113">
        <f>IF(AND($D$17&lt;&gt;2,$H$17&lt;&gt;2,K74&lt;&gt;"-"),HLOOKUP(K87,Verzins,6,FALSE),IF(AND($D$17=2,$H$17&lt;&gt;2,K74&lt;&gt;"-"),HLOOKUP(K87,Verzins,6,FALSE),0))</f>
        <v>-303535.12</v>
      </c>
      <c r="L91" s="113">
        <f>IF(AND($D$17&lt;&gt;2,$H$17&lt;&gt;2,L74&lt;&gt;"-"),HLOOKUP(L87,Verzins,6,FALSE),IF(AND($D$17=2,$H$17&lt;&gt;2,L74&lt;&gt;"-"),HLOOKUP(L87,Verzins,6,FALSE),0))</f>
        <v>-303535.12</v>
      </c>
    </row>
    <row r="92" spans="1:13" s="537" customFormat="1" ht="25.5" customHeight="1" thickTop="1" x14ac:dyDescent="0.35">
      <c r="A92" s="70" t="s">
        <v>989</v>
      </c>
      <c r="B92" s="827" t="str">
        <f>IF(AND($H$17&lt;&gt;2,I45&lt;&gt;"-"),"Die Überdeckungen bzw. Unterdeckungen(-), die in den blau markierten Feldern (Nr. 6b.4 und 6b.5) stehen , "&amp;"sind in der nächsten Folgekalkulation in die mit oranger Farbe markierten Felder  (Nr. 6b.2 und 6b.3) zu übernehmen","-")</f>
        <v>Die Überdeckungen bzw. Unterdeckungen(-), die in den blau markierten Feldern (Nr. 6b.4 und 6b.5) stehen , sind in der nächsten Folgekalkulation in die mit oranger Farbe markierten Felder  (Nr. 6b.2 und 6b.3) zu übernehmen</v>
      </c>
      <c r="C92" s="828"/>
      <c r="D92" s="828"/>
      <c r="E92" s="828"/>
      <c r="F92" s="828"/>
      <c r="G92" s="828"/>
      <c r="H92" s="828"/>
      <c r="I92" s="828"/>
      <c r="J92" s="828"/>
      <c r="K92" s="828"/>
      <c r="L92" s="829"/>
    </row>
    <row r="93" spans="1:13" s="102" customFormat="1" ht="15.75" customHeight="1" x14ac:dyDescent="0.35">
      <c r="A93" s="70"/>
      <c r="B93" s="830" t="str">
        <f>B74</f>
        <v>Jahr</v>
      </c>
      <c r="C93" s="831"/>
      <c r="D93" s="117">
        <f>D74</f>
        <v>2012</v>
      </c>
      <c r="E93" s="394">
        <f>E74</f>
        <v>2013</v>
      </c>
      <c r="F93" s="280">
        <f t="shared" ref="F93:L93" si="23">F74</f>
        <v>2014</v>
      </c>
      <c r="G93" s="280">
        <f t="shared" si="23"/>
        <v>2015</v>
      </c>
      <c r="H93" s="395">
        <f t="shared" si="23"/>
        <v>2016</v>
      </c>
      <c r="I93" s="291">
        <f t="shared" si="23"/>
        <v>2017</v>
      </c>
      <c r="J93" s="280">
        <f t="shared" si="23"/>
        <v>2018</v>
      </c>
      <c r="K93" s="280">
        <f t="shared" si="23"/>
        <v>2019</v>
      </c>
      <c r="L93" s="280">
        <f t="shared" si="23"/>
        <v>2020</v>
      </c>
    </row>
    <row r="94" spans="1:13" s="102" customFormat="1" ht="42" customHeight="1" x14ac:dyDescent="0.35">
      <c r="A94" s="70" t="s">
        <v>84</v>
      </c>
      <c r="B94" s="788" t="s">
        <v>843</v>
      </c>
      <c r="C94" s="790"/>
      <c r="D94" s="118">
        <f>IF(D93="-",0,D75)</f>
        <v>-39765</v>
      </c>
      <c r="E94" s="119">
        <f>IF(E93="-",0,E76)</f>
        <v>14334</v>
      </c>
      <c r="F94" s="119">
        <f>IF(F93="-",0,F76)</f>
        <v>14334</v>
      </c>
      <c r="G94" s="119">
        <f>IF(G93="-",0,G76)</f>
        <v>14334</v>
      </c>
      <c r="H94" s="327">
        <f>IF(H93="-",0,H76)</f>
        <v>14334</v>
      </c>
      <c r="I94" s="119">
        <f>IF(I93&lt;&gt;"-",HLOOKUP(I93,Verzins,3,FALSE),0)</f>
        <v>0</v>
      </c>
      <c r="J94" s="119">
        <f>IF(J93&lt;&gt;"-",HLOOKUP(J93,Verzins,3,FALSE),0)</f>
        <v>0</v>
      </c>
      <c r="K94" s="119">
        <f>IF(K93&lt;&gt;"-",HLOOKUP(K93,Verzins,3,FALSE),0)</f>
        <v>0</v>
      </c>
      <c r="L94" s="328">
        <f>IF(L93&lt;&gt;"-",HLOOKUP(L93,Verzins,3,FALSE),0)</f>
        <v>0</v>
      </c>
      <c r="M94" s="276">
        <v>2</v>
      </c>
    </row>
    <row r="95" spans="1:13" s="102" customFormat="1" ht="42" customHeight="1" x14ac:dyDescent="0.35">
      <c r="A95" s="70" t="s">
        <v>103</v>
      </c>
      <c r="B95" s="788" t="s">
        <v>844</v>
      </c>
      <c r="C95" s="790"/>
      <c r="D95" s="118">
        <f>IF(D93="-",0,D79)</f>
        <v>-3691</v>
      </c>
      <c r="E95" s="119">
        <f>IF(E93="-",0,E80)</f>
        <v>1331</v>
      </c>
      <c r="F95" s="119">
        <f>IF(F93="-",0,F80)</f>
        <v>1331</v>
      </c>
      <c r="G95" s="119">
        <f>IF(G93="-",0,G80)</f>
        <v>1331</v>
      </c>
      <c r="H95" s="120">
        <f>IF(H93="-",0,H80)</f>
        <v>1331</v>
      </c>
      <c r="I95" s="119">
        <f>IF(I93&lt;&gt;"-",HLOOKUP(I93,Verzins,4,FALSE),0)</f>
        <v>0</v>
      </c>
      <c r="J95" s="119">
        <f>IF(J93&lt;&gt;"-",HLOOKUP(J93,Verzins,4,FALSE),0)</f>
        <v>0</v>
      </c>
      <c r="K95" s="119">
        <f>IF(K93&lt;&gt;"-",HLOOKUP(K93,Verzins,4,FALSE),0)</f>
        <v>0</v>
      </c>
      <c r="L95" s="60">
        <f>IF(L93&lt;&gt;"-",HLOOKUP(L93,Verzins,4,FALSE),0)</f>
        <v>0</v>
      </c>
      <c r="M95" s="276">
        <v>3</v>
      </c>
    </row>
    <row r="96" spans="1:13" s="102" customFormat="1" ht="42" customHeight="1" thickBot="1" x14ac:dyDescent="0.4">
      <c r="A96" s="70" t="s">
        <v>122</v>
      </c>
      <c r="B96" s="834" t="s">
        <v>845</v>
      </c>
      <c r="C96" s="835"/>
      <c r="D96" s="329">
        <f>IF(D93="-",0,D88)</f>
        <v>-43456</v>
      </c>
      <c r="E96" s="330">
        <f>IF(E93="-",0,E89)</f>
        <v>15665</v>
      </c>
      <c r="F96" s="330">
        <f>IF(F93="-",0,F89)</f>
        <v>15665</v>
      </c>
      <c r="G96" s="330">
        <f>IF(G93="-",0,G89)</f>
        <v>15665</v>
      </c>
      <c r="H96" s="331">
        <f>IF(H93="-",0,H89)</f>
        <v>15665</v>
      </c>
      <c r="I96" s="330">
        <f>IF(I93&lt;&gt;"-",HLOOKUP(I93,Verzins,6,FALSE),0)</f>
        <v>-303535.12</v>
      </c>
      <c r="J96" s="330">
        <f>IF(J93&lt;&gt;"-",HLOOKUP(J93,Verzins,6,FALSE),0)</f>
        <v>-303535.12</v>
      </c>
      <c r="K96" s="330">
        <f>IF(K93&lt;&gt;"-",HLOOKUP(K93,Verzins,6,FALSE),0)</f>
        <v>-303535.12</v>
      </c>
      <c r="L96" s="332">
        <f>IF(L93&lt;&gt;"-",HLOOKUP(L93,Verzins,6,FALSE),0)</f>
        <v>-303535.12</v>
      </c>
      <c r="M96" s="276">
        <v>4</v>
      </c>
    </row>
    <row r="97" spans="1:13" s="102" customFormat="1" ht="27" customHeight="1" x14ac:dyDescent="0.35">
      <c r="A97" s="70" t="s">
        <v>135</v>
      </c>
      <c r="B97" s="832" t="s">
        <v>846</v>
      </c>
      <c r="C97" s="833"/>
      <c r="D97" s="118">
        <f>IF(D93="-",0,SUM(Nachkalkulation!C12,Nachkalkulation!C21,Nachkalkulation!C25)*-1+HLOOKUP(D93,Grund_geb_ein,5,FALSE)-D94)</f>
        <v>-157910.28000000003</v>
      </c>
      <c r="E97" s="510">
        <f>IF(E93="-",0,SUM(Nachkalkulation!E12,Nachkalkulation!E21,Nachkalkulation!E25)*-1+HLOOKUP(E93,Grund_geb_ein,5,FALSE)+E94)</f>
        <v>-164656.57000000007</v>
      </c>
      <c r="F97" s="511">
        <f>IF(F93="-",0,SUM(Nachkalkulation!G12,Nachkalkulation!G21,Nachkalkulation!G25)*-1+HLOOKUP(F93,Grund_geb_ein,5,FALSE)+F94)</f>
        <v>-155749.11999999988</v>
      </c>
      <c r="G97" s="511">
        <f>IF(G93="-",0,SUM(Nachkalkulation!I12,Nachkalkulation!I21,Nachkalkulation!I25)*-1+HLOOKUP(G93,Grund_geb_ein,5,FALSE)+G94)</f>
        <v>-170087.83999999985</v>
      </c>
      <c r="H97" s="513">
        <f>IF(H93="-",0,SUM(Nachkalkulation!K12,Nachkalkulation!K21,Nachkalkulation!K25)*-1+HLOOKUP(H93,Grund_geb_ein,5,FALSE)+H94)</f>
        <v>-156343.70999999996</v>
      </c>
      <c r="I97" s="836" t="str">
        <f>"Zwischen Zeile "&amp;ROW(93:93)&amp;" und Zeile "&amp;ROW(99:99)&amp;" weder eine Zeile einfügen noch löschen!!!"</f>
        <v>Zwischen Zeile 93 und Zeile 99 weder eine Zeile einfügen noch löschen!!!</v>
      </c>
      <c r="J97" s="837"/>
      <c r="K97" s="837"/>
      <c r="L97" s="838"/>
      <c r="M97" s="276">
        <v>5</v>
      </c>
    </row>
    <row r="98" spans="1:13" s="102" customFormat="1" ht="27" customHeight="1" x14ac:dyDescent="0.35">
      <c r="A98" s="70" t="s">
        <v>1094</v>
      </c>
      <c r="B98" s="788" t="s">
        <v>847</v>
      </c>
      <c r="C98" s="790"/>
      <c r="D98" s="118">
        <f>IF(D93="-",0,IF(D93="-",0,SUM(Nachkalkulation!D12,Nachkalkulation!D21,Nachkalkulation!D25)*-1+HLOOKUP(D93,Grund_geb_ein,6,FALSE)-D95))</f>
        <v>-60000.869999999995</v>
      </c>
      <c r="E98" s="512">
        <f>IF(E93="-",0,IF(E93="-",0,SUM(Nachkalkulation!F12,Nachkalkulation!F21,Nachkalkulation!F25)*-1+HLOOKUP(E93,Grund_geb_ein,6,FALSE)+E95))</f>
        <v>-61310.25</v>
      </c>
      <c r="F98" s="119">
        <f>IF(F93="-",0,IF(F93="-",0,SUM(Nachkalkulation!H12,Nachkalkulation!H21,Nachkalkulation!H25)*-1+HLOOKUP(F93,Grund_geb_ein,6,FALSE)+F95))</f>
        <v>-58613.47000000003</v>
      </c>
      <c r="G98" s="119">
        <f>IF(G93="-",0,IF(G93="-",0,SUM(Nachkalkulation!J12,Nachkalkulation!J21,Nachkalkulation!J25)*-1+HLOOKUP(G93,Grund_geb_ein,6,FALSE)+G95))</f>
        <v>-58042.51999999996</v>
      </c>
      <c r="H98" s="120">
        <f>IF(H93="-",0,IF(H93="-",0,SUM(Nachkalkulation!L12,Nachkalkulation!L21,Nachkalkulation!L25)*-1+HLOOKUP(H93,Grund_geb_ein,6,FALSE)+H95))</f>
        <v>-59057.390000000014</v>
      </c>
      <c r="I98" s="839"/>
      <c r="J98" s="840"/>
      <c r="K98" s="840"/>
      <c r="L98" s="841"/>
      <c r="M98" s="276">
        <v>6</v>
      </c>
    </row>
    <row r="99" spans="1:13" s="102" customFormat="1" ht="27" customHeight="1" x14ac:dyDescent="0.35">
      <c r="A99" s="70" t="s">
        <v>1095</v>
      </c>
      <c r="B99" s="788" t="s">
        <v>848</v>
      </c>
      <c r="C99" s="790"/>
      <c r="D99" s="118">
        <f>IF(D93="-",0,SUM(Nachkalkulation!C12,Nachkalkulation!C21,Nachkalkulation!C25,Nachkalkulation!D12,Nachkalkulation!D21,Nachkalkulation!D25)*-1+HLOOKUP(D93,Grund_geb_ein,7,FALSE)-D96)</f>
        <v>-217911.14999999991</v>
      </c>
      <c r="E99" s="512">
        <f>IF(E93="-",0,SUM(Nachkalkulation!E12,Nachkalkulation!E21,Nachkalkulation!E25,Nachkalkulation!F12,Nachkalkulation!F21,Nachkalkulation!F25)*-1+HLOOKUP(E93,Grund_geb_ein,7,FALSE)+E96)</f>
        <v>-225966.82000000007</v>
      </c>
      <c r="F99" s="119">
        <f>IF(F93="-",0,SUM(Nachkalkulation!G12,Nachkalkulation!G21,Nachkalkulation!G25,Nachkalkulation!H12,Nachkalkulation!H21,Nachkalkulation!H25)*-1+HLOOKUP(F93,Grund_geb_ein,7,FALSE)+F96)</f>
        <v>-214362.58999999985</v>
      </c>
      <c r="G99" s="119">
        <f>IF(G93="-",0,SUM(Nachkalkulation!I12,Nachkalkulation!I21,Nachkalkulation!I25,Nachkalkulation!J12,Nachkalkulation!J21,Nachkalkulation!J25)*-1+HLOOKUP(G93,Grund_geb_ein,7,FALSE)+G96)</f>
        <v>-228130.3600000001</v>
      </c>
      <c r="H99" s="120">
        <f>IF(H93="-",0,SUM(Nachkalkulation!K12,Nachkalkulation!K21,Nachkalkulation!K25,Nachkalkulation!L12,Nachkalkulation!L21,Nachkalkulation!L25)*-1+HLOOKUP(H93,Grund_geb_ein,7,FALSE)+H96)</f>
        <v>-215401.09999999986</v>
      </c>
      <c r="I99" s="839"/>
      <c r="J99" s="840"/>
      <c r="K99" s="840"/>
      <c r="L99" s="841"/>
      <c r="M99" s="276">
        <v>7</v>
      </c>
    </row>
    <row r="100" spans="1:13" s="102" customFormat="1" ht="7.5" customHeight="1" x14ac:dyDescent="0.35">
      <c r="A100" s="544"/>
      <c r="B100" s="135"/>
      <c r="C100" s="135"/>
      <c r="D100" s="135"/>
      <c r="E100" s="135"/>
      <c r="F100" s="135"/>
      <c r="G100" s="135"/>
      <c r="H100" s="135"/>
      <c r="I100" s="135"/>
      <c r="J100" s="135"/>
      <c r="K100" s="135"/>
      <c r="L100" s="552"/>
    </row>
    <row r="101" spans="1:13" s="102" customFormat="1" ht="33" customHeight="1" thickBot="1" x14ac:dyDescent="0.4">
      <c r="A101" s="556" t="s">
        <v>750</v>
      </c>
      <c r="B101" s="821" t="s">
        <v>854</v>
      </c>
      <c r="C101" s="822"/>
      <c r="D101" s="822"/>
      <c r="E101" s="617"/>
      <c r="F101" s="617"/>
      <c r="G101" s="617"/>
      <c r="H101" s="617"/>
      <c r="I101" s="617"/>
      <c r="J101" s="617"/>
      <c r="K101" s="617"/>
      <c r="L101" s="618"/>
    </row>
    <row r="102" spans="1:13" s="102" customFormat="1" ht="15" thickBot="1" x14ac:dyDescent="0.4">
      <c r="A102" s="556" t="s">
        <v>751</v>
      </c>
      <c r="B102" s="823" t="s">
        <v>137</v>
      </c>
      <c r="C102" s="824"/>
      <c r="D102" s="360">
        <f>D93</f>
        <v>2012</v>
      </c>
      <c r="E102" s="106"/>
      <c r="F102" s="106"/>
      <c r="G102" s="106"/>
      <c r="H102" s="106"/>
      <c r="I102" s="106"/>
      <c r="J102" s="106"/>
      <c r="K102" s="106"/>
      <c r="L102" s="107"/>
    </row>
    <row r="103" spans="1:13" s="102" customFormat="1" ht="41.25" customHeight="1" x14ac:dyDescent="0.35">
      <c r="A103" s="556" t="s">
        <v>752</v>
      </c>
      <c r="B103" s="825" t="s">
        <v>882</v>
      </c>
      <c r="C103" s="826"/>
      <c r="D103" s="358"/>
      <c r="E103" s="106"/>
      <c r="F103" s="106"/>
      <c r="G103" s="106"/>
      <c r="H103" s="106"/>
      <c r="I103" s="106"/>
      <c r="J103" s="106"/>
      <c r="K103" s="106"/>
      <c r="L103" s="107"/>
    </row>
    <row r="104" spans="1:13" s="102" customFormat="1" ht="15" customHeight="1" x14ac:dyDescent="0.35">
      <c r="A104" s="544"/>
      <c r="B104" s="135"/>
      <c r="C104" s="135"/>
      <c r="D104" s="135"/>
      <c r="E104" s="135"/>
      <c r="F104" s="135"/>
      <c r="G104" s="135"/>
      <c r="H104" s="135"/>
      <c r="I104" s="135"/>
      <c r="J104" s="135"/>
      <c r="K104" s="135"/>
      <c r="L104" s="135"/>
    </row>
  </sheetData>
  <mergeCells count="113">
    <mergeCell ref="B34:H34"/>
    <mergeCell ref="B24:L24"/>
    <mergeCell ref="B25:C25"/>
    <mergeCell ref="E25:H25"/>
    <mergeCell ref="I25:L25"/>
    <mergeCell ref="B26:C26"/>
    <mergeCell ref="B27:C27"/>
    <mergeCell ref="B28:C28"/>
    <mergeCell ref="B33:H33"/>
    <mergeCell ref="I33:L33"/>
    <mergeCell ref="B29:C29"/>
    <mergeCell ref="B30:C30"/>
    <mergeCell ref="B31:C31"/>
    <mergeCell ref="B53:C53"/>
    <mergeCell ref="B61:C61"/>
    <mergeCell ref="B50:C50"/>
    <mergeCell ref="B55:C55"/>
    <mergeCell ref="B56:C56"/>
    <mergeCell ref="B52:C52"/>
    <mergeCell ref="B51:C51"/>
    <mergeCell ref="B89:C89"/>
    <mergeCell ref="B44:G44"/>
    <mergeCell ref="B45:G45"/>
    <mergeCell ref="B46:G46"/>
    <mergeCell ref="B76:C76"/>
    <mergeCell ref="I89:L90"/>
    <mergeCell ref="B90:C90"/>
    <mergeCell ref="B80:C80"/>
    <mergeCell ref="I80:L81"/>
    <mergeCell ref="B81:C81"/>
    <mergeCell ref="B82:C82"/>
    <mergeCell ref="B83:L83"/>
    <mergeCell ref="B57:C57"/>
    <mergeCell ref="B58:C58"/>
    <mergeCell ref="B59:C59"/>
    <mergeCell ref="B85:L85"/>
    <mergeCell ref="B86:C86"/>
    <mergeCell ref="E86:H86"/>
    <mergeCell ref="I86:L86"/>
    <mergeCell ref="B87:C87"/>
    <mergeCell ref="B88:C88"/>
    <mergeCell ref="B79:C79"/>
    <mergeCell ref="B71:L71"/>
    <mergeCell ref="B72:L72"/>
    <mergeCell ref="B73:C73"/>
    <mergeCell ref="E73:H73"/>
    <mergeCell ref="I73:L73"/>
    <mergeCell ref="B74:C74"/>
    <mergeCell ref="B75:C75"/>
    <mergeCell ref="B101:L101"/>
    <mergeCell ref="B102:C102"/>
    <mergeCell ref="B103:C103"/>
    <mergeCell ref="B91:C91"/>
    <mergeCell ref="B92:L92"/>
    <mergeCell ref="B93:C93"/>
    <mergeCell ref="B94:C94"/>
    <mergeCell ref="B95:C95"/>
    <mergeCell ref="B97:C97"/>
    <mergeCell ref="B99:C99"/>
    <mergeCell ref="B98:C98"/>
    <mergeCell ref="B96:C96"/>
    <mergeCell ref="I97:L99"/>
    <mergeCell ref="I76:L77"/>
    <mergeCell ref="B77:C77"/>
    <mergeCell ref="B78:C78"/>
    <mergeCell ref="B49:C49"/>
    <mergeCell ref="E49:H49"/>
    <mergeCell ref="I49:L49"/>
    <mergeCell ref="B35:H35"/>
    <mergeCell ref="B36:H36"/>
    <mergeCell ref="B38:H38"/>
    <mergeCell ref="I38:L38"/>
    <mergeCell ref="B39:H39"/>
    <mergeCell ref="B40:H40"/>
    <mergeCell ref="B41:H41"/>
    <mergeCell ref="B42:G42"/>
    <mergeCell ref="B43:G43"/>
    <mergeCell ref="B47:G47"/>
    <mergeCell ref="B62:C62"/>
    <mergeCell ref="B63:C63"/>
    <mergeCell ref="B64:C64"/>
    <mergeCell ref="B65:C65"/>
    <mergeCell ref="B66:C66"/>
    <mergeCell ref="B67:C67"/>
    <mergeCell ref="B68:C68"/>
    <mergeCell ref="B69:L69"/>
    <mergeCell ref="A1:H1"/>
    <mergeCell ref="A2:H2"/>
    <mergeCell ref="A3:H3"/>
    <mergeCell ref="A4:H4"/>
    <mergeCell ref="B5:G5"/>
    <mergeCell ref="H5:J5"/>
    <mergeCell ref="H10:J10"/>
    <mergeCell ref="B11:C11"/>
    <mergeCell ref="E11:G11"/>
    <mergeCell ref="H11:J11"/>
    <mergeCell ref="E10:G10"/>
    <mergeCell ref="A22:C22"/>
    <mergeCell ref="B16:C16"/>
    <mergeCell ref="D16:G16"/>
    <mergeCell ref="H16:J16"/>
    <mergeCell ref="B17:C17"/>
    <mergeCell ref="D17:G17"/>
    <mergeCell ref="H17:J17"/>
    <mergeCell ref="B6:F6"/>
    <mergeCell ref="B8:F8"/>
    <mergeCell ref="B10:C10"/>
    <mergeCell ref="B14:C14"/>
    <mergeCell ref="E14:G14"/>
    <mergeCell ref="H14:J14"/>
    <mergeCell ref="B13:C13"/>
    <mergeCell ref="E13:G13"/>
    <mergeCell ref="H13:J1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54"/>
  <sheetViews>
    <sheetView workbookViewId="0">
      <pane xSplit="6" ySplit="9" topLeftCell="AL10" activePane="bottomRight" state="frozen"/>
      <selection pane="topRight" activeCell="G1" sqref="G1"/>
      <selection pane="bottomLeft" activeCell="A10" sqref="A10"/>
      <selection pane="bottomRight" activeCell="AA1" sqref="AA1:AP1048576"/>
    </sheetView>
  </sheetViews>
  <sheetFormatPr baseColWidth="10" defaultColWidth="11.453125" defaultRowHeight="14.5" x14ac:dyDescent="0.35"/>
  <cols>
    <col min="1" max="1" width="6.54296875" style="10" customWidth="1"/>
    <col min="2" max="2" width="43.1796875" style="10" customWidth="1"/>
    <col min="3" max="3" width="11.453125" style="10"/>
    <col min="4" max="6" width="3.81640625" style="10" customWidth="1"/>
    <col min="7" max="7" width="11.453125" style="10"/>
    <col min="8" max="8" width="12" style="10" customWidth="1"/>
    <col min="9" max="9" width="11.7265625" style="10" bestFit="1" customWidth="1"/>
    <col min="10" max="10" width="11.453125" style="10"/>
    <col min="11" max="42" width="11.7265625" style="10" customWidth="1"/>
    <col min="43" max="16384" width="11.453125" style="10"/>
  </cols>
  <sheetData>
    <row r="1" spans="1:42" s="33" customFormat="1" ht="41.25" customHeight="1" thickBot="1" x14ac:dyDescent="0.4">
      <c r="A1" s="899" t="s">
        <v>0</v>
      </c>
      <c r="B1" s="901" t="s">
        <v>961</v>
      </c>
      <c r="C1" s="902"/>
      <c r="D1" s="902"/>
      <c r="E1" s="902"/>
      <c r="F1" s="902"/>
      <c r="G1" s="902"/>
      <c r="H1" s="902"/>
      <c r="I1" s="902"/>
      <c r="J1" s="902"/>
      <c r="K1" s="579" t="str">
        <f>"Zwischen Zeile "&amp;ROW(5:5)&amp;" und Zeile "&amp;ROW(54:54)&amp;" weder eine Zeile einfügen noch löschen!!!"</f>
        <v>Zwischen Zeile 5 und Zeile 54 weder eine Zeile einfügen noch löschen!!!</v>
      </c>
      <c r="L1" s="290"/>
      <c r="M1" s="290"/>
      <c r="N1" s="290"/>
      <c r="O1" s="579" t="str">
        <f>"Zwischen Zeile "&amp;ROW(5:5)&amp;" und Zeile "&amp;ROW(54:54)&amp;" weder eine Zeile einfügen noch löschen!!!"</f>
        <v>Zwischen Zeile 5 und Zeile 54 weder eine Zeile einfügen noch löschen!!!</v>
      </c>
      <c r="P1" s="290"/>
      <c r="Q1" s="290"/>
      <c r="R1" s="290"/>
      <c r="S1" s="579" t="str">
        <f>"Zwischen Zeile "&amp;ROW(5:5)&amp;" und Zeile "&amp;ROW(54:54)&amp;" weder eine Zeile einfügen noch löschen!!!"</f>
        <v>Zwischen Zeile 5 und Zeile 54 weder eine Zeile einfügen noch löschen!!!</v>
      </c>
      <c r="T1" s="290"/>
      <c r="U1" s="290"/>
      <c r="V1" s="290"/>
      <c r="W1" s="579" t="str">
        <f>"Zwischen Zeile "&amp;ROW(5:5)&amp;" und Zeile "&amp;ROW(54:54)&amp;" weder eine Zeile einfügen noch löschen!!!"</f>
        <v>Zwischen Zeile 5 und Zeile 54 weder eine Zeile einfügen noch löschen!!!</v>
      </c>
      <c r="X1" s="290"/>
      <c r="Y1" s="290"/>
      <c r="Z1" s="290"/>
      <c r="AA1" s="579" t="str">
        <f>"Zwischen Zeile "&amp;ROW(5:5)&amp;" und Zeile "&amp;ROW(54:54)&amp;" weder eine Zeile einfügen noch löschen!!!"</f>
        <v>Zwischen Zeile 5 und Zeile 54 weder eine Zeile einfügen noch löschen!!!</v>
      </c>
      <c r="AB1" s="290"/>
      <c r="AC1" s="290"/>
      <c r="AD1" s="290"/>
      <c r="AE1" s="579" t="str">
        <f>"Zwischen Zeile "&amp;ROW(5:5)&amp;" und Zeile "&amp;ROW(54:54)&amp;" weder eine Zeile einfügen noch löschen!!!"</f>
        <v>Zwischen Zeile 5 und Zeile 54 weder eine Zeile einfügen noch löschen!!!</v>
      </c>
      <c r="AF1" s="290"/>
      <c r="AG1" s="290"/>
      <c r="AH1" s="290"/>
      <c r="AI1" s="579" t="str">
        <f>"Zwischen Zeile "&amp;ROW(5:5)&amp;" und Zeile "&amp;ROW(54:54)&amp;" weder eine Zeile einfügen noch löschen!!!"</f>
        <v>Zwischen Zeile 5 und Zeile 54 weder eine Zeile einfügen noch löschen!!!</v>
      </c>
      <c r="AJ1" s="290"/>
      <c r="AK1" s="290"/>
      <c r="AL1" s="290"/>
      <c r="AM1" s="579" t="str">
        <f>"Zwischen Zeile "&amp;ROW(5:5)&amp;" und Zeile "&amp;ROW(54:54)&amp;" weder eine Zeile einfügen noch löschen!!!"</f>
        <v>Zwischen Zeile 5 und Zeile 54 weder eine Zeile einfügen noch löschen!!!</v>
      </c>
      <c r="AN1" s="290"/>
      <c r="AO1" s="290"/>
      <c r="AP1" s="290"/>
    </row>
    <row r="2" spans="1:42" ht="31.5" customHeight="1" x14ac:dyDescent="0.35">
      <c r="A2" s="899"/>
      <c r="B2" s="903" t="s">
        <v>1</v>
      </c>
      <c r="C2" s="906" t="s">
        <v>962</v>
      </c>
      <c r="D2" s="909" t="s">
        <v>2</v>
      </c>
      <c r="E2" s="891"/>
      <c r="F2" s="910"/>
      <c r="G2" s="890" t="s">
        <v>3</v>
      </c>
      <c r="H2" s="891"/>
      <c r="I2" s="891"/>
      <c r="J2" s="892"/>
      <c r="K2" s="890" t="s">
        <v>3</v>
      </c>
      <c r="L2" s="891"/>
      <c r="M2" s="891"/>
      <c r="N2" s="892"/>
      <c r="O2" s="890" t="s">
        <v>3</v>
      </c>
      <c r="P2" s="891"/>
      <c r="Q2" s="891"/>
      <c r="R2" s="892"/>
      <c r="S2" s="890" t="s">
        <v>3</v>
      </c>
      <c r="T2" s="891"/>
      <c r="U2" s="891"/>
      <c r="V2" s="892"/>
      <c r="W2" s="890" t="s">
        <v>3</v>
      </c>
      <c r="X2" s="891"/>
      <c r="Y2" s="891"/>
      <c r="Z2" s="892"/>
      <c r="AA2" s="890" t="s">
        <v>3</v>
      </c>
      <c r="AB2" s="891"/>
      <c r="AC2" s="891"/>
      <c r="AD2" s="892"/>
      <c r="AE2" s="890" t="s">
        <v>3</v>
      </c>
      <c r="AF2" s="891"/>
      <c r="AG2" s="891"/>
      <c r="AH2" s="892"/>
      <c r="AI2" s="890" t="s">
        <v>3</v>
      </c>
      <c r="AJ2" s="891"/>
      <c r="AK2" s="891"/>
      <c r="AL2" s="892"/>
      <c r="AM2" s="890" t="s">
        <v>3</v>
      </c>
      <c r="AN2" s="891"/>
      <c r="AO2" s="891"/>
      <c r="AP2" s="892"/>
    </row>
    <row r="3" spans="1:42" ht="48.75" customHeight="1" x14ac:dyDescent="0.35">
      <c r="A3" s="899"/>
      <c r="B3" s="904"/>
      <c r="C3" s="907"/>
      <c r="D3" s="1" t="s">
        <v>923</v>
      </c>
      <c r="E3" s="1" t="s">
        <v>924</v>
      </c>
      <c r="F3" s="1" t="s">
        <v>925</v>
      </c>
      <c r="G3" s="893" t="s">
        <v>4</v>
      </c>
      <c r="H3" s="895" t="s">
        <v>5</v>
      </c>
      <c r="I3" s="896"/>
      <c r="J3" s="897" t="s">
        <v>6</v>
      </c>
      <c r="K3" s="893" t="s">
        <v>4</v>
      </c>
      <c r="L3" s="895" t="s">
        <v>5</v>
      </c>
      <c r="M3" s="896"/>
      <c r="N3" s="897" t="s">
        <v>6</v>
      </c>
      <c r="O3" s="893" t="s">
        <v>4</v>
      </c>
      <c r="P3" s="895" t="s">
        <v>5</v>
      </c>
      <c r="Q3" s="896"/>
      <c r="R3" s="897" t="s">
        <v>6</v>
      </c>
      <c r="S3" s="893" t="s">
        <v>4</v>
      </c>
      <c r="T3" s="895" t="s">
        <v>5</v>
      </c>
      <c r="U3" s="896"/>
      <c r="V3" s="897" t="s">
        <v>6</v>
      </c>
      <c r="W3" s="893" t="s">
        <v>4</v>
      </c>
      <c r="X3" s="895" t="s">
        <v>5</v>
      </c>
      <c r="Y3" s="896"/>
      <c r="Z3" s="897" t="s">
        <v>6</v>
      </c>
      <c r="AA3" s="893" t="s">
        <v>4</v>
      </c>
      <c r="AB3" s="895" t="s">
        <v>5</v>
      </c>
      <c r="AC3" s="896"/>
      <c r="AD3" s="897" t="s">
        <v>6</v>
      </c>
      <c r="AE3" s="893" t="s">
        <v>4</v>
      </c>
      <c r="AF3" s="895" t="s">
        <v>5</v>
      </c>
      <c r="AG3" s="896"/>
      <c r="AH3" s="897" t="s">
        <v>6</v>
      </c>
      <c r="AI3" s="893" t="s">
        <v>4</v>
      </c>
      <c r="AJ3" s="895" t="s">
        <v>5</v>
      </c>
      <c r="AK3" s="896"/>
      <c r="AL3" s="897" t="s">
        <v>6</v>
      </c>
      <c r="AM3" s="893" t="s">
        <v>4</v>
      </c>
      <c r="AN3" s="895" t="s">
        <v>5</v>
      </c>
      <c r="AO3" s="896"/>
      <c r="AP3" s="897" t="s">
        <v>6</v>
      </c>
    </row>
    <row r="4" spans="1:42" ht="29.25" customHeight="1" x14ac:dyDescent="0.35">
      <c r="A4" s="900"/>
      <c r="B4" s="905"/>
      <c r="C4" s="908"/>
      <c r="D4" s="1"/>
      <c r="E4" s="1"/>
      <c r="F4" s="1"/>
      <c r="G4" s="894"/>
      <c r="H4" s="2" t="s">
        <v>7</v>
      </c>
      <c r="I4" s="2" t="s">
        <v>8</v>
      </c>
      <c r="J4" s="898"/>
      <c r="K4" s="894"/>
      <c r="L4" s="2" t="s">
        <v>7</v>
      </c>
      <c r="M4" s="2" t="s">
        <v>8</v>
      </c>
      <c r="N4" s="898"/>
      <c r="O4" s="894"/>
      <c r="P4" s="2" t="s">
        <v>7</v>
      </c>
      <c r="Q4" s="2" t="s">
        <v>8</v>
      </c>
      <c r="R4" s="898"/>
      <c r="S4" s="894"/>
      <c r="T4" s="2" t="s">
        <v>7</v>
      </c>
      <c r="U4" s="2" t="s">
        <v>8</v>
      </c>
      <c r="V4" s="898"/>
      <c r="W4" s="894"/>
      <c r="X4" s="2" t="s">
        <v>7</v>
      </c>
      <c r="Y4" s="2" t="s">
        <v>8</v>
      </c>
      <c r="Z4" s="898"/>
      <c r="AA4" s="894"/>
      <c r="AB4" s="2" t="s">
        <v>7</v>
      </c>
      <c r="AC4" s="2" t="s">
        <v>8</v>
      </c>
      <c r="AD4" s="898"/>
      <c r="AE4" s="894"/>
      <c r="AF4" s="2" t="s">
        <v>7</v>
      </c>
      <c r="AG4" s="2" t="s">
        <v>8</v>
      </c>
      <c r="AH4" s="898"/>
      <c r="AI4" s="894"/>
      <c r="AJ4" s="2" t="s">
        <v>7</v>
      </c>
      <c r="AK4" s="2" t="s">
        <v>8</v>
      </c>
      <c r="AL4" s="898"/>
      <c r="AM4" s="894"/>
      <c r="AN4" s="2" t="s">
        <v>7</v>
      </c>
      <c r="AO4" s="2" t="s">
        <v>8</v>
      </c>
      <c r="AP4" s="898"/>
    </row>
    <row r="5" spans="1:42" ht="15" hidden="1" customHeight="1" x14ac:dyDescent="0.35">
      <c r="A5" s="3"/>
      <c r="B5" s="4"/>
      <c r="C5" s="5"/>
      <c r="D5" s="485">
        <v>1</v>
      </c>
      <c r="E5" s="486"/>
      <c r="F5" s="487"/>
      <c r="G5" s="6">
        <f>G8</f>
        <v>2012</v>
      </c>
      <c r="H5" s="7"/>
      <c r="I5" s="8"/>
      <c r="J5" s="9"/>
      <c r="K5" s="6">
        <f>K8</f>
        <v>2013</v>
      </c>
      <c r="L5" s="7"/>
      <c r="M5" s="8"/>
      <c r="N5" s="9"/>
      <c r="O5" s="6">
        <f>O8</f>
        <v>2014</v>
      </c>
      <c r="P5" s="7"/>
      <c r="Q5" s="8"/>
      <c r="R5" s="9"/>
      <c r="S5" s="6">
        <f>S8</f>
        <v>2015</v>
      </c>
      <c r="T5" s="7"/>
      <c r="U5" s="8"/>
      <c r="V5" s="9"/>
      <c r="W5" s="6">
        <f>W8</f>
        <v>2016</v>
      </c>
      <c r="X5" s="7"/>
      <c r="Y5" s="8"/>
      <c r="Z5" s="9"/>
      <c r="AA5" s="6">
        <f>AA8</f>
        <v>2017</v>
      </c>
      <c r="AB5" s="7"/>
      <c r="AC5" s="8"/>
      <c r="AD5" s="9"/>
      <c r="AE5" s="6">
        <f>AE8</f>
        <v>2018</v>
      </c>
      <c r="AF5" s="7"/>
      <c r="AG5" s="8"/>
      <c r="AH5" s="9"/>
      <c r="AI5" s="6">
        <f>AI8</f>
        <v>2019</v>
      </c>
      <c r="AJ5" s="7"/>
      <c r="AK5" s="8"/>
      <c r="AL5" s="9"/>
      <c r="AM5" s="6">
        <f>AM8</f>
        <v>2020</v>
      </c>
      <c r="AN5" s="7"/>
      <c r="AO5" s="8"/>
      <c r="AP5" s="9"/>
    </row>
    <row r="6" spans="1:42" ht="15" hidden="1" customHeight="1" x14ac:dyDescent="0.35">
      <c r="A6" s="3"/>
      <c r="B6" s="4"/>
      <c r="C6" s="5"/>
      <c r="D6" s="485">
        <v>2</v>
      </c>
      <c r="E6" s="485">
        <v>1</v>
      </c>
      <c r="F6" s="487"/>
      <c r="G6" s="11"/>
      <c r="H6" s="12">
        <f>G8</f>
        <v>2012</v>
      </c>
      <c r="I6" s="13"/>
      <c r="J6" s="14"/>
      <c r="K6" s="11"/>
      <c r="L6" s="12">
        <f>K8</f>
        <v>2013</v>
      </c>
      <c r="M6" s="13"/>
      <c r="N6" s="14"/>
      <c r="O6" s="11"/>
      <c r="P6" s="12">
        <f>O8</f>
        <v>2014</v>
      </c>
      <c r="Q6" s="13"/>
      <c r="R6" s="14"/>
      <c r="S6" s="11"/>
      <c r="T6" s="12">
        <f>S8</f>
        <v>2015</v>
      </c>
      <c r="U6" s="13"/>
      <c r="V6" s="14"/>
      <c r="W6" s="11"/>
      <c r="X6" s="12">
        <f>W8</f>
        <v>2016</v>
      </c>
      <c r="Y6" s="13"/>
      <c r="Z6" s="14"/>
      <c r="AA6" s="11"/>
      <c r="AB6" s="12">
        <f>AA8</f>
        <v>2017</v>
      </c>
      <c r="AC6" s="13"/>
      <c r="AD6" s="14"/>
      <c r="AE6" s="11"/>
      <c r="AF6" s="12">
        <f>AE8</f>
        <v>2018</v>
      </c>
      <c r="AG6" s="13"/>
      <c r="AH6" s="14"/>
      <c r="AI6" s="11"/>
      <c r="AJ6" s="12">
        <f>AI8</f>
        <v>2019</v>
      </c>
      <c r="AK6" s="13"/>
      <c r="AL6" s="14"/>
      <c r="AM6" s="11"/>
      <c r="AN6" s="12">
        <f>AM8</f>
        <v>2020</v>
      </c>
      <c r="AO6" s="13"/>
      <c r="AP6" s="14"/>
    </row>
    <row r="7" spans="1:42" ht="15" hidden="1" customHeight="1" x14ac:dyDescent="0.35">
      <c r="A7" s="3"/>
      <c r="B7" s="4"/>
      <c r="C7" s="5"/>
      <c r="D7" s="485">
        <v>3</v>
      </c>
      <c r="E7" s="485">
        <v>2</v>
      </c>
      <c r="F7" s="485">
        <v>1</v>
      </c>
      <c r="G7" s="11"/>
      <c r="H7" s="15"/>
      <c r="I7" s="12">
        <f>G8</f>
        <v>2012</v>
      </c>
      <c r="J7" s="14"/>
      <c r="K7" s="11"/>
      <c r="L7" s="15"/>
      <c r="M7" s="12">
        <f>K8</f>
        <v>2013</v>
      </c>
      <c r="N7" s="14"/>
      <c r="O7" s="11"/>
      <c r="P7" s="15"/>
      <c r="Q7" s="12">
        <f>O8</f>
        <v>2014</v>
      </c>
      <c r="R7" s="14"/>
      <c r="S7" s="11"/>
      <c r="T7" s="15"/>
      <c r="U7" s="12">
        <f>S8</f>
        <v>2015</v>
      </c>
      <c r="V7" s="14"/>
      <c r="W7" s="11"/>
      <c r="X7" s="15"/>
      <c r="Y7" s="12">
        <f>W8</f>
        <v>2016</v>
      </c>
      <c r="Z7" s="14"/>
      <c r="AA7" s="11"/>
      <c r="AB7" s="15"/>
      <c r="AC7" s="12">
        <f>AA8</f>
        <v>2017</v>
      </c>
      <c r="AD7" s="14"/>
      <c r="AE7" s="11"/>
      <c r="AF7" s="15"/>
      <c r="AG7" s="12">
        <f>AE8</f>
        <v>2018</v>
      </c>
      <c r="AH7" s="14"/>
      <c r="AI7" s="11"/>
      <c r="AJ7" s="15"/>
      <c r="AK7" s="12">
        <f>AI8</f>
        <v>2019</v>
      </c>
      <c r="AL7" s="14"/>
      <c r="AM7" s="11"/>
      <c r="AN7" s="15"/>
      <c r="AO7" s="12">
        <f>AM8</f>
        <v>2020</v>
      </c>
      <c r="AP7" s="14"/>
    </row>
    <row r="8" spans="1:42" x14ac:dyDescent="0.35">
      <c r="A8" s="16" t="s">
        <v>9</v>
      </c>
      <c r="B8" s="17" t="s">
        <v>10</v>
      </c>
      <c r="C8" s="18"/>
      <c r="D8" s="485">
        <v>4</v>
      </c>
      <c r="E8" s="485">
        <v>3</v>
      </c>
      <c r="F8" s="485">
        <v>2</v>
      </c>
      <c r="G8" s="887">
        <f>Nachkalkulation!C6</f>
        <v>2012</v>
      </c>
      <c r="H8" s="888"/>
      <c r="I8" s="888"/>
      <c r="J8" s="889"/>
      <c r="K8" s="887">
        <f>G8+1</f>
        <v>2013</v>
      </c>
      <c r="L8" s="888"/>
      <c r="M8" s="888"/>
      <c r="N8" s="889"/>
      <c r="O8" s="887">
        <f>K8+1</f>
        <v>2014</v>
      </c>
      <c r="P8" s="888"/>
      <c r="Q8" s="888"/>
      <c r="R8" s="889"/>
      <c r="S8" s="887">
        <f>O8+1</f>
        <v>2015</v>
      </c>
      <c r="T8" s="888"/>
      <c r="U8" s="888"/>
      <c r="V8" s="889"/>
      <c r="W8" s="887">
        <f>S8+1</f>
        <v>2016</v>
      </c>
      <c r="X8" s="888"/>
      <c r="Y8" s="888"/>
      <c r="Z8" s="889"/>
      <c r="AA8" s="887">
        <f>W8+1</f>
        <v>2017</v>
      </c>
      <c r="AB8" s="888"/>
      <c r="AC8" s="888"/>
      <c r="AD8" s="889"/>
      <c r="AE8" s="887">
        <f>AA8+1</f>
        <v>2018</v>
      </c>
      <c r="AF8" s="888"/>
      <c r="AG8" s="888"/>
      <c r="AH8" s="889"/>
      <c r="AI8" s="887">
        <f>AE8+1</f>
        <v>2019</v>
      </c>
      <c r="AJ8" s="888"/>
      <c r="AK8" s="888"/>
      <c r="AL8" s="889"/>
      <c r="AM8" s="887">
        <f>AI8+1</f>
        <v>2020</v>
      </c>
      <c r="AN8" s="888"/>
      <c r="AO8" s="888"/>
      <c r="AP8" s="889"/>
    </row>
    <row r="9" spans="1:42" s="225" customFormat="1" x14ac:dyDescent="0.35">
      <c r="A9" s="506" t="s">
        <v>11</v>
      </c>
      <c r="B9" s="477" t="s">
        <v>12</v>
      </c>
      <c r="C9" s="18"/>
      <c r="D9" s="485">
        <v>5</v>
      </c>
      <c r="E9" s="485">
        <v>4</v>
      </c>
      <c r="F9" s="485">
        <v>3</v>
      </c>
      <c r="G9" s="20"/>
      <c r="H9" s="21"/>
      <c r="I9" s="21"/>
      <c r="J9" s="22"/>
      <c r="K9" s="20"/>
      <c r="L9" s="21"/>
      <c r="M9" s="21"/>
      <c r="N9" s="22"/>
      <c r="O9" s="20"/>
      <c r="P9" s="21"/>
      <c r="Q9" s="21"/>
      <c r="R9" s="22"/>
      <c r="S9" s="20"/>
      <c r="T9" s="21"/>
      <c r="U9" s="21"/>
      <c r="V9" s="22"/>
      <c r="W9" s="20"/>
      <c r="X9" s="21"/>
      <c r="Y9" s="21"/>
      <c r="Z9" s="22"/>
      <c r="AA9" s="20"/>
      <c r="AB9" s="21"/>
      <c r="AC9" s="21"/>
      <c r="AD9" s="22"/>
      <c r="AE9" s="20"/>
      <c r="AF9" s="21"/>
      <c r="AG9" s="21"/>
      <c r="AH9" s="22"/>
      <c r="AI9" s="20"/>
      <c r="AJ9" s="21"/>
      <c r="AK9" s="21"/>
      <c r="AL9" s="22"/>
      <c r="AM9" s="20"/>
      <c r="AN9" s="21"/>
      <c r="AO9" s="21"/>
      <c r="AP9" s="22"/>
    </row>
    <row r="10" spans="1:42" ht="12.75" customHeight="1" x14ac:dyDescent="0.35">
      <c r="A10" s="19" t="s">
        <v>13</v>
      </c>
      <c r="B10" s="478" t="s">
        <v>14</v>
      </c>
      <c r="C10" s="479" t="s">
        <v>15</v>
      </c>
      <c r="D10" s="485">
        <v>6</v>
      </c>
      <c r="E10" s="485">
        <v>5</v>
      </c>
      <c r="F10" s="485">
        <v>4</v>
      </c>
      <c r="G10" s="484">
        <v>1</v>
      </c>
      <c r="H10" s="484"/>
      <c r="I10" s="484"/>
      <c r="J10" s="23">
        <f>G10+H10+I10</f>
        <v>1</v>
      </c>
      <c r="K10" s="484">
        <f>G10</f>
        <v>1</v>
      </c>
      <c r="L10" s="484">
        <f t="shared" ref="L10:M12" si="0">H10</f>
        <v>0</v>
      </c>
      <c r="M10" s="484">
        <f t="shared" si="0"/>
        <v>0</v>
      </c>
      <c r="N10" s="23">
        <f>K10+L10+M10</f>
        <v>1</v>
      </c>
      <c r="O10" s="484">
        <f>K10</f>
        <v>1</v>
      </c>
      <c r="P10" s="484">
        <f t="shared" ref="P10:P12" si="1">L10</f>
        <v>0</v>
      </c>
      <c r="Q10" s="484">
        <f t="shared" ref="Q10:Q12" si="2">M10</f>
        <v>0</v>
      </c>
      <c r="R10" s="23">
        <f>O10+P10+Q10</f>
        <v>1</v>
      </c>
      <c r="S10" s="484">
        <f>O10</f>
        <v>1</v>
      </c>
      <c r="T10" s="484">
        <f t="shared" ref="T10:T12" si="3">P10</f>
        <v>0</v>
      </c>
      <c r="U10" s="484">
        <f t="shared" ref="U10:U12" si="4">Q10</f>
        <v>0</v>
      </c>
      <c r="V10" s="23">
        <f>S10+T10+U10</f>
        <v>1</v>
      </c>
      <c r="W10" s="484">
        <f>S10</f>
        <v>1</v>
      </c>
      <c r="X10" s="484">
        <f t="shared" ref="X10:X12" si="5">T10</f>
        <v>0</v>
      </c>
      <c r="Y10" s="484">
        <f t="shared" ref="Y10:Y12" si="6">U10</f>
        <v>0</v>
      </c>
      <c r="Z10" s="23">
        <f>W10+X10+Y10</f>
        <v>1</v>
      </c>
      <c r="AA10" s="484">
        <f>W10</f>
        <v>1</v>
      </c>
      <c r="AB10" s="484">
        <f t="shared" ref="AB10:AB12" si="7">X10</f>
        <v>0</v>
      </c>
      <c r="AC10" s="484">
        <f t="shared" ref="AC10:AC12" si="8">Y10</f>
        <v>0</v>
      </c>
      <c r="AD10" s="23">
        <f>AA10+AB10+AC10</f>
        <v>1</v>
      </c>
      <c r="AE10" s="484">
        <f>AA10</f>
        <v>1</v>
      </c>
      <c r="AF10" s="484">
        <f t="shared" ref="AF10:AF12" si="9">AB10</f>
        <v>0</v>
      </c>
      <c r="AG10" s="484">
        <f t="shared" ref="AG10:AG12" si="10">AC10</f>
        <v>0</v>
      </c>
      <c r="AH10" s="23">
        <f>AE10+AF10+AG10</f>
        <v>1</v>
      </c>
      <c r="AI10" s="484">
        <f>AE10</f>
        <v>1</v>
      </c>
      <c r="AJ10" s="484">
        <f t="shared" ref="AJ10:AJ12" si="11">AF10</f>
        <v>0</v>
      </c>
      <c r="AK10" s="484">
        <f t="shared" ref="AK10:AK12" si="12">AG10</f>
        <v>0</v>
      </c>
      <c r="AL10" s="23">
        <f>AI10+AJ10+AK10</f>
        <v>1</v>
      </c>
      <c r="AM10" s="484">
        <f>AI10</f>
        <v>1</v>
      </c>
      <c r="AN10" s="484">
        <f t="shared" ref="AN10:AN12" si="13">AJ10</f>
        <v>0</v>
      </c>
      <c r="AO10" s="484">
        <f t="shared" ref="AO10:AO12" si="14">AK10</f>
        <v>0</v>
      </c>
      <c r="AP10" s="23">
        <f>AM10+AN10+AO10</f>
        <v>1</v>
      </c>
    </row>
    <row r="11" spans="1:42" x14ac:dyDescent="0.35">
      <c r="A11" s="19" t="s">
        <v>16</v>
      </c>
      <c r="B11" s="478" t="s">
        <v>17</v>
      </c>
      <c r="C11" s="479" t="s">
        <v>18</v>
      </c>
      <c r="D11" s="485">
        <v>7</v>
      </c>
      <c r="E11" s="485">
        <v>6</v>
      </c>
      <c r="F11" s="485">
        <v>5</v>
      </c>
      <c r="G11" s="484">
        <v>0.5</v>
      </c>
      <c r="H11" s="484">
        <v>0.25</v>
      </c>
      <c r="I11" s="484">
        <v>0.25</v>
      </c>
      <c r="J11" s="23">
        <f>G11+H11+I11</f>
        <v>1</v>
      </c>
      <c r="K11" s="484">
        <f>G11</f>
        <v>0.5</v>
      </c>
      <c r="L11" s="484">
        <f t="shared" si="0"/>
        <v>0.25</v>
      </c>
      <c r="M11" s="484">
        <f t="shared" si="0"/>
        <v>0.25</v>
      </c>
      <c r="N11" s="23">
        <f>K11+L11+M11</f>
        <v>1</v>
      </c>
      <c r="O11" s="484">
        <f>K11</f>
        <v>0.5</v>
      </c>
      <c r="P11" s="484">
        <f t="shared" si="1"/>
        <v>0.25</v>
      </c>
      <c r="Q11" s="484">
        <f t="shared" si="2"/>
        <v>0.25</v>
      </c>
      <c r="R11" s="23">
        <f>O11+P11+Q11</f>
        <v>1</v>
      </c>
      <c r="S11" s="484">
        <f>O11</f>
        <v>0.5</v>
      </c>
      <c r="T11" s="484">
        <f t="shared" si="3"/>
        <v>0.25</v>
      </c>
      <c r="U11" s="484">
        <f t="shared" si="4"/>
        <v>0.25</v>
      </c>
      <c r="V11" s="23">
        <f>S11+T11+U11</f>
        <v>1</v>
      </c>
      <c r="W11" s="484">
        <f>S11</f>
        <v>0.5</v>
      </c>
      <c r="X11" s="484">
        <f t="shared" si="5"/>
        <v>0.25</v>
      </c>
      <c r="Y11" s="484">
        <f t="shared" si="6"/>
        <v>0.25</v>
      </c>
      <c r="Z11" s="23">
        <f>W11+X11+Y11</f>
        <v>1</v>
      </c>
      <c r="AA11" s="484">
        <f>W11</f>
        <v>0.5</v>
      </c>
      <c r="AB11" s="484">
        <f t="shared" si="7"/>
        <v>0.25</v>
      </c>
      <c r="AC11" s="484">
        <f t="shared" si="8"/>
        <v>0.25</v>
      </c>
      <c r="AD11" s="23">
        <f>AA11+AB11+AC11</f>
        <v>1</v>
      </c>
      <c r="AE11" s="484">
        <f>AA11</f>
        <v>0.5</v>
      </c>
      <c r="AF11" s="484">
        <f t="shared" si="9"/>
        <v>0.25</v>
      </c>
      <c r="AG11" s="484">
        <f t="shared" si="10"/>
        <v>0.25</v>
      </c>
      <c r="AH11" s="23">
        <f>AE11+AF11+AG11</f>
        <v>1</v>
      </c>
      <c r="AI11" s="484">
        <f>AE11</f>
        <v>0.5</v>
      </c>
      <c r="AJ11" s="484">
        <f t="shared" si="11"/>
        <v>0.25</v>
      </c>
      <c r="AK11" s="484">
        <f t="shared" si="12"/>
        <v>0.25</v>
      </c>
      <c r="AL11" s="23">
        <f>AI11+AJ11+AK11</f>
        <v>1</v>
      </c>
      <c r="AM11" s="484">
        <f>AI11</f>
        <v>0.5</v>
      </c>
      <c r="AN11" s="484">
        <f t="shared" si="13"/>
        <v>0.25</v>
      </c>
      <c r="AO11" s="484">
        <f t="shared" si="14"/>
        <v>0.25</v>
      </c>
      <c r="AP11" s="23">
        <f>AM11+AN11+AO11</f>
        <v>1</v>
      </c>
    </row>
    <row r="12" spans="1:42" x14ac:dyDescent="0.35">
      <c r="A12" s="19" t="s">
        <v>19</v>
      </c>
      <c r="B12" s="24" t="s">
        <v>20</v>
      </c>
      <c r="C12" s="25" t="s">
        <v>21</v>
      </c>
      <c r="D12" s="485">
        <v>8</v>
      </c>
      <c r="E12" s="485">
        <v>7</v>
      </c>
      <c r="F12" s="485">
        <v>6</v>
      </c>
      <c r="G12" s="484"/>
      <c r="H12" s="484">
        <v>0.5</v>
      </c>
      <c r="I12" s="484">
        <v>0.5</v>
      </c>
      <c r="J12" s="23">
        <f>G12+H12+I12</f>
        <v>1</v>
      </c>
      <c r="K12" s="484">
        <f>G12</f>
        <v>0</v>
      </c>
      <c r="L12" s="484">
        <f t="shared" si="0"/>
        <v>0.5</v>
      </c>
      <c r="M12" s="484">
        <f t="shared" si="0"/>
        <v>0.5</v>
      </c>
      <c r="N12" s="23">
        <f>K12+L12+M12</f>
        <v>1</v>
      </c>
      <c r="O12" s="484">
        <f>K12</f>
        <v>0</v>
      </c>
      <c r="P12" s="484">
        <f t="shared" si="1"/>
        <v>0.5</v>
      </c>
      <c r="Q12" s="484">
        <f t="shared" si="2"/>
        <v>0.5</v>
      </c>
      <c r="R12" s="23">
        <f>O12+P12+Q12</f>
        <v>1</v>
      </c>
      <c r="S12" s="484">
        <f>O12</f>
        <v>0</v>
      </c>
      <c r="T12" s="484">
        <f t="shared" si="3"/>
        <v>0.5</v>
      </c>
      <c r="U12" s="484">
        <f t="shared" si="4"/>
        <v>0.5</v>
      </c>
      <c r="V12" s="23">
        <f>S12+T12+U12</f>
        <v>1</v>
      </c>
      <c r="W12" s="484">
        <f>S12</f>
        <v>0</v>
      </c>
      <c r="X12" s="484">
        <f t="shared" si="5"/>
        <v>0.5</v>
      </c>
      <c r="Y12" s="484">
        <f t="shared" si="6"/>
        <v>0.5</v>
      </c>
      <c r="Z12" s="23">
        <f>W12+X12+Y12</f>
        <v>1</v>
      </c>
      <c r="AA12" s="484">
        <f>W12</f>
        <v>0</v>
      </c>
      <c r="AB12" s="484">
        <f t="shared" si="7"/>
        <v>0.5</v>
      </c>
      <c r="AC12" s="484">
        <f t="shared" si="8"/>
        <v>0.5</v>
      </c>
      <c r="AD12" s="23">
        <f>AA12+AB12+AC12</f>
        <v>1</v>
      </c>
      <c r="AE12" s="484">
        <f>AA12</f>
        <v>0</v>
      </c>
      <c r="AF12" s="484">
        <f t="shared" si="9"/>
        <v>0.5</v>
      </c>
      <c r="AG12" s="484">
        <f t="shared" si="10"/>
        <v>0.5</v>
      </c>
      <c r="AH12" s="23">
        <f>AE12+AF12+AG12</f>
        <v>1</v>
      </c>
      <c r="AI12" s="484">
        <f>AE12</f>
        <v>0</v>
      </c>
      <c r="AJ12" s="484">
        <f t="shared" si="11"/>
        <v>0.5</v>
      </c>
      <c r="AK12" s="484">
        <f t="shared" si="12"/>
        <v>0.5</v>
      </c>
      <c r="AL12" s="23">
        <f>AI12+AJ12+AK12</f>
        <v>1</v>
      </c>
      <c r="AM12" s="484">
        <f>AI12</f>
        <v>0</v>
      </c>
      <c r="AN12" s="484">
        <f t="shared" si="13"/>
        <v>0.5</v>
      </c>
      <c r="AO12" s="484">
        <f t="shared" si="14"/>
        <v>0.5</v>
      </c>
      <c r="AP12" s="23">
        <f>AM12+AN12+AO12</f>
        <v>1</v>
      </c>
    </row>
    <row r="13" spans="1:42" x14ac:dyDescent="0.35">
      <c r="A13" s="19" t="s">
        <v>22</v>
      </c>
      <c r="B13" s="478" t="s">
        <v>23</v>
      </c>
      <c r="C13" s="479" t="s">
        <v>24</v>
      </c>
      <c r="D13" s="485">
        <v>9</v>
      </c>
      <c r="E13" s="485">
        <v>8</v>
      </c>
      <c r="F13" s="485">
        <v>7</v>
      </c>
      <c r="G13" s="26">
        <f>HLOOKUP(G5,Anlageg,98,FALSE)</f>
        <v>0.54278999999999999</v>
      </c>
      <c r="H13" s="26">
        <f>HLOOKUP(H6,Anlageg,99,FALSE)</f>
        <v>0.2286</v>
      </c>
      <c r="I13" s="26">
        <f>HLOOKUP(I7,Anlageg,100,FALSE)</f>
        <v>0.2286</v>
      </c>
      <c r="J13" s="27">
        <f>G13+H13+I13</f>
        <v>0.99999000000000005</v>
      </c>
      <c r="K13" s="26">
        <f>HLOOKUP(K5,Anlageg,98,FALSE)</f>
        <v>0.54278999999999999</v>
      </c>
      <c r="L13" s="26">
        <f>HLOOKUP(L6,Anlageg,99,FALSE)</f>
        <v>0.2286</v>
      </c>
      <c r="M13" s="26">
        <f>HLOOKUP(M7,Anlageg,100,FALSE)</f>
        <v>0.2286</v>
      </c>
      <c r="N13" s="27">
        <f>K13+L13+M13</f>
        <v>0.99999000000000005</v>
      </c>
      <c r="O13" s="26">
        <f>HLOOKUP(O5,Anlageg,98,FALSE)</f>
        <v>0.54278999999999999</v>
      </c>
      <c r="P13" s="26">
        <f>HLOOKUP(P6,Anlageg,99,FALSE)</f>
        <v>0.2286</v>
      </c>
      <c r="Q13" s="26">
        <f>HLOOKUP(Q7,Anlageg,100,FALSE)</f>
        <v>0.2286</v>
      </c>
      <c r="R13" s="27">
        <f>O13+P13+Q13</f>
        <v>0.99999000000000005</v>
      </c>
      <c r="S13" s="26">
        <f>HLOOKUP(S5,Anlageg,98,FALSE)</f>
        <v>0.54278999999999999</v>
      </c>
      <c r="T13" s="26">
        <f>HLOOKUP(T6,Anlageg,99,FALSE)</f>
        <v>0.2286</v>
      </c>
      <c r="U13" s="26">
        <f>HLOOKUP(U7,Anlageg,100,FALSE)</f>
        <v>0.2286</v>
      </c>
      <c r="V13" s="27">
        <f>S13+T13+U13</f>
        <v>0.99999000000000005</v>
      </c>
      <c r="W13" s="26">
        <f>HLOOKUP(W5,Anlageg,98,FALSE)</f>
        <v>0.54278999999999999</v>
      </c>
      <c r="X13" s="26">
        <f>HLOOKUP(X6,Anlageg,99,FALSE)</f>
        <v>0.2286</v>
      </c>
      <c r="Y13" s="26">
        <f>HLOOKUP(Y7,Anlageg,100,FALSE)</f>
        <v>0.2286</v>
      </c>
      <c r="Z13" s="27">
        <f>W13+X13+Y13</f>
        <v>0.99999000000000005</v>
      </c>
      <c r="AA13" s="26">
        <f>HLOOKUP(AA5,Anlageg,98,FALSE)</f>
        <v>0.54278999999999999</v>
      </c>
      <c r="AB13" s="26">
        <f>HLOOKUP(AB6,Anlageg,99,FALSE)</f>
        <v>0.2286</v>
      </c>
      <c r="AC13" s="26">
        <f>HLOOKUP(AC7,Anlageg,100,FALSE)</f>
        <v>0.2286</v>
      </c>
      <c r="AD13" s="27">
        <f>AA13+AB13+AC13</f>
        <v>0.99999000000000005</v>
      </c>
      <c r="AE13" s="26">
        <f>HLOOKUP(AE5,Anlageg,98,FALSE)</f>
        <v>0.54278999999999999</v>
      </c>
      <c r="AF13" s="26">
        <f>HLOOKUP(AF6,Anlageg,99,FALSE)</f>
        <v>0.2286</v>
      </c>
      <c r="AG13" s="26">
        <f>HLOOKUP(AG7,Anlageg,100,FALSE)</f>
        <v>0.2286</v>
      </c>
      <c r="AH13" s="27">
        <f>AE13+AF13+AG13</f>
        <v>0.99999000000000005</v>
      </c>
      <c r="AI13" s="26">
        <f>HLOOKUP(AI5,Anlageg,98,FALSE)</f>
        <v>0.54278999999999999</v>
      </c>
      <c r="AJ13" s="26">
        <f>HLOOKUP(AJ6,Anlageg,99,FALSE)</f>
        <v>0.2286</v>
      </c>
      <c r="AK13" s="26">
        <f>HLOOKUP(AK7,Anlageg,100,FALSE)</f>
        <v>0.2286</v>
      </c>
      <c r="AL13" s="27">
        <f>AI13+AJ13+AK13</f>
        <v>0.99999000000000005</v>
      </c>
      <c r="AM13" s="26">
        <f>HLOOKUP(AM5,Anlageg,98,FALSE)</f>
        <v>0.54278999999999999</v>
      </c>
      <c r="AN13" s="26">
        <f>HLOOKUP(AN6,Anlageg,99,FALSE)</f>
        <v>0.2286</v>
      </c>
      <c r="AO13" s="26">
        <f>HLOOKUP(AO7,Anlageg,100,FALSE)</f>
        <v>0.2286</v>
      </c>
      <c r="AP13" s="27">
        <f>AM13+AN13+AO13</f>
        <v>0.99999000000000005</v>
      </c>
    </row>
    <row r="14" spans="1:42" x14ac:dyDescent="0.35">
      <c r="A14" s="19" t="s">
        <v>25</v>
      </c>
      <c r="B14" s="480" t="s">
        <v>26</v>
      </c>
      <c r="C14" s="25"/>
      <c r="D14" s="485">
        <v>10</v>
      </c>
      <c r="E14" s="485">
        <v>9</v>
      </c>
      <c r="F14" s="485">
        <v>8</v>
      </c>
      <c r="G14" s="20"/>
      <c r="H14" s="21"/>
      <c r="I14" s="21"/>
      <c r="J14" s="22"/>
      <c r="K14" s="20"/>
      <c r="L14" s="21"/>
      <c r="M14" s="21"/>
      <c r="N14" s="22"/>
      <c r="O14" s="20"/>
      <c r="P14" s="21"/>
      <c r="Q14" s="21"/>
      <c r="R14" s="22"/>
      <c r="S14" s="20"/>
      <c r="T14" s="21"/>
      <c r="U14" s="21"/>
      <c r="V14" s="22"/>
      <c r="W14" s="20"/>
      <c r="X14" s="21"/>
      <c r="Y14" s="21"/>
      <c r="Z14" s="22"/>
      <c r="AA14" s="20"/>
      <c r="AB14" s="21"/>
      <c r="AC14" s="21"/>
      <c r="AD14" s="22"/>
      <c r="AE14" s="20"/>
      <c r="AF14" s="21"/>
      <c r="AG14" s="21"/>
      <c r="AH14" s="22"/>
      <c r="AI14" s="20"/>
      <c r="AJ14" s="21"/>
      <c r="AK14" s="21"/>
      <c r="AL14" s="22"/>
      <c r="AM14" s="20"/>
      <c r="AN14" s="21"/>
      <c r="AO14" s="21"/>
      <c r="AP14" s="22"/>
    </row>
    <row r="15" spans="1:42" x14ac:dyDescent="0.35">
      <c r="A15" s="19" t="s">
        <v>27</v>
      </c>
      <c r="B15" s="24" t="s">
        <v>28</v>
      </c>
      <c r="C15" s="479" t="s">
        <v>29</v>
      </c>
      <c r="D15" s="485">
        <v>11</v>
      </c>
      <c r="E15" s="485">
        <v>10</v>
      </c>
      <c r="F15" s="485">
        <v>9</v>
      </c>
      <c r="G15" s="484">
        <v>1</v>
      </c>
      <c r="H15" s="484"/>
      <c r="I15" s="484"/>
      <c r="J15" s="23">
        <f>G15+H15+I15</f>
        <v>1</v>
      </c>
      <c r="K15" s="484">
        <f>G15</f>
        <v>1</v>
      </c>
      <c r="L15" s="484">
        <f t="shared" ref="L15:M18" si="15">H15</f>
        <v>0</v>
      </c>
      <c r="M15" s="484">
        <f t="shared" si="15"/>
        <v>0</v>
      </c>
      <c r="N15" s="23">
        <f>K15+L15+M15</f>
        <v>1</v>
      </c>
      <c r="O15" s="484">
        <f>K15</f>
        <v>1</v>
      </c>
      <c r="P15" s="484">
        <f t="shared" ref="P15:P18" si="16">L15</f>
        <v>0</v>
      </c>
      <c r="Q15" s="484">
        <f t="shared" ref="Q15:Q18" si="17">M15</f>
        <v>0</v>
      </c>
      <c r="R15" s="23">
        <f>O15+P15+Q15</f>
        <v>1</v>
      </c>
      <c r="S15" s="484">
        <f>O15</f>
        <v>1</v>
      </c>
      <c r="T15" s="484">
        <f t="shared" ref="T15:T18" si="18">P15</f>
        <v>0</v>
      </c>
      <c r="U15" s="484">
        <f t="shared" ref="U15:U18" si="19">Q15</f>
        <v>0</v>
      </c>
      <c r="V15" s="23">
        <f>S15+T15+U15</f>
        <v>1</v>
      </c>
      <c r="W15" s="484">
        <f>S15</f>
        <v>1</v>
      </c>
      <c r="X15" s="484">
        <f t="shared" ref="X15:X18" si="20">T15</f>
        <v>0</v>
      </c>
      <c r="Y15" s="484">
        <f t="shared" ref="Y15:Y18" si="21">U15</f>
        <v>0</v>
      </c>
      <c r="Z15" s="23">
        <f>W15+X15+Y15</f>
        <v>1</v>
      </c>
      <c r="AA15" s="484">
        <f>W15</f>
        <v>1</v>
      </c>
      <c r="AB15" s="484">
        <f t="shared" ref="AB15:AB18" si="22">X15</f>
        <v>0</v>
      </c>
      <c r="AC15" s="484">
        <f t="shared" ref="AC15:AC18" si="23">Y15</f>
        <v>0</v>
      </c>
      <c r="AD15" s="23">
        <f>AA15+AB15+AC15</f>
        <v>1</v>
      </c>
      <c r="AE15" s="484">
        <f>AA15</f>
        <v>1</v>
      </c>
      <c r="AF15" s="484">
        <f t="shared" ref="AF15:AF18" si="24">AB15</f>
        <v>0</v>
      </c>
      <c r="AG15" s="484">
        <f t="shared" ref="AG15:AG18" si="25">AC15</f>
        <v>0</v>
      </c>
      <c r="AH15" s="23">
        <f>AE15+AF15+AG15</f>
        <v>1</v>
      </c>
      <c r="AI15" s="484">
        <f>AE15</f>
        <v>1</v>
      </c>
      <c r="AJ15" s="484">
        <f t="shared" ref="AJ15:AJ18" si="26">AF15</f>
        <v>0</v>
      </c>
      <c r="AK15" s="484">
        <f t="shared" ref="AK15:AK18" si="27">AG15</f>
        <v>0</v>
      </c>
      <c r="AL15" s="23">
        <f>AI15+AJ15+AK15</f>
        <v>1</v>
      </c>
      <c r="AM15" s="484">
        <f>AI15</f>
        <v>1</v>
      </c>
      <c r="AN15" s="484">
        <f t="shared" ref="AN15:AN18" si="28">AJ15</f>
        <v>0</v>
      </c>
      <c r="AO15" s="484">
        <f t="shared" ref="AO15:AO18" si="29">AK15</f>
        <v>0</v>
      </c>
      <c r="AP15" s="23">
        <f>AM15+AN15+AO15</f>
        <v>1</v>
      </c>
    </row>
    <row r="16" spans="1:42" x14ac:dyDescent="0.35">
      <c r="A16" s="19" t="s">
        <v>30</v>
      </c>
      <c r="B16" s="478" t="s">
        <v>31</v>
      </c>
      <c r="C16" s="479" t="s">
        <v>32</v>
      </c>
      <c r="D16" s="485">
        <v>12</v>
      </c>
      <c r="E16" s="485">
        <v>11</v>
      </c>
      <c r="F16" s="485">
        <v>10</v>
      </c>
      <c r="G16" s="484">
        <v>0.5</v>
      </c>
      <c r="H16" s="484">
        <v>0.25</v>
      </c>
      <c r="I16" s="484">
        <v>0.25</v>
      </c>
      <c r="J16" s="23">
        <f>G16+H16+I16</f>
        <v>1</v>
      </c>
      <c r="K16" s="484">
        <f t="shared" ref="K16:K18" si="30">G16</f>
        <v>0.5</v>
      </c>
      <c r="L16" s="484">
        <f t="shared" si="15"/>
        <v>0.25</v>
      </c>
      <c r="M16" s="484">
        <f t="shared" si="15"/>
        <v>0.25</v>
      </c>
      <c r="N16" s="23">
        <f>K16+L16+M16</f>
        <v>1</v>
      </c>
      <c r="O16" s="484">
        <f t="shared" ref="O16:O18" si="31">K16</f>
        <v>0.5</v>
      </c>
      <c r="P16" s="484">
        <f t="shared" si="16"/>
        <v>0.25</v>
      </c>
      <c r="Q16" s="484">
        <f t="shared" si="17"/>
        <v>0.25</v>
      </c>
      <c r="R16" s="23">
        <f>O16+P16+Q16</f>
        <v>1</v>
      </c>
      <c r="S16" s="484">
        <f t="shared" ref="S16:S18" si="32">O16</f>
        <v>0.5</v>
      </c>
      <c r="T16" s="484">
        <f t="shared" si="18"/>
        <v>0.25</v>
      </c>
      <c r="U16" s="484">
        <f t="shared" si="19"/>
        <v>0.25</v>
      </c>
      <c r="V16" s="23">
        <f>S16+T16+U16</f>
        <v>1</v>
      </c>
      <c r="W16" s="484">
        <f t="shared" ref="W16:W18" si="33">S16</f>
        <v>0.5</v>
      </c>
      <c r="X16" s="484">
        <f t="shared" si="20"/>
        <v>0.25</v>
      </c>
      <c r="Y16" s="484">
        <f t="shared" si="21"/>
        <v>0.25</v>
      </c>
      <c r="Z16" s="23">
        <f>W16+X16+Y16</f>
        <v>1</v>
      </c>
      <c r="AA16" s="484">
        <f t="shared" ref="AA16:AA18" si="34">W16</f>
        <v>0.5</v>
      </c>
      <c r="AB16" s="484">
        <f t="shared" si="22"/>
        <v>0.25</v>
      </c>
      <c r="AC16" s="484">
        <f t="shared" si="23"/>
        <v>0.25</v>
      </c>
      <c r="AD16" s="23">
        <f>AA16+AB16+AC16</f>
        <v>1</v>
      </c>
      <c r="AE16" s="484">
        <f t="shared" ref="AE16:AE18" si="35">AA16</f>
        <v>0.5</v>
      </c>
      <c r="AF16" s="484">
        <f t="shared" si="24"/>
        <v>0.25</v>
      </c>
      <c r="AG16" s="484">
        <f t="shared" si="25"/>
        <v>0.25</v>
      </c>
      <c r="AH16" s="23">
        <f>AE16+AF16+AG16</f>
        <v>1</v>
      </c>
      <c r="AI16" s="484">
        <f t="shared" ref="AI16:AI18" si="36">AE16</f>
        <v>0.5</v>
      </c>
      <c r="AJ16" s="484">
        <f t="shared" si="26"/>
        <v>0.25</v>
      </c>
      <c r="AK16" s="484">
        <f t="shared" si="27"/>
        <v>0.25</v>
      </c>
      <c r="AL16" s="23">
        <f>AI16+AJ16+AK16</f>
        <v>1</v>
      </c>
      <c r="AM16" s="484">
        <f t="shared" ref="AM16:AM18" si="37">AI16</f>
        <v>0.5</v>
      </c>
      <c r="AN16" s="484">
        <f t="shared" si="28"/>
        <v>0.25</v>
      </c>
      <c r="AO16" s="484">
        <f t="shared" si="29"/>
        <v>0.25</v>
      </c>
      <c r="AP16" s="23">
        <f>AM16+AN16+AO16</f>
        <v>1</v>
      </c>
    </row>
    <row r="17" spans="1:42" x14ac:dyDescent="0.35">
      <c r="A17" s="19" t="s">
        <v>33</v>
      </c>
      <c r="B17" s="24" t="s">
        <v>34</v>
      </c>
      <c r="C17" s="25" t="s">
        <v>35</v>
      </c>
      <c r="D17" s="485">
        <v>13</v>
      </c>
      <c r="E17" s="485">
        <v>12</v>
      </c>
      <c r="F17" s="485">
        <v>11</v>
      </c>
      <c r="G17" s="484"/>
      <c r="H17" s="484">
        <v>0.5</v>
      </c>
      <c r="I17" s="484">
        <v>0.5</v>
      </c>
      <c r="J17" s="23">
        <f>G17+H17+I17</f>
        <v>1</v>
      </c>
      <c r="K17" s="484">
        <f t="shared" si="30"/>
        <v>0</v>
      </c>
      <c r="L17" s="484">
        <f t="shared" si="15"/>
        <v>0.5</v>
      </c>
      <c r="M17" s="484">
        <f t="shared" si="15"/>
        <v>0.5</v>
      </c>
      <c r="N17" s="23">
        <f>K17+L17+M17</f>
        <v>1</v>
      </c>
      <c r="O17" s="484">
        <f t="shared" si="31"/>
        <v>0</v>
      </c>
      <c r="P17" s="484">
        <f t="shared" si="16"/>
        <v>0.5</v>
      </c>
      <c r="Q17" s="484">
        <f t="shared" si="17"/>
        <v>0.5</v>
      </c>
      <c r="R17" s="23">
        <f>O17+P17+Q17</f>
        <v>1</v>
      </c>
      <c r="S17" s="484">
        <f t="shared" si="32"/>
        <v>0</v>
      </c>
      <c r="T17" s="484">
        <f t="shared" si="18"/>
        <v>0.5</v>
      </c>
      <c r="U17" s="484">
        <f t="shared" si="19"/>
        <v>0.5</v>
      </c>
      <c r="V17" s="23">
        <f>S17+T17+U17</f>
        <v>1</v>
      </c>
      <c r="W17" s="484">
        <f t="shared" si="33"/>
        <v>0</v>
      </c>
      <c r="X17" s="484">
        <f t="shared" si="20"/>
        <v>0.5</v>
      </c>
      <c r="Y17" s="484">
        <f t="shared" si="21"/>
        <v>0.5</v>
      </c>
      <c r="Z17" s="23">
        <f>W17+X17+Y17</f>
        <v>1</v>
      </c>
      <c r="AA17" s="484">
        <f t="shared" si="34"/>
        <v>0</v>
      </c>
      <c r="AB17" s="484">
        <f t="shared" si="22"/>
        <v>0.5</v>
      </c>
      <c r="AC17" s="484">
        <f t="shared" si="23"/>
        <v>0.5</v>
      </c>
      <c r="AD17" s="23">
        <f>AA17+AB17+AC17</f>
        <v>1</v>
      </c>
      <c r="AE17" s="484">
        <f t="shared" si="35"/>
        <v>0</v>
      </c>
      <c r="AF17" s="484">
        <f t="shared" si="24"/>
        <v>0.5</v>
      </c>
      <c r="AG17" s="484">
        <f t="shared" si="25"/>
        <v>0.5</v>
      </c>
      <c r="AH17" s="23">
        <f>AE17+AF17+AG17</f>
        <v>1</v>
      </c>
      <c r="AI17" s="484">
        <f t="shared" si="36"/>
        <v>0</v>
      </c>
      <c r="AJ17" s="484">
        <f t="shared" si="26"/>
        <v>0.5</v>
      </c>
      <c r="AK17" s="484">
        <f t="shared" si="27"/>
        <v>0.5</v>
      </c>
      <c r="AL17" s="23">
        <f>AI17+AJ17+AK17</f>
        <v>1</v>
      </c>
      <c r="AM17" s="484">
        <f t="shared" si="37"/>
        <v>0</v>
      </c>
      <c r="AN17" s="484">
        <f t="shared" si="28"/>
        <v>0.5</v>
      </c>
      <c r="AO17" s="484">
        <f t="shared" si="29"/>
        <v>0.5</v>
      </c>
      <c r="AP17" s="23">
        <f>AM17+AN17+AO17</f>
        <v>1</v>
      </c>
    </row>
    <row r="18" spans="1:42" x14ac:dyDescent="0.35">
      <c r="A18" s="19" t="s">
        <v>36</v>
      </c>
      <c r="B18" s="478" t="s">
        <v>37</v>
      </c>
      <c r="C18" s="25" t="s">
        <v>38</v>
      </c>
      <c r="D18" s="485">
        <v>14</v>
      </c>
      <c r="E18" s="485">
        <v>13</v>
      </c>
      <c r="F18" s="485">
        <v>12</v>
      </c>
      <c r="G18" s="484">
        <v>0.95</v>
      </c>
      <c r="H18" s="484">
        <v>2.5000000000000001E-2</v>
      </c>
      <c r="I18" s="484">
        <v>2.5000000000000001E-2</v>
      </c>
      <c r="J18" s="23">
        <f>G18+H18+I18</f>
        <v>1</v>
      </c>
      <c r="K18" s="484">
        <f t="shared" si="30"/>
        <v>0.95</v>
      </c>
      <c r="L18" s="484">
        <f t="shared" si="15"/>
        <v>2.5000000000000001E-2</v>
      </c>
      <c r="M18" s="484">
        <f t="shared" si="15"/>
        <v>2.5000000000000001E-2</v>
      </c>
      <c r="N18" s="23">
        <f>K18+L18+M18</f>
        <v>1</v>
      </c>
      <c r="O18" s="484">
        <f t="shared" si="31"/>
        <v>0.95</v>
      </c>
      <c r="P18" s="484">
        <f t="shared" si="16"/>
        <v>2.5000000000000001E-2</v>
      </c>
      <c r="Q18" s="484">
        <f t="shared" si="17"/>
        <v>2.5000000000000001E-2</v>
      </c>
      <c r="R18" s="23">
        <f>O18+P18+Q18</f>
        <v>1</v>
      </c>
      <c r="S18" s="484">
        <f t="shared" si="32"/>
        <v>0.95</v>
      </c>
      <c r="T18" s="484">
        <f t="shared" si="18"/>
        <v>2.5000000000000001E-2</v>
      </c>
      <c r="U18" s="484">
        <f t="shared" si="19"/>
        <v>2.5000000000000001E-2</v>
      </c>
      <c r="V18" s="23">
        <f>S18+T18+U18</f>
        <v>1</v>
      </c>
      <c r="W18" s="484">
        <f t="shared" si="33"/>
        <v>0.95</v>
      </c>
      <c r="X18" s="484">
        <f t="shared" si="20"/>
        <v>2.5000000000000001E-2</v>
      </c>
      <c r="Y18" s="484">
        <f t="shared" si="21"/>
        <v>2.5000000000000001E-2</v>
      </c>
      <c r="Z18" s="23">
        <f>W18+X18+Y18</f>
        <v>1</v>
      </c>
      <c r="AA18" s="484">
        <f t="shared" si="34"/>
        <v>0.95</v>
      </c>
      <c r="AB18" s="484">
        <f t="shared" si="22"/>
        <v>2.5000000000000001E-2</v>
      </c>
      <c r="AC18" s="484">
        <f t="shared" si="23"/>
        <v>2.5000000000000001E-2</v>
      </c>
      <c r="AD18" s="23">
        <f>AA18+AB18+AC18</f>
        <v>1</v>
      </c>
      <c r="AE18" s="484">
        <f t="shared" si="35"/>
        <v>0.95</v>
      </c>
      <c r="AF18" s="484">
        <f t="shared" si="24"/>
        <v>2.5000000000000001E-2</v>
      </c>
      <c r="AG18" s="484">
        <f t="shared" si="25"/>
        <v>2.5000000000000001E-2</v>
      </c>
      <c r="AH18" s="23">
        <f>AE18+AF18+AG18</f>
        <v>1</v>
      </c>
      <c r="AI18" s="484">
        <f t="shared" si="36"/>
        <v>0.95</v>
      </c>
      <c r="AJ18" s="484">
        <f t="shared" si="26"/>
        <v>2.5000000000000001E-2</v>
      </c>
      <c r="AK18" s="484">
        <f t="shared" si="27"/>
        <v>2.5000000000000001E-2</v>
      </c>
      <c r="AL18" s="23">
        <f>AI18+AJ18+AK18</f>
        <v>1</v>
      </c>
      <c r="AM18" s="484">
        <f t="shared" si="37"/>
        <v>0.95</v>
      </c>
      <c r="AN18" s="484">
        <f t="shared" si="28"/>
        <v>2.5000000000000001E-2</v>
      </c>
      <c r="AO18" s="484">
        <f t="shared" si="29"/>
        <v>2.5000000000000001E-2</v>
      </c>
      <c r="AP18" s="23">
        <f>AM18+AN18+AO18</f>
        <v>1</v>
      </c>
    </row>
    <row r="19" spans="1:42" x14ac:dyDescent="0.35">
      <c r="A19" s="19" t="s">
        <v>39</v>
      </c>
      <c r="B19" s="24" t="s">
        <v>40</v>
      </c>
      <c r="C19" s="25" t="s">
        <v>41</v>
      </c>
      <c r="D19" s="485">
        <v>15</v>
      </c>
      <c r="E19" s="485">
        <v>14</v>
      </c>
      <c r="F19" s="485">
        <v>13</v>
      </c>
      <c r="G19" s="26">
        <f>HLOOKUP(G5,Anlageg,103,FALSE)</f>
        <v>0.86141999999999996</v>
      </c>
      <c r="H19" s="26">
        <f>HLOOKUP(H6,Anlageg,104,FALSE)</f>
        <v>6.9290000000000004E-2</v>
      </c>
      <c r="I19" s="26">
        <f>HLOOKUP(I7,Anlageg,105,FALSE)</f>
        <v>6.9290000000000004E-2</v>
      </c>
      <c r="J19" s="27">
        <f>G19+H19+I19</f>
        <v>0.99999999999999989</v>
      </c>
      <c r="K19" s="26">
        <f>HLOOKUP(K5,Anlageg,103,FALSE)</f>
        <v>0.86141999999999996</v>
      </c>
      <c r="L19" s="26">
        <f>HLOOKUP(L6,Anlageg,104,FALSE)</f>
        <v>6.9290000000000004E-2</v>
      </c>
      <c r="M19" s="26">
        <f>HLOOKUP(M7,Anlageg,105,FALSE)</f>
        <v>6.9290000000000004E-2</v>
      </c>
      <c r="N19" s="27">
        <f>K19+L19+M19</f>
        <v>0.99999999999999989</v>
      </c>
      <c r="O19" s="26">
        <f>HLOOKUP(O5,Anlageg,103,FALSE)</f>
        <v>0.86141999999999996</v>
      </c>
      <c r="P19" s="26">
        <f>HLOOKUP(P6,Anlageg,104,FALSE)</f>
        <v>6.9290000000000004E-2</v>
      </c>
      <c r="Q19" s="26">
        <f>HLOOKUP(Q7,Anlageg,105,FALSE)</f>
        <v>6.9290000000000004E-2</v>
      </c>
      <c r="R19" s="27">
        <f>O19+P19+Q19</f>
        <v>0.99999999999999989</v>
      </c>
      <c r="S19" s="26">
        <f>HLOOKUP(S5,Anlageg,103,FALSE)</f>
        <v>0.86141999999999996</v>
      </c>
      <c r="T19" s="26">
        <f>HLOOKUP(T6,Anlageg,104,FALSE)</f>
        <v>6.9290000000000004E-2</v>
      </c>
      <c r="U19" s="26">
        <f>HLOOKUP(U7,Anlageg,105,FALSE)</f>
        <v>6.9290000000000004E-2</v>
      </c>
      <c r="V19" s="27">
        <f>S19+T19+U19</f>
        <v>0.99999999999999989</v>
      </c>
      <c r="W19" s="26">
        <f>HLOOKUP(W5,Anlageg,103,FALSE)</f>
        <v>0.86141999999999996</v>
      </c>
      <c r="X19" s="26">
        <f>HLOOKUP(X6,Anlageg,104,FALSE)</f>
        <v>6.9290000000000004E-2</v>
      </c>
      <c r="Y19" s="26">
        <f>HLOOKUP(Y7,Anlageg,105,FALSE)</f>
        <v>6.9290000000000004E-2</v>
      </c>
      <c r="Z19" s="27">
        <f>W19+X19+Y19</f>
        <v>0.99999999999999989</v>
      </c>
      <c r="AA19" s="26">
        <f>HLOOKUP(AA5,Anlageg,103,FALSE)</f>
        <v>0.86141999999999996</v>
      </c>
      <c r="AB19" s="26">
        <f>HLOOKUP(AB6,Anlageg,104,FALSE)</f>
        <v>6.9290000000000004E-2</v>
      </c>
      <c r="AC19" s="26">
        <f>HLOOKUP(AC7,Anlageg,105,FALSE)</f>
        <v>6.9290000000000004E-2</v>
      </c>
      <c r="AD19" s="27">
        <f>AA19+AB19+AC19</f>
        <v>0.99999999999999989</v>
      </c>
      <c r="AE19" s="26">
        <f>HLOOKUP(AE5,Anlageg,103,FALSE)</f>
        <v>0.86141999999999996</v>
      </c>
      <c r="AF19" s="26">
        <f>HLOOKUP(AF6,Anlageg,104,FALSE)</f>
        <v>6.9290000000000004E-2</v>
      </c>
      <c r="AG19" s="26">
        <f>HLOOKUP(AG7,Anlageg,105,FALSE)</f>
        <v>6.9290000000000004E-2</v>
      </c>
      <c r="AH19" s="27">
        <f>AE19+AF19+AG19</f>
        <v>0.99999999999999989</v>
      </c>
      <c r="AI19" s="26">
        <f>HLOOKUP(AI5,Anlageg,103,FALSE)</f>
        <v>0.86141999999999996</v>
      </c>
      <c r="AJ19" s="26">
        <f>HLOOKUP(AJ6,Anlageg,104,FALSE)</f>
        <v>6.9290000000000004E-2</v>
      </c>
      <c r="AK19" s="26">
        <f>HLOOKUP(AK7,Anlageg,105,FALSE)</f>
        <v>6.9290000000000004E-2</v>
      </c>
      <c r="AL19" s="27">
        <f>AI19+AJ19+AK19</f>
        <v>0.99999999999999989</v>
      </c>
      <c r="AM19" s="26">
        <f>HLOOKUP(AM5,Anlageg,103,FALSE)</f>
        <v>0.86141999999999996</v>
      </c>
      <c r="AN19" s="26">
        <f>HLOOKUP(AN6,Anlageg,104,FALSE)</f>
        <v>6.9290000000000004E-2</v>
      </c>
      <c r="AO19" s="26">
        <f>HLOOKUP(AO7,Anlageg,105,FALSE)</f>
        <v>6.9290000000000004E-2</v>
      </c>
      <c r="AP19" s="27">
        <f>AM19+AN19+AO19</f>
        <v>0.99999999999999989</v>
      </c>
    </row>
    <row r="20" spans="1:42" x14ac:dyDescent="0.35">
      <c r="A20" s="19" t="s">
        <v>42</v>
      </c>
      <c r="B20" s="480" t="s">
        <v>43</v>
      </c>
      <c r="C20" s="25"/>
      <c r="D20" s="485">
        <v>16</v>
      </c>
      <c r="E20" s="485">
        <v>15</v>
      </c>
      <c r="F20" s="485">
        <v>14</v>
      </c>
      <c r="G20" s="20"/>
      <c r="H20" s="21"/>
      <c r="I20" s="21"/>
      <c r="J20" s="22"/>
      <c r="K20" s="20"/>
      <c r="L20" s="21"/>
      <c r="M20" s="21"/>
      <c r="N20" s="22"/>
      <c r="O20" s="20"/>
      <c r="P20" s="21"/>
      <c r="Q20" s="21"/>
      <c r="R20" s="22"/>
      <c r="S20" s="20"/>
      <c r="T20" s="21"/>
      <c r="U20" s="21"/>
      <c r="V20" s="22"/>
      <c r="W20" s="20"/>
      <c r="X20" s="21"/>
      <c r="Y20" s="21"/>
      <c r="Z20" s="22"/>
      <c r="AA20" s="20"/>
      <c r="AB20" s="21"/>
      <c r="AC20" s="21"/>
      <c r="AD20" s="22"/>
      <c r="AE20" s="20"/>
      <c r="AF20" s="21"/>
      <c r="AG20" s="21"/>
      <c r="AH20" s="22"/>
      <c r="AI20" s="20"/>
      <c r="AJ20" s="21"/>
      <c r="AK20" s="21"/>
      <c r="AL20" s="22"/>
      <c r="AM20" s="20"/>
      <c r="AN20" s="21"/>
      <c r="AO20" s="21"/>
      <c r="AP20" s="22"/>
    </row>
    <row r="21" spans="1:42" ht="12.75" customHeight="1" x14ac:dyDescent="0.35">
      <c r="A21" s="19" t="s">
        <v>44</v>
      </c>
      <c r="B21" s="478" t="s">
        <v>45</v>
      </c>
      <c r="C21" s="479" t="s">
        <v>46</v>
      </c>
      <c r="D21" s="485">
        <v>17</v>
      </c>
      <c r="E21" s="485">
        <v>16</v>
      </c>
      <c r="F21" s="485">
        <v>15</v>
      </c>
      <c r="G21" s="484">
        <v>1</v>
      </c>
      <c r="H21" s="484"/>
      <c r="I21" s="484"/>
      <c r="J21" s="23">
        <f>G21+H21+I21</f>
        <v>1</v>
      </c>
      <c r="K21" s="484">
        <f>G21</f>
        <v>1</v>
      </c>
      <c r="L21" s="484">
        <f t="shared" ref="L21:M23" si="38">H21</f>
        <v>0</v>
      </c>
      <c r="M21" s="484">
        <f t="shared" si="38"/>
        <v>0</v>
      </c>
      <c r="N21" s="23">
        <f>K21+L21+M21</f>
        <v>1</v>
      </c>
      <c r="O21" s="484">
        <f>K21</f>
        <v>1</v>
      </c>
      <c r="P21" s="484">
        <f t="shared" ref="P21:P23" si="39">L21</f>
        <v>0</v>
      </c>
      <c r="Q21" s="484">
        <f t="shared" ref="Q21:Q23" si="40">M21</f>
        <v>0</v>
      </c>
      <c r="R21" s="23">
        <f>O21+P21+Q21</f>
        <v>1</v>
      </c>
      <c r="S21" s="484">
        <f>O21</f>
        <v>1</v>
      </c>
      <c r="T21" s="484">
        <f t="shared" ref="T21:T23" si="41">P21</f>
        <v>0</v>
      </c>
      <c r="U21" s="484">
        <f t="shared" ref="U21:U23" si="42">Q21</f>
        <v>0</v>
      </c>
      <c r="V21" s="23">
        <f>S21+T21+U21</f>
        <v>1</v>
      </c>
      <c r="W21" s="484">
        <f>S21</f>
        <v>1</v>
      </c>
      <c r="X21" s="484">
        <f t="shared" ref="X21:X23" si="43">T21</f>
        <v>0</v>
      </c>
      <c r="Y21" s="484">
        <f t="shared" ref="Y21:Y23" si="44">U21</f>
        <v>0</v>
      </c>
      <c r="Z21" s="23">
        <f>W21+X21+Y21</f>
        <v>1</v>
      </c>
      <c r="AA21" s="484">
        <f>W21</f>
        <v>1</v>
      </c>
      <c r="AB21" s="484">
        <f t="shared" ref="AB21:AB23" si="45">X21</f>
        <v>0</v>
      </c>
      <c r="AC21" s="484">
        <f t="shared" ref="AC21:AC23" si="46">Y21</f>
        <v>0</v>
      </c>
      <c r="AD21" s="23">
        <f>AA21+AB21+AC21</f>
        <v>1</v>
      </c>
      <c r="AE21" s="484">
        <f>AA21</f>
        <v>1</v>
      </c>
      <c r="AF21" s="484">
        <f t="shared" ref="AF21:AF23" si="47">AB21</f>
        <v>0</v>
      </c>
      <c r="AG21" s="484">
        <f t="shared" ref="AG21:AG23" si="48">AC21</f>
        <v>0</v>
      </c>
      <c r="AH21" s="23">
        <f>AE21+AF21+AG21</f>
        <v>1</v>
      </c>
      <c r="AI21" s="484">
        <f>AE21</f>
        <v>1</v>
      </c>
      <c r="AJ21" s="484">
        <f t="shared" ref="AJ21:AJ23" si="49">AF21</f>
        <v>0</v>
      </c>
      <c r="AK21" s="484">
        <f t="shared" ref="AK21:AK23" si="50">AG21</f>
        <v>0</v>
      </c>
      <c r="AL21" s="23">
        <f>AI21+AJ21+AK21</f>
        <v>1</v>
      </c>
      <c r="AM21" s="484">
        <f>AI21</f>
        <v>1</v>
      </c>
      <c r="AN21" s="484">
        <f t="shared" ref="AN21:AN23" si="51">AJ21</f>
        <v>0</v>
      </c>
      <c r="AO21" s="484">
        <f t="shared" ref="AO21:AO23" si="52">AK21</f>
        <v>0</v>
      </c>
      <c r="AP21" s="23">
        <f>AM21+AN21+AO21</f>
        <v>1</v>
      </c>
    </row>
    <row r="22" spans="1:42" x14ac:dyDescent="0.35">
      <c r="A22" s="19" t="s">
        <v>47</v>
      </c>
      <c r="B22" s="478" t="s">
        <v>48</v>
      </c>
      <c r="C22" s="479" t="s">
        <v>49</v>
      </c>
      <c r="D22" s="485">
        <v>18</v>
      </c>
      <c r="E22" s="485">
        <v>17</v>
      </c>
      <c r="F22" s="485">
        <v>16</v>
      </c>
      <c r="G22" s="484">
        <v>0.5</v>
      </c>
      <c r="H22" s="484">
        <v>0.25</v>
      </c>
      <c r="I22" s="484">
        <v>0.25</v>
      </c>
      <c r="J22" s="23">
        <f>G22+H22+I22</f>
        <v>1</v>
      </c>
      <c r="K22" s="484">
        <f t="shared" ref="K22:K23" si="53">G22</f>
        <v>0.5</v>
      </c>
      <c r="L22" s="484">
        <f t="shared" si="38"/>
        <v>0.25</v>
      </c>
      <c r="M22" s="484">
        <f t="shared" si="38"/>
        <v>0.25</v>
      </c>
      <c r="N22" s="23">
        <f>K22+L22+M22</f>
        <v>1</v>
      </c>
      <c r="O22" s="484">
        <f t="shared" ref="O22:O23" si="54">K22</f>
        <v>0.5</v>
      </c>
      <c r="P22" s="484">
        <f t="shared" si="39"/>
        <v>0.25</v>
      </c>
      <c r="Q22" s="484">
        <f t="shared" si="40"/>
        <v>0.25</v>
      </c>
      <c r="R22" s="23">
        <f>O22+P22+Q22</f>
        <v>1</v>
      </c>
      <c r="S22" s="484">
        <f t="shared" ref="S22:S23" si="55">O22</f>
        <v>0.5</v>
      </c>
      <c r="T22" s="484">
        <f t="shared" si="41"/>
        <v>0.25</v>
      </c>
      <c r="U22" s="484">
        <f t="shared" si="42"/>
        <v>0.25</v>
      </c>
      <c r="V22" s="23">
        <f>S22+T22+U22</f>
        <v>1</v>
      </c>
      <c r="W22" s="484">
        <f t="shared" ref="W22:W23" si="56">S22</f>
        <v>0.5</v>
      </c>
      <c r="X22" s="484">
        <f t="shared" si="43"/>
        <v>0.25</v>
      </c>
      <c r="Y22" s="484">
        <f t="shared" si="44"/>
        <v>0.25</v>
      </c>
      <c r="Z22" s="23">
        <f>W22+X22+Y22</f>
        <v>1</v>
      </c>
      <c r="AA22" s="484">
        <f t="shared" ref="AA22:AA23" si="57">W22</f>
        <v>0.5</v>
      </c>
      <c r="AB22" s="484">
        <f t="shared" si="45"/>
        <v>0.25</v>
      </c>
      <c r="AC22" s="484">
        <f t="shared" si="46"/>
        <v>0.25</v>
      </c>
      <c r="AD22" s="23">
        <f>AA22+AB22+AC22</f>
        <v>1</v>
      </c>
      <c r="AE22" s="484">
        <f t="shared" ref="AE22:AE23" si="58">AA22</f>
        <v>0.5</v>
      </c>
      <c r="AF22" s="484">
        <f t="shared" si="47"/>
        <v>0.25</v>
      </c>
      <c r="AG22" s="484">
        <f t="shared" si="48"/>
        <v>0.25</v>
      </c>
      <c r="AH22" s="23">
        <f>AE22+AF22+AG22</f>
        <v>1</v>
      </c>
      <c r="AI22" s="484">
        <f t="shared" ref="AI22:AI23" si="59">AE22</f>
        <v>0.5</v>
      </c>
      <c r="AJ22" s="484">
        <f t="shared" si="49"/>
        <v>0.25</v>
      </c>
      <c r="AK22" s="484">
        <f t="shared" si="50"/>
        <v>0.25</v>
      </c>
      <c r="AL22" s="23">
        <f>AI22+AJ22+AK22</f>
        <v>1</v>
      </c>
      <c r="AM22" s="484">
        <f t="shared" ref="AM22:AM23" si="60">AI22</f>
        <v>0.5</v>
      </c>
      <c r="AN22" s="484">
        <f t="shared" si="51"/>
        <v>0.25</v>
      </c>
      <c r="AO22" s="484">
        <f t="shared" si="52"/>
        <v>0.25</v>
      </c>
      <c r="AP22" s="23">
        <f>AM22+AN22+AO22</f>
        <v>1</v>
      </c>
    </row>
    <row r="23" spans="1:42" x14ac:dyDescent="0.35">
      <c r="A23" s="19" t="s">
        <v>50</v>
      </c>
      <c r="B23" s="24" t="s">
        <v>51</v>
      </c>
      <c r="C23" s="25" t="s">
        <v>52</v>
      </c>
      <c r="D23" s="485">
        <v>19</v>
      </c>
      <c r="E23" s="485">
        <v>18</v>
      </c>
      <c r="F23" s="485">
        <v>17</v>
      </c>
      <c r="G23" s="484"/>
      <c r="H23" s="484">
        <v>0.5</v>
      </c>
      <c r="I23" s="484">
        <v>0.5</v>
      </c>
      <c r="J23" s="23">
        <f>G23+H23+I23</f>
        <v>1</v>
      </c>
      <c r="K23" s="484">
        <f t="shared" si="53"/>
        <v>0</v>
      </c>
      <c r="L23" s="484">
        <f t="shared" si="38"/>
        <v>0.5</v>
      </c>
      <c r="M23" s="484">
        <f t="shared" si="38"/>
        <v>0.5</v>
      </c>
      <c r="N23" s="23">
        <f>K23+L23+M23</f>
        <v>1</v>
      </c>
      <c r="O23" s="484">
        <f t="shared" si="54"/>
        <v>0</v>
      </c>
      <c r="P23" s="484">
        <f t="shared" si="39"/>
        <v>0.5</v>
      </c>
      <c r="Q23" s="484">
        <f t="shared" si="40"/>
        <v>0.5</v>
      </c>
      <c r="R23" s="23">
        <f>O23+P23+Q23</f>
        <v>1</v>
      </c>
      <c r="S23" s="484">
        <f t="shared" si="55"/>
        <v>0</v>
      </c>
      <c r="T23" s="484">
        <f t="shared" si="41"/>
        <v>0.5</v>
      </c>
      <c r="U23" s="484">
        <f t="shared" si="42"/>
        <v>0.5</v>
      </c>
      <c r="V23" s="23">
        <f>S23+T23+U23</f>
        <v>1</v>
      </c>
      <c r="W23" s="484">
        <f t="shared" si="56"/>
        <v>0</v>
      </c>
      <c r="X23" s="484">
        <f t="shared" si="43"/>
        <v>0.5</v>
      </c>
      <c r="Y23" s="484">
        <f t="shared" si="44"/>
        <v>0.5</v>
      </c>
      <c r="Z23" s="23">
        <f>W23+X23+Y23</f>
        <v>1</v>
      </c>
      <c r="AA23" s="484">
        <f t="shared" si="57"/>
        <v>0</v>
      </c>
      <c r="AB23" s="484">
        <f t="shared" si="45"/>
        <v>0.5</v>
      </c>
      <c r="AC23" s="484">
        <f t="shared" si="46"/>
        <v>0.5</v>
      </c>
      <c r="AD23" s="23">
        <f>AA23+AB23+AC23</f>
        <v>1</v>
      </c>
      <c r="AE23" s="484">
        <f t="shared" si="58"/>
        <v>0</v>
      </c>
      <c r="AF23" s="484">
        <f t="shared" si="47"/>
        <v>0.5</v>
      </c>
      <c r="AG23" s="484">
        <f t="shared" si="48"/>
        <v>0.5</v>
      </c>
      <c r="AH23" s="23">
        <f>AE23+AF23+AG23</f>
        <v>1</v>
      </c>
      <c r="AI23" s="484">
        <f t="shared" si="59"/>
        <v>0</v>
      </c>
      <c r="AJ23" s="484">
        <f t="shared" si="49"/>
        <v>0.5</v>
      </c>
      <c r="AK23" s="484">
        <f t="shared" si="50"/>
        <v>0.5</v>
      </c>
      <c r="AL23" s="23">
        <f>AI23+AJ23+AK23</f>
        <v>1</v>
      </c>
      <c r="AM23" s="484">
        <f t="shared" si="60"/>
        <v>0</v>
      </c>
      <c r="AN23" s="484">
        <f t="shared" si="51"/>
        <v>0.5</v>
      </c>
      <c r="AO23" s="484">
        <f t="shared" si="52"/>
        <v>0.5</v>
      </c>
      <c r="AP23" s="23">
        <f>AM23+AN23+AO23</f>
        <v>1</v>
      </c>
    </row>
    <row r="24" spans="1:42" x14ac:dyDescent="0.35">
      <c r="A24" s="19" t="s">
        <v>53</v>
      </c>
      <c r="B24" s="478" t="s">
        <v>54</v>
      </c>
      <c r="C24" s="479" t="s">
        <v>55</v>
      </c>
      <c r="D24" s="485">
        <v>20</v>
      </c>
      <c r="E24" s="485">
        <v>19</v>
      </c>
      <c r="F24" s="485">
        <v>18</v>
      </c>
      <c r="G24" s="26">
        <f>HLOOKUP(G5,Anlageg,108,FALSE)</f>
        <v>0.58425000000000005</v>
      </c>
      <c r="H24" s="26">
        <f>HLOOKUP(H6,Anlageg,109,FALSE)</f>
        <v>0.20787</v>
      </c>
      <c r="I24" s="26">
        <f>HLOOKUP(I7,Anlageg,110,FALSE)</f>
        <v>0.20787</v>
      </c>
      <c r="J24" s="27">
        <f>G24+H24+I24</f>
        <v>0.99999000000000005</v>
      </c>
      <c r="K24" s="26">
        <f>HLOOKUP(K5,Anlageg,108,FALSE)</f>
        <v>0.58425000000000005</v>
      </c>
      <c r="L24" s="26">
        <f>HLOOKUP(L6,Anlageg,109,FALSE)</f>
        <v>0.20787</v>
      </c>
      <c r="M24" s="26">
        <f>HLOOKUP(M7,Anlageg,110,FALSE)</f>
        <v>0.20787</v>
      </c>
      <c r="N24" s="27">
        <f>K24+L24+M24</f>
        <v>0.99999000000000005</v>
      </c>
      <c r="O24" s="26">
        <f>HLOOKUP(O5,Anlageg,108,FALSE)</f>
        <v>0.58425000000000005</v>
      </c>
      <c r="P24" s="26">
        <f>HLOOKUP(P6,Anlageg,109,FALSE)</f>
        <v>0.20787</v>
      </c>
      <c r="Q24" s="26">
        <f>HLOOKUP(Q7,Anlageg,110,FALSE)</f>
        <v>0.20787</v>
      </c>
      <c r="R24" s="27">
        <f>O24+P24+Q24</f>
        <v>0.99999000000000005</v>
      </c>
      <c r="S24" s="26">
        <f>HLOOKUP(S5,Anlageg,108,FALSE)</f>
        <v>0.58425000000000005</v>
      </c>
      <c r="T24" s="26">
        <f>HLOOKUP(T6,Anlageg,109,FALSE)</f>
        <v>0.20787</v>
      </c>
      <c r="U24" s="26">
        <f>HLOOKUP(U7,Anlageg,110,FALSE)</f>
        <v>0.20787</v>
      </c>
      <c r="V24" s="27">
        <f>S24+T24+U24</f>
        <v>0.99999000000000005</v>
      </c>
      <c r="W24" s="26">
        <f>HLOOKUP(W5,Anlageg,108,FALSE)</f>
        <v>0.58425000000000005</v>
      </c>
      <c r="X24" s="26">
        <f>HLOOKUP(X6,Anlageg,109,FALSE)</f>
        <v>0.20787</v>
      </c>
      <c r="Y24" s="26">
        <f>HLOOKUP(Y7,Anlageg,110,FALSE)</f>
        <v>0.20787</v>
      </c>
      <c r="Z24" s="27">
        <f>W24+X24+Y24</f>
        <v>0.99999000000000005</v>
      </c>
      <c r="AA24" s="26">
        <f>HLOOKUP(AA5,Anlageg,108,FALSE)</f>
        <v>0.58425000000000005</v>
      </c>
      <c r="AB24" s="26">
        <f>HLOOKUP(AB6,Anlageg,109,FALSE)</f>
        <v>0.20787</v>
      </c>
      <c r="AC24" s="26">
        <f>HLOOKUP(AC7,Anlageg,110,FALSE)</f>
        <v>0.20787</v>
      </c>
      <c r="AD24" s="27">
        <f>AA24+AB24+AC24</f>
        <v>0.99999000000000005</v>
      </c>
      <c r="AE24" s="26">
        <f>HLOOKUP(AE5,Anlageg,108,FALSE)</f>
        <v>0.58425000000000005</v>
      </c>
      <c r="AF24" s="26">
        <f>HLOOKUP(AF6,Anlageg,109,FALSE)</f>
        <v>0.20787</v>
      </c>
      <c r="AG24" s="26">
        <f>HLOOKUP(AG7,Anlageg,110,FALSE)</f>
        <v>0.20787</v>
      </c>
      <c r="AH24" s="27">
        <f>AE24+AF24+AG24</f>
        <v>0.99999000000000005</v>
      </c>
      <c r="AI24" s="26">
        <f>HLOOKUP(AI5,Anlageg,108,FALSE)</f>
        <v>0.58425000000000005</v>
      </c>
      <c r="AJ24" s="26">
        <f>HLOOKUP(AJ6,Anlageg,109,FALSE)</f>
        <v>0.20787</v>
      </c>
      <c r="AK24" s="26">
        <f>HLOOKUP(AK7,Anlageg,110,FALSE)</f>
        <v>0.20787</v>
      </c>
      <c r="AL24" s="27">
        <f>AI24+AJ24+AK24</f>
        <v>0.99999000000000005</v>
      </c>
      <c r="AM24" s="26">
        <f>HLOOKUP(AM5,Anlageg,108,FALSE)</f>
        <v>0.58425000000000005</v>
      </c>
      <c r="AN24" s="26">
        <f>HLOOKUP(AN6,Anlageg,109,FALSE)</f>
        <v>0.20787</v>
      </c>
      <c r="AO24" s="26">
        <f>HLOOKUP(AO7,Anlageg,110,FALSE)</f>
        <v>0.20787</v>
      </c>
      <c r="AP24" s="27">
        <f>AM24+AN24+AO24</f>
        <v>0.99999000000000005</v>
      </c>
    </row>
    <row r="25" spans="1:42" x14ac:dyDescent="0.35">
      <c r="A25" s="19" t="s">
        <v>56</v>
      </c>
      <c r="B25" s="480" t="s">
        <v>57</v>
      </c>
      <c r="C25" s="25"/>
      <c r="D25" s="485">
        <v>21</v>
      </c>
      <c r="E25" s="485">
        <v>20</v>
      </c>
      <c r="F25" s="485">
        <v>19</v>
      </c>
      <c r="G25" s="20"/>
      <c r="H25" s="21"/>
      <c r="I25" s="21"/>
      <c r="J25" s="22"/>
      <c r="K25" s="20"/>
      <c r="L25" s="21"/>
      <c r="M25" s="21"/>
      <c r="N25" s="22"/>
      <c r="O25" s="20"/>
      <c r="P25" s="21"/>
      <c r="Q25" s="21"/>
      <c r="R25" s="22"/>
      <c r="S25" s="20"/>
      <c r="T25" s="21"/>
      <c r="U25" s="21"/>
      <c r="V25" s="22"/>
      <c r="W25" s="20"/>
      <c r="X25" s="21"/>
      <c r="Y25" s="21"/>
      <c r="Z25" s="22"/>
      <c r="AA25" s="20"/>
      <c r="AB25" s="21"/>
      <c r="AC25" s="21"/>
      <c r="AD25" s="22"/>
      <c r="AE25" s="20"/>
      <c r="AF25" s="21"/>
      <c r="AG25" s="21"/>
      <c r="AH25" s="22"/>
      <c r="AI25" s="20"/>
      <c r="AJ25" s="21"/>
      <c r="AK25" s="21"/>
      <c r="AL25" s="22"/>
      <c r="AM25" s="20"/>
      <c r="AN25" s="21"/>
      <c r="AO25" s="21"/>
      <c r="AP25" s="22"/>
    </row>
    <row r="26" spans="1:42" x14ac:dyDescent="0.35">
      <c r="A26" s="19" t="s">
        <v>58</v>
      </c>
      <c r="B26" s="478" t="s">
        <v>59</v>
      </c>
      <c r="C26" s="479" t="s">
        <v>60</v>
      </c>
      <c r="D26" s="485">
        <v>22</v>
      </c>
      <c r="E26" s="485">
        <v>21</v>
      </c>
      <c r="F26" s="485">
        <v>20</v>
      </c>
      <c r="G26" s="484">
        <v>1</v>
      </c>
      <c r="H26" s="484"/>
      <c r="I26" s="21"/>
      <c r="J26" s="23">
        <f>G26+H26+I26</f>
        <v>1</v>
      </c>
      <c r="K26" s="484">
        <f>G26</f>
        <v>1</v>
      </c>
      <c r="L26" s="484">
        <f>H26</f>
        <v>0</v>
      </c>
      <c r="M26" s="21"/>
      <c r="N26" s="23">
        <f>K26+L26+M26</f>
        <v>1</v>
      </c>
      <c r="O26" s="484">
        <f>K26</f>
        <v>1</v>
      </c>
      <c r="P26" s="484">
        <f>L26</f>
        <v>0</v>
      </c>
      <c r="Q26" s="21"/>
      <c r="R26" s="23">
        <f>O26+P26+Q26</f>
        <v>1</v>
      </c>
      <c r="S26" s="484">
        <f>O26</f>
        <v>1</v>
      </c>
      <c r="T26" s="484">
        <f>P26</f>
        <v>0</v>
      </c>
      <c r="U26" s="21"/>
      <c r="V26" s="23">
        <f>S26+T26+U26</f>
        <v>1</v>
      </c>
      <c r="W26" s="484">
        <f>S26</f>
        <v>1</v>
      </c>
      <c r="X26" s="484">
        <f>T26</f>
        <v>0</v>
      </c>
      <c r="Y26" s="21"/>
      <c r="Z26" s="23">
        <f>W26+X26+Y26</f>
        <v>1</v>
      </c>
      <c r="AA26" s="484">
        <f>W26</f>
        <v>1</v>
      </c>
      <c r="AB26" s="484">
        <f>X26</f>
        <v>0</v>
      </c>
      <c r="AC26" s="21"/>
      <c r="AD26" s="23">
        <f>AA26+AB26+AC26</f>
        <v>1</v>
      </c>
      <c r="AE26" s="484">
        <f>AA26</f>
        <v>1</v>
      </c>
      <c r="AF26" s="484">
        <f>AB26</f>
        <v>0</v>
      </c>
      <c r="AG26" s="21"/>
      <c r="AH26" s="23">
        <f>AE26+AF26+AG26</f>
        <v>1</v>
      </c>
      <c r="AI26" s="484">
        <f>AE26</f>
        <v>1</v>
      </c>
      <c r="AJ26" s="484">
        <f>AF26</f>
        <v>0</v>
      </c>
      <c r="AK26" s="21"/>
      <c r="AL26" s="23">
        <f>AI26+AJ26+AK26</f>
        <v>1</v>
      </c>
      <c r="AM26" s="484">
        <f>AI26</f>
        <v>1</v>
      </c>
      <c r="AN26" s="484">
        <f>AJ26</f>
        <v>0</v>
      </c>
      <c r="AO26" s="21"/>
      <c r="AP26" s="23">
        <f>AM26+AN26+AO26</f>
        <v>1</v>
      </c>
    </row>
    <row r="27" spans="1:42" x14ac:dyDescent="0.35">
      <c r="A27" s="19" t="s">
        <v>61</v>
      </c>
      <c r="B27" s="478" t="s">
        <v>62</v>
      </c>
      <c r="C27" s="479" t="s">
        <v>63</v>
      </c>
      <c r="D27" s="485">
        <v>23</v>
      </c>
      <c r="E27" s="485">
        <v>22</v>
      </c>
      <c r="F27" s="485">
        <v>21</v>
      </c>
      <c r="G27" s="484">
        <v>0.5</v>
      </c>
      <c r="H27" s="484">
        <v>0.5</v>
      </c>
      <c r="I27" s="21"/>
      <c r="J27" s="23">
        <f>G27+H27+I27</f>
        <v>1</v>
      </c>
      <c r="K27" s="484">
        <f t="shared" ref="K27:L28" si="61">G27</f>
        <v>0.5</v>
      </c>
      <c r="L27" s="484">
        <f t="shared" si="61"/>
        <v>0.5</v>
      </c>
      <c r="M27" s="21"/>
      <c r="N27" s="23">
        <f>K27+L27+M27</f>
        <v>1</v>
      </c>
      <c r="O27" s="484">
        <f t="shared" ref="O27:O28" si="62">K27</f>
        <v>0.5</v>
      </c>
      <c r="P27" s="484">
        <f t="shared" ref="P27:P28" si="63">L27</f>
        <v>0.5</v>
      </c>
      <c r="Q27" s="21"/>
      <c r="R27" s="23">
        <f>O27+P27+Q27</f>
        <v>1</v>
      </c>
      <c r="S27" s="484">
        <f t="shared" ref="S27:S28" si="64">O27</f>
        <v>0.5</v>
      </c>
      <c r="T27" s="484">
        <f t="shared" ref="T27:T28" si="65">P27</f>
        <v>0.5</v>
      </c>
      <c r="U27" s="21"/>
      <c r="V27" s="23">
        <f>S27+T27+U27</f>
        <v>1</v>
      </c>
      <c r="W27" s="484">
        <f t="shared" ref="W27:W28" si="66">S27</f>
        <v>0.5</v>
      </c>
      <c r="X27" s="484">
        <f t="shared" ref="X27:X28" si="67">T27</f>
        <v>0.5</v>
      </c>
      <c r="Y27" s="21"/>
      <c r="Z27" s="23">
        <f>W27+X27+Y27</f>
        <v>1</v>
      </c>
      <c r="AA27" s="484">
        <f t="shared" ref="AA27:AA28" si="68">W27</f>
        <v>0.5</v>
      </c>
      <c r="AB27" s="484">
        <f t="shared" ref="AB27:AB28" si="69">X27</f>
        <v>0.5</v>
      </c>
      <c r="AC27" s="21"/>
      <c r="AD27" s="23">
        <f>AA27+AB27+AC27</f>
        <v>1</v>
      </c>
      <c r="AE27" s="484">
        <f t="shared" ref="AE27:AE28" si="70">AA27</f>
        <v>0.5</v>
      </c>
      <c r="AF27" s="484">
        <f t="shared" ref="AF27:AF28" si="71">AB27</f>
        <v>0.5</v>
      </c>
      <c r="AG27" s="21"/>
      <c r="AH27" s="23">
        <f>AE27+AF27+AG27</f>
        <v>1</v>
      </c>
      <c r="AI27" s="484">
        <f t="shared" ref="AI27:AI28" si="72">AE27</f>
        <v>0.5</v>
      </c>
      <c r="AJ27" s="484">
        <f t="shared" ref="AJ27:AJ28" si="73">AF27</f>
        <v>0.5</v>
      </c>
      <c r="AK27" s="21"/>
      <c r="AL27" s="23">
        <f>AI27+AJ27+AK27</f>
        <v>1</v>
      </c>
      <c r="AM27" s="484">
        <f t="shared" ref="AM27:AM28" si="74">AI27</f>
        <v>0.5</v>
      </c>
      <c r="AN27" s="484">
        <f t="shared" ref="AN27:AN28" si="75">AJ27</f>
        <v>0.5</v>
      </c>
      <c r="AO27" s="21"/>
      <c r="AP27" s="23">
        <f>AM27+AN27+AO27</f>
        <v>1</v>
      </c>
    </row>
    <row r="28" spans="1:42" x14ac:dyDescent="0.35">
      <c r="A28" s="19" t="s">
        <v>64</v>
      </c>
      <c r="B28" s="24" t="s">
        <v>65</v>
      </c>
      <c r="C28" s="25" t="s">
        <v>66</v>
      </c>
      <c r="D28" s="485">
        <v>24</v>
      </c>
      <c r="E28" s="485">
        <v>23</v>
      </c>
      <c r="F28" s="485">
        <v>22</v>
      </c>
      <c r="G28" s="484"/>
      <c r="H28" s="484">
        <v>1</v>
      </c>
      <c r="I28" s="21"/>
      <c r="J28" s="23">
        <f>G28+H28+I28</f>
        <v>1</v>
      </c>
      <c r="K28" s="484">
        <f t="shared" si="61"/>
        <v>0</v>
      </c>
      <c r="L28" s="484">
        <f t="shared" si="61"/>
        <v>1</v>
      </c>
      <c r="M28" s="21"/>
      <c r="N28" s="23">
        <f>K28+L28+M28</f>
        <v>1</v>
      </c>
      <c r="O28" s="484">
        <f t="shared" si="62"/>
        <v>0</v>
      </c>
      <c r="P28" s="484">
        <f t="shared" si="63"/>
        <v>1</v>
      </c>
      <c r="Q28" s="21"/>
      <c r="R28" s="23">
        <f>O28+P28+Q28</f>
        <v>1</v>
      </c>
      <c r="S28" s="484">
        <f t="shared" si="64"/>
        <v>0</v>
      </c>
      <c r="T28" s="484">
        <f t="shared" si="65"/>
        <v>1</v>
      </c>
      <c r="U28" s="21"/>
      <c r="V28" s="23">
        <f>S28+T28+U28</f>
        <v>1</v>
      </c>
      <c r="W28" s="484">
        <f t="shared" si="66"/>
        <v>0</v>
      </c>
      <c r="X28" s="484">
        <f t="shared" si="67"/>
        <v>1</v>
      </c>
      <c r="Y28" s="21"/>
      <c r="Z28" s="23">
        <f>W28+X28+Y28</f>
        <v>1</v>
      </c>
      <c r="AA28" s="484">
        <f t="shared" si="68"/>
        <v>0</v>
      </c>
      <c r="AB28" s="484">
        <f t="shared" si="69"/>
        <v>1</v>
      </c>
      <c r="AC28" s="21"/>
      <c r="AD28" s="23">
        <f>AA28+AB28+AC28</f>
        <v>1</v>
      </c>
      <c r="AE28" s="484">
        <f t="shared" si="70"/>
        <v>0</v>
      </c>
      <c r="AF28" s="484">
        <f t="shared" si="71"/>
        <v>1</v>
      </c>
      <c r="AG28" s="21"/>
      <c r="AH28" s="23">
        <f>AE28+AF28+AG28</f>
        <v>1</v>
      </c>
      <c r="AI28" s="484">
        <f t="shared" si="72"/>
        <v>0</v>
      </c>
      <c r="AJ28" s="484">
        <f t="shared" si="73"/>
        <v>1</v>
      </c>
      <c r="AK28" s="21"/>
      <c r="AL28" s="23">
        <f>AI28+AJ28+AK28</f>
        <v>1</v>
      </c>
      <c r="AM28" s="484">
        <f t="shared" si="74"/>
        <v>0</v>
      </c>
      <c r="AN28" s="484">
        <f t="shared" si="75"/>
        <v>1</v>
      </c>
      <c r="AO28" s="21"/>
      <c r="AP28" s="23">
        <f>AM28+AN28+AO28</f>
        <v>1</v>
      </c>
    </row>
    <row r="29" spans="1:42" x14ac:dyDescent="0.35">
      <c r="A29" s="19" t="s">
        <v>67</v>
      </c>
      <c r="B29" s="478" t="s">
        <v>68</v>
      </c>
      <c r="C29" s="479" t="s">
        <v>69</v>
      </c>
      <c r="D29" s="485">
        <v>25</v>
      </c>
      <c r="E29" s="485">
        <v>24</v>
      </c>
      <c r="F29" s="485">
        <v>23</v>
      </c>
      <c r="G29" s="26">
        <f>HLOOKUP(G5,Anlageg,113,FALSE)</f>
        <v>0.54213</v>
      </c>
      <c r="H29" s="26">
        <f>HLOOKUP(H6,Anlageg,114,FALSE)</f>
        <v>0.45787</v>
      </c>
      <c r="I29" s="26"/>
      <c r="J29" s="27">
        <f>G29+H29+I29</f>
        <v>1</v>
      </c>
      <c r="K29" s="26">
        <f>HLOOKUP(K5,Anlageg,113,FALSE)</f>
        <v>0.54213</v>
      </c>
      <c r="L29" s="26">
        <f>HLOOKUP(L6,Anlageg,114,FALSE)</f>
        <v>0.45787</v>
      </c>
      <c r="M29" s="26"/>
      <c r="N29" s="27">
        <f>K29+L29+M29</f>
        <v>1</v>
      </c>
      <c r="O29" s="26">
        <f>HLOOKUP(O5,Anlageg,113,FALSE)</f>
        <v>0.54213</v>
      </c>
      <c r="P29" s="26">
        <f>HLOOKUP(P6,Anlageg,114,FALSE)</f>
        <v>0.45787</v>
      </c>
      <c r="Q29" s="26"/>
      <c r="R29" s="27">
        <f>O29+P29+Q29</f>
        <v>1</v>
      </c>
      <c r="S29" s="26">
        <f>HLOOKUP(S5,Anlageg,113,FALSE)</f>
        <v>0.54213</v>
      </c>
      <c r="T29" s="26">
        <f>HLOOKUP(T6,Anlageg,114,FALSE)</f>
        <v>0.45787</v>
      </c>
      <c r="U29" s="26"/>
      <c r="V29" s="27">
        <f>S29+T29+U29</f>
        <v>1</v>
      </c>
      <c r="W29" s="26">
        <f>HLOOKUP(W5,Anlageg,113,FALSE)</f>
        <v>0.54213</v>
      </c>
      <c r="X29" s="26">
        <f>HLOOKUP(X6,Anlageg,114,FALSE)</f>
        <v>0.45787</v>
      </c>
      <c r="Y29" s="26"/>
      <c r="Z29" s="27">
        <f>W29+X29+Y29</f>
        <v>1</v>
      </c>
      <c r="AA29" s="26">
        <f>HLOOKUP(AA5,Anlageg,113,FALSE)</f>
        <v>0.54213</v>
      </c>
      <c r="AB29" s="26">
        <f>HLOOKUP(AB6,Anlageg,114,FALSE)</f>
        <v>0.45787</v>
      </c>
      <c r="AC29" s="26"/>
      <c r="AD29" s="27">
        <f>AA29+AB29+AC29</f>
        <v>1</v>
      </c>
      <c r="AE29" s="26">
        <f>HLOOKUP(AE5,Anlageg,113,FALSE)</f>
        <v>0.54213</v>
      </c>
      <c r="AF29" s="26">
        <f>HLOOKUP(AF6,Anlageg,114,FALSE)</f>
        <v>0.45787</v>
      </c>
      <c r="AG29" s="26"/>
      <c r="AH29" s="27">
        <f>AE29+AF29+AG29</f>
        <v>1</v>
      </c>
      <c r="AI29" s="26">
        <f>HLOOKUP(AI5,Anlageg,113,FALSE)</f>
        <v>0.54213</v>
      </c>
      <c r="AJ29" s="26">
        <f>HLOOKUP(AJ6,Anlageg,114,FALSE)</f>
        <v>0.45787</v>
      </c>
      <c r="AK29" s="26"/>
      <c r="AL29" s="27">
        <f>AI29+AJ29+AK29</f>
        <v>1</v>
      </c>
      <c r="AM29" s="26">
        <f>HLOOKUP(AM5,Anlageg,113,FALSE)</f>
        <v>0.54213</v>
      </c>
      <c r="AN29" s="26">
        <f>HLOOKUP(AN6,Anlageg,114,FALSE)</f>
        <v>0.45787</v>
      </c>
      <c r="AO29" s="26"/>
      <c r="AP29" s="27">
        <f>AM29+AN29+AO29</f>
        <v>1</v>
      </c>
    </row>
    <row r="30" spans="1:42" x14ac:dyDescent="0.35">
      <c r="A30" s="19" t="s">
        <v>70</v>
      </c>
      <c r="B30" s="481" t="s">
        <v>71</v>
      </c>
      <c r="C30" s="25"/>
      <c r="D30" s="485">
        <v>26</v>
      </c>
      <c r="E30" s="485">
        <v>25</v>
      </c>
      <c r="F30" s="485">
        <v>24</v>
      </c>
      <c r="G30" s="20"/>
      <c r="H30" s="21"/>
      <c r="I30" s="21"/>
      <c r="J30" s="28"/>
      <c r="K30" s="20"/>
      <c r="L30" s="21"/>
      <c r="M30" s="21"/>
      <c r="N30" s="28"/>
      <c r="O30" s="20"/>
      <c r="P30" s="21"/>
      <c r="Q30" s="21"/>
      <c r="R30" s="28"/>
      <c r="S30" s="20"/>
      <c r="T30" s="21"/>
      <c r="U30" s="21"/>
      <c r="V30" s="28"/>
      <c r="W30" s="20"/>
      <c r="X30" s="21"/>
      <c r="Y30" s="21"/>
      <c r="Z30" s="28"/>
      <c r="AA30" s="20"/>
      <c r="AB30" s="21"/>
      <c r="AC30" s="21"/>
      <c r="AD30" s="28"/>
      <c r="AE30" s="20"/>
      <c r="AF30" s="21"/>
      <c r="AG30" s="21"/>
      <c r="AH30" s="28"/>
      <c r="AI30" s="20"/>
      <c r="AJ30" s="21"/>
      <c r="AK30" s="21"/>
      <c r="AL30" s="28"/>
      <c r="AM30" s="20"/>
      <c r="AN30" s="21"/>
      <c r="AO30" s="21"/>
      <c r="AP30" s="28"/>
    </row>
    <row r="31" spans="1:42" x14ac:dyDescent="0.35">
      <c r="A31" s="19" t="s">
        <v>72</v>
      </c>
      <c r="B31" s="478" t="s">
        <v>73</v>
      </c>
      <c r="C31" s="479" t="s">
        <v>74</v>
      </c>
      <c r="D31" s="485">
        <v>27</v>
      </c>
      <c r="E31" s="485">
        <v>26</v>
      </c>
      <c r="F31" s="485">
        <v>25</v>
      </c>
      <c r="G31" s="484">
        <v>1</v>
      </c>
      <c r="H31" s="484"/>
      <c r="I31" s="484"/>
      <c r="J31" s="23">
        <f>G31+H31+I31</f>
        <v>1</v>
      </c>
      <c r="K31" s="484">
        <f>G31</f>
        <v>1</v>
      </c>
      <c r="L31" s="484">
        <f t="shared" ref="L31:M33" si="76">H31</f>
        <v>0</v>
      </c>
      <c r="M31" s="484">
        <f t="shared" si="76"/>
        <v>0</v>
      </c>
      <c r="N31" s="23">
        <f>K31+L31+M31</f>
        <v>1</v>
      </c>
      <c r="O31" s="484">
        <f>K31</f>
        <v>1</v>
      </c>
      <c r="P31" s="484">
        <f t="shared" ref="P31:P33" si="77">L31</f>
        <v>0</v>
      </c>
      <c r="Q31" s="484">
        <f t="shared" ref="Q31:Q33" si="78">M31</f>
        <v>0</v>
      </c>
      <c r="R31" s="23">
        <f>O31+P31+Q31</f>
        <v>1</v>
      </c>
      <c r="S31" s="484">
        <f>O31</f>
        <v>1</v>
      </c>
      <c r="T31" s="484">
        <f t="shared" ref="T31:T33" si="79">P31</f>
        <v>0</v>
      </c>
      <c r="U31" s="484">
        <f t="shared" ref="U31:U33" si="80">Q31</f>
        <v>0</v>
      </c>
      <c r="V31" s="23">
        <f>S31+T31+U31</f>
        <v>1</v>
      </c>
      <c r="W31" s="484">
        <f>S31</f>
        <v>1</v>
      </c>
      <c r="X31" s="484">
        <f t="shared" ref="X31:X33" si="81">T31</f>
        <v>0</v>
      </c>
      <c r="Y31" s="484">
        <f t="shared" ref="Y31:Y33" si="82">U31</f>
        <v>0</v>
      </c>
      <c r="Z31" s="23">
        <f>W31+X31+Y31</f>
        <v>1</v>
      </c>
      <c r="AA31" s="484">
        <f>W31</f>
        <v>1</v>
      </c>
      <c r="AB31" s="484">
        <f t="shared" ref="AB31:AB33" si="83">X31</f>
        <v>0</v>
      </c>
      <c r="AC31" s="484">
        <f t="shared" ref="AC31:AC33" si="84">Y31</f>
        <v>0</v>
      </c>
      <c r="AD31" s="23">
        <f>AA31+AB31+AC31</f>
        <v>1</v>
      </c>
      <c r="AE31" s="484">
        <f>AA31</f>
        <v>1</v>
      </c>
      <c r="AF31" s="484">
        <f t="shared" ref="AF31:AF33" si="85">AB31</f>
        <v>0</v>
      </c>
      <c r="AG31" s="484">
        <f t="shared" ref="AG31:AG33" si="86">AC31</f>
        <v>0</v>
      </c>
      <c r="AH31" s="23">
        <f>AE31+AF31+AG31</f>
        <v>1</v>
      </c>
      <c r="AI31" s="484">
        <f>AE31</f>
        <v>1</v>
      </c>
      <c r="AJ31" s="484">
        <f t="shared" ref="AJ31:AJ33" si="87">AF31</f>
        <v>0</v>
      </c>
      <c r="AK31" s="484">
        <f t="shared" ref="AK31:AK33" si="88">AG31</f>
        <v>0</v>
      </c>
      <c r="AL31" s="23">
        <f>AI31+AJ31+AK31</f>
        <v>1</v>
      </c>
      <c r="AM31" s="484">
        <f>AI31</f>
        <v>1</v>
      </c>
      <c r="AN31" s="484">
        <f t="shared" ref="AN31:AN33" si="89">AJ31</f>
        <v>0</v>
      </c>
      <c r="AO31" s="484">
        <f t="shared" ref="AO31:AO33" si="90">AK31</f>
        <v>0</v>
      </c>
      <c r="AP31" s="23">
        <f>AM31+AN31+AO31</f>
        <v>1</v>
      </c>
    </row>
    <row r="32" spans="1:42" x14ac:dyDescent="0.35">
      <c r="A32" s="19" t="s">
        <v>75</v>
      </c>
      <c r="B32" s="478" t="s">
        <v>76</v>
      </c>
      <c r="C32" s="479" t="s">
        <v>77</v>
      </c>
      <c r="D32" s="485">
        <v>28</v>
      </c>
      <c r="E32" s="485">
        <v>27</v>
      </c>
      <c r="F32" s="485">
        <v>26</v>
      </c>
      <c r="G32" s="484">
        <v>0.5</v>
      </c>
      <c r="H32" s="484">
        <v>0.25</v>
      </c>
      <c r="I32" s="484">
        <v>0.25</v>
      </c>
      <c r="J32" s="23">
        <f>G32+H32+I32</f>
        <v>1</v>
      </c>
      <c r="K32" s="484">
        <f t="shared" ref="K32:K33" si="91">G32</f>
        <v>0.5</v>
      </c>
      <c r="L32" s="484">
        <f t="shared" si="76"/>
        <v>0.25</v>
      </c>
      <c r="M32" s="484">
        <f t="shared" si="76"/>
        <v>0.25</v>
      </c>
      <c r="N32" s="23">
        <f>K32+L32+M32</f>
        <v>1</v>
      </c>
      <c r="O32" s="484">
        <f t="shared" ref="O32:O33" si="92">K32</f>
        <v>0.5</v>
      </c>
      <c r="P32" s="484">
        <f t="shared" si="77"/>
        <v>0.25</v>
      </c>
      <c r="Q32" s="484">
        <f t="shared" si="78"/>
        <v>0.25</v>
      </c>
      <c r="R32" s="23">
        <f>O32+P32+Q32</f>
        <v>1</v>
      </c>
      <c r="S32" s="484">
        <f t="shared" ref="S32:S33" si="93">O32</f>
        <v>0.5</v>
      </c>
      <c r="T32" s="484">
        <f t="shared" si="79"/>
        <v>0.25</v>
      </c>
      <c r="U32" s="484">
        <f t="shared" si="80"/>
        <v>0.25</v>
      </c>
      <c r="V32" s="23">
        <f>S32+T32+U32</f>
        <v>1</v>
      </c>
      <c r="W32" s="484">
        <f t="shared" ref="W32:W33" si="94">S32</f>
        <v>0.5</v>
      </c>
      <c r="X32" s="484">
        <f t="shared" si="81"/>
        <v>0.25</v>
      </c>
      <c r="Y32" s="484">
        <f t="shared" si="82"/>
        <v>0.25</v>
      </c>
      <c r="Z32" s="23">
        <f>W32+X32+Y32</f>
        <v>1</v>
      </c>
      <c r="AA32" s="484">
        <f t="shared" ref="AA32:AA33" si="95">W32</f>
        <v>0.5</v>
      </c>
      <c r="AB32" s="484">
        <f t="shared" si="83"/>
        <v>0.25</v>
      </c>
      <c r="AC32" s="484">
        <f t="shared" si="84"/>
        <v>0.25</v>
      </c>
      <c r="AD32" s="23">
        <f>AA32+AB32+AC32</f>
        <v>1</v>
      </c>
      <c r="AE32" s="484">
        <f t="shared" ref="AE32:AE33" si="96">AA32</f>
        <v>0.5</v>
      </c>
      <c r="AF32" s="484">
        <f t="shared" si="85"/>
        <v>0.25</v>
      </c>
      <c r="AG32" s="484">
        <f t="shared" si="86"/>
        <v>0.25</v>
      </c>
      <c r="AH32" s="23">
        <f>AE32+AF32+AG32</f>
        <v>1</v>
      </c>
      <c r="AI32" s="484">
        <f t="shared" ref="AI32:AI33" si="97">AE32</f>
        <v>0.5</v>
      </c>
      <c r="AJ32" s="484">
        <f t="shared" si="87"/>
        <v>0.25</v>
      </c>
      <c r="AK32" s="484">
        <f t="shared" si="88"/>
        <v>0.25</v>
      </c>
      <c r="AL32" s="23">
        <f>AI32+AJ32+AK32</f>
        <v>1</v>
      </c>
      <c r="AM32" s="484">
        <f t="shared" ref="AM32:AM33" si="98">AI32</f>
        <v>0.5</v>
      </c>
      <c r="AN32" s="484">
        <f t="shared" si="89"/>
        <v>0.25</v>
      </c>
      <c r="AO32" s="484">
        <f t="shared" si="90"/>
        <v>0.25</v>
      </c>
      <c r="AP32" s="23">
        <f>AM32+AN32+AO32</f>
        <v>1</v>
      </c>
    </row>
    <row r="33" spans="1:42" x14ac:dyDescent="0.35">
      <c r="A33" s="19" t="s">
        <v>78</v>
      </c>
      <c r="B33" s="478" t="s">
        <v>79</v>
      </c>
      <c r="C33" s="479" t="s">
        <v>80</v>
      </c>
      <c r="D33" s="485">
        <v>29</v>
      </c>
      <c r="E33" s="485">
        <v>28</v>
      </c>
      <c r="F33" s="485">
        <v>27</v>
      </c>
      <c r="G33" s="484"/>
      <c r="H33" s="484">
        <v>0.5</v>
      </c>
      <c r="I33" s="484">
        <v>0.5</v>
      </c>
      <c r="J33" s="23">
        <f>G33+H33+I33</f>
        <v>1</v>
      </c>
      <c r="K33" s="484">
        <f t="shared" si="91"/>
        <v>0</v>
      </c>
      <c r="L33" s="484">
        <f t="shared" si="76"/>
        <v>0.5</v>
      </c>
      <c r="M33" s="484">
        <f t="shared" si="76"/>
        <v>0.5</v>
      </c>
      <c r="N33" s="23">
        <f>K33+L33+M33</f>
        <v>1</v>
      </c>
      <c r="O33" s="484">
        <f t="shared" si="92"/>
        <v>0</v>
      </c>
      <c r="P33" s="484">
        <f t="shared" si="77"/>
        <v>0.5</v>
      </c>
      <c r="Q33" s="484">
        <f t="shared" si="78"/>
        <v>0.5</v>
      </c>
      <c r="R33" s="23">
        <f>O33+P33+Q33</f>
        <v>1</v>
      </c>
      <c r="S33" s="484">
        <f t="shared" si="93"/>
        <v>0</v>
      </c>
      <c r="T33" s="484">
        <f t="shared" si="79"/>
        <v>0.5</v>
      </c>
      <c r="U33" s="484">
        <f t="shared" si="80"/>
        <v>0.5</v>
      </c>
      <c r="V33" s="23">
        <f>S33+T33+U33</f>
        <v>1</v>
      </c>
      <c r="W33" s="484">
        <f t="shared" si="94"/>
        <v>0</v>
      </c>
      <c r="X33" s="484">
        <f t="shared" si="81"/>
        <v>0.5</v>
      </c>
      <c r="Y33" s="484">
        <f t="shared" si="82"/>
        <v>0.5</v>
      </c>
      <c r="Z33" s="23">
        <f>W33+X33+Y33</f>
        <v>1</v>
      </c>
      <c r="AA33" s="484">
        <f t="shared" si="95"/>
        <v>0</v>
      </c>
      <c r="AB33" s="484">
        <f t="shared" si="83"/>
        <v>0.5</v>
      </c>
      <c r="AC33" s="484">
        <f t="shared" si="84"/>
        <v>0.5</v>
      </c>
      <c r="AD33" s="23">
        <f>AA33+AB33+AC33</f>
        <v>1</v>
      </c>
      <c r="AE33" s="484">
        <f t="shared" si="96"/>
        <v>0</v>
      </c>
      <c r="AF33" s="484">
        <f t="shared" si="85"/>
        <v>0.5</v>
      </c>
      <c r="AG33" s="484">
        <f t="shared" si="86"/>
        <v>0.5</v>
      </c>
      <c r="AH33" s="23">
        <f>AE33+AF33+AG33</f>
        <v>1</v>
      </c>
      <c r="AI33" s="484">
        <f t="shared" si="97"/>
        <v>0</v>
      </c>
      <c r="AJ33" s="484">
        <f t="shared" si="87"/>
        <v>0.5</v>
      </c>
      <c r="AK33" s="484">
        <f t="shared" si="88"/>
        <v>0.5</v>
      </c>
      <c r="AL33" s="23">
        <f>AI33+AJ33+AK33</f>
        <v>1</v>
      </c>
      <c r="AM33" s="484">
        <f t="shared" si="98"/>
        <v>0</v>
      </c>
      <c r="AN33" s="484">
        <f t="shared" si="89"/>
        <v>0.5</v>
      </c>
      <c r="AO33" s="484">
        <f t="shared" si="90"/>
        <v>0.5</v>
      </c>
      <c r="AP33" s="23">
        <f>AM33+AN33+AO33</f>
        <v>1</v>
      </c>
    </row>
    <row r="34" spans="1:42" x14ac:dyDescent="0.35">
      <c r="A34" s="19" t="s">
        <v>81</v>
      </c>
      <c r="B34" s="478" t="s">
        <v>82</v>
      </c>
      <c r="C34" s="479" t="s">
        <v>83</v>
      </c>
      <c r="D34" s="485">
        <v>30</v>
      </c>
      <c r="E34" s="485">
        <v>29</v>
      </c>
      <c r="F34" s="485">
        <v>28</v>
      </c>
      <c r="G34" s="26">
        <f>HLOOKUP(G5,Anlageg,118,FALSE)</f>
        <v>0</v>
      </c>
      <c r="H34" s="26">
        <f>HLOOKUP(H6,Anlageg,119,FALSE)</f>
        <v>0</v>
      </c>
      <c r="I34" s="26">
        <f>HLOOKUP(I7,Anlageg,120,FALSE)</f>
        <v>0</v>
      </c>
      <c r="J34" s="27">
        <f>G34+H34+I34</f>
        <v>0</v>
      </c>
      <c r="K34" s="26">
        <f>HLOOKUP(K5,Anlageg,118,FALSE)</f>
        <v>0</v>
      </c>
      <c r="L34" s="26">
        <f>HLOOKUP(L6,Anlageg,119,FALSE)</f>
        <v>0</v>
      </c>
      <c r="M34" s="26">
        <f>HLOOKUP(M7,Anlageg,120,FALSE)</f>
        <v>0</v>
      </c>
      <c r="N34" s="27">
        <f>K34+L34+M34</f>
        <v>0</v>
      </c>
      <c r="O34" s="26">
        <f>HLOOKUP(O5,Anlageg,118,FALSE)</f>
        <v>0</v>
      </c>
      <c r="P34" s="26">
        <f>HLOOKUP(P6,Anlageg,119,FALSE)</f>
        <v>0</v>
      </c>
      <c r="Q34" s="26">
        <f>HLOOKUP(Q7,Anlageg,120,FALSE)</f>
        <v>0</v>
      </c>
      <c r="R34" s="27">
        <f>O34+P34+Q34</f>
        <v>0</v>
      </c>
      <c r="S34" s="26">
        <f>HLOOKUP(S5,Anlageg,118,FALSE)</f>
        <v>0</v>
      </c>
      <c r="T34" s="26">
        <f>HLOOKUP(T6,Anlageg,119,FALSE)</f>
        <v>0</v>
      </c>
      <c r="U34" s="26">
        <f>HLOOKUP(U7,Anlageg,120,FALSE)</f>
        <v>0</v>
      </c>
      <c r="V34" s="27">
        <f>S34+T34+U34</f>
        <v>0</v>
      </c>
      <c r="W34" s="26">
        <f>HLOOKUP(W5,Anlageg,118,FALSE)</f>
        <v>0</v>
      </c>
      <c r="X34" s="26">
        <f>HLOOKUP(X6,Anlageg,119,FALSE)</f>
        <v>0</v>
      </c>
      <c r="Y34" s="26">
        <f>HLOOKUP(Y7,Anlageg,120,FALSE)</f>
        <v>0</v>
      </c>
      <c r="Z34" s="27">
        <f>W34+X34+Y34</f>
        <v>0</v>
      </c>
      <c r="AA34" s="26">
        <f>HLOOKUP(AA5,Anlageg,118,FALSE)</f>
        <v>0</v>
      </c>
      <c r="AB34" s="26">
        <f>HLOOKUP(AB6,Anlageg,119,FALSE)</f>
        <v>0</v>
      </c>
      <c r="AC34" s="26">
        <f>HLOOKUP(AC7,Anlageg,120,FALSE)</f>
        <v>0</v>
      </c>
      <c r="AD34" s="27">
        <f>AA34+AB34+AC34</f>
        <v>0</v>
      </c>
      <c r="AE34" s="26">
        <f>HLOOKUP(AE5,Anlageg,118,FALSE)</f>
        <v>0</v>
      </c>
      <c r="AF34" s="26">
        <f>HLOOKUP(AF6,Anlageg,119,FALSE)</f>
        <v>0</v>
      </c>
      <c r="AG34" s="26">
        <f>HLOOKUP(AG7,Anlageg,120,FALSE)</f>
        <v>0</v>
      </c>
      <c r="AH34" s="27">
        <f>AE34+AF34+AG34</f>
        <v>0</v>
      </c>
      <c r="AI34" s="26">
        <f>HLOOKUP(AI5,Anlageg,118,FALSE)</f>
        <v>0</v>
      </c>
      <c r="AJ34" s="26">
        <f>HLOOKUP(AJ6,Anlageg,119,FALSE)</f>
        <v>0</v>
      </c>
      <c r="AK34" s="26">
        <f>HLOOKUP(AK7,Anlageg,120,FALSE)</f>
        <v>0</v>
      </c>
      <c r="AL34" s="27">
        <f>AI34+AJ34+AK34</f>
        <v>0</v>
      </c>
      <c r="AM34" s="26">
        <f>HLOOKUP(AM5,Anlageg,118,FALSE)</f>
        <v>0</v>
      </c>
      <c r="AN34" s="26">
        <f>HLOOKUP(AN6,Anlageg,119,FALSE)</f>
        <v>0</v>
      </c>
      <c r="AO34" s="26">
        <f>HLOOKUP(AO7,Anlageg,120,FALSE)</f>
        <v>0</v>
      </c>
      <c r="AP34" s="27">
        <f>AM34+AN34+AO34</f>
        <v>0</v>
      </c>
    </row>
    <row r="35" spans="1:42" x14ac:dyDescent="0.35">
      <c r="A35" s="16" t="s">
        <v>84</v>
      </c>
      <c r="B35" s="17" t="s">
        <v>85</v>
      </c>
      <c r="C35" s="479"/>
      <c r="D35" s="485">
        <v>31</v>
      </c>
      <c r="E35" s="485">
        <v>30</v>
      </c>
      <c r="F35" s="485">
        <v>29</v>
      </c>
      <c r="G35" s="20"/>
      <c r="H35" s="21"/>
      <c r="I35" s="21"/>
      <c r="J35" s="22"/>
      <c r="K35" s="20"/>
      <c r="L35" s="21"/>
      <c r="M35" s="21"/>
      <c r="N35" s="22"/>
      <c r="O35" s="20"/>
      <c r="P35" s="21"/>
      <c r="Q35" s="21"/>
      <c r="R35" s="22"/>
      <c r="S35" s="20"/>
      <c r="T35" s="21"/>
      <c r="U35" s="21"/>
      <c r="V35" s="22"/>
      <c r="W35" s="20"/>
      <c r="X35" s="21"/>
      <c r="Y35" s="21"/>
      <c r="Z35" s="22"/>
      <c r="AA35" s="20"/>
      <c r="AB35" s="21"/>
      <c r="AC35" s="21"/>
      <c r="AD35" s="22"/>
      <c r="AE35" s="20"/>
      <c r="AF35" s="21"/>
      <c r="AG35" s="21"/>
      <c r="AH35" s="22"/>
      <c r="AI35" s="20"/>
      <c r="AJ35" s="21"/>
      <c r="AK35" s="21"/>
      <c r="AL35" s="22"/>
      <c r="AM35" s="20"/>
      <c r="AN35" s="21"/>
      <c r="AO35" s="21"/>
      <c r="AP35" s="22"/>
    </row>
    <row r="36" spans="1:42" x14ac:dyDescent="0.35">
      <c r="A36" s="19" t="s">
        <v>86</v>
      </c>
      <c r="B36" s="478" t="s">
        <v>87</v>
      </c>
      <c r="C36" s="479" t="s">
        <v>88</v>
      </c>
      <c r="D36" s="485">
        <v>32</v>
      </c>
      <c r="E36" s="485">
        <v>31</v>
      </c>
      <c r="F36" s="485">
        <v>30</v>
      </c>
      <c r="G36" s="484">
        <v>1</v>
      </c>
      <c r="H36" s="484"/>
      <c r="I36" s="21"/>
      <c r="J36" s="23">
        <f t="shared" ref="J36:J41" si="99">G36+H36+I36</f>
        <v>1</v>
      </c>
      <c r="K36" s="484">
        <f>G36</f>
        <v>1</v>
      </c>
      <c r="L36" s="484">
        <f>H36</f>
        <v>0</v>
      </c>
      <c r="M36" s="21"/>
      <c r="N36" s="23">
        <f t="shared" ref="N36:N38" si="100">K36+L36+M36</f>
        <v>1</v>
      </c>
      <c r="O36" s="484">
        <f>K36</f>
        <v>1</v>
      </c>
      <c r="P36" s="484">
        <f>L36</f>
        <v>0</v>
      </c>
      <c r="Q36" s="21"/>
      <c r="R36" s="23">
        <f t="shared" ref="R36:R38" si="101">O36+P36+Q36</f>
        <v>1</v>
      </c>
      <c r="S36" s="484">
        <f>O36</f>
        <v>1</v>
      </c>
      <c r="T36" s="484">
        <f>P36</f>
        <v>0</v>
      </c>
      <c r="U36" s="21"/>
      <c r="V36" s="23">
        <f t="shared" ref="V36:V38" si="102">S36+T36+U36</f>
        <v>1</v>
      </c>
      <c r="W36" s="484">
        <f>S36</f>
        <v>1</v>
      </c>
      <c r="X36" s="484">
        <f>T36</f>
        <v>0</v>
      </c>
      <c r="Y36" s="21"/>
      <c r="Z36" s="23">
        <f t="shared" ref="Z36:Z38" si="103">W36+X36+Y36</f>
        <v>1</v>
      </c>
      <c r="AA36" s="484">
        <f>W36</f>
        <v>1</v>
      </c>
      <c r="AB36" s="484">
        <f>X36</f>
        <v>0</v>
      </c>
      <c r="AC36" s="21"/>
      <c r="AD36" s="23">
        <f t="shared" ref="AD36:AD38" si="104">AA36+AB36+AC36</f>
        <v>1</v>
      </c>
      <c r="AE36" s="484">
        <f>AA36</f>
        <v>1</v>
      </c>
      <c r="AF36" s="484">
        <f>AB36</f>
        <v>0</v>
      </c>
      <c r="AG36" s="21"/>
      <c r="AH36" s="23">
        <f t="shared" ref="AH36:AH38" si="105">AE36+AF36+AG36</f>
        <v>1</v>
      </c>
      <c r="AI36" s="484">
        <f>AE36</f>
        <v>1</v>
      </c>
      <c r="AJ36" s="484">
        <f>AF36</f>
        <v>0</v>
      </c>
      <c r="AK36" s="21"/>
      <c r="AL36" s="23">
        <f t="shared" ref="AL36:AL38" si="106">AI36+AJ36+AK36</f>
        <v>1</v>
      </c>
      <c r="AM36" s="484">
        <f>AI36</f>
        <v>1</v>
      </c>
      <c r="AN36" s="484">
        <f>AJ36</f>
        <v>0</v>
      </c>
      <c r="AO36" s="21"/>
      <c r="AP36" s="23">
        <f t="shared" ref="AP36:AP38" si="107">AM36+AN36+AO36</f>
        <v>1</v>
      </c>
    </row>
    <row r="37" spans="1:42" x14ac:dyDescent="0.35">
      <c r="A37" s="19" t="s">
        <v>89</v>
      </c>
      <c r="B37" s="478" t="s">
        <v>90</v>
      </c>
      <c r="C37" s="479" t="s">
        <v>91</v>
      </c>
      <c r="D37" s="485">
        <v>33</v>
      </c>
      <c r="E37" s="485">
        <v>32</v>
      </c>
      <c r="F37" s="485">
        <v>31</v>
      </c>
      <c r="G37" s="484">
        <v>0.5</v>
      </c>
      <c r="H37" s="484">
        <v>0.5</v>
      </c>
      <c r="I37" s="21"/>
      <c r="J37" s="23">
        <f t="shared" si="99"/>
        <v>1</v>
      </c>
      <c r="K37" s="484">
        <f t="shared" ref="K37:L38" si="108">G37</f>
        <v>0.5</v>
      </c>
      <c r="L37" s="484">
        <f t="shared" si="108"/>
        <v>0.5</v>
      </c>
      <c r="M37" s="21"/>
      <c r="N37" s="23">
        <f t="shared" si="100"/>
        <v>1</v>
      </c>
      <c r="O37" s="484">
        <f t="shared" ref="O37:O38" si="109">K37</f>
        <v>0.5</v>
      </c>
      <c r="P37" s="484">
        <f t="shared" ref="P37:P38" si="110">L37</f>
        <v>0.5</v>
      </c>
      <c r="Q37" s="21"/>
      <c r="R37" s="23">
        <f t="shared" si="101"/>
        <v>1</v>
      </c>
      <c r="S37" s="484">
        <f t="shared" ref="S37:S38" si="111">O37</f>
        <v>0.5</v>
      </c>
      <c r="T37" s="484">
        <f t="shared" ref="T37:T38" si="112">P37</f>
        <v>0.5</v>
      </c>
      <c r="U37" s="21"/>
      <c r="V37" s="23">
        <f t="shared" si="102"/>
        <v>1</v>
      </c>
      <c r="W37" s="484">
        <f t="shared" ref="W37:W38" si="113">S37</f>
        <v>0.5</v>
      </c>
      <c r="X37" s="484">
        <f t="shared" ref="X37:X38" si="114">T37</f>
        <v>0.5</v>
      </c>
      <c r="Y37" s="21"/>
      <c r="Z37" s="23">
        <f t="shared" si="103"/>
        <v>1</v>
      </c>
      <c r="AA37" s="484">
        <f t="shared" ref="AA37:AA38" si="115">W37</f>
        <v>0.5</v>
      </c>
      <c r="AB37" s="484">
        <f t="shared" ref="AB37:AB38" si="116">X37</f>
        <v>0.5</v>
      </c>
      <c r="AC37" s="21"/>
      <c r="AD37" s="23">
        <f t="shared" si="104"/>
        <v>1</v>
      </c>
      <c r="AE37" s="484">
        <f t="shared" ref="AE37:AE38" si="117">AA37</f>
        <v>0.5</v>
      </c>
      <c r="AF37" s="484">
        <f t="shared" ref="AF37:AF38" si="118">AB37</f>
        <v>0.5</v>
      </c>
      <c r="AG37" s="21"/>
      <c r="AH37" s="23">
        <f t="shared" si="105"/>
        <v>1</v>
      </c>
      <c r="AI37" s="484">
        <f t="shared" ref="AI37:AI38" si="119">AE37</f>
        <v>0.5</v>
      </c>
      <c r="AJ37" s="484">
        <f t="shared" ref="AJ37:AJ38" si="120">AF37</f>
        <v>0.5</v>
      </c>
      <c r="AK37" s="21"/>
      <c r="AL37" s="23">
        <f t="shared" si="106"/>
        <v>1</v>
      </c>
      <c r="AM37" s="484">
        <f t="shared" ref="AM37:AM38" si="121">AI37</f>
        <v>0.5</v>
      </c>
      <c r="AN37" s="484">
        <f t="shared" ref="AN37:AN38" si="122">AJ37</f>
        <v>0.5</v>
      </c>
      <c r="AO37" s="21"/>
      <c r="AP37" s="23">
        <f t="shared" si="107"/>
        <v>1</v>
      </c>
    </row>
    <row r="38" spans="1:42" x14ac:dyDescent="0.35">
      <c r="A38" s="19" t="s">
        <v>92</v>
      </c>
      <c r="B38" s="478" t="s">
        <v>93</v>
      </c>
      <c r="C38" s="479" t="s">
        <v>94</v>
      </c>
      <c r="D38" s="485">
        <v>34</v>
      </c>
      <c r="E38" s="485">
        <v>33</v>
      </c>
      <c r="F38" s="485">
        <v>32</v>
      </c>
      <c r="G38" s="484"/>
      <c r="H38" s="484">
        <v>1</v>
      </c>
      <c r="I38" s="21"/>
      <c r="J38" s="23">
        <f t="shared" si="99"/>
        <v>1</v>
      </c>
      <c r="K38" s="484">
        <f t="shared" si="108"/>
        <v>0</v>
      </c>
      <c r="L38" s="484">
        <f t="shared" si="108"/>
        <v>1</v>
      </c>
      <c r="M38" s="21"/>
      <c r="N38" s="23">
        <f t="shared" si="100"/>
        <v>1</v>
      </c>
      <c r="O38" s="484">
        <f t="shared" si="109"/>
        <v>0</v>
      </c>
      <c r="P38" s="484">
        <f t="shared" si="110"/>
        <v>1</v>
      </c>
      <c r="Q38" s="21"/>
      <c r="R38" s="23">
        <f t="shared" si="101"/>
        <v>1</v>
      </c>
      <c r="S38" s="484">
        <f t="shared" si="111"/>
        <v>0</v>
      </c>
      <c r="T38" s="484">
        <f t="shared" si="112"/>
        <v>1</v>
      </c>
      <c r="U38" s="21"/>
      <c r="V38" s="23">
        <f t="shared" si="102"/>
        <v>1</v>
      </c>
      <c r="W38" s="484">
        <f t="shared" si="113"/>
        <v>0</v>
      </c>
      <c r="X38" s="484">
        <f t="shared" si="114"/>
        <v>1</v>
      </c>
      <c r="Y38" s="21"/>
      <c r="Z38" s="23">
        <f t="shared" si="103"/>
        <v>1</v>
      </c>
      <c r="AA38" s="484">
        <f t="shared" si="115"/>
        <v>0</v>
      </c>
      <c r="AB38" s="484">
        <f t="shared" si="116"/>
        <v>1</v>
      </c>
      <c r="AC38" s="21"/>
      <c r="AD38" s="23">
        <f t="shared" si="104"/>
        <v>1</v>
      </c>
      <c r="AE38" s="484">
        <f t="shared" si="117"/>
        <v>0</v>
      </c>
      <c r="AF38" s="484">
        <f t="shared" si="118"/>
        <v>1</v>
      </c>
      <c r="AG38" s="21"/>
      <c r="AH38" s="23">
        <f t="shared" si="105"/>
        <v>1</v>
      </c>
      <c r="AI38" s="484">
        <f t="shared" si="119"/>
        <v>0</v>
      </c>
      <c r="AJ38" s="484">
        <f t="shared" si="120"/>
        <v>1</v>
      </c>
      <c r="AK38" s="21"/>
      <c r="AL38" s="23">
        <f t="shared" si="106"/>
        <v>1</v>
      </c>
      <c r="AM38" s="484">
        <f t="shared" si="121"/>
        <v>0</v>
      </c>
      <c r="AN38" s="484">
        <f t="shared" si="122"/>
        <v>1</v>
      </c>
      <c r="AO38" s="21"/>
      <c r="AP38" s="23">
        <f t="shared" si="107"/>
        <v>1</v>
      </c>
    </row>
    <row r="39" spans="1:42" x14ac:dyDescent="0.35">
      <c r="A39" s="19" t="s">
        <v>95</v>
      </c>
      <c r="B39" s="478" t="s">
        <v>96</v>
      </c>
      <c r="C39" s="479" t="s">
        <v>97</v>
      </c>
      <c r="D39" s="485">
        <v>35</v>
      </c>
      <c r="E39" s="485">
        <v>34</v>
      </c>
      <c r="F39" s="485">
        <v>33</v>
      </c>
      <c r="G39" s="26">
        <f>HLOOKUP(G5,Anlageg,125,FALSE)</f>
        <v>0.92554999999999998</v>
      </c>
      <c r="H39" s="26">
        <f>HLOOKUP(H6,Anlageg,126,FALSE)</f>
        <v>7.4450000000000002E-2</v>
      </c>
      <c r="I39" s="21"/>
      <c r="J39" s="23">
        <f>G39+H39+I39</f>
        <v>1</v>
      </c>
      <c r="K39" s="26">
        <f>HLOOKUP(K5,Anlageg,125,FALSE)</f>
        <v>0.92554999999999998</v>
      </c>
      <c r="L39" s="26">
        <f>HLOOKUP(L6,Anlageg,126,FALSE)</f>
        <v>7.4450000000000002E-2</v>
      </c>
      <c r="M39" s="21"/>
      <c r="N39" s="23">
        <f>K39+L39+M39</f>
        <v>1</v>
      </c>
      <c r="O39" s="26">
        <f>HLOOKUP(O5,Anlageg,125,FALSE)</f>
        <v>0.92554999999999998</v>
      </c>
      <c r="P39" s="26">
        <f>HLOOKUP(P6,Anlageg,126,FALSE)</f>
        <v>7.4450000000000002E-2</v>
      </c>
      <c r="Q39" s="21"/>
      <c r="R39" s="23">
        <f>O39+P39+Q39</f>
        <v>1</v>
      </c>
      <c r="S39" s="26">
        <f>HLOOKUP(S5,Anlageg,125,FALSE)</f>
        <v>0.92554999999999998</v>
      </c>
      <c r="T39" s="26">
        <f>HLOOKUP(T6,Anlageg,126,FALSE)</f>
        <v>7.4450000000000002E-2</v>
      </c>
      <c r="U39" s="21"/>
      <c r="V39" s="23">
        <f>S39+T39+U39</f>
        <v>1</v>
      </c>
      <c r="W39" s="26">
        <f>HLOOKUP(W5,Anlageg,125,FALSE)</f>
        <v>0.92554999999999998</v>
      </c>
      <c r="X39" s="26">
        <f>HLOOKUP(X6,Anlageg,126,FALSE)</f>
        <v>7.4450000000000002E-2</v>
      </c>
      <c r="Y39" s="21"/>
      <c r="Z39" s="23">
        <f>W39+X39+Y39</f>
        <v>1</v>
      </c>
      <c r="AA39" s="26">
        <f>HLOOKUP(AA5,Anlageg,125,FALSE)</f>
        <v>0.92554999999999998</v>
      </c>
      <c r="AB39" s="26">
        <f>HLOOKUP(AB6,Anlageg,126,FALSE)</f>
        <v>7.4450000000000002E-2</v>
      </c>
      <c r="AC39" s="21"/>
      <c r="AD39" s="23">
        <f>AA39+AB39+AC39</f>
        <v>1</v>
      </c>
      <c r="AE39" s="26">
        <f>HLOOKUP(AE5,Anlageg,125,FALSE)</f>
        <v>0.92554999999999998</v>
      </c>
      <c r="AF39" s="26">
        <f>HLOOKUP(AF6,Anlageg,126,FALSE)</f>
        <v>7.4450000000000002E-2</v>
      </c>
      <c r="AG39" s="21"/>
      <c r="AH39" s="23">
        <f>AE39+AF39+AG39</f>
        <v>1</v>
      </c>
      <c r="AI39" s="26">
        <f>HLOOKUP(AI5,Anlageg,125,FALSE)</f>
        <v>0.92554999999999998</v>
      </c>
      <c r="AJ39" s="26">
        <f>HLOOKUP(AJ6,Anlageg,126,FALSE)</f>
        <v>7.4450000000000002E-2</v>
      </c>
      <c r="AK39" s="21"/>
      <c r="AL39" s="23">
        <f>AI39+AJ39+AK39</f>
        <v>1</v>
      </c>
      <c r="AM39" s="26">
        <f>HLOOKUP(AM5,Anlageg,125,FALSE)</f>
        <v>0.92554999999999998</v>
      </c>
      <c r="AN39" s="26">
        <f>HLOOKUP(AN6,Anlageg,126,FALSE)</f>
        <v>7.4450000000000002E-2</v>
      </c>
      <c r="AO39" s="21"/>
      <c r="AP39" s="23">
        <f>AM39+AN39+AO39</f>
        <v>1</v>
      </c>
    </row>
    <row r="40" spans="1:42" x14ac:dyDescent="0.35">
      <c r="A40" s="19" t="s">
        <v>98</v>
      </c>
      <c r="B40" s="478" t="s">
        <v>99</v>
      </c>
      <c r="C40" s="479" t="s">
        <v>100</v>
      </c>
      <c r="D40" s="485">
        <v>36</v>
      </c>
      <c r="E40" s="485">
        <v>35</v>
      </c>
      <c r="F40" s="485">
        <v>34</v>
      </c>
      <c r="G40" s="26">
        <f>HLOOKUP(G5,Anlageg,131,FALSE)</f>
        <v>0.85123000000000004</v>
      </c>
      <c r="H40" s="26">
        <f>HLOOKUP(H6,Anlageg,132,FALSE)</f>
        <v>0.14877000000000001</v>
      </c>
      <c r="I40" s="21"/>
      <c r="J40" s="23">
        <f t="shared" si="99"/>
        <v>1</v>
      </c>
      <c r="K40" s="26">
        <f>HLOOKUP(K5,Anlageg,131,FALSE)</f>
        <v>0.85102</v>
      </c>
      <c r="L40" s="26">
        <f>HLOOKUP(L6,Anlageg,132,FALSE)</f>
        <v>0.14898</v>
      </c>
      <c r="M40" s="21"/>
      <c r="N40" s="23">
        <f t="shared" ref="N40:N41" si="123">K40+L40+M40</f>
        <v>1</v>
      </c>
      <c r="O40" s="26">
        <f>HLOOKUP(O5,Anlageg,131,FALSE)</f>
        <v>0.85136999999999996</v>
      </c>
      <c r="P40" s="26">
        <f>HLOOKUP(P6,Anlageg,132,FALSE)</f>
        <v>0.14863000000000001</v>
      </c>
      <c r="Q40" s="21"/>
      <c r="R40" s="23">
        <f t="shared" ref="R40:R41" si="124">O40+P40+Q40</f>
        <v>1</v>
      </c>
      <c r="S40" s="26">
        <f>HLOOKUP(S5,Anlageg,131,FALSE)</f>
        <v>0.85175999999999996</v>
      </c>
      <c r="T40" s="26">
        <f>HLOOKUP(T6,Anlageg,132,FALSE)</f>
        <v>0.14824000000000001</v>
      </c>
      <c r="U40" s="21"/>
      <c r="V40" s="23">
        <f t="shared" ref="V40:V41" si="125">S40+T40+U40</f>
        <v>1</v>
      </c>
      <c r="W40" s="26">
        <f>HLOOKUP(W5,Anlageg,131,FALSE)</f>
        <v>0.85043999999999997</v>
      </c>
      <c r="X40" s="26">
        <f>HLOOKUP(X6,Anlageg,132,FALSE)</f>
        <v>0.14956</v>
      </c>
      <c r="Y40" s="21"/>
      <c r="Z40" s="23">
        <f t="shared" ref="Z40:Z41" si="126">W40+X40+Y40</f>
        <v>1</v>
      </c>
      <c r="AA40" s="26">
        <f>HLOOKUP(AA5,Anlageg,131,FALSE)</f>
        <v>0.84940000000000004</v>
      </c>
      <c r="AB40" s="26">
        <f>HLOOKUP(AB6,Anlageg,132,FALSE)</f>
        <v>0.15060000000000001</v>
      </c>
      <c r="AC40" s="21"/>
      <c r="AD40" s="23">
        <f t="shared" ref="AD40:AD41" si="127">AA40+AB40+AC40</f>
        <v>1</v>
      </c>
      <c r="AE40" s="26">
        <f>HLOOKUP(AE5,Anlageg,131,FALSE)</f>
        <v>0.85006999999999999</v>
      </c>
      <c r="AF40" s="26">
        <f>HLOOKUP(AF6,Anlageg,132,FALSE)</f>
        <v>0.14993000000000001</v>
      </c>
      <c r="AG40" s="21"/>
      <c r="AH40" s="23">
        <f t="shared" ref="AH40:AH41" si="128">AE40+AF40+AG40</f>
        <v>1</v>
      </c>
      <c r="AI40" s="26">
        <f>HLOOKUP(AI5,Anlageg,131,FALSE)</f>
        <v>0.79644999999999999</v>
      </c>
      <c r="AJ40" s="26">
        <f>HLOOKUP(AJ6,Anlageg,132,FALSE)</f>
        <v>0.20355000000000001</v>
      </c>
      <c r="AK40" s="21"/>
      <c r="AL40" s="23">
        <f t="shared" ref="AL40:AL41" si="129">AI40+AJ40+AK40</f>
        <v>1</v>
      </c>
      <c r="AM40" s="26">
        <f>HLOOKUP(AM5,Anlageg,131,FALSE)</f>
        <v>0.79190000000000005</v>
      </c>
      <c r="AN40" s="26">
        <f>HLOOKUP(AN6,Anlageg,132,FALSE)</f>
        <v>0.20810000000000001</v>
      </c>
      <c r="AO40" s="21"/>
      <c r="AP40" s="23">
        <f t="shared" ref="AP40:AP41" si="130">AM40+AN40+AO40</f>
        <v>1</v>
      </c>
    </row>
    <row r="41" spans="1:42" x14ac:dyDescent="0.35">
      <c r="A41" s="19" t="s">
        <v>101</v>
      </c>
      <c r="B41" s="478" t="s">
        <v>102</v>
      </c>
      <c r="C41" s="479" t="s">
        <v>100</v>
      </c>
      <c r="D41" s="485">
        <v>37</v>
      </c>
      <c r="E41" s="485">
        <v>36</v>
      </c>
      <c r="F41" s="485">
        <v>35</v>
      </c>
      <c r="G41" s="26">
        <f>HLOOKUP(G5,Anlageg,137,FALSE)</f>
        <v>0.83121999999999996</v>
      </c>
      <c r="H41" s="26">
        <f>HLOOKUP(H6,Anlageg,138,FALSE)</f>
        <v>0.16878000000000001</v>
      </c>
      <c r="I41" s="21"/>
      <c r="J41" s="23">
        <f t="shared" si="99"/>
        <v>1</v>
      </c>
      <c r="K41" s="26">
        <f>HLOOKUP(K5,Anlageg,137,FALSE)</f>
        <v>0.83030000000000004</v>
      </c>
      <c r="L41" s="26">
        <f>HLOOKUP(L6,Anlageg,138,FALSE)</f>
        <v>0.16969999999999999</v>
      </c>
      <c r="M41" s="21"/>
      <c r="N41" s="23">
        <f t="shared" si="123"/>
        <v>1</v>
      </c>
      <c r="O41" s="26">
        <f>HLOOKUP(O5,Anlageg,137,FALSE)</f>
        <v>0.82928000000000002</v>
      </c>
      <c r="P41" s="26">
        <f>HLOOKUP(P6,Anlageg,138,FALSE)</f>
        <v>0.17072000000000001</v>
      </c>
      <c r="Q41" s="21"/>
      <c r="R41" s="23">
        <f t="shared" si="124"/>
        <v>1</v>
      </c>
      <c r="S41" s="26">
        <f>HLOOKUP(S5,Anlageg,137,FALSE)</f>
        <v>0.82816000000000001</v>
      </c>
      <c r="T41" s="26">
        <f>HLOOKUP(T6,Anlageg,138,FALSE)</f>
        <v>0.17183999999999999</v>
      </c>
      <c r="U41" s="21"/>
      <c r="V41" s="23">
        <f t="shared" si="125"/>
        <v>1</v>
      </c>
      <c r="W41" s="26">
        <f>HLOOKUP(W5,Anlageg,137,FALSE)</f>
        <v>0.82694999999999996</v>
      </c>
      <c r="X41" s="26">
        <f>HLOOKUP(X6,Anlageg,138,FALSE)</f>
        <v>0.17305000000000001</v>
      </c>
      <c r="Y41" s="21"/>
      <c r="Z41" s="23">
        <f t="shared" si="126"/>
        <v>1</v>
      </c>
      <c r="AA41" s="26">
        <f>HLOOKUP(AA5,Anlageg,137,FALSE)</f>
        <v>0.82569000000000004</v>
      </c>
      <c r="AB41" s="26">
        <f>HLOOKUP(AB6,Anlageg,138,FALSE)</f>
        <v>0.17430999999999999</v>
      </c>
      <c r="AC41" s="21"/>
      <c r="AD41" s="23">
        <f t="shared" si="127"/>
        <v>1</v>
      </c>
      <c r="AE41" s="26">
        <f>HLOOKUP(AE5,Anlageg,137,FALSE)</f>
        <v>0.82432000000000005</v>
      </c>
      <c r="AF41" s="26">
        <f>HLOOKUP(AF6,Anlageg,138,FALSE)</f>
        <v>0.17568</v>
      </c>
      <c r="AG41" s="21"/>
      <c r="AH41" s="23">
        <f t="shared" si="128"/>
        <v>1</v>
      </c>
      <c r="AI41" s="26">
        <f>HLOOKUP(AI5,Anlageg,137,FALSE)</f>
        <v>0.82413999999999998</v>
      </c>
      <c r="AJ41" s="26">
        <f>HLOOKUP(AJ6,Anlageg,138,FALSE)</f>
        <v>0.17585999999999999</v>
      </c>
      <c r="AK41" s="21"/>
      <c r="AL41" s="23">
        <f t="shared" si="129"/>
        <v>1</v>
      </c>
      <c r="AM41" s="26">
        <f>HLOOKUP(AM5,Anlageg,137,FALSE)</f>
        <v>0.82543999999999995</v>
      </c>
      <c r="AN41" s="26">
        <f>HLOOKUP(AN6,Anlageg,138,FALSE)</f>
        <v>0.17455999999999999</v>
      </c>
      <c r="AO41" s="21"/>
      <c r="AP41" s="23">
        <f t="shared" si="130"/>
        <v>1</v>
      </c>
    </row>
    <row r="42" spans="1:42" x14ac:dyDescent="0.35">
      <c r="A42" s="16" t="s">
        <v>103</v>
      </c>
      <c r="B42" s="17" t="s">
        <v>104</v>
      </c>
      <c r="C42" s="18"/>
      <c r="D42" s="485">
        <v>38</v>
      </c>
      <c r="E42" s="485">
        <v>37</v>
      </c>
      <c r="F42" s="485">
        <v>36</v>
      </c>
      <c r="G42" s="20"/>
      <c r="H42" s="21"/>
      <c r="I42" s="21"/>
      <c r="J42" s="22"/>
      <c r="K42" s="20"/>
      <c r="L42" s="21"/>
      <c r="M42" s="21"/>
      <c r="N42" s="22"/>
      <c r="O42" s="20"/>
      <c r="P42" s="21"/>
      <c r="Q42" s="21"/>
      <c r="R42" s="22"/>
      <c r="S42" s="20"/>
      <c r="T42" s="21"/>
      <c r="U42" s="21"/>
      <c r="V42" s="22"/>
      <c r="W42" s="20"/>
      <c r="X42" s="21"/>
      <c r="Y42" s="21"/>
      <c r="Z42" s="22"/>
      <c r="AA42" s="20"/>
      <c r="AB42" s="21"/>
      <c r="AC42" s="21"/>
      <c r="AD42" s="22"/>
      <c r="AE42" s="20"/>
      <c r="AF42" s="21"/>
      <c r="AG42" s="21"/>
      <c r="AH42" s="22"/>
      <c r="AI42" s="20"/>
      <c r="AJ42" s="21"/>
      <c r="AK42" s="21"/>
      <c r="AL42" s="22"/>
      <c r="AM42" s="20"/>
      <c r="AN42" s="21"/>
      <c r="AO42" s="21"/>
      <c r="AP42" s="22"/>
    </row>
    <row r="43" spans="1:42" x14ac:dyDescent="0.35">
      <c r="A43" s="19" t="s">
        <v>105</v>
      </c>
      <c r="B43" s="478" t="s">
        <v>106</v>
      </c>
      <c r="C43" s="479" t="s">
        <v>107</v>
      </c>
      <c r="D43" s="485">
        <v>39</v>
      </c>
      <c r="E43" s="485">
        <v>38</v>
      </c>
      <c r="F43" s="485">
        <v>37</v>
      </c>
      <c r="G43" s="484">
        <v>1</v>
      </c>
      <c r="H43" s="484"/>
      <c r="I43" s="484"/>
      <c r="J43" s="23">
        <f>G43+H43+I43</f>
        <v>1</v>
      </c>
      <c r="K43" s="484">
        <f>G43</f>
        <v>1</v>
      </c>
      <c r="L43" s="484">
        <f t="shared" ref="L43:M45" si="131">H43</f>
        <v>0</v>
      </c>
      <c r="M43" s="484">
        <f t="shared" si="131"/>
        <v>0</v>
      </c>
      <c r="N43" s="23">
        <f>K43+L43+M43</f>
        <v>1</v>
      </c>
      <c r="O43" s="484">
        <f>K43</f>
        <v>1</v>
      </c>
      <c r="P43" s="484">
        <f t="shared" ref="P43:P45" si="132">L43</f>
        <v>0</v>
      </c>
      <c r="Q43" s="484">
        <f t="shared" ref="Q43:Q45" si="133">M43</f>
        <v>0</v>
      </c>
      <c r="R43" s="23">
        <f>O43+P43+Q43</f>
        <v>1</v>
      </c>
      <c r="S43" s="484">
        <f>O43</f>
        <v>1</v>
      </c>
      <c r="T43" s="484">
        <f t="shared" ref="T43:T45" si="134">P43</f>
        <v>0</v>
      </c>
      <c r="U43" s="484">
        <f t="shared" ref="U43:U45" si="135">Q43</f>
        <v>0</v>
      </c>
      <c r="V43" s="23">
        <f>S43+T43+U43</f>
        <v>1</v>
      </c>
      <c r="W43" s="484">
        <f>S43</f>
        <v>1</v>
      </c>
      <c r="X43" s="484">
        <f t="shared" ref="X43:X45" si="136">T43</f>
        <v>0</v>
      </c>
      <c r="Y43" s="484">
        <f t="shared" ref="Y43:Y45" si="137">U43</f>
        <v>0</v>
      </c>
      <c r="Z43" s="23">
        <f>W43+X43+Y43</f>
        <v>1</v>
      </c>
      <c r="AA43" s="484">
        <f>W43</f>
        <v>1</v>
      </c>
      <c r="AB43" s="484">
        <f t="shared" ref="AB43:AB45" si="138">X43</f>
        <v>0</v>
      </c>
      <c r="AC43" s="484">
        <f t="shared" ref="AC43:AC45" si="139">Y43</f>
        <v>0</v>
      </c>
      <c r="AD43" s="23">
        <f>AA43+AB43+AC43</f>
        <v>1</v>
      </c>
      <c r="AE43" s="484">
        <f>AA43</f>
        <v>1</v>
      </c>
      <c r="AF43" s="484">
        <f t="shared" ref="AF43:AF45" si="140">AB43</f>
        <v>0</v>
      </c>
      <c r="AG43" s="484">
        <f t="shared" ref="AG43:AG45" si="141">AC43</f>
        <v>0</v>
      </c>
      <c r="AH43" s="23">
        <f>AE43+AF43+AG43</f>
        <v>1</v>
      </c>
      <c r="AI43" s="484">
        <f>AE43</f>
        <v>1</v>
      </c>
      <c r="AJ43" s="484">
        <f t="shared" ref="AJ43:AJ45" si="142">AF43</f>
        <v>0</v>
      </c>
      <c r="AK43" s="484">
        <f t="shared" ref="AK43:AK45" si="143">AG43</f>
        <v>0</v>
      </c>
      <c r="AL43" s="23">
        <f>AI43+AJ43+AK43</f>
        <v>1</v>
      </c>
      <c r="AM43" s="484">
        <f>AI43</f>
        <v>1</v>
      </c>
      <c r="AN43" s="484">
        <f t="shared" ref="AN43:AN45" si="144">AJ43</f>
        <v>0</v>
      </c>
      <c r="AO43" s="484">
        <f t="shared" ref="AO43:AO45" si="145">AK43</f>
        <v>0</v>
      </c>
      <c r="AP43" s="23">
        <f>AM43+AN43+AO43</f>
        <v>1</v>
      </c>
    </row>
    <row r="44" spans="1:42" x14ac:dyDescent="0.35">
      <c r="A44" s="19" t="s">
        <v>108</v>
      </c>
      <c r="B44" s="478" t="s">
        <v>109</v>
      </c>
      <c r="C44" s="479" t="s">
        <v>110</v>
      </c>
      <c r="D44" s="485">
        <v>40</v>
      </c>
      <c r="E44" s="485">
        <v>39</v>
      </c>
      <c r="F44" s="485">
        <v>38</v>
      </c>
      <c r="G44" s="484">
        <v>0.5</v>
      </c>
      <c r="H44" s="484">
        <v>0.5</v>
      </c>
      <c r="I44" s="484"/>
      <c r="J44" s="23">
        <f>G44+H44+I44</f>
        <v>1</v>
      </c>
      <c r="K44" s="484">
        <f t="shared" ref="K44:K45" si="146">G44</f>
        <v>0.5</v>
      </c>
      <c r="L44" s="484">
        <f t="shared" si="131"/>
        <v>0.5</v>
      </c>
      <c r="M44" s="484">
        <f t="shared" si="131"/>
        <v>0</v>
      </c>
      <c r="N44" s="23">
        <f>K44+L44+M44</f>
        <v>1</v>
      </c>
      <c r="O44" s="484">
        <f t="shared" ref="O44:O45" si="147">K44</f>
        <v>0.5</v>
      </c>
      <c r="P44" s="484">
        <f t="shared" si="132"/>
        <v>0.5</v>
      </c>
      <c r="Q44" s="484">
        <f t="shared" si="133"/>
        <v>0</v>
      </c>
      <c r="R44" s="23">
        <f>O44+P44+Q44</f>
        <v>1</v>
      </c>
      <c r="S44" s="484">
        <f t="shared" ref="S44:S45" si="148">O44</f>
        <v>0.5</v>
      </c>
      <c r="T44" s="484">
        <f t="shared" si="134"/>
        <v>0.5</v>
      </c>
      <c r="U44" s="484">
        <f t="shared" si="135"/>
        <v>0</v>
      </c>
      <c r="V44" s="23">
        <f>S44+T44+U44</f>
        <v>1</v>
      </c>
      <c r="W44" s="484">
        <f t="shared" ref="W44:W45" si="149">S44</f>
        <v>0.5</v>
      </c>
      <c r="X44" s="484">
        <f t="shared" si="136"/>
        <v>0.5</v>
      </c>
      <c r="Y44" s="484">
        <f t="shared" si="137"/>
        <v>0</v>
      </c>
      <c r="Z44" s="23">
        <f>W44+X44+Y44</f>
        <v>1</v>
      </c>
      <c r="AA44" s="484">
        <f t="shared" ref="AA44:AA45" si="150">W44</f>
        <v>0.5</v>
      </c>
      <c r="AB44" s="484">
        <f t="shared" si="138"/>
        <v>0.5</v>
      </c>
      <c r="AC44" s="484">
        <f t="shared" si="139"/>
        <v>0</v>
      </c>
      <c r="AD44" s="23">
        <f>AA44+AB44+AC44</f>
        <v>1</v>
      </c>
      <c r="AE44" s="484">
        <f t="shared" ref="AE44:AE45" si="151">AA44</f>
        <v>0.5</v>
      </c>
      <c r="AF44" s="484">
        <f t="shared" si="140"/>
        <v>0.5</v>
      </c>
      <c r="AG44" s="484">
        <f t="shared" si="141"/>
        <v>0</v>
      </c>
      <c r="AH44" s="23">
        <f>AE44+AF44+AG44</f>
        <v>1</v>
      </c>
      <c r="AI44" s="484">
        <f t="shared" ref="AI44:AI45" si="152">AE44</f>
        <v>0.5</v>
      </c>
      <c r="AJ44" s="484">
        <f t="shared" si="142"/>
        <v>0.5</v>
      </c>
      <c r="AK44" s="484">
        <f t="shared" si="143"/>
        <v>0</v>
      </c>
      <c r="AL44" s="23">
        <f>AI44+AJ44+AK44</f>
        <v>1</v>
      </c>
      <c r="AM44" s="484">
        <f t="shared" ref="AM44:AM45" si="153">AI44</f>
        <v>0.5</v>
      </c>
      <c r="AN44" s="484">
        <f t="shared" si="144"/>
        <v>0.5</v>
      </c>
      <c r="AO44" s="484">
        <f t="shared" si="145"/>
        <v>0</v>
      </c>
      <c r="AP44" s="23">
        <f>AM44+AN44+AO44</f>
        <v>1</v>
      </c>
    </row>
    <row r="45" spans="1:42" x14ac:dyDescent="0.35">
      <c r="A45" s="19" t="s">
        <v>111</v>
      </c>
      <c r="B45" s="478" t="s">
        <v>112</v>
      </c>
      <c r="C45" s="25" t="s">
        <v>113</v>
      </c>
      <c r="D45" s="485">
        <v>41</v>
      </c>
      <c r="E45" s="485">
        <v>40</v>
      </c>
      <c r="F45" s="485">
        <v>39</v>
      </c>
      <c r="G45" s="484"/>
      <c r="H45" s="484">
        <v>1</v>
      </c>
      <c r="I45" s="484"/>
      <c r="J45" s="23">
        <f>G45+H45+I45</f>
        <v>1</v>
      </c>
      <c r="K45" s="484">
        <f t="shared" si="146"/>
        <v>0</v>
      </c>
      <c r="L45" s="484">
        <f t="shared" si="131"/>
        <v>1</v>
      </c>
      <c r="M45" s="484">
        <f t="shared" si="131"/>
        <v>0</v>
      </c>
      <c r="N45" s="23">
        <f>K45+L45+M45</f>
        <v>1</v>
      </c>
      <c r="O45" s="484">
        <f t="shared" si="147"/>
        <v>0</v>
      </c>
      <c r="P45" s="484">
        <f t="shared" si="132"/>
        <v>1</v>
      </c>
      <c r="Q45" s="484">
        <f t="shared" si="133"/>
        <v>0</v>
      </c>
      <c r="R45" s="23">
        <f>O45+P45+Q45</f>
        <v>1</v>
      </c>
      <c r="S45" s="484">
        <f t="shared" si="148"/>
        <v>0</v>
      </c>
      <c r="T45" s="484">
        <f t="shared" si="134"/>
        <v>1</v>
      </c>
      <c r="U45" s="484">
        <f t="shared" si="135"/>
        <v>0</v>
      </c>
      <c r="V45" s="23">
        <f>S45+T45+U45</f>
        <v>1</v>
      </c>
      <c r="W45" s="484">
        <f t="shared" si="149"/>
        <v>0</v>
      </c>
      <c r="X45" s="484">
        <f t="shared" si="136"/>
        <v>1</v>
      </c>
      <c r="Y45" s="484">
        <f t="shared" si="137"/>
        <v>0</v>
      </c>
      <c r="Z45" s="23">
        <f>W45+X45+Y45</f>
        <v>1</v>
      </c>
      <c r="AA45" s="484">
        <f t="shared" si="150"/>
        <v>0</v>
      </c>
      <c r="AB45" s="484">
        <f t="shared" si="138"/>
        <v>1</v>
      </c>
      <c r="AC45" s="484">
        <f t="shared" si="139"/>
        <v>0</v>
      </c>
      <c r="AD45" s="23">
        <f>AA45+AB45+AC45</f>
        <v>1</v>
      </c>
      <c r="AE45" s="484">
        <f t="shared" si="151"/>
        <v>0</v>
      </c>
      <c r="AF45" s="484">
        <f t="shared" si="140"/>
        <v>1</v>
      </c>
      <c r="AG45" s="484">
        <f t="shared" si="141"/>
        <v>0</v>
      </c>
      <c r="AH45" s="23">
        <f>AE45+AF45+AG45</f>
        <v>1</v>
      </c>
      <c r="AI45" s="484">
        <f t="shared" si="152"/>
        <v>0</v>
      </c>
      <c r="AJ45" s="484">
        <f t="shared" si="142"/>
        <v>1</v>
      </c>
      <c r="AK45" s="484">
        <f t="shared" si="143"/>
        <v>0</v>
      </c>
      <c r="AL45" s="23">
        <f>AI45+AJ45+AK45</f>
        <v>1</v>
      </c>
      <c r="AM45" s="484">
        <f t="shared" si="153"/>
        <v>0</v>
      </c>
      <c r="AN45" s="484">
        <f t="shared" si="144"/>
        <v>1</v>
      </c>
      <c r="AO45" s="484">
        <f t="shared" si="145"/>
        <v>0</v>
      </c>
      <c r="AP45" s="23">
        <f>AM45+AN45+AO45</f>
        <v>1</v>
      </c>
    </row>
    <row r="46" spans="1:42" x14ac:dyDescent="0.35">
      <c r="A46" s="19" t="s">
        <v>114</v>
      </c>
      <c r="B46" s="478" t="s">
        <v>115</v>
      </c>
      <c r="C46" s="25" t="s">
        <v>116</v>
      </c>
      <c r="D46" s="485">
        <v>42</v>
      </c>
      <c r="E46" s="485">
        <v>41</v>
      </c>
      <c r="F46" s="485">
        <v>40</v>
      </c>
      <c r="G46" s="26">
        <f>HLOOKUP(G5,Anlageg,125,FALSE)</f>
        <v>0.92554999999999998</v>
      </c>
      <c r="H46" s="26">
        <f>HLOOKUP(H6,Anlageg,126,FALSE)</f>
        <v>7.4450000000000002E-2</v>
      </c>
      <c r="I46" s="21"/>
      <c r="J46" s="27">
        <f>G46+H46</f>
        <v>1</v>
      </c>
      <c r="K46" s="26">
        <f>HLOOKUP(K5,Anlageg,125,FALSE)</f>
        <v>0.92554999999999998</v>
      </c>
      <c r="L46" s="26">
        <f>HLOOKUP(L6,Anlageg,126,FALSE)</f>
        <v>7.4450000000000002E-2</v>
      </c>
      <c r="M46" s="21"/>
      <c r="N46" s="27">
        <f>K46+L46</f>
        <v>1</v>
      </c>
      <c r="O46" s="26">
        <f>HLOOKUP(O5,Anlageg,125,FALSE)</f>
        <v>0.92554999999999998</v>
      </c>
      <c r="P46" s="26">
        <f>HLOOKUP(P6,Anlageg,126,FALSE)</f>
        <v>7.4450000000000002E-2</v>
      </c>
      <c r="Q46" s="21"/>
      <c r="R46" s="27">
        <f>O46+P46</f>
        <v>1</v>
      </c>
      <c r="S46" s="26">
        <f>HLOOKUP(S5,Anlageg,125,FALSE)</f>
        <v>0.92554999999999998</v>
      </c>
      <c r="T46" s="26">
        <f>HLOOKUP(T6,Anlageg,126,FALSE)</f>
        <v>7.4450000000000002E-2</v>
      </c>
      <c r="U46" s="21"/>
      <c r="V46" s="27">
        <f>S46+T46</f>
        <v>1</v>
      </c>
      <c r="W46" s="26">
        <f>HLOOKUP(W5,Anlageg,125,FALSE)</f>
        <v>0.92554999999999998</v>
      </c>
      <c r="X46" s="26">
        <f>HLOOKUP(X6,Anlageg,126,FALSE)</f>
        <v>7.4450000000000002E-2</v>
      </c>
      <c r="Y46" s="21"/>
      <c r="Z46" s="27">
        <f>W46+X46</f>
        <v>1</v>
      </c>
      <c r="AA46" s="26">
        <f>HLOOKUP(AA5,Anlageg,125,FALSE)</f>
        <v>0.92554999999999998</v>
      </c>
      <c r="AB46" s="26">
        <f>HLOOKUP(AB6,Anlageg,126,FALSE)</f>
        <v>7.4450000000000002E-2</v>
      </c>
      <c r="AC46" s="21"/>
      <c r="AD46" s="27">
        <f>AA46+AB46</f>
        <v>1</v>
      </c>
      <c r="AE46" s="26">
        <f>HLOOKUP(AE5,Anlageg,125,FALSE)</f>
        <v>0.92554999999999998</v>
      </c>
      <c r="AF46" s="26">
        <f>HLOOKUP(AF6,Anlageg,126,FALSE)</f>
        <v>7.4450000000000002E-2</v>
      </c>
      <c r="AG46" s="21"/>
      <c r="AH46" s="27">
        <f>AE46+AF46</f>
        <v>1</v>
      </c>
      <c r="AI46" s="26">
        <f>HLOOKUP(AI5,Anlageg,125,FALSE)</f>
        <v>0.92554999999999998</v>
      </c>
      <c r="AJ46" s="26">
        <f>HLOOKUP(AJ6,Anlageg,126,FALSE)</f>
        <v>7.4450000000000002E-2</v>
      </c>
      <c r="AK46" s="21"/>
      <c r="AL46" s="27">
        <f>AI46+AJ46</f>
        <v>1</v>
      </c>
      <c r="AM46" s="26">
        <f>HLOOKUP(AM5,Anlageg,125,FALSE)</f>
        <v>0.92554999999999998</v>
      </c>
      <c r="AN46" s="26">
        <f>HLOOKUP(AN6,Anlageg,126,FALSE)</f>
        <v>7.4450000000000002E-2</v>
      </c>
      <c r="AO46" s="21"/>
      <c r="AP46" s="27">
        <f>AM46+AN46</f>
        <v>1</v>
      </c>
    </row>
    <row r="47" spans="1:42" x14ac:dyDescent="0.35">
      <c r="A47" s="19" t="s">
        <v>117</v>
      </c>
      <c r="B47" s="478" t="s">
        <v>118</v>
      </c>
      <c r="C47" s="25" t="s">
        <v>119</v>
      </c>
      <c r="D47" s="485">
        <v>43</v>
      </c>
      <c r="E47" s="485">
        <v>42</v>
      </c>
      <c r="F47" s="485">
        <v>41</v>
      </c>
      <c r="G47" s="26">
        <f>HLOOKUP(G5,Anlageg,131,FALSE)</f>
        <v>0.85123000000000004</v>
      </c>
      <c r="H47" s="26">
        <f>HLOOKUP(H6,Anlageg,132,FALSE)</f>
        <v>0.14877000000000001</v>
      </c>
      <c r="I47" s="21"/>
      <c r="J47" s="27">
        <f>G47+H47</f>
        <v>1</v>
      </c>
      <c r="K47" s="26">
        <f>HLOOKUP(K5,Anlageg,131,FALSE)</f>
        <v>0.85102</v>
      </c>
      <c r="L47" s="26">
        <f>HLOOKUP(L6,Anlageg,132,FALSE)</f>
        <v>0.14898</v>
      </c>
      <c r="M47" s="21"/>
      <c r="N47" s="27">
        <f>K47+L47</f>
        <v>1</v>
      </c>
      <c r="O47" s="26">
        <f>HLOOKUP(O5,Anlageg,131,FALSE)</f>
        <v>0.85136999999999996</v>
      </c>
      <c r="P47" s="26">
        <f>HLOOKUP(P6,Anlageg,132,FALSE)</f>
        <v>0.14863000000000001</v>
      </c>
      <c r="Q47" s="21"/>
      <c r="R47" s="27">
        <f>O47+P47</f>
        <v>1</v>
      </c>
      <c r="S47" s="26">
        <f>HLOOKUP(S5,Anlageg,131,FALSE)</f>
        <v>0.85175999999999996</v>
      </c>
      <c r="T47" s="26">
        <f>HLOOKUP(T6,Anlageg,132,FALSE)</f>
        <v>0.14824000000000001</v>
      </c>
      <c r="U47" s="21"/>
      <c r="V47" s="27">
        <f>S47+T47</f>
        <v>1</v>
      </c>
      <c r="W47" s="26">
        <f>HLOOKUP(W5,Anlageg,131,FALSE)</f>
        <v>0.85043999999999997</v>
      </c>
      <c r="X47" s="26">
        <f>HLOOKUP(X6,Anlageg,132,FALSE)</f>
        <v>0.14956</v>
      </c>
      <c r="Y47" s="21"/>
      <c r="Z47" s="27">
        <f>W47+X47</f>
        <v>1</v>
      </c>
      <c r="AA47" s="26">
        <f>HLOOKUP(AA5,Anlageg,131,FALSE)</f>
        <v>0.84940000000000004</v>
      </c>
      <c r="AB47" s="26">
        <f>HLOOKUP(AB6,Anlageg,132,FALSE)</f>
        <v>0.15060000000000001</v>
      </c>
      <c r="AC47" s="21"/>
      <c r="AD47" s="27">
        <f>AA47+AB47</f>
        <v>1</v>
      </c>
      <c r="AE47" s="26">
        <f>HLOOKUP(AE5,Anlageg,131,FALSE)</f>
        <v>0.85006999999999999</v>
      </c>
      <c r="AF47" s="26">
        <f>HLOOKUP(AF6,Anlageg,132,FALSE)</f>
        <v>0.14993000000000001</v>
      </c>
      <c r="AG47" s="21"/>
      <c r="AH47" s="27">
        <f>AE47+AF47</f>
        <v>1</v>
      </c>
      <c r="AI47" s="26">
        <f>HLOOKUP(AI5,Anlageg,131,FALSE)</f>
        <v>0.79644999999999999</v>
      </c>
      <c r="AJ47" s="26">
        <f>HLOOKUP(AJ6,Anlageg,132,FALSE)</f>
        <v>0.20355000000000001</v>
      </c>
      <c r="AK47" s="21"/>
      <c r="AL47" s="27">
        <f>AI47+AJ47</f>
        <v>1</v>
      </c>
      <c r="AM47" s="26">
        <f>HLOOKUP(AM5,Anlageg,131,FALSE)</f>
        <v>0.79190000000000005</v>
      </c>
      <c r="AN47" s="26">
        <f>HLOOKUP(AN6,Anlageg,132,FALSE)</f>
        <v>0.20810000000000001</v>
      </c>
      <c r="AO47" s="21"/>
      <c r="AP47" s="27">
        <f>AM47+AN47</f>
        <v>1</v>
      </c>
    </row>
    <row r="48" spans="1:42" x14ac:dyDescent="0.35">
      <c r="A48" s="19" t="s">
        <v>120</v>
      </c>
      <c r="B48" s="478" t="s">
        <v>121</v>
      </c>
      <c r="C48" s="25" t="s">
        <v>119</v>
      </c>
      <c r="D48" s="485">
        <v>44</v>
      </c>
      <c r="E48" s="485">
        <v>43</v>
      </c>
      <c r="F48" s="485">
        <v>42</v>
      </c>
      <c r="G48" s="26">
        <f>HLOOKUP(G5,Anlageg,137,FALSE)</f>
        <v>0.83121999999999996</v>
      </c>
      <c r="H48" s="26">
        <f>HLOOKUP(H6,Anlageg,138,FALSE)</f>
        <v>0.16878000000000001</v>
      </c>
      <c r="I48" s="21"/>
      <c r="J48" s="27">
        <f>G48+H48</f>
        <v>1</v>
      </c>
      <c r="K48" s="26">
        <f>HLOOKUP(K5,Anlageg,137,FALSE)</f>
        <v>0.83030000000000004</v>
      </c>
      <c r="L48" s="26">
        <f>HLOOKUP(L6,Anlageg,138,FALSE)</f>
        <v>0.16969999999999999</v>
      </c>
      <c r="M48" s="21"/>
      <c r="N48" s="27">
        <f>K48+L48</f>
        <v>1</v>
      </c>
      <c r="O48" s="26">
        <f>HLOOKUP(O5,Anlageg,137,FALSE)</f>
        <v>0.82928000000000002</v>
      </c>
      <c r="P48" s="26">
        <f>HLOOKUP(P6,Anlageg,138,FALSE)</f>
        <v>0.17072000000000001</v>
      </c>
      <c r="Q48" s="21"/>
      <c r="R48" s="27">
        <f>O48+P48</f>
        <v>1</v>
      </c>
      <c r="S48" s="26">
        <f>HLOOKUP(S5,Anlageg,137,FALSE)</f>
        <v>0.82816000000000001</v>
      </c>
      <c r="T48" s="26">
        <f>HLOOKUP(T6,Anlageg,138,FALSE)</f>
        <v>0.17183999999999999</v>
      </c>
      <c r="U48" s="21"/>
      <c r="V48" s="27">
        <f>S48+T48</f>
        <v>1</v>
      </c>
      <c r="W48" s="26">
        <f>HLOOKUP(W5,Anlageg,137,FALSE)</f>
        <v>0.82694999999999996</v>
      </c>
      <c r="X48" s="26">
        <f>HLOOKUP(X6,Anlageg,138,FALSE)</f>
        <v>0.17305000000000001</v>
      </c>
      <c r="Y48" s="21"/>
      <c r="Z48" s="27">
        <f>W48+X48</f>
        <v>1</v>
      </c>
      <c r="AA48" s="26">
        <f>HLOOKUP(AA5,Anlageg,137,FALSE)</f>
        <v>0.82569000000000004</v>
      </c>
      <c r="AB48" s="26">
        <f>HLOOKUP(AB6,Anlageg,138,FALSE)</f>
        <v>0.17430999999999999</v>
      </c>
      <c r="AC48" s="21"/>
      <c r="AD48" s="27">
        <f>AA48+AB48</f>
        <v>1</v>
      </c>
      <c r="AE48" s="26">
        <f>HLOOKUP(AE5,Anlageg,137,FALSE)</f>
        <v>0.82432000000000005</v>
      </c>
      <c r="AF48" s="26">
        <f>HLOOKUP(AF6,Anlageg,138,FALSE)</f>
        <v>0.17568</v>
      </c>
      <c r="AG48" s="21"/>
      <c r="AH48" s="27">
        <f>AE48+AF48</f>
        <v>1</v>
      </c>
      <c r="AI48" s="26">
        <f>HLOOKUP(AI5,Anlageg,137,FALSE)</f>
        <v>0.82413999999999998</v>
      </c>
      <c r="AJ48" s="26">
        <f>HLOOKUP(AJ6,Anlageg,138,FALSE)</f>
        <v>0.17585999999999999</v>
      </c>
      <c r="AK48" s="21"/>
      <c r="AL48" s="27">
        <f>AI48+AJ48</f>
        <v>1</v>
      </c>
      <c r="AM48" s="26">
        <f>HLOOKUP(AM5,Anlageg,137,FALSE)</f>
        <v>0.82543999999999995</v>
      </c>
      <c r="AN48" s="26">
        <f>HLOOKUP(AN6,Anlageg,138,FALSE)</f>
        <v>0.17455999999999999</v>
      </c>
      <c r="AO48" s="21"/>
      <c r="AP48" s="27">
        <f>AM48+AN48</f>
        <v>1</v>
      </c>
    </row>
    <row r="49" spans="1:42" x14ac:dyDescent="0.35">
      <c r="A49" s="16" t="s">
        <v>122</v>
      </c>
      <c r="B49" s="17" t="s">
        <v>123</v>
      </c>
      <c r="C49" s="18"/>
      <c r="D49" s="485">
        <v>45</v>
      </c>
      <c r="E49" s="485">
        <v>44</v>
      </c>
      <c r="F49" s="485">
        <v>43</v>
      </c>
      <c r="G49" s="20"/>
      <c r="H49" s="21"/>
      <c r="I49" s="21"/>
      <c r="J49" s="22"/>
      <c r="K49" s="20"/>
      <c r="L49" s="21"/>
      <c r="M49" s="21"/>
      <c r="N49" s="22"/>
      <c r="O49" s="20"/>
      <c r="P49" s="21"/>
      <c r="Q49" s="21"/>
      <c r="R49" s="22"/>
      <c r="S49" s="20"/>
      <c r="T49" s="21"/>
      <c r="U49" s="21"/>
      <c r="V49" s="22"/>
      <c r="W49" s="20"/>
      <c r="X49" s="21"/>
      <c r="Y49" s="21"/>
      <c r="Z49" s="22"/>
      <c r="AA49" s="20"/>
      <c r="AB49" s="21"/>
      <c r="AC49" s="21"/>
      <c r="AD49" s="22"/>
      <c r="AE49" s="20"/>
      <c r="AF49" s="21"/>
      <c r="AG49" s="21"/>
      <c r="AH49" s="22"/>
      <c r="AI49" s="20"/>
      <c r="AJ49" s="21"/>
      <c r="AK49" s="21"/>
      <c r="AL49" s="22"/>
      <c r="AM49" s="20"/>
      <c r="AN49" s="21"/>
      <c r="AO49" s="21"/>
      <c r="AP49" s="22"/>
    </row>
    <row r="50" spans="1:42" ht="12.75" customHeight="1" x14ac:dyDescent="0.35">
      <c r="A50" s="19" t="s">
        <v>124</v>
      </c>
      <c r="B50" s="482" t="s">
        <v>125</v>
      </c>
      <c r="C50" s="483" t="s">
        <v>126</v>
      </c>
      <c r="D50" s="485">
        <v>46</v>
      </c>
      <c r="E50" s="485">
        <v>45</v>
      </c>
      <c r="F50" s="485">
        <v>44</v>
      </c>
      <c r="G50" s="484">
        <v>1</v>
      </c>
      <c r="H50" s="484"/>
      <c r="I50" s="484"/>
      <c r="J50" s="23">
        <f>G50+H50+I50</f>
        <v>1</v>
      </c>
      <c r="K50" s="484">
        <f>G50</f>
        <v>1</v>
      </c>
      <c r="L50" s="484">
        <f t="shared" ref="L50:M53" si="154">H50</f>
        <v>0</v>
      </c>
      <c r="M50" s="484">
        <f t="shared" si="154"/>
        <v>0</v>
      </c>
      <c r="N50" s="23">
        <f>K50+L50+M50</f>
        <v>1</v>
      </c>
      <c r="O50" s="484">
        <f>K50</f>
        <v>1</v>
      </c>
      <c r="P50" s="484">
        <f t="shared" ref="P50:P53" si="155">L50</f>
        <v>0</v>
      </c>
      <c r="Q50" s="484">
        <f t="shared" ref="Q50:Q53" si="156">M50</f>
        <v>0</v>
      </c>
      <c r="R50" s="23">
        <f>O50+P50+Q50</f>
        <v>1</v>
      </c>
      <c r="S50" s="484">
        <f>O50</f>
        <v>1</v>
      </c>
      <c r="T50" s="484">
        <f t="shared" ref="T50:T53" si="157">P50</f>
        <v>0</v>
      </c>
      <c r="U50" s="484">
        <f t="shared" ref="U50:U53" si="158">Q50</f>
        <v>0</v>
      </c>
      <c r="V50" s="23">
        <f>S50+T50+U50</f>
        <v>1</v>
      </c>
      <c r="W50" s="484">
        <f>S50</f>
        <v>1</v>
      </c>
      <c r="X50" s="484">
        <f t="shared" ref="X50:X53" si="159">T50</f>
        <v>0</v>
      </c>
      <c r="Y50" s="484">
        <f t="shared" ref="Y50:Y53" si="160">U50</f>
        <v>0</v>
      </c>
      <c r="Z50" s="23">
        <f>W50+X50+Y50</f>
        <v>1</v>
      </c>
      <c r="AA50" s="484">
        <f>W50</f>
        <v>1</v>
      </c>
      <c r="AB50" s="484">
        <f t="shared" ref="AB50:AB53" si="161">X50</f>
        <v>0</v>
      </c>
      <c r="AC50" s="484">
        <f t="shared" ref="AC50:AC53" si="162">Y50</f>
        <v>0</v>
      </c>
      <c r="AD50" s="23">
        <f>AA50+AB50+AC50</f>
        <v>1</v>
      </c>
      <c r="AE50" s="484">
        <f>AA50</f>
        <v>1</v>
      </c>
      <c r="AF50" s="484">
        <f t="shared" ref="AF50:AF53" si="163">AB50</f>
        <v>0</v>
      </c>
      <c r="AG50" s="484">
        <f t="shared" ref="AG50:AG53" si="164">AC50</f>
        <v>0</v>
      </c>
      <c r="AH50" s="23">
        <f>AE50+AF50+AG50</f>
        <v>1</v>
      </c>
      <c r="AI50" s="484">
        <f>AE50</f>
        <v>1</v>
      </c>
      <c r="AJ50" s="484">
        <f t="shared" ref="AJ50:AJ53" si="165">AF50</f>
        <v>0</v>
      </c>
      <c r="AK50" s="484">
        <f t="shared" ref="AK50:AK53" si="166">AG50</f>
        <v>0</v>
      </c>
      <c r="AL50" s="23">
        <f>AI50+AJ50+AK50</f>
        <v>1</v>
      </c>
      <c r="AM50" s="484">
        <f>AI50</f>
        <v>1</v>
      </c>
      <c r="AN50" s="484">
        <f t="shared" ref="AN50:AN53" si="167">AJ50</f>
        <v>0</v>
      </c>
      <c r="AO50" s="484">
        <f t="shared" ref="AO50:AO53" si="168">AK50</f>
        <v>0</v>
      </c>
      <c r="AP50" s="23">
        <f>AM50+AN50+AO50</f>
        <v>1</v>
      </c>
    </row>
    <row r="51" spans="1:42" x14ac:dyDescent="0.35">
      <c r="A51" s="19" t="s">
        <v>127</v>
      </c>
      <c r="B51" s="482" t="s">
        <v>128</v>
      </c>
      <c r="C51" s="483" t="s">
        <v>129</v>
      </c>
      <c r="D51" s="485">
        <v>47</v>
      </c>
      <c r="E51" s="485">
        <v>46</v>
      </c>
      <c r="F51" s="485">
        <v>45</v>
      </c>
      <c r="G51" s="484">
        <v>0.5</v>
      </c>
      <c r="H51" s="484">
        <v>0.25</v>
      </c>
      <c r="I51" s="484">
        <v>0.25</v>
      </c>
      <c r="J51" s="23">
        <f>G51+H51+I51</f>
        <v>1</v>
      </c>
      <c r="K51" s="484">
        <f t="shared" ref="K51:K53" si="169">G51</f>
        <v>0.5</v>
      </c>
      <c r="L51" s="484">
        <f t="shared" si="154"/>
        <v>0.25</v>
      </c>
      <c r="M51" s="484">
        <f t="shared" si="154"/>
        <v>0.25</v>
      </c>
      <c r="N51" s="23">
        <f>K51+L51+M51</f>
        <v>1</v>
      </c>
      <c r="O51" s="484">
        <f t="shared" ref="O51:O53" si="170">K51</f>
        <v>0.5</v>
      </c>
      <c r="P51" s="484">
        <f t="shared" si="155"/>
        <v>0.25</v>
      </c>
      <c r="Q51" s="484">
        <f t="shared" si="156"/>
        <v>0.25</v>
      </c>
      <c r="R51" s="23">
        <f>O51+P51+Q51</f>
        <v>1</v>
      </c>
      <c r="S51" s="484">
        <f t="shared" ref="S51:S53" si="171">O51</f>
        <v>0.5</v>
      </c>
      <c r="T51" s="484">
        <f t="shared" si="157"/>
        <v>0.25</v>
      </c>
      <c r="U51" s="484">
        <f t="shared" si="158"/>
        <v>0.25</v>
      </c>
      <c r="V51" s="23">
        <f>S51+T51+U51</f>
        <v>1</v>
      </c>
      <c r="W51" s="484">
        <f t="shared" ref="W51:W53" si="172">S51</f>
        <v>0.5</v>
      </c>
      <c r="X51" s="484">
        <f t="shared" si="159"/>
        <v>0.25</v>
      </c>
      <c r="Y51" s="484">
        <f t="shared" si="160"/>
        <v>0.25</v>
      </c>
      <c r="Z51" s="23">
        <f>W51+X51+Y51</f>
        <v>1</v>
      </c>
      <c r="AA51" s="484">
        <f t="shared" ref="AA51:AA53" si="173">W51</f>
        <v>0.5</v>
      </c>
      <c r="AB51" s="484">
        <f t="shared" si="161"/>
        <v>0.25</v>
      </c>
      <c r="AC51" s="484">
        <f t="shared" si="162"/>
        <v>0.25</v>
      </c>
      <c r="AD51" s="23">
        <f>AA51+AB51+AC51</f>
        <v>1</v>
      </c>
      <c r="AE51" s="484">
        <f t="shared" ref="AE51:AE53" si="174">AA51</f>
        <v>0.5</v>
      </c>
      <c r="AF51" s="484">
        <f t="shared" si="163"/>
        <v>0.25</v>
      </c>
      <c r="AG51" s="484">
        <f t="shared" si="164"/>
        <v>0.25</v>
      </c>
      <c r="AH51" s="23">
        <f>AE51+AF51+AG51</f>
        <v>1</v>
      </c>
      <c r="AI51" s="484">
        <f t="shared" ref="AI51:AI53" si="175">AE51</f>
        <v>0.5</v>
      </c>
      <c r="AJ51" s="484">
        <f t="shared" si="165"/>
        <v>0.25</v>
      </c>
      <c r="AK51" s="484">
        <f t="shared" si="166"/>
        <v>0.25</v>
      </c>
      <c r="AL51" s="23">
        <f>AI51+AJ51+AK51</f>
        <v>1</v>
      </c>
      <c r="AM51" s="484">
        <f t="shared" ref="AM51:AM53" si="176">AI51</f>
        <v>0.5</v>
      </c>
      <c r="AN51" s="484">
        <f t="shared" si="167"/>
        <v>0.25</v>
      </c>
      <c r="AO51" s="484">
        <f t="shared" si="168"/>
        <v>0.25</v>
      </c>
      <c r="AP51" s="23">
        <f>AM51+AN51+AO51</f>
        <v>1</v>
      </c>
    </row>
    <row r="52" spans="1:42" x14ac:dyDescent="0.35">
      <c r="A52" s="19" t="s">
        <v>130</v>
      </c>
      <c r="B52" s="482" t="s">
        <v>131</v>
      </c>
      <c r="C52" s="25" t="s">
        <v>132</v>
      </c>
      <c r="D52" s="485">
        <v>48</v>
      </c>
      <c r="E52" s="485">
        <v>47</v>
      </c>
      <c r="F52" s="485">
        <v>46</v>
      </c>
      <c r="G52" s="484"/>
      <c r="H52" s="484">
        <v>0.5</v>
      </c>
      <c r="I52" s="484">
        <v>0.5</v>
      </c>
      <c r="J52" s="23">
        <f>G52+H52+I52</f>
        <v>1</v>
      </c>
      <c r="K52" s="484">
        <f t="shared" si="169"/>
        <v>0</v>
      </c>
      <c r="L52" s="484">
        <f t="shared" si="154"/>
        <v>0.5</v>
      </c>
      <c r="M52" s="484">
        <f t="shared" si="154"/>
        <v>0.5</v>
      </c>
      <c r="N52" s="23">
        <f>K52+L52+M52</f>
        <v>1</v>
      </c>
      <c r="O52" s="484">
        <f t="shared" si="170"/>
        <v>0</v>
      </c>
      <c r="P52" s="484">
        <f t="shared" si="155"/>
        <v>0.5</v>
      </c>
      <c r="Q52" s="484">
        <f t="shared" si="156"/>
        <v>0.5</v>
      </c>
      <c r="R52" s="23">
        <f>O52+P52+Q52</f>
        <v>1</v>
      </c>
      <c r="S52" s="484">
        <f t="shared" si="171"/>
        <v>0</v>
      </c>
      <c r="T52" s="484">
        <f t="shared" si="157"/>
        <v>0.5</v>
      </c>
      <c r="U52" s="484">
        <f t="shared" si="158"/>
        <v>0.5</v>
      </c>
      <c r="V52" s="23">
        <f>S52+T52+U52</f>
        <v>1</v>
      </c>
      <c r="W52" s="484">
        <f t="shared" si="172"/>
        <v>0</v>
      </c>
      <c r="X52" s="484">
        <f t="shared" si="159"/>
        <v>0.5</v>
      </c>
      <c r="Y52" s="484">
        <f t="shared" si="160"/>
        <v>0.5</v>
      </c>
      <c r="Z52" s="23">
        <f>W52+X52+Y52</f>
        <v>1</v>
      </c>
      <c r="AA52" s="484">
        <f t="shared" si="173"/>
        <v>0</v>
      </c>
      <c r="AB52" s="484">
        <f t="shared" si="161"/>
        <v>0.5</v>
      </c>
      <c r="AC52" s="484">
        <f t="shared" si="162"/>
        <v>0.5</v>
      </c>
      <c r="AD52" s="23">
        <f>AA52+AB52+AC52</f>
        <v>1</v>
      </c>
      <c r="AE52" s="484">
        <f t="shared" si="174"/>
        <v>0</v>
      </c>
      <c r="AF52" s="484">
        <f t="shared" si="163"/>
        <v>0.5</v>
      </c>
      <c r="AG52" s="484">
        <f t="shared" si="164"/>
        <v>0.5</v>
      </c>
      <c r="AH52" s="23">
        <f>AE52+AF52+AG52</f>
        <v>1</v>
      </c>
      <c r="AI52" s="484">
        <f t="shared" si="175"/>
        <v>0</v>
      </c>
      <c r="AJ52" s="484">
        <f t="shared" si="165"/>
        <v>0.5</v>
      </c>
      <c r="AK52" s="484">
        <f t="shared" si="166"/>
        <v>0.5</v>
      </c>
      <c r="AL52" s="23">
        <f>AI52+AJ52+AK52</f>
        <v>1</v>
      </c>
      <c r="AM52" s="484">
        <f t="shared" si="176"/>
        <v>0</v>
      </c>
      <c r="AN52" s="484">
        <f t="shared" si="167"/>
        <v>0.5</v>
      </c>
      <c r="AO52" s="484">
        <f t="shared" si="168"/>
        <v>0.5</v>
      </c>
      <c r="AP52" s="23">
        <f>AM52+AN52+AO52</f>
        <v>1</v>
      </c>
    </row>
    <row r="53" spans="1:42" ht="15" thickBot="1" x14ac:dyDescent="0.4">
      <c r="A53" s="19" t="s">
        <v>133</v>
      </c>
      <c r="B53" s="29" t="s">
        <v>26</v>
      </c>
      <c r="C53" s="25" t="s">
        <v>134</v>
      </c>
      <c r="D53" s="485">
        <v>49</v>
      </c>
      <c r="E53" s="485">
        <v>48</v>
      </c>
      <c r="F53" s="485">
        <v>47</v>
      </c>
      <c r="G53" s="484">
        <v>0.9</v>
      </c>
      <c r="H53" s="484">
        <v>0.05</v>
      </c>
      <c r="I53" s="484">
        <v>0.05</v>
      </c>
      <c r="J53" s="23">
        <f>G53+H53+I53</f>
        <v>1</v>
      </c>
      <c r="K53" s="484">
        <f t="shared" si="169"/>
        <v>0.9</v>
      </c>
      <c r="L53" s="484">
        <f t="shared" si="154"/>
        <v>0.05</v>
      </c>
      <c r="M53" s="484">
        <f t="shared" si="154"/>
        <v>0.05</v>
      </c>
      <c r="N53" s="23">
        <f>K53+L53+M53</f>
        <v>1</v>
      </c>
      <c r="O53" s="484">
        <f t="shared" si="170"/>
        <v>0.9</v>
      </c>
      <c r="P53" s="484">
        <f t="shared" si="155"/>
        <v>0.05</v>
      </c>
      <c r="Q53" s="484">
        <f t="shared" si="156"/>
        <v>0.05</v>
      </c>
      <c r="R53" s="23">
        <f>O53+P53+Q53</f>
        <v>1</v>
      </c>
      <c r="S53" s="484">
        <f t="shared" si="171"/>
        <v>0.9</v>
      </c>
      <c r="T53" s="484">
        <f t="shared" si="157"/>
        <v>0.05</v>
      </c>
      <c r="U53" s="484">
        <f t="shared" si="158"/>
        <v>0.05</v>
      </c>
      <c r="V53" s="23">
        <f>S53+T53+U53</f>
        <v>1</v>
      </c>
      <c r="W53" s="484">
        <f t="shared" si="172"/>
        <v>0.9</v>
      </c>
      <c r="X53" s="484">
        <f t="shared" si="159"/>
        <v>0.05</v>
      </c>
      <c r="Y53" s="484">
        <f t="shared" si="160"/>
        <v>0.05</v>
      </c>
      <c r="Z53" s="23">
        <f>W53+X53+Y53</f>
        <v>1</v>
      </c>
      <c r="AA53" s="484">
        <f t="shared" si="173"/>
        <v>0.9</v>
      </c>
      <c r="AB53" s="484">
        <f t="shared" si="161"/>
        <v>0.05</v>
      </c>
      <c r="AC53" s="484">
        <f t="shared" si="162"/>
        <v>0.05</v>
      </c>
      <c r="AD53" s="23">
        <f>AA53+AB53+AC53</f>
        <v>1</v>
      </c>
      <c r="AE53" s="484">
        <f t="shared" si="174"/>
        <v>0.9</v>
      </c>
      <c r="AF53" s="484">
        <f t="shared" si="163"/>
        <v>0.05</v>
      </c>
      <c r="AG53" s="484">
        <f t="shared" si="164"/>
        <v>0.05</v>
      </c>
      <c r="AH53" s="23">
        <f>AE53+AF53+AG53</f>
        <v>1</v>
      </c>
      <c r="AI53" s="484">
        <f t="shared" si="175"/>
        <v>0.9</v>
      </c>
      <c r="AJ53" s="484">
        <f t="shared" si="165"/>
        <v>0.05</v>
      </c>
      <c r="AK53" s="484">
        <f t="shared" si="166"/>
        <v>0.05</v>
      </c>
      <c r="AL53" s="23">
        <f>AI53+AJ53+AK53</f>
        <v>1</v>
      </c>
      <c r="AM53" s="484">
        <f t="shared" si="176"/>
        <v>0.9</v>
      </c>
      <c r="AN53" s="484">
        <f t="shared" si="167"/>
        <v>0.05</v>
      </c>
      <c r="AO53" s="484">
        <f t="shared" si="168"/>
        <v>0.05</v>
      </c>
      <c r="AP53" s="23">
        <f>AM53+AN53+AO53</f>
        <v>1</v>
      </c>
    </row>
    <row r="54" spans="1:42" x14ac:dyDescent="0.35">
      <c r="A54" s="30"/>
      <c r="B54" s="31"/>
      <c r="C54" s="31"/>
      <c r="D54" s="31"/>
      <c r="E54" s="31"/>
      <c r="F54" s="31"/>
      <c r="G54" s="31"/>
      <c r="H54" s="31"/>
      <c r="I54" s="31"/>
      <c r="J54" s="32"/>
      <c r="K54" s="31"/>
      <c r="L54" s="31"/>
      <c r="M54" s="31"/>
      <c r="N54" s="32"/>
      <c r="O54" s="31"/>
      <c r="P54" s="31"/>
      <c r="Q54" s="31"/>
      <c r="R54" s="32"/>
      <c r="S54" s="31"/>
      <c r="T54" s="31"/>
      <c r="U54" s="31"/>
      <c r="V54" s="32"/>
      <c r="W54" s="31"/>
      <c r="X54" s="31"/>
      <c r="Y54" s="31"/>
      <c r="Z54" s="32"/>
      <c r="AA54" s="31"/>
      <c r="AB54" s="31"/>
      <c r="AC54" s="31"/>
      <c r="AD54" s="32"/>
      <c r="AE54" s="31"/>
      <c r="AF54" s="31"/>
      <c r="AG54" s="31"/>
      <c r="AH54" s="32"/>
      <c r="AI54" s="31"/>
      <c r="AJ54" s="31"/>
      <c r="AK54" s="31"/>
      <c r="AL54" s="32"/>
      <c r="AM54" s="31"/>
      <c r="AN54" s="31"/>
      <c r="AO54" s="31"/>
      <c r="AP54" s="32"/>
    </row>
  </sheetData>
  <mergeCells count="50">
    <mergeCell ref="G8:J8"/>
    <mergeCell ref="K8:N8"/>
    <mergeCell ref="K2:N2"/>
    <mergeCell ref="G3:G4"/>
    <mergeCell ref="H3:I3"/>
    <mergeCell ref="J3:J4"/>
    <mergeCell ref="K3:K4"/>
    <mergeCell ref="L3:M3"/>
    <mergeCell ref="N3:N4"/>
    <mergeCell ref="A1:A4"/>
    <mergeCell ref="B1:J1"/>
    <mergeCell ref="B2:B4"/>
    <mergeCell ref="C2:C4"/>
    <mergeCell ref="D2:F2"/>
    <mergeCell ref="G2:J2"/>
    <mergeCell ref="O2:R2"/>
    <mergeCell ref="O3:O4"/>
    <mergeCell ref="P3:Q3"/>
    <mergeCell ref="R3:R4"/>
    <mergeCell ref="O8:R8"/>
    <mergeCell ref="S8:V8"/>
    <mergeCell ref="W8:Z8"/>
    <mergeCell ref="AA2:AD2"/>
    <mergeCell ref="AE2:AH2"/>
    <mergeCell ref="AI2:AL2"/>
    <mergeCell ref="AA8:AD8"/>
    <mergeCell ref="AE8:AH8"/>
    <mergeCell ref="AI8:AL8"/>
    <mergeCell ref="S2:V2"/>
    <mergeCell ref="W2:Z2"/>
    <mergeCell ref="S3:S4"/>
    <mergeCell ref="T3:U3"/>
    <mergeCell ref="V3:V4"/>
    <mergeCell ref="W3:W4"/>
    <mergeCell ref="X3:Y3"/>
    <mergeCell ref="Z3:Z4"/>
    <mergeCell ref="AM8:AP8"/>
    <mergeCell ref="AM2:AP2"/>
    <mergeCell ref="AA3:AA4"/>
    <mergeCell ref="AB3:AC3"/>
    <mergeCell ref="AD3:AD4"/>
    <mergeCell ref="AE3:AE4"/>
    <mergeCell ref="AF3:AG3"/>
    <mergeCell ref="AH3:AH4"/>
    <mergeCell ref="AI3:AI4"/>
    <mergeCell ref="AJ3:AK3"/>
    <mergeCell ref="AL3:AL4"/>
    <mergeCell ref="AM3:AM4"/>
    <mergeCell ref="AN3:AO3"/>
    <mergeCell ref="AP3:AP4"/>
  </mergeCells>
  <conditionalFormatting sqref="J10">
    <cfRule type="cellIs" dxfId="575" priority="1073" stopIfTrue="1" operator="lessThan">
      <formula>1</formula>
    </cfRule>
    <cfRule type="cellIs" dxfId="574" priority="1074" stopIfTrue="1" operator="greaterThan">
      <formula>1</formula>
    </cfRule>
  </conditionalFormatting>
  <conditionalFormatting sqref="J11">
    <cfRule type="cellIs" dxfId="573" priority="1071" stopIfTrue="1" operator="lessThan">
      <formula>1</formula>
    </cfRule>
    <cfRule type="cellIs" dxfId="572" priority="1072" stopIfTrue="1" operator="greaterThan">
      <formula>1</formula>
    </cfRule>
  </conditionalFormatting>
  <conditionalFormatting sqref="J12">
    <cfRule type="cellIs" dxfId="571" priority="1069" stopIfTrue="1" operator="lessThan">
      <formula>1</formula>
    </cfRule>
    <cfRule type="cellIs" dxfId="570" priority="1070" stopIfTrue="1" operator="greaterThan">
      <formula>1</formula>
    </cfRule>
  </conditionalFormatting>
  <conditionalFormatting sqref="J15">
    <cfRule type="cellIs" dxfId="569" priority="1067" stopIfTrue="1" operator="lessThan">
      <formula>1</formula>
    </cfRule>
    <cfRule type="cellIs" dxfId="568" priority="1068" stopIfTrue="1" operator="greaterThan">
      <formula>1</formula>
    </cfRule>
  </conditionalFormatting>
  <conditionalFormatting sqref="J16">
    <cfRule type="cellIs" dxfId="567" priority="1065" stopIfTrue="1" operator="lessThan">
      <formula>1</formula>
    </cfRule>
    <cfRule type="cellIs" dxfId="566" priority="1066" stopIfTrue="1" operator="greaterThan">
      <formula>1</formula>
    </cfRule>
  </conditionalFormatting>
  <conditionalFormatting sqref="J17">
    <cfRule type="cellIs" dxfId="565" priority="1063" stopIfTrue="1" operator="lessThan">
      <formula>1</formula>
    </cfRule>
    <cfRule type="cellIs" dxfId="564" priority="1064" stopIfTrue="1" operator="greaterThan">
      <formula>1</formula>
    </cfRule>
  </conditionalFormatting>
  <conditionalFormatting sqref="J18">
    <cfRule type="cellIs" dxfId="563" priority="1061" stopIfTrue="1" operator="lessThan">
      <formula>1</formula>
    </cfRule>
    <cfRule type="cellIs" dxfId="562" priority="1062" stopIfTrue="1" operator="greaterThan">
      <formula>1</formula>
    </cfRule>
  </conditionalFormatting>
  <conditionalFormatting sqref="J21">
    <cfRule type="cellIs" dxfId="561" priority="1059" stopIfTrue="1" operator="lessThan">
      <formula>1</formula>
    </cfRule>
    <cfRule type="cellIs" dxfId="560" priority="1060" stopIfTrue="1" operator="greaterThan">
      <formula>1</formula>
    </cfRule>
  </conditionalFormatting>
  <conditionalFormatting sqref="J22">
    <cfRule type="cellIs" dxfId="559" priority="1057" stopIfTrue="1" operator="lessThan">
      <formula>1</formula>
    </cfRule>
    <cfRule type="cellIs" dxfId="558" priority="1058" stopIfTrue="1" operator="greaterThan">
      <formula>1</formula>
    </cfRule>
  </conditionalFormatting>
  <conditionalFormatting sqref="J23">
    <cfRule type="cellIs" dxfId="557" priority="1055" stopIfTrue="1" operator="lessThan">
      <formula>1</formula>
    </cfRule>
    <cfRule type="cellIs" dxfId="556" priority="1056" stopIfTrue="1" operator="greaterThan">
      <formula>1</formula>
    </cfRule>
  </conditionalFormatting>
  <conditionalFormatting sqref="J26">
    <cfRule type="cellIs" dxfId="555" priority="1053" stopIfTrue="1" operator="lessThan">
      <formula>1</formula>
    </cfRule>
    <cfRule type="cellIs" dxfId="554" priority="1054" stopIfTrue="1" operator="greaterThan">
      <formula>1</formula>
    </cfRule>
  </conditionalFormatting>
  <conditionalFormatting sqref="J27">
    <cfRule type="cellIs" dxfId="553" priority="1051" stopIfTrue="1" operator="lessThan">
      <formula>1</formula>
    </cfRule>
    <cfRule type="cellIs" dxfId="552" priority="1052" stopIfTrue="1" operator="greaterThan">
      <formula>1</formula>
    </cfRule>
  </conditionalFormatting>
  <conditionalFormatting sqref="J28">
    <cfRule type="cellIs" dxfId="551" priority="1049" stopIfTrue="1" operator="lessThan">
      <formula>1</formula>
    </cfRule>
    <cfRule type="cellIs" dxfId="550" priority="1050" stopIfTrue="1" operator="greaterThan">
      <formula>1</formula>
    </cfRule>
  </conditionalFormatting>
  <conditionalFormatting sqref="J43">
    <cfRule type="cellIs" dxfId="549" priority="1047" stopIfTrue="1" operator="lessThan">
      <formula>1</formula>
    </cfRule>
    <cfRule type="cellIs" dxfId="548" priority="1048" stopIfTrue="1" operator="greaterThan">
      <formula>1</formula>
    </cfRule>
  </conditionalFormatting>
  <conditionalFormatting sqref="J44">
    <cfRule type="cellIs" dxfId="547" priority="1045" stopIfTrue="1" operator="lessThan">
      <formula>1</formula>
    </cfRule>
    <cfRule type="cellIs" dxfId="546" priority="1046" stopIfTrue="1" operator="greaterThan">
      <formula>1</formula>
    </cfRule>
  </conditionalFormatting>
  <conditionalFormatting sqref="J45">
    <cfRule type="cellIs" dxfId="545" priority="1043" stopIfTrue="1" operator="lessThan">
      <formula>1</formula>
    </cfRule>
    <cfRule type="cellIs" dxfId="544" priority="1044" stopIfTrue="1" operator="greaterThan">
      <formula>1</formula>
    </cfRule>
  </conditionalFormatting>
  <conditionalFormatting sqref="J50">
    <cfRule type="cellIs" dxfId="543" priority="1041" stopIfTrue="1" operator="lessThan">
      <formula>1</formula>
    </cfRule>
    <cfRule type="cellIs" dxfId="542" priority="1042" stopIfTrue="1" operator="greaterThan">
      <formula>1</formula>
    </cfRule>
  </conditionalFormatting>
  <conditionalFormatting sqref="J51">
    <cfRule type="cellIs" dxfId="541" priority="1039" stopIfTrue="1" operator="lessThan">
      <formula>1</formula>
    </cfRule>
    <cfRule type="cellIs" dxfId="540" priority="1040" stopIfTrue="1" operator="greaterThan">
      <formula>1</formula>
    </cfRule>
  </conditionalFormatting>
  <conditionalFormatting sqref="J52">
    <cfRule type="cellIs" dxfId="539" priority="1037" stopIfTrue="1" operator="lessThan">
      <formula>1</formula>
    </cfRule>
    <cfRule type="cellIs" dxfId="538" priority="1038" stopIfTrue="1" operator="greaterThan">
      <formula>1</formula>
    </cfRule>
  </conditionalFormatting>
  <conditionalFormatting sqref="J53">
    <cfRule type="cellIs" dxfId="537" priority="1035" stopIfTrue="1" operator="lessThan">
      <formula>1</formula>
    </cfRule>
    <cfRule type="cellIs" dxfId="536" priority="1036" stopIfTrue="1" operator="greaterThan">
      <formula>1</formula>
    </cfRule>
  </conditionalFormatting>
  <conditionalFormatting sqref="J48">
    <cfRule type="cellIs" dxfId="535" priority="1029" stopIfTrue="1" operator="lessThan">
      <formula>1</formula>
    </cfRule>
    <cfRule type="cellIs" dxfId="534" priority="1030" stopIfTrue="1" operator="greaterThan">
      <formula>1</formula>
    </cfRule>
  </conditionalFormatting>
  <conditionalFormatting sqref="J19">
    <cfRule type="cellIs" dxfId="533" priority="1033" stopIfTrue="1" operator="lessThan">
      <formula>1</formula>
    </cfRule>
    <cfRule type="cellIs" dxfId="532" priority="1034" stopIfTrue="1" operator="greaterThan">
      <formula>1</formula>
    </cfRule>
  </conditionalFormatting>
  <conditionalFormatting sqref="J47">
    <cfRule type="cellIs" dxfId="531" priority="1031" stopIfTrue="1" operator="lessThan">
      <formula>1</formula>
    </cfRule>
    <cfRule type="cellIs" dxfId="530" priority="1032" stopIfTrue="1" operator="greaterThan">
      <formula>1</formula>
    </cfRule>
  </conditionalFormatting>
  <conditionalFormatting sqref="J31">
    <cfRule type="cellIs" dxfId="529" priority="1027" stopIfTrue="1" operator="lessThan">
      <formula>1</formula>
    </cfRule>
    <cfRule type="cellIs" dxfId="528" priority="1028" stopIfTrue="1" operator="greaterThan">
      <formula>1</formula>
    </cfRule>
  </conditionalFormatting>
  <conditionalFormatting sqref="J32:J33">
    <cfRule type="cellIs" dxfId="527" priority="1025" stopIfTrue="1" operator="lessThan">
      <formula>1</formula>
    </cfRule>
    <cfRule type="cellIs" dxfId="526" priority="1026" stopIfTrue="1" operator="greaterThan">
      <formula>1</formula>
    </cfRule>
  </conditionalFormatting>
  <conditionalFormatting sqref="J13">
    <cfRule type="cellIs" dxfId="525" priority="1023" stopIfTrue="1" operator="lessThan">
      <formula>1</formula>
    </cfRule>
    <cfRule type="cellIs" dxfId="524" priority="1024" stopIfTrue="1" operator="greaterThan">
      <formula>1</formula>
    </cfRule>
  </conditionalFormatting>
  <conditionalFormatting sqref="J24">
    <cfRule type="cellIs" dxfId="523" priority="1021" stopIfTrue="1" operator="lessThan">
      <formula>1</formula>
    </cfRule>
    <cfRule type="cellIs" dxfId="522" priority="1022" stopIfTrue="1" operator="greaterThan">
      <formula>1</formula>
    </cfRule>
  </conditionalFormatting>
  <conditionalFormatting sqref="J29">
    <cfRule type="cellIs" dxfId="521" priority="1019" stopIfTrue="1" operator="lessThan">
      <formula>1</formula>
    </cfRule>
    <cfRule type="cellIs" dxfId="520" priority="1020" stopIfTrue="1" operator="greaterThan">
      <formula>1</formula>
    </cfRule>
  </conditionalFormatting>
  <conditionalFormatting sqref="J34">
    <cfRule type="cellIs" dxfId="519" priority="1017" stopIfTrue="1" operator="lessThan">
      <formula>1</formula>
    </cfRule>
    <cfRule type="cellIs" dxfId="518" priority="1018" stopIfTrue="1" operator="greaterThan">
      <formula>1</formula>
    </cfRule>
  </conditionalFormatting>
  <conditionalFormatting sqref="J36:J38 J40:J41">
    <cfRule type="cellIs" dxfId="517" priority="1015" stopIfTrue="1" operator="lessThan">
      <formula>1</formula>
    </cfRule>
    <cfRule type="cellIs" dxfId="516" priority="1016" stopIfTrue="1" operator="greaterThan">
      <formula>1</formula>
    </cfRule>
  </conditionalFormatting>
  <conditionalFormatting sqref="J39">
    <cfRule type="cellIs" dxfId="515" priority="1013" stopIfTrue="1" operator="lessThan">
      <formula>1</formula>
    </cfRule>
    <cfRule type="cellIs" dxfId="514" priority="1014" stopIfTrue="1" operator="greaterThan">
      <formula>1</formula>
    </cfRule>
  </conditionalFormatting>
  <conditionalFormatting sqref="J46">
    <cfRule type="cellIs" dxfId="513" priority="1011" stopIfTrue="1" operator="lessThan">
      <formula>1</formula>
    </cfRule>
    <cfRule type="cellIs" dxfId="512" priority="1012" stopIfTrue="1" operator="greaterThan">
      <formula>1</formula>
    </cfRule>
  </conditionalFormatting>
  <conditionalFormatting sqref="N10">
    <cfRule type="cellIs" dxfId="511" priority="1005" stopIfTrue="1" operator="lessThan">
      <formula>1</formula>
    </cfRule>
    <cfRule type="cellIs" dxfId="510" priority="1006" stopIfTrue="1" operator="greaterThan">
      <formula>1</formula>
    </cfRule>
  </conditionalFormatting>
  <conditionalFormatting sqref="N11">
    <cfRule type="cellIs" dxfId="509" priority="1003" stopIfTrue="1" operator="lessThan">
      <formula>1</formula>
    </cfRule>
    <cfRule type="cellIs" dxfId="508" priority="1004" stopIfTrue="1" operator="greaterThan">
      <formula>1</formula>
    </cfRule>
  </conditionalFormatting>
  <conditionalFormatting sqref="N12">
    <cfRule type="cellIs" dxfId="507" priority="1001" stopIfTrue="1" operator="lessThan">
      <formula>1</formula>
    </cfRule>
    <cfRule type="cellIs" dxfId="506" priority="1002" stopIfTrue="1" operator="greaterThan">
      <formula>1</formula>
    </cfRule>
  </conditionalFormatting>
  <conditionalFormatting sqref="N15">
    <cfRule type="cellIs" dxfId="505" priority="999" stopIfTrue="1" operator="lessThan">
      <formula>1</formula>
    </cfRule>
    <cfRule type="cellIs" dxfId="504" priority="1000" stopIfTrue="1" operator="greaterThan">
      <formula>1</formula>
    </cfRule>
  </conditionalFormatting>
  <conditionalFormatting sqref="N16">
    <cfRule type="cellIs" dxfId="503" priority="997" stopIfTrue="1" operator="lessThan">
      <formula>1</formula>
    </cfRule>
    <cfRule type="cellIs" dxfId="502" priority="998" stopIfTrue="1" operator="greaterThan">
      <formula>1</formula>
    </cfRule>
  </conditionalFormatting>
  <conditionalFormatting sqref="N17">
    <cfRule type="cellIs" dxfId="501" priority="995" stopIfTrue="1" operator="lessThan">
      <formula>1</formula>
    </cfRule>
    <cfRule type="cellIs" dxfId="500" priority="996" stopIfTrue="1" operator="greaterThan">
      <formula>1</formula>
    </cfRule>
  </conditionalFormatting>
  <conditionalFormatting sqref="N18">
    <cfRule type="cellIs" dxfId="499" priority="993" stopIfTrue="1" operator="lessThan">
      <formula>1</formula>
    </cfRule>
    <cfRule type="cellIs" dxfId="498" priority="994" stopIfTrue="1" operator="greaterThan">
      <formula>1</formula>
    </cfRule>
  </conditionalFormatting>
  <conditionalFormatting sqref="N21">
    <cfRule type="cellIs" dxfId="497" priority="991" stopIfTrue="1" operator="lessThan">
      <formula>1</formula>
    </cfRule>
    <cfRule type="cellIs" dxfId="496" priority="992" stopIfTrue="1" operator="greaterThan">
      <formula>1</formula>
    </cfRule>
  </conditionalFormatting>
  <conditionalFormatting sqref="N22">
    <cfRule type="cellIs" dxfId="495" priority="989" stopIfTrue="1" operator="lessThan">
      <formula>1</formula>
    </cfRule>
    <cfRule type="cellIs" dxfId="494" priority="990" stopIfTrue="1" operator="greaterThan">
      <formula>1</formula>
    </cfRule>
  </conditionalFormatting>
  <conditionalFormatting sqref="N23">
    <cfRule type="cellIs" dxfId="493" priority="987" stopIfTrue="1" operator="lessThan">
      <formula>1</formula>
    </cfRule>
    <cfRule type="cellIs" dxfId="492" priority="988" stopIfTrue="1" operator="greaterThan">
      <formula>1</formula>
    </cfRule>
  </conditionalFormatting>
  <conditionalFormatting sqref="N26">
    <cfRule type="cellIs" dxfId="491" priority="985" stopIfTrue="1" operator="lessThan">
      <formula>1</formula>
    </cfRule>
    <cfRule type="cellIs" dxfId="490" priority="986" stopIfTrue="1" operator="greaterThan">
      <formula>1</formula>
    </cfRule>
  </conditionalFormatting>
  <conditionalFormatting sqref="N27">
    <cfRule type="cellIs" dxfId="489" priority="983" stopIfTrue="1" operator="lessThan">
      <formula>1</formula>
    </cfRule>
    <cfRule type="cellIs" dxfId="488" priority="984" stopIfTrue="1" operator="greaterThan">
      <formula>1</formula>
    </cfRule>
  </conditionalFormatting>
  <conditionalFormatting sqref="N28">
    <cfRule type="cellIs" dxfId="487" priority="981" stopIfTrue="1" operator="lessThan">
      <formula>1</formula>
    </cfRule>
    <cfRule type="cellIs" dxfId="486" priority="982" stopIfTrue="1" operator="greaterThan">
      <formula>1</formula>
    </cfRule>
  </conditionalFormatting>
  <conditionalFormatting sqref="N43">
    <cfRule type="cellIs" dxfId="485" priority="979" stopIfTrue="1" operator="lessThan">
      <formula>1</formula>
    </cfRule>
    <cfRule type="cellIs" dxfId="484" priority="980" stopIfTrue="1" operator="greaterThan">
      <formula>1</formula>
    </cfRule>
  </conditionalFormatting>
  <conditionalFormatting sqref="N44">
    <cfRule type="cellIs" dxfId="483" priority="977" stopIfTrue="1" operator="lessThan">
      <formula>1</formula>
    </cfRule>
    <cfRule type="cellIs" dxfId="482" priority="978" stopIfTrue="1" operator="greaterThan">
      <formula>1</formula>
    </cfRule>
  </conditionalFormatting>
  <conditionalFormatting sqref="N45">
    <cfRule type="cellIs" dxfId="481" priority="975" stopIfTrue="1" operator="lessThan">
      <formula>1</formula>
    </cfRule>
    <cfRule type="cellIs" dxfId="480" priority="976" stopIfTrue="1" operator="greaterThan">
      <formula>1</formula>
    </cfRule>
  </conditionalFormatting>
  <conditionalFormatting sqref="N50">
    <cfRule type="cellIs" dxfId="479" priority="973" stopIfTrue="1" operator="lessThan">
      <formula>1</formula>
    </cfRule>
    <cfRule type="cellIs" dxfId="478" priority="974" stopIfTrue="1" operator="greaterThan">
      <formula>1</formula>
    </cfRule>
  </conditionalFormatting>
  <conditionalFormatting sqref="N51">
    <cfRule type="cellIs" dxfId="477" priority="971" stopIfTrue="1" operator="lessThan">
      <formula>1</formula>
    </cfRule>
    <cfRule type="cellIs" dxfId="476" priority="972" stopIfTrue="1" operator="greaterThan">
      <formula>1</formula>
    </cfRule>
  </conditionalFormatting>
  <conditionalFormatting sqref="N52">
    <cfRule type="cellIs" dxfId="475" priority="969" stopIfTrue="1" operator="lessThan">
      <formula>1</formula>
    </cfRule>
    <cfRule type="cellIs" dxfId="474" priority="970" stopIfTrue="1" operator="greaterThan">
      <formula>1</formula>
    </cfRule>
  </conditionalFormatting>
  <conditionalFormatting sqref="N53">
    <cfRule type="cellIs" dxfId="473" priority="967" stopIfTrue="1" operator="lessThan">
      <formula>1</formula>
    </cfRule>
    <cfRule type="cellIs" dxfId="472" priority="968" stopIfTrue="1" operator="greaterThan">
      <formula>1</formula>
    </cfRule>
  </conditionalFormatting>
  <conditionalFormatting sqref="N48">
    <cfRule type="cellIs" dxfId="471" priority="961" stopIfTrue="1" operator="lessThan">
      <formula>1</formula>
    </cfRule>
    <cfRule type="cellIs" dxfId="470" priority="962" stopIfTrue="1" operator="greaterThan">
      <formula>1</formula>
    </cfRule>
  </conditionalFormatting>
  <conditionalFormatting sqref="N19">
    <cfRule type="cellIs" dxfId="469" priority="965" stopIfTrue="1" operator="lessThan">
      <formula>1</formula>
    </cfRule>
    <cfRule type="cellIs" dxfId="468" priority="966" stopIfTrue="1" operator="greaterThan">
      <formula>1</formula>
    </cfRule>
  </conditionalFormatting>
  <conditionalFormatting sqref="N47">
    <cfRule type="cellIs" dxfId="467" priority="963" stopIfTrue="1" operator="lessThan">
      <formula>1</formula>
    </cfRule>
    <cfRule type="cellIs" dxfId="466" priority="964" stopIfTrue="1" operator="greaterThan">
      <formula>1</formula>
    </cfRule>
  </conditionalFormatting>
  <conditionalFormatting sqref="N31">
    <cfRule type="cellIs" dxfId="465" priority="959" stopIfTrue="1" operator="lessThan">
      <formula>1</formula>
    </cfRule>
    <cfRule type="cellIs" dxfId="464" priority="960" stopIfTrue="1" operator="greaterThan">
      <formula>1</formula>
    </cfRule>
  </conditionalFormatting>
  <conditionalFormatting sqref="N32:N33">
    <cfRule type="cellIs" dxfId="463" priority="957" stopIfTrue="1" operator="lessThan">
      <formula>1</formula>
    </cfRule>
    <cfRule type="cellIs" dxfId="462" priority="958" stopIfTrue="1" operator="greaterThan">
      <formula>1</formula>
    </cfRule>
  </conditionalFormatting>
  <conditionalFormatting sqref="N13">
    <cfRule type="cellIs" dxfId="461" priority="955" stopIfTrue="1" operator="lessThan">
      <formula>1</formula>
    </cfRule>
    <cfRule type="cellIs" dxfId="460" priority="956" stopIfTrue="1" operator="greaterThan">
      <formula>1</formula>
    </cfRule>
  </conditionalFormatting>
  <conditionalFormatting sqref="N24">
    <cfRule type="cellIs" dxfId="459" priority="953" stopIfTrue="1" operator="lessThan">
      <formula>1</formula>
    </cfRule>
    <cfRule type="cellIs" dxfId="458" priority="954" stopIfTrue="1" operator="greaterThan">
      <formula>1</formula>
    </cfRule>
  </conditionalFormatting>
  <conditionalFormatting sqref="N29">
    <cfRule type="cellIs" dxfId="457" priority="951" stopIfTrue="1" operator="lessThan">
      <formula>1</formula>
    </cfRule>
    <cfRule type="cellIs" dxfId="456" priority="952" stopIfTrue="1" operator="greaterThan">
      <formula>1</formula>
    </cfRule>
  </conditionalFormatting>
  <conditionalFormatting sqref="N34">
    <cfRule type="cellIs" dxfId="455" priority="949" stopIfTrue="1" operator="lessThan">
      <formula>1</formula>
    </cfRule>
    <cfRule type="cellIs" dxfId="454" priority="950" stopIfTrue="1" operator="greaterThan">
      <formula>1</formula>
    </cfRule>
  </conditionalFormatting>
  <conditionalFormatting sqref="N36:N38 N40:N41">
    <cfRule type="cellIs" dxfId="453" priority="947" stopIfTrue="1" operator="lessThan">
      <formula>1</formula>
    </cfRule>
    <cfRule type="cellIs" dxfId="452" priority="948" stopIfTrue="1" operator="greaterThan">
      <formula>1</formula>
    </cfRule>
  </conditionalFormatting>
  <conditionalFormatting sqref="N39">
    <cfRule type="cellIs" dxfId="451" priority="945" stopIfTrue="1" operator="lessThan">
      <formula>1</formula>
    </cfRule>
    <cfRule type="cellIs" dxfId="450" priority="946" stopIfTrue="1" operator="greaterThan">
      <formula>1</formula>
    </cfRule>
  </conditionalFormatting>
  <conditionalFormatting sqref="N46">
    <cfRule type="cellIs" dxfId="449" priority="943" stopIfTrue="1" operator="lessThan">
      <formula>1</formula>
    </cfRule>
    <cfRule type="cellIs" dxfId="448" priority="944" stopIfTrue="1" operator="greaterThan">
      <formula>1</formula>
    </cfRule>
  </conditionalFormatting>
  <conditionalFormatting sqref="R10">
    <cfRule type="cellIs" dxfId="447" priority="447" stopIfTrue="1" operator="lessThan">
      <formula>1</formula>
    </cfRule>
    <cfRule type="cellIs" dxfId="446" priority="448" stopIfTrue="1" operator="greaterThan">
      <formula>1</formula>
    </cfRule>
  </conditionalFormatting>
  <conditionalFormatting sqref="R11">
    <cfRule type="cellIs" dxfId="445" priority="445" stopIfTrue="1" operator="lessThan">
      <formula>1</formula>
    </cfRule>
    <cfRule type="cellIs" dxfId="444" priority="446" stopIfTrue="1" operator="greaterThan">
      <formula>1</formula>
    </cfRule>
  </conditionalFormatting>
  <conditionalFormatting sqref="R12">
    <cfRule type="cellIs" dxfId="443" priority="443" stopIfTrue="1" operator="lessThan">
      <formula>1</formula>
    </cfRule>
    <cfRule type="cellIs" dxfId="442" priority="444" stopIfTrue="1" operator="greaterThan">
      <formula>1</formula>
    </cfRule>
  </conditionalFormatting>
  <conditionalFormatting sqref="R15">
    <cfRule type="cellIs" dxfId="441" priority="441" stopIfTrue="1" operator="lessThan">
      <formula>1</formula>
    </cfRule>
    <cfRule type="cellIs" dxfId="440" priority="442" stopIfTrue="1" operator="greaterThan">
      <formula>1</formula>
    </cfRule>
  </conditionalFormatting>
  <conditionalFormatting sqref="R16">
    <cfRule type="cellIs" dxfId="439" priority="439" stopIfTrue="1" operator="lessThan">
      <formula>1</formula>
    </cfRule>
    <cfRule type="cellIs" dxfId="438" priority="440" stopIfTrue="1" operator="greaterThan">
      <formula>1</formula>
    </cfRule>
  </conditionalFormatting>
  <conditionalFormatting sqref="R17">
    <cfRule type="cellIs" dxfId="437" priority="437" stopIfTrue="1" operator="lessThan">
      <formula>1</formula>
    </cfRule>
    <cfRule type="cellIs" dxfId="436" priority="438" stopIfTrue="1" operator="greaterThan">
      <formula>1</formula>
    </cfRule>
  </conditionalFormatting>
  <conditionalFormatting sqref="R18">
    <cfRule type="cellIs" dxfId="435" priority="435" stopIfTrue="1" operator="lessThan">
      <formula>1</formula>
    </cfRule>
    <cfRule type="cellIs" dxfId="434" priority="436" stopIfTrue="1" operator="greaterThan">
      <formula>1</formula>
    </cfRule>
  </conditionalFormatting>
  <conditionalFormatting sqref="R21">
    <cfRule type="cellIs" dxfId="433" priority="433" stopIfTrue="1" operator="lessThan">
      <formula>1</formula>
    </cfRule>
    <cfRule type="cellIs" dxfId="432" priority="434" stopIfTrue="1" operator="greaterThan">
      <formula>1</formula>
    </cfRule>
  </conditionalFormatting>
  <conditionalFormatting sqref="R22">
    <cfRule type="cellIs" dxfId="431" priority="431" stopIfTrue="1" operator="lessThan">
      <formula>1</formula>
    </cfRule>
    <cfRule type="cellIs" dxfId="430" priority="432" stopIfTrue="1" operator="greaterThan">
      <formula>1</formula>
    </cfRule>
  </conditionalFormatting>
  <conditionalFormatting sqref="R23">
    <cfRule type="cellIs" dxfId="429" priority="429" stopIfTrue="1" operator="lessThan">
      <formula>1</formula>
    </cfRule>
    <cfRule type="cellIs" dxfId="428" priority="430" stopIfTrue="1" operator="greaterThan">
      <formula>1</formula>
    </cfRule>
  </conditionalFormatting>
  <conditionalFormatting sqref="R26">
    <cfRule type="cellIs" dxfId="427" priority="427" stopIfTrue="1" operator="lessThan">
      <formula>1</formula>
    </cfRule>
    <cfRule type="cellIs" dxfId="426" priority="428" stopIfTrue="1" operator="greaterThan">
      <formula>1</formula>
    </cfRule>
  </conditionalFormatting>
  <conditionalFormatting sqref="R27">
    <cfRule type="cellIs" dxfId="425" priority="425" stopIfTrue="1" operator="lessThan">
      <formula>1</formula>
    </cfRule>
    <cfRule type="cellIs" dxfId="424" priority="426" stopIfTrue="1" operator="greaterThan">
      <formula>1</formula>
    </cfRule>
  </conditionalFormatting>
  <conditionalFormatting sqref="R28">
    <cfRule type="cellIs" dxfId="423" priority="423" stopIfTrue="1" operator="lessThan">
      <formula>1</formula>
    </cfRule>
    <cfRule type="cellIs" dxfId="422" priority="424" stopIfTrue="1" operator="greaterThan">
      <formula>1</formula>
    </cfRule>
  </conditionalFormatting>
  <conditionalFormatting sqref="R43">
    <cfRule type="cellIs" dxfId="421" priority="421" stopIfTrue="1" operator="lessThan">
      <formula>1</formula>
    </cfRule>
    <cfRule type="cellIs" dxfId="420" priority="422" stopIfTrue="1" operator="greaterThan">
      <formula>1</formula>
    </cfRule>
  </conditionalFormatting>
  <conditionalFormatting sqref="R44">
    <cfRule type="cellIs" dxfId="419" priority="419" stopIfTrue="1" operator="lessThan">
      <formula>1</formula>
    </cfRule>
    <cfRule type="cellIs" dxfId="418" priority="420" stopIfTrue="1" operator="greaterThan">
      <formula>1</formula>
    </cfRule>
  </conditionalFormatting>
  <conditionalFormatting sqref="R45">
    <cfRule type="cellIs" dxfId="417" priority="417" stopIfTrue="1" operator="lessThan">
      <formula>1</formula>
    </cfRule>
    <cfRule type="cellIs" dxfId="416" priority="418" stopIfTrue="1" operator="greaterThan">
      <formula>1</formula>
    </cfRule>
  </conditionalFormatting>
  <conditionalFormatting sqref="R50">
    <cfRule type="cellIs" dxfId="415" priority="415" stopIfTrue="1" operator="lessThan">
      <formula>1</formula>
    </cfRule>
    <cfRule type="cellIs" dxfId="414" priority="416" stopIfTrue="1" operator="greaterThan">
      <formula>1</formula>
    </cfRule>
  </conditionalFormatting>
  <conditionalFormatting sqref="R51">
    <cfRule type="cellIs" dxfId="413" priority="413" stopIfTrue="1" operator="lessThan">
      <formula>1</formula>
    </cfRule>
    <cfRule type="cellIs" dxfId="412" priority="414" stopIfTrue="1" operator="greaterThan">
      <formula>1</formula>
    </cfRule>
  </conditionalFormatting>
  <conditionalFormatting sqref="R52">
    <cfRule type="cellIs" dxfId="411" priority="411" stopIfTrue="1" operator="lessThan">
      <formula>1</formula>
    </cfRule>
    <cfRule type="cellIs" dxfId="410" priority="412" stopIfTrue="1" operator="greaterThan">
      <formula>1</formula>
    </cfRule>
  </conditionalFormatting>
  <conditionalFormatting sqref="R53">
    <cfRule type="cellIs" dxfId="409" priority="409" stopIfTrue="1" operator="lessThan">
      <formula>1</formula>
    </cfRule>
    <cfRule type="cellIs" dxfId="408" priority="410" stopIfTrue="1" operator="greaterThan">
      <formula>1</formula>
    </cfRule>
  </conditionalFormatting>
  <conditionalFormatting sqref="R48">
    <cfRule type="cellIs" dxfId="407" priority="403" stopIfTrue="1" operator="lessThan">
      <formula>1</formula>
    </cfRule>
    <cfRule type="cellIs" dxfId="406" priority="404" stopIfTrue="1" operator="greaterThan">
      <formula>1</formula>
    </cfRule>
  </conditionalFormatting>
  <conditionalFormatting sqref="R19">
    <cfRule type="cellIs" dxfId="405" priority="407" stopIfTrue="1" operator="lessThan">
      <formula>1</formula>
    </cfRule>
    <cfRule type="cellIs" dxfId="404" priority="408" stopIfTrue="1" operator="greaterThan">
      <formula>1</formula>
    </cfRule>
  </conditionalFormatting>
  <conditionalFormatting sqref="R47">
    <cfRule type="cellIs" dxfId="403" priority="405" stopIfTrue="1" operator="lessThan">
      <formula>1</formula>
    </cfRule>
    <cfRule type="cellIs" dxfId="402" priority="406" stopIfTrue="1" operator="greaterThan">
      <formula>1</formula>
    </cfRule>
  </conditionalFormatting>
  <conditionalFormatting sqref="R31">
    <cfRule type="cellIs" dxfId="401" priority="401" stopIfTrue="1" operator="lessThan">
      <formula>1</formula>
    </cfRule>
    <cfRule type="cellIs" dxfId="400" priority="402" stopIfTrue="1" operator="greaterThan">
      <formula>1</formula>
    </cfRule>
  </conditionalFormatting>
  <conditionalFormatting sqref="R32:R33">
    <cfRule type="cellIs" dxfId="399" priority="399" stopIfTrue="1" operator="lessThan">
      <formula>1</formula>
    </cfRule>
    <cfRule type="cellIs" dxfId="398" priority="400" stopIfTrue="1" operator="greaterThan">
      <formula>1</formula>
    </cfRule>
  </conditionalFormatting>
  <conditionalFormatting sqref="R13">
    <cfRule type="cellIs" dxfId="397" priority="397" stopIfTrue="1" operator="lessThan">
      <formula>1</formula>
    </cfRule>
    <cfRule type="cellIs" dxfId="396" priority="398" stopIfTrue="1" operator="greaterThan">
      <formula>1</formula>
    </cfRule>
  </conditionalFormatting>
  <conditionalFormatting sqref="R24">
    <cfRule type="cellIs" dxfId="395" priority="395" stopIfTrue="1" operator="lessThan">
      <formula>1</formula>
    </cfRule>
    <cfRule type="cellIs" dxfId="394" priority="396" stopIfTrue="1" operator="greaterThan">
      <formula>1</formula>
    </cfRule>
  </conditionalFormatting>
  <conditionalFormatting sqref="R29">
    <cfRule type="cellIs" dxfId="393" priority="393" stopIfTrue="1" operator="lessThan">
      <formula>1</formula>
    </cfRule>
    <cfRule type="cellIs" dxfId="392" priority="394" stopIfTrue="1" operator="greaterThan">
      <formula>1</formula>
    </cfRule>
  </conditionalFormatting>
  <conditionalFormatting sqref="R34">
    <cfRule type="cellIs" dxfId="391" priority="391" stopIfTrue="1" operator="lessThan">
      <formula>1</formula>
    </cfRule>
    <cfRule type="cellIs" dxfId="390" priority="392" stopIfTrue="1" operator="greaterThan">
      <formula>1</formula>
    </cfRule>
  </conditionalFormatting>
  <conditionalFormatting sqref="R36:R38 R40:R41">
    <cfRule type="cellIs" dxfId="389" priority="389" stopIfTrue="1" operator="lessThan">
      <formula>1</formula>
    </cfRule>
    <cfRule type="cellIs" dxfId="388" priority="390" stopIfTrue="1" operator="greaterThan">
      <formula>1</formula>
    </cfRule>
  </conditionalFormatting>
  <conditionalFormatting sqref="R39">
    <cfRule type="cellIs" dxfId="387" priority="387" stopIfTrue="1" operator="lessThan">
      <formula>1</formula>
    </cfRule>
    <cfRule type="cellIs" dxfId="386" priority="388" stopIfTrue="1" operator="greaterThan">
      <formula>1</formula>
    </cfRule>
  </conditionalFormatting>
  <conditionalFormatting sqref="R46">
    <cfRule type="cellIs" dxfId="385" priority="385" stopIfTrue="1" operator="lessThan">
      <formula>1</formula>
    </cfRule>
    <cfRule type="cellIs" dxfId="384" priority="386" stopIfTrue="1" operator="greaterThan">
      <formula>1</formula>
    </cfRule>
  </conditionalFormatting>
  <conditionalFormatting sqref="V10">
    <cfRule type="cellIs" dxfId="383" priority="383" stopIfTrue="1" operator="lessThan">
      <formula>1</formula>
    </cfRule>
    <cfRule type="cellIs" dxfId="382" priority="384" stopIfTrue="1" operator="greaterThan">
      <formula>1</formula>
    </cfRule>
  </conditionalFormatting>
  <conditionalFormatting sqref="V11">
    <cfRule type="cellIs" dxfId="381" priority="381" stopIfTrue="1" operator="lessThan">
      <formula>1</formula>
    </cfRule>
    <cfRule type="cellIs" dxfId="380" priority="382" stopIfTrue="1" operator="greaterThan">
      <formula>1</formula>
    </cfRule>
  </conditionalFormatting>
  <conditionalFormatting sqref="V12">
    <cfRule type="cellIs" dxfId="379" priority="379" stopIfTrue="1" operator="lessThan">
      <formula>1</formula>
    </cfRule>
    <cfRule type="cellIs" dxfId="378" priority="380" stopIfTrue="1" operator="greaterThan">
      <formula>1</formula>
    </cfRule>
  </conditionalFormatting>
  <conditionalFormatting sqref="V15">
    <cfRule type="cellIs" dxfId="377" priority="377" stopIfTrue="1" operator="lessThan">
      <formula>1</formula>
    </cfRule>
    <cfRule type="cellIs" dxfId="376" priority="378" stopIfTrue="1" operator="greaterThan">
      <formula>1</formula>
    </cfRule>
  </conditionalFormatting>
  <conditionalFormatting sqref="V16">
    <cfRule type="cellIs" dxfId="375" priority="375" stopIfTrue="1" operator="lessThan">
      <formula>1</formula>
    </cfRule>
    <cfRule type="cellIs" dxfId="374" priority="376" stopIfTrue="1" operator="greaterThan">
      <formula>1</formula>
    </cfRule>
  </conditionalFormatting>
  <conditionalFormatting sqref="V17">
    <cfRule type="cellIs" dxfId="373" priority="373" stopIfTrue="1" operator="lessThan">
      <formula>1</formula>
    </cfRule>
    <cfRule type="cellIs" dxfId="372" priority="374" stopIfTrue="1" operator="greaterThan">
      <formula>1</formula>
    </cfRule>
  </conditionalFormatting>
  <conditionalFormatting sqref="V18">
    <cfRule type="cellIs" dxfId="371" priority="371" stopIfTrue="1" operator="lessThan">
      <formula>1</formula>
    </cfRule>
    <cfRule type="cellIs" dxfId="370" priority="372" stopIfTrue="1" operator="greaterThan">
      <formula>1</formula>
    </cfRule>
  </conditionalFormatting>
  <conditionalFormatting sqref="V21">
    <cfRule type="cellIs" dxfId="369" priority="369" stopIfTrue="1" operator="lessThan">
      <formula>1</formula>
    </cfRule>
    <cfRule type="cellIs" dxfId="368" priority="370" stopIfTrue="1" operator="greaterThan">
      <formula>1</formula>
    </cfRule>
  </conditionalFormatting>
  <conditionalFormatting sqref="V22">
    <cfRule type="cellIs" dxfId="367" priority="367" stopIfTrue="1" operator="lessThan">
      <formula>1</formula>
    </cfRule>
    <cfRule type="cellIs" dxfId="366" priority="368" stopIfTrue="1" operator="greaterThan">
      <formula>1</formula>
    </cfRule>
  </conditionalFormatting>
  <conditionalFormatting sqref="V23">
    <cfRule type="cellIs" dxfId="365" priority="365" stopIfTrue="1" operator="lessThan">
      <formula>1</formula>
    </cfRule>
    <cfRule type="cellIs" dxfId="364" priority="366" stopIfTrue="1" operator="greaterThan">
      <formula>1</formula>
    </cfRule>
  </conditionalFormatting>
  <conditionalFormatting sqref="V26">
    <cfRule type="cellIs" dxfId="363" priority="363" stopIfTrue="1" operator="lessThan">
      <formula>1</formula>
    </cfRule>
    <cfRule type="cellIs" dxfId="362" priority="364" stopIfTrue="1" operator="greaterThan">
      <formula>1</formula>
    </cfRule>
  </conditionalFormatting>
  <conditionalFormatting sqref="V27">
    <cfRule type="cellIs" dxfId="361" priority="361" stopIfTrue="1" operator="lessThan">
      <formula>1</formula>
    </cfRule>
    <cfRule type="cellIs" dxfId="360" priority="362" stopIfTrue="1" operator="greaterThan">
      <formula>1</formula>
    </cfRule>
  </conditionalFormatting>
  <conditionalFormatting sqref="V28">
    <cfRule type="cellIs" dxfId="359" priority="359" stopIfTrue="1" operator="lessThan">
      <formula>1</formula>
    </cfRule>
    <cfRule type="cellIs" dxfId="358" priority="360" stopIfTrue="1" operator="greaterThan">
      <formula>1</formula>
    </cfRule>
  </conditionalFormatting>
  <conditionalFormatting sqref="V43">
    <cfRule type="cellIs" dxfId="357" priority="357" stopIfTrue="1" operator="lessThan">
      <formula>1</formula>
    </cfRule>
    <cfRule type="cellIs" dxfId="356" priority="358" stopIfTrue="1" operator="greaterThan">
      <formula>1</formula>
    </cfRule>
  </conditionalFormatting>
  <conditionalFormatting sqref="V44">
    <cfRule type="cellIs" dxfId="355" priority="355" stopIfTrue="1" operator="lessThan">
      <formula>1</formula>
    </cfRule>
    <cfRule type="cellIs" dxfId="354" priority="356" stopIfTrue="1" operator="greaterThan">
      <formula>1</formula>
    </cfRule>
  </conditionalFormatting>
  <conditionalFormatting sqref="V45">
    <cfRule type="cellIs" dxfId="353" priority="353" stopIfTrue="1" operator="lessThan">
      <formula>1</formula>
    </cfRule>
    <cfRule type="cellIs" dxfId="352" priority="354" stopIfTrue="1" operator="greaterThan">
      <formula>1</formula>
    </cfRule>
  </conditionalFormatting>
  <conditionalFormatting sqref="V50">
    <cfRule type="cellIs" dxfId="351" priority="351" stopIfTrue="1" operator="lessThan">
      <formula>1</formula>
    </cfRule>
    <cfRule type="cellIs" dxfId="350" priority="352" stopIfTrue="1" operator="greaterThan">
      <formula>1</formula>
    </cfRule>
  </conditionalFormatting>
  <conditionalFormatting sqref="V51">
    <cfRule type="cellIs" dxfId="349" priority="349" stopIfTrue="1" operator="lessThan">
      <formula>1</formula>
    </cfRule>
    <cfRule type="cellIs" dxfId="348" priority="350" stopIfTrue="1" operator="greaterThan">
      <formula>1</formula>
    </cfRule>
  </conditionalFormatting>
  <conditionalFormatting sqref="V52">
    <cfRule type="cellIs" dxfId="347" priority="347" stopIfTrue="1" operator="lessThan">
      <formula>1</formula>
    </cfRule>
    <cfRule type="cellIs" dxfId="346" priority="348" stopIfTrue="1" operator="greaterThan">
      <formula>1</formula>
    </cfRule>
  </conditionalFormatting>
  <conditionalFormatting sqref="V53">
    <cfRule type="cellIs" dxfId="345" priority="345" stopIfTrue="1" operator="lessThan">
      <formula>1</formula>
    </cfRule>
    <cfRule type="cellIs" dxfId="344" priority="346" stopIfTrue="1" operator="greaterThan">
      <formula>1</formula>
    </cfRule>
  </conditionalFormatting>
  <conditionalFormatting sqref="V48">
    <cfRule type="cellIs" dxfId="343" priority="339" stopIfTrue="1" operator="lessThan">
      <formula>1</formula>
    </cfRule>
    <cfRule type="cellIs" dxfId="342" priority="340" stopIfTrue="1" operator="greaterThan">
      <formula>1</formula>
    </cfRule>
  </conditionalFormatting>
  <conditionalFormatting sqref="V19">
    <cfRule type="cellIs" dxfId="341" priority="343" stopIfTrue="1" operator="lessThan">
      <formula>1</formula>
    </cfRule>
    <cfRule type="cellIs" dxfId="340" priority="344" stopIfTrue="1" operator="greaterThan">
      <formula>1</formula>
    </cfRule>
  </conditionalFormatting>
  <conditionalFormatting sqref="V47">
    <cfRule type="cellIs" dxfId="339" priority="341" stopIfTrue="1" operator="lessThan">
      <formula>1</formula>
    </cfRule>
    <cfRule type="cellIs" dxfId="338" priority="342" stopIfTrue="1" operator="greaterThan">
      <formula>1</formula>
    </cfRule>
  </conditionalFormatting>
  <conditionalFormatting sqref="V31">
    <cfRule type="cellIs" dxfId="337" priority="337" stopIfTrue="1" operator="lessThan">
      <formula>1</formula>
    </cfRule>
    <cfRule type="cellIs" dxfId="336" priority="338" stopIfTrue="1" operator="greaterThan">
      <formula>1</formula>
    </cfRule>
  </conditionalFormatting>
  <conditionalFormatting sqref="V32:V33">
    <cfRule type="cellIs" dxfId="335" priority="335" stopIfTrue="1" operator="lessThan">
      <formula>1</formula>
    </cfRule>
    <cfRule type="cellIs" dxfId="334" priority="336" stopIfTrue="1" operator="greaterThan">
      <formula>1</formula>
    </cfRule>
  </conditionalFormatting>
  <conditionalFormatting sqref="V13">
    <cfRule type="cellIs" dxfId="333" priority="333" stopIfTrue="1" operator="lessThan">
      <formula>1</formula>
    </cfRule>
    <cfRule type="cellIs" dxfId="332" priority="334" stopIfTrue="1" operator="greaterThan">
      <formula>1</formula>
    </cfRule>
  </conditionalFormatting>
  <conditionalFormatting sqref="V24">
    <cfRule type="cellIs" dxfId="331" priority="331" stopIfTrue="1" operator="lessThan">
      <formula>1</formula>
    </cfRule>
    <cfRule type="cellIs" dxfId="330" priority="332" stopIfTrue="1" operator="greaterThan">
      <formula>1</formula>
    </cfRule>
  </conditionalFormatting>
  <conditionalFormatting sqref="V29">
    <cfRule type="cellIs" dxfId="329" priority="329" stopIfTrue="1" operator="lessThan">
      <formula>1</formula>
    </cfRule>
    <cfRule type="cellIs" dxfId="328" priority="330" stopIfTrue="1" operator="greaterThan">
      <formula>1</formula>
    </cfRule>
  </conditionalFormatting>
  <conditionalFormatting sqref="V34">
    <cfRule type="cellIs" dxfId="327" priority="327" stopIfTrue="1" operator="lessThan">
      <formula>1</formula>
    </cfRule>
    <cfRule type="cellIs" dxfId="326" priority="328" stopIfTrue="1" operator="greaterThan">
      <formula>1</formula>
    </cfRule>
  </conditionalFormatting>
  <conditionalFormatting sqref="V36:V38 V40:V41">
    <cfRule type="cellIs" dxfId="325" priority="325" stopIfTrue="1" operator="lessThan">
      <formula>1</formula>
    </cfRule>
    <cfRule type="cellIs" dxfId="324" priority="326" stopIfTrue="1" operator="greaterThan">
      <formula>1</formula>
    </cfRule>
  </conditionalFormatting>
  <conditionalFormatting sqref="V39">
    <cfRule type="cellIs" dxfId="323" priority="323" stopIfTrue="1" operator="lessThan">
      <formula>1</formula>
    </cfRule>
    <cfRule type="cellIs" dxfId="322" priority="324" stopIfTrue="1" operator="greaterThan">
      <formula>1</formula>
    </cfRule>
  </conditionalFormatting>
  <conditionalFormatting sqref="V46">
    <cfRule type="cellIs" dxfId="321" priority="321" stopIfTrue="1" operator="lessThan">
      <formula>1</formula>
    </cfRule>
    <cfRule type="cellIs" dxfId="320" priority="322" stopIfTrue="1" operator="greaterThan">
      <formula>1</formula>
    </cfRule>
  </conditionalFormatting>
  <conditionalFormatting sqref="Z10">
    <cfRule type="cellIs" dxfId="319" priority="319" stopIfTrue="1" operator="lessThan">
      <formula>1</formula>
    </cfRule>
    <cfRule type="cellIs" dxfId="318" priority="320" stopIfTrue="1" operator="greaterThan">
      <formula>1</formula>
    </cfRule>
  </conditionalFormatting>
  <conditionalFormatting sqref="Z11">
    <cfRule type="cellIs" dxfId="317" priority="317" stopIfTrue="1" operator="lessThan">
      <formula>1</formula>
    </cfRule>
    <cfRule type="cellIs" dxfId="316" priority="318" stopIfTrue="1" operator="greaterThan">
      <formula>1</formula>
    </cfRule>
  </conditionalFormatting>
  <conditionalFormatting sqref="Z12">
    <cfRule type="cellIs" dxfId="315" priority="315" stopIfTrue="1" operator="lessThan">
      <formula>1</formula>
    </cfRule>
    <cfRule type="cellIs" dxfId="314" priority="316" stopIfTrue="1" operator="greaterThan">
      <formula>1</formula>
    </cfRule>
  </conditionalFormatting>
  <conditionalFormatting sqref="Z15">
    <cfRule type="cellIs" dxfId="313" priority="313" stopIfTrue="1" operator="lessThan">
      <formula>1</formula>
    </cfRule>
    <cfRule type="cellIs" dxfId="312" priority="314" stopIfTrue="1" operator="greaterThan">
      <formula>1</formula>
    </cfRule>
  </conditionalFormatting>
  <conditionalFormatting sqref="Z16">
    <cfRule type="cellIs" dxfId="311" priority="311" stopIfTrue="1" operator="lessThan">
      <formula>1</formula>
    </cfRule>
    <cfRule type="cellIs" dxfId="310" priority="312" stopIfTrue="1" operator="greaterThan">
      <formula>1</formula>
    </cfRule>
  </conditionalFormatting>
  <conditionalFormatting sqref="Z17">
    <cfRule type="cellIs" dxfId="309" priority="309" stopIfTrue="1" operator="lessThan">
      <formula>1</formula>
    </cfRule>
    <cfRule type="cellIs" dxfId="308" priority="310" stopIfTrue="1" operator="greaterThan">
      <formula>1</formula>
    </cfRule>
  </conditionalFormatting>
  <conditionalFormatting sqref="Z18">
    <cfRule type="cellIs" dxfId="307" priority="307" stopIfTrue="1" operator="lessThan">
      <formula>1</formula>
    </cfRule>
    <cfRule type="cellIs" dxfId="306" priority="308" stopIfTrue="1" operator="greaterThan">
      <formula>1</formula>
    </cfRule>
  </conditionalFormatting>
  <conditionalFormatting sqref="Z21">
    <cfRule type="cellIs" dxfId="305" priority="305" stopIfTrue="1" operator="lessThan">
      <formula>1</formula>
    </cfRule>
    <cfRule type="cellIs" dxfId="304" priority="306" stopIfTrue="1" operator="greaterThan">
      <formula>1</formula>
    </cfRule>
  </conditionalFormatting>
  <conditionalFormatting sqref="Z22">
    <cfRule type="cellIs" dxfId="303" priority="303" stopIfTrue="1" operator="lessThan">
      <formula>1</formula>
    </cfRule>
    <cfRule type="cellIs" dxfId="302" priority="304" stopIfTrue="1" operator="greaterThan">
      <formula>1</formula>
    </cfRule>
  </conditionalFormatting>
  <conditionalFormatting sqref="Z23">
    <cfRule type="cellIs" dxfId="301" priority="301" stopIfTrue="1" operator="lessThan">
      <formula>1</formula>
    </cfRule>
    <cfRule type="cellIs" dxfId="300" priority="302" stopIfTrue="1" operator="greaterThan">
      <formula>1</formula>
    </cfRule>
  </conditionalFormatting>
  <conditionalFormatting sqref="Z26">
    <cfRule type="cellIs" dxfId="299" priority="299" stopIfTrue="1" operator="lessThan">
      <formula>1</formula>
    </cfRule>
    <cfRule type="cellIs" dxfId="298" priority="300" stopIfTrue="1" operator="greaterThan">
      <formula>1</formula>
    </cfRule>
  </conditionalFormatting>
  <conditionalFormatting sqref="Z27">
    <cfRule type="cellIs" dxfId="297" priority="297" stopIfTrue="1" operator="lessThan">
      <formula>1</formula>
    </cfRule>
    <cfRule type="cellIs" dxfId="296" priority="298" stopIfTrue="1" operator="greaterThan">
      <formula>1</formula>
    </cfRule>
  </conditionalFormatting>
  <conditionalFormatting sqref="Z28">
    <cfRule type="cellIs" dxfId="295" priority="295" stopIfTrue="1" operator="lessThan">
      <formula>1</formula>
    </cfRule>
    <cfRule type="cellIs" dxfId="294" priority="296" stopIfTrue="1" operator="greaterThan">
      <formula>1</formula>
    </cfRule>
  </conditionalFormatting>
  <conditionalFormatting sqref="Z43">
    <cfRule type="cellIs" dxfId="293" priority="293" stopIfTrue="1" operator="lessThan">
      <formula>1</formula>
    </cfRule>
    <cfRule type="cellIs" dxfId="292" priority="294" stopIfTrue="1" operator="greaterThan">
      <formula>1</formula>
    </cfRule>
  </conditionalFormatting>
  <conditionalFormatting sqref="Z44">
    <cfRule type="cellIs" dxfId="291" priority="291" stopIfTrue="1" operator="lessThan">
      <formula>1</formula>
    </cfRule>
    <cfRule type="cellIs" dxfId="290" priority="292" stopIfTrue="1" operator="greaterThan">
      <formula>1</formula>
    </cfRule>
  </conditionalFormatting>
  <conditionalFormatting sqref="Z45">
    <cfRule type="cellIs" dxfId="289" priority="289" stopIfTrue="1" operator="lessThan">
      <formula>1</formula>
    </cfRule>
    <cfRule type="cellIs" dxfId="288" priority="290" stopIfTrue="1" operator="greaterThan">
      <formula>1</formula>
    </cfRule>
  </conditionalFormatting>
  <conditionalFormatting sqref="Z50">
    <cfRule type="cellIs" dxfId="287" priority="287" stopIfTrue="1" operator="lessThan">
      <formula>1</formula>
    </cfRule>
    <cfRule type="cellIs" dxfId="286" priority="288" stopIfTrue="1" operator="greaterThan">
      <formula>1</formula>
    </cfRule>
  </conditionalFormatting>
  <conditionalFormatting sqref="Z51">
    <cfRule type="cellIs" dxfId="285" priority="285" stopIfTrue="1" operator="lessThan">
      <formula>1</formula>
    </cfRule>
    <cfRule type="cellIs" dxfId="284" priority="286" stopIfTrue="1" operator="greaterThan">
      <formula>1</formula>
    </cfRule>
  </conditionalFormatting>
  <conditionalFormatting sqref="Z52">
    <cfRule type="cellIs" dxfId="283" priority="283" stopIfTrue="1" operator="lessThan">
      <formula>1</formula>
    </cfRule>
    <cfRule type="cellIs" dxfId="282" priority="284" stopIfTrue="1" operator="greaterThan">
      <formula>1</formula>
    </cfRule>
  </conditionalFormatting>
  <conditionalFormatting sqref="Z53">
    <cfRule type="cellIs" dxfId="281" priority="281" stopIfTrue="1" operator="lessThan">
      <formula>1</formula>
    </cfRule>
    <cfRule type="cellIs" dxfId="280" priority="282" stopIfTrue="1" operator="greaterThan">
      <formula>1</formula>
    </cfRule>
  </conditionalFormatting>
  <conditionalFormatting sqref="Z48">
    <cfRule type="cellIs" dxfId="279" priority="275" stopIfTrue="1" operator="lessThan">
      <formula>1</formula>
    </cfRule>
    <cfRule type="cellIs" dxfId="278" priority="276" stopIfTrue="1" operator="greaterThan">
      <formula>1</formula>
    </cfRule>
  </conditionalFormatting>
  <conditionalFormatting sqref="Z19">
    <cfRule type="cellIs" dxfId="277" priority="279" stopIfTrue="1" operator="lessThan">
      <formula>1</formula>
    </cfRule>
    <cfRule type="cellIs" dxfId="276" priority="280" stopIfTrue="1" operator="greaterThan">
      <formula>1</formula>
    </cfRule>
  </conditionalFormatting>
  <conditionalFormatting sqref="Z47">
    <cfRule type="cellIs" dxfId="275" priority="277" stopIfTrue="1" operator="lessThan">
      <formula>1</formula>
    </cfRule>
    <cfRule type="cellIs" dxfId="274" priority="278" stopIfTrue="1" operator="greaterThan">
      <formula>1</formula>
    </cfRule>
  </conditionalFormatting>
  <conditionalFormatting sqref="Z31">
    <cfRule type="cellIs" dxfId="273" priority="273" stopIfTrue="1" operator="lessThan">
      <formula>1</formula>
    </cfRule>
    <cfRule type="cellIs" dxfId="272" priority="274" stopIfTrue="1" operator="greaterThan">
      <formula>1</formula>
    </cfRule>
  </conditionalFormatting>
  <conditionalFormatting sqref="Z32:Z33">
    <cfRule type="cellIs" dxfId="271" priority="271" stopIfTrue="1" operator="lessThan">
      <formula>1</formula>
    </cfRule>
    <cfRule type="cellIs" dxfId="270" priority="272" stopIfTrue="1" operator="greaterThan">
      <formula>1</formula>
    </cfRule>
  </conditionalFormatting>
  <conditionalFormatting sqref="Z13">
    <cfRule type="cellIs" dxfId="269" priority="269" stopIfTrue="1" operator="lessThan">
      <formula>1</formula>
    </cfRule>
    <cfRule type="cellIs" dxfId="268" priority="270" stopIfTrue="1" operator="greaterThan">
      <formula>1</formula>
    </cfRule>
  </conditionalFormatting>
  <conditionalFormatting sqref="Z24">
    <cfRule type="cellIs" dxfId="267" priority="267" stopIfTrue="1" operator="lessThan">
      <formula>1</formula>
    </cfRule>
    <cfRule type="cellIs" dxfId="266" priority="268" stopIfTrue="1" operator="greaterThan">
      <formula>1</formula>
    </cfRule>
  </conditionalFormatting>
  <conditionalFormatting sqref="Z29">
    <cfRule type="cellIs" dxfId="265" priority="265" stopIfTrue="1" operator="lessThan">
      <formula>1</formula>
    </cfRule>
    <cfRule type="cellIs" dxfId="264" priority="266" stopIfTrue="1" operator="greaterThan">
      <formula>1</formula>
    </cfRule>
  </conditionalFormatting>
  <conditionalFormatting sqref="Z34">
    <cfRule type="cellIs" dxfId="263" priority="263" stopIfTrue="1" operator="lessThan">
      <formula>1</formula>
    </cfRule>
    <cfRule type="cellIs" dxfId="262" priority="264" stopIfTrue="1" operator="greaterThan">
      <formula>1</formula>
    </cfRule>
  </conditionalFormatting>
  <conditionalFormatting sqref="Z36:Z38 Z40:Z41">
    <cfRule type="cellIs" dxfId="261" priority="261" stopIfTrue="1" operator="lessThan">
      <formula>1</formula>
    </cfRule>
    <cfRule type="cellIs" dxfId="260" priority="262" stopIfTrue="1" operator="greaterThan">
      <formula>1</formula>
    </cfRule>
  </conditionalFormatting>
  <conditionalFormatting sqref="Z39">
    <cfRule type="cellIs" dxfId="259" priority="259" stopIfTrue="1" operator="lessThan">
      <formula>1</formula>
    </cfRule>
    <cfRule type="cellIs" dxfId="258" priority="260" stopIfTrue="1" operator="greaterThan">
      <formula>1</formula>
    </cfRule>
  </conditionalFormatting>
  <conditionalFormatting sqref="Z46">
    <cfRule type="cellIs" dxfId="257" priority="257" stopIfTrue="1" operator="lessThan">
      <formula>1</formula>
    </cfRule>
    <cfRule type="cellIs" dxfId="256" priority="258" stopIfTrue="1" operator="greaterThan">
      <formula>1</formula>
    </cfRule>
  </conditionalFormatting>
  <conditionalFormatting sqref="AD10">
    <cfRule type="cellIs" dxfId="255" priority="255" stopIfTrue="1" operator="lessThan">
      <formula>1</formula>
    </cfRule>
    <cfRule type="cellIs" dxfId="254" priority="256" stopIfTrue="1" operator="greaterThan">
      <formula>1</formula>
    </cfRule>
  </conditionalFormatting>
  <conditionalFormatting sqref="AD11">
    <cfRule type="cellIs" dxfId="253" priority="253" stopIfTrue="1" operator="lessThan">
      <formula>1</formula>
    </cfRule>
    <cfRule type="cellIs" dxfId="252" priority="254" stopIfTrue="1" operator="greaterThan">
      <formula>1</formula>
    </cfRule>
  </conditionalFormatting>
  <conditionalFormatting sqref="AD12">
    <cfRule type="cellIs" dxfId="251" priority="251" stopIfTrue="1" operator="lessThan">
      <formula>1</formula>
    </cfRule>
    <cfRule type="cellIs" dxfId="250" priority="252" stopIfTrue="1" operator="greaterThan">
      <formula>1</formula>
    </cfRule>
  </conditionalFormatting>
  <conditionalFormatting sqref="AD15">
    <cfRule type="cellIs" dxfId="249" priority="249" stopIfTrue="1" operator="lessThan">
      <formula>1</formula>
    </cfRule>
    <cfRule type="cellIs" dxfId="248" priority="250" stopIfTrue="1" operator="greaterThan">
      <formula>1</formula>
    </cfRule>
  </conditionalFormatting>
  <conditionalFormatting sqref="AD16">
    <cfRule type="cellIs" dxfId="247" priority="247" stopIfTrue="1" operator="lessThan">
      <formula>1</formula>
    </cfRule>
    <cfRule type="cellIs" dxfId="246" priority="248" stopIfTrue="1" operator="greaterThan">
      <formula>1</formula>
    </cfRule>
  </conditionalFormatting>
  <conditionalFormatting sqref="AD17">
    <cfRule type="cellIs" dxfId="245" priority="245" stopIfTrue="1" operator="lessThan">
      <formula>1</formula>
    </cfRule>
    <cfRule type="cellIs" dxfId="244" priority="246" stopIfTrue="1" operator="greaterThan">
      <formula>1</formula>
    </cfRule>
  </conditionalFormatting>
  <conditionalFormatting sqref="AD18">
    <cfRule type="cellIs" dxfId="243" priority="243" stopIfTrue="1" operator="lessThan">
      <formula>1</formula>
    </cfRule>
    <cfRule type="cellIs" dxfId="242" priority="244" stopIfTrue="1" operator="greaterThan">
      <formula>1</formula>
    </cfRule>
  </conditionalFormatting>
  <conditionalFormatting sqref="AD21">
    <cfRule type="cellIs" dxfId="241" priority="241" stopIfTrue="1" operator="lessThan">
      <formula>1</formula>
    </cfRule>
    <cfRule type="cellIs" dxfId="240" priority="242" stopIfTrue="1" operator="greaterThan">
      <formula>1</formula>
    </cfRule>
  </conditionalFormatting>
  <conditionalFormatting sqref="AD22">
    <cfRule type="cellIs" dxfId="239" priority="239" stopIfTrue="1" operator="lessThan">
      <formula>1</formula>
    </cfRule>
    <cfRule type="cellIs" dxfId="238" priority="240" stopIfTrue="1" operator="greaterThan">
      <formula>1</formula>
    </cfRule>
  </conditionalFormatting>
  <conditionalFormatting sqref="AD23">
    <cfRule type="cellIs" dxfId="237" priority="237" stopIfTrue="1" operator="lessThan">
      <formula>1</formula>
    </cfRule>
    <cfRule type="cellIs" dxfId="236" priority="238" stopIfTrue="1" operator="greaterThan">
      <formula>1</formula>
    </cfRule>
  </conditionalFormatting>
  <conditionalFormatting sqref="AD26">
    <cfRule type="cellIs" dxfId="235" priority="235" stopIfTrue="1" operator="lessThan">
      <formula>1</formula>
    </cfRule>
    <cfRule type="cellIs" dxfId="234" priority="236" stopIfTrue="1" operator="greaterThan">
      <formula>1</formula>
    </cfRule>
  </conditionalFormatting>
  <conditionalFormatting sqref="AD27">
    <cfRule type="cellIs" dxfId="233" priority="233" stopIfTrue="1" operator="lessThan">
      <formula>1</formula>
    </cfRule>
    <cfRule type="cellIs" dxfId="232" priority="234" stopIfTrue="1" operator="greaterThan">
      <formula>1</formula>
    </cfRule>
  </conditionalFormatting>
  <conditionalFormatting sqref="AD28">
    <cfRule type="cellIs" dxfId="231" priority="231" stopIfTrue="1" operator="lessThan">
      <formula>1</formula>
    </cfRule>
    <cfRule type="cellIs" dxfId="230" priority="232" stopIfTrue="1" operator="greaterThan">
      <formula>1</formula>
    </cfRule>
  </conditionalFormatting>
  <conditionalFormatting sqref="AD43">
    <cfRule type="cellIs" dxfId="229" priority="229" stopIfTrue="1" operator="lessThan">
      <formula>1</formula>
    </cfRule>
    <cfRule type="cellIs" dxfId="228" priority="230" stopIfTrue="1" operator="greaterThan">
      <formula>1</formula>
    </cfRule>
  </conditionalFormatting>
  <conditionalFormatting sqref="AD44">
    <cfRule type="cellIs" dxfId="227" priority="227" stopIfTrue="1" operator="lessThan">
      <formula>1</formula>
    </cfRule>
    <cfRule type="cellIs" dxfId="226" priority="228" stopIfTrue="1" operator="greaterThan">
      <formula>1</formula>
    </cfRule>
  </conditionalFormatting>
  <conditionalFormatting sqref="AD45">
    <cfRule type="cellIs" dxfId="225" priority="225" stopIfTrue="1" operator="lessThan">
      <formula>1</formula>
    </cfRule>
    <cfRule type="cellIs" dxfId="224" priority="226" stopIfTrue="1" operator="greaterThan">
      <formula>1</formula>
    </cfRule>
  </conditionalFormatting>
  <conditionalFormatting sqref="AD50">
    <cfRule type="cellIs" dxfId="223" priority="223" stopIfTrue="1" operator="lessThan">
      <formula>1</formula>
    </cfRule>
    <cfRule type="cellIs" dxfId="222" priority="224" stopIfTrue="1" operator="greaterThan">
      <formula>1</formula>
    </cfRule>
  </conditionalFormatting>
  <conditionalFormatting sqref="AD51">
    <cfRule type="cellIs" dxfId="221" priority="221" stopIfTrue="1" operator="lessThan">
      <formula>1</formula>
    </cfRule>
    <cfRule type="cellIs" dxfId="220" priority="222" stopIfTrue="1" operator="greaterThan">
      <formula>1</formula>
    </cfRule>
  </conditionalFormatting>
  <conditionalFormatting sqref="AD52">
    <cfRule type="cellIs" dxfId="219" priority="219" stopIfTrue="1" operator="lessThan">
      <formula>1</formula>
    </cfRule>
    <cfRule type="cellIs" dxfId="218" priority="220" stopIfTrue="1" operator="greaterThan">
      <formula>1</formula>
    </cfRule>
  </conditionalFormatting>
  <conditionalFormatting sqref="AD53">
    <cfRule type="cellIs" dxfId="217" priority="217" stopIfTrue="1" operator="lessThan">
      <formula>1</formula>
    </cfRule>
    <cfRule type="cellIs" dxfId="216" priority="218" stopIfTrue="1" operator="greaterThan">
      <formula>1</formula>
    </cfRule>
  </conditionalFormatting>
  <conditionalFormatting sqref="AD48">
    <cfRule type="cellIs" dxfId="215" priority="211" stopIfTrue="1" operator="lessThan">
      <formula>1</formula>
    </cfRule>
    <cfRule type="cellIs" dxfId="214" priority="212" stopIfTrue="1" operator="greaterThan">
      <formula>1</formula>
    </cfRule>
  </conditionalFormatting>
  <conditionalFormatting sqref="AD19">
    <cfRule type="cellIs" dxfId="213" priority="215" stopIfTrue="1" operator="lessThan">
      <formula>1</formula>
    </cfRule>
    <cfRule type="cellIs" dxfId="212" priority="216" stopIfTrue="1" operator="greaterThan">
      <formula>1</formula>
    </cfRule>
  </conditionalFormatting>
  <conditionalFormatting sqref="AD47">
    <cfRule type="cellIs" dxfId="211" priority="213" stopIfTrue="1" operator="lessThan">
      <formula>1</formula>
    </cfRule>
    <cfRule type="cellIs" dxfId="210" priority="214" stopIfTrue="1" operator="greaterThan">
      <formula>1</formula>
    </cfRule>
  </conditionalFormatting>
  <conditionalFormatting sqref="AD31">
    <cfRule type="cellIs" dxfId="209" priority="209" stopIfTrue="1" operator="lessThan">
      <formula>1</formula>
    </cfRule>
    <cfRule type="cellIs" dxfId="208" priority="210" stopIfTrue="1" operator="greaterThan">
      <formula>1</formula>
    </cfRule>
  </conditionalFormatting>
  <conditionalFormatting sqref="AD32:AD33">
    <cfRule type="cellIs" dxfId="207" priority="207" stopIfTrue="1" operator="lessThan">
      <formula>1</formula>
    </cfRule>
    <cfRule type="cellIs" dxfId="206" priority="208" stopIfTrue="1" operator="greaterThan">
      <formula>1</formula>
    </cfRule>
  </conditionalFormatting>
  <conditionalFormatting sqref="AD13">
    <cfRule type="cellIs" dxfId="205" priority="205" stopIfTrue="1" operator="lessThan">
      <formula>1</formula>
    </cfRule>
    <cfRule type="cellIs" dxfId="204" priority="206" stopIfTrue="1" operator="greaterThan">
      <formula>1</formula>
    </cfRule>
  </conditionalFormatting>
  <conditionalFormatting sqref="AD24">
    <cfRule type="cellIs" dxfId="203" priority="203" stopIfTrue="1" operator="lessThan">
      <formula>1</formula>
    </cfRule>
    <cfRule type="cellIs" dxfId="202" priority="204" stopIfTrue="1" operator="greaterThan">
      <formula>1</formula>
    </cfRule>
  </conditionalFormatting>
  <conditionalFormatting sqref="AD29">
    <cfRule type="cellIs" dxfId="201" priority="201" stopIfTrue="1" operator="lessThan">
      <formula>1</formula>
    </cfRule>
    <cfRule type="cellIs" dxfId="200" priority="202" stopIfTrue="1" operator="greaterThan">
      <formula>1</formula>
    </cfRule>
  </conditionalFormatting>
  <conditionalFormatting sqref="AD34">
    <cfRule type="cellIs" dxfId="199" priority="199" stopIfTrue="1" operator="lessThan">
      <formula>1</formula>
    </cfRule>
    <cfRule type="cellIs" dxfId="198" priority="200" stopIfTrue="1" operator="greaterThan">
      <formula>1</formula>
    </cfRule>
  </conditionalFormatting>
  <conditionalFormatting sqref="AD36:AD38 AD40:AD41">
    <cfRule type="cellIs" dxfId="197" priority="197" stopIfTrue="1" operator="lessThan">
      <formula>1</formula>
    </cfRule>
    <cfRule type="cellIs" dxfId="196" priority="198" stopIfTrue="1" operator="greaterThan">
      <formula>1</formula>
    </cfRule>
  </conditionalFormatting>
  <conditionalFormatting sqref="AD39">
    <cfRule type="cellIs" dxfId="195" priority="195" stopIfTrue="1" operator="lessThan">
      <formula>1</formula>
    </cfRule>
    <cfRule type="cellIs" dxfId="194" priority="196" stopIfTrue="1" operator="greaterThan">
      <formula>1</formula>
    </cfRule>
  </conditionalFormatting>
  <conditionalFormatting sqref="AD46">
    <cfRule type="cellIs" dxfId="193" priority="193" stopIfTrue="1" operator="lessThan">
      <formula>1</formula>
    </cfRule>
    <cfRule type="cellIs" dxfId="192" priority="194" stopIfTrue="1" operator="greaterThan">
      <formula>1</formula>
    </cfRule>
  </conditionalFormatting>
  <conditionalFormatting sqref="AH10">
    <cfRule type="cellIs" dxfId="191" priority="191" stopIfTrue="1" operator="lessThan">
      <formula>1</formula>
    </cfRule>
    <cfRule type="cellIs" dxfId="190" priority="192" stopIfTrue="1" operator="greaterThan">
      <formula>1</formula>
    </cfRule>
  </conditionalFormatting>
  <conditionalFormatting sqref="AH11">
    <cfRule type="cellIs" dxfId="189" priority="189" stopIfTrue="1" operator="lessThan">
      <formula>1</formula>
    </cfRule>
    <cfRule type="cellIs" dxfId="188" priority="190" stopIfTrue="1" operator="greaterThan">
      <formula>1</formula>
    </cfRule>
  </conditionalFormatting>
  <conditionalFormatting sqref="AH12">
    <cfRule type="cellIs" dxfId="187" priority="187" stopIfTrue="1" operator="lessThan">
      <formula>1</formula>
    </cfRule>
    <cfRule type="cellIs" dxfId="186" priority="188" stopIfTrue="1" operator="greaterThan">
      <formula>1</formula>
    </cfRule>
  </conditionalFormatting>
  <conditionalFormatting sqref="AH15">
    <cfRule type="cellIs" dxfId="185" priority="185" stopIfTrue="1" operator="lessThan">
      <formula>1</formula>
    </cfRule>
    <cfRule type="cellIs" dxfId="184" priority="186" stopIfTrue="1" operator="greaterThan">
      <formula>1</formula>
    </cfRule>
  </conditionalFormatting>
  <conditionalFormatting sqref="AH16">
    <cfRule type="cellIs" dxfId="183" priority="183" stopIfTrue="1" operator="lessThan">
      <formula>1</formula>
    </cfRule>
    <cfRule type="cellIs" dxfId="182" priority="184" stopIfTrue="1" operator="greaterThan">
      <formula>1</formula>
    </cfRule>
  </conditionalFormatting>
  <conditionalFormatting sqref="AH17">
    <cfRule type="cellIs" dxfId="181" priority="181" stopIfTrue="1" operator="lessThan">
      <formula>1</formula>
    </cfRule>
    <cfRule type="cellIs" dxfId="180" priority="182" stopIfTrue="1" operator="greaterThan">
      <formula>1</formula>
    </cfRule>
  </conditionalFormatting>
  <conditionalFormatting sqref="AH18">
    <cfRule type="cellIs" dxfId="179" priority="179" stopIfTrue="1" operator="lessThan">
      <formula>1</formula>
    </cfRule>
    <cfRule type="cellIs" dxfId="178" priority="180" stopIfTrue="1" operator="greaterThan">
      <formula>1</formula>
    </cfRule>
  </conditionalFormatting>
  <conditionalFormatting sqref="AH21">
    <cfRule type="cellIs" dxfId="177" priority="177" stopIfTrue="1" operator="lessThan">
      <formula>1</formula>
    </cfRule>
    <cfRule type="cellIs" dxfId="176" priority="178" stopIfTrue="1" operator="greaterThan">
      <formula>1</formula>
    </cfRule>
  </conditionalFormatting>
  <conditionalFormatting sqref="AH22">
    <cfRule type="cellIs" dxfId="175" priority="175" stopIfTrue="1" operator="lessThan">
      <formula>1</formula>
    </cfRule>
    <cfRule type="cellIs" dxfId="174" priority="176" stopIfTrue="1" operator="greaterThan">
      <formula>1</formula>
    </cfRule>
  </conditionalFormatting>
  <conditionalFormatting sqref="AH23">
    <cfRule type="cellIs" dxfId="173" priority="173" stopIfTrue="1" operator="lessThan">
      <formula>1</formula>
    </cfRule>
    <cfRule type="cellIs" dxfId="172" priority="174" stopIfTrue="1" operator="greaterThan">
      <formula>1</formula>
    </cfRule>
  </conditionalFormatting>
  <conditionalFormatting sqref="AH26">
    <cfRule type="cellIs" dxfId="171" priority="171" stopIfTrue="1" operator="lessThan">
      <formula>1</formula>
    </cfRule>
    <cfRule type="cellIs" dxfId="170" priority="172" stopIfTrue="1" operator="greaterThan">
      <formula>1</formula>
    </cfRule>
  </conditionalFormatting>
  <conditionalFormatting sqref="AH27">
    <cfRule type="cellIs" dxfId="169" priority="169" stopIfTrue="1" operator="lessThan">
      <formula>1</formula>
    </cfRule>
    <cfRule type="cellIs" dxfId="168" priority="170" stopIfTrue="1" operator="greaterThan">
      <formula>1</formula>
    </cfRule>
  </conditionalFormatting>
  <conditionalFormatting sqref="AH28">
    <cfRule type="cellIs" dxfId="167" priority="167" stopIfTrue="1" operator="lessThan">
      <formula>1</formula>
    </cfRule>
    <cfRule type="cellIs" dxfId="166" priority="168" stopIfTrue="1" operator="greaterThan">
      <formula>1</formula>
    </cfRule>
  </conditionalFormatting>
  <conditionalFormatting sqref="AH43">
    <cfRule type="cellIs" dxfId="165" priority="165" stopIfTrue="1" operator="lessThan">
      <formula>1</formula>
    </cfRule>
    <cfRule type="cellIs" dxfId="164" priority="166" stopIfTrue="1" operator="greaterThan">
      <formula>1</formula>
    </cfRule>
  </conditionalFormatting>
  <conditionalFormatting sqref="AH44">
    <cfRule type="cellIs" dxfId="163" priority="163" stopIfTrue="1" operator="lessThan">
      <formula>1</formula>
    </cfRule>
    <cfRule type="cellIs" dxfId="162" priority="164" stopIfTrue="1" operator="greaterThan">
      <formula>1</formula>
    </cfRule>
  </conditionalFormatting>
  <conditionalFormatting sqref="AH45">
    <cfRule type="cellIs" dxfId="161" priority="161" stopIfTrue="1" operator="lessThan">
      <formula>1</formula>
    </cfRule>
    <cfRule type="cellIs" dxfId="160" priority="162" stopIfTrue="1" operator="greaterThan">
      <formula>1</formula>
    </cfRule>
  </conditionalFormatting>
  <conditionalFormatting sqref="AH50">
    <cfRule type="cellIs" dxfId="159" priority="159" stopIfTrue="1" operator="lessThan">
      <formula>1</formula>
    </cfRule>
    <cfRule type="cellIs" dxfId="158" priority="160" stopIfTrue="1" operator="greaterThan">
      <formula>1</formula>
    </cfRule>
  </conditionalFormatting>
  <conditionalFormatting sqref="AH51">
    <cfRule type="cellIs" dxfId="157" priority="157" stopIfTrue="1" operator="lessThan">
      <formula>1</formula>
    </cfRule>
    <cfRule type="cellIs" dxfId="156" priority="158" stopIfTrue="1" operator="greaterThan">
      <formula>1</formula>
    </cfRule>
  </conditionalFormatting>
  <conditionalFormatting sqref="AH52">
    <cfRule type="cellIs" dxfId="155" priority="155" stopIfTrue="1" operator="lessThan">
      <formula>1</formula>
    </cfRule>
    <cfRule type="cellIs" dxfId="154" priority="156" stopIfTrue="1" operator="greaterThan">
      <formula>1</formula>
    </cfRule>
  </conditionalFormatting>
  <conditionalFormatting sqref="AH53">
    <cfRule type="cellIs" dxfId="153" priority="153" stopIfTrue="1" operator="lessThan">
      <formula>1</formula>
    </cfRule>
    <cfRule type="cellIs" dxfId="152" priority="154" stopIfTrue="1" operator="greaterThan">
      <formula>1</formula>
    </cfRule>
  </conditionalFormatting>
  <conditionalFormatting sqref="AH48">
    <cfRule type="cellIs" dxfId="151" priority="147" stopIfTrue="1" operator="lessThan">
      <formula>1</formula>
    </cfRule>
    <cfRule type="cellIs" dxfId="150" priority="148" stopIfTrue="1" operator="greaterThan">
      <formula>1</formula>
    </cfRule>
  </conditionalFormatting>
  <conditionalFormatting sqref="AH19">
    <cfRule type="cellIs" dxfId="149" priority="151" stopIfTrue="1" operator="lessThan">
      <formula>1</formula>
    </cfRule>
    <cfRule type="cellIs" dxfId="148" priority="152" stopIfTrue="1" operator="greaterThan">
      <formula>1</formula>
    </cfRule>
  </conditionalFormatting>
  <conditionalFormatting sqref="AH47">
    <cfRule type="cellIs" dxfId="147" priority="149" stopIfTrue="1" operator="lessThan">
      <formula>1</formula>
    </cfRule>
    <cfRule type="cellIs" dxfId="146" priority="150" stopIfTrue="1" operator="greaterThan">
      <formula>1</formula>
    </cfRule>
  </conditionalFormatting>
  <conditionalFormatting sqref="AH31">
    <cfRule type="cellIs" dxfId="145" priority="145" stopIfTrue="1" operator="lessThan">
      <formula>1</formula>
    </cfRule>
    <cfRule type="cellIs" dxfId="144" priority="146" stopIfTrue="1" operator="greaterThan">
      <formula>1</formula>
    </cfRule>
  </conditionalFormatting>
  <conditionalFormatting sqref="AH32:AH33">
    <cfRule type="cellIs" dxfId="143" priority="143" stopIfTrue="1" operator="lessThan">
      <formula>1</formula>
    </cfRule>
    <cfRule type="cellIs" dxfId="142" priority="144" stopIfTrue="1" operator="greaterThan">
      <formula>1</formula>
    </cfRule>
  </conditionalFormatting>
  <conditionalFormatting sqref="AH13">
    <cfRule type="cellIs" dxfId="141" priority="141" stopIfTrue="1" operator="lessThan">
      <formula>1</formula>
    </cfRule>
    <cfRule type="cellIs" dxfId="140" priority="142" stopIfTrue="1" operator="greaterThan">
      <formula>1</formula>
    </cfRule>
  </conditionalFormatting>
  <conditionalFormatting sqref="AH24">
    <cfRule type="cellIs" dxfId="139" priority="139" stopIfTrue="1" operator="lessThan">
      <formula>1</formula>
    </cfRule>
    <cfRule type="cellIs" dxfId="138" priority="140" stopIfTrue="1" operator="greaterThan">
      <formula>1</formula>
    </cfRule>
  </conditionalFormatting>
  <conditionalFormatting sqref="AH29">
    <cfRule type="cellIs" dxfId="137" priority="137" stopIfTrue="1" operator="lessThan">
      <formula>1</formula>
    </cfRule>
    <cfRule type="cellIs" dxfId="136" priority="138" stopIfTrue="1" operator="greaterThan">
      <formula>1</formula>
    </cfRule>
  </conditionalFormatting>
  <conditionalFormatting sqref="AH34">
    <cfRule type="cellIs" dxfId="135" priority="135" stopIfTrue="1" operator="lessThan">
      <formula>1</formula>
    </cfRule>
    <cfRule type="cellIs" dxfId="134" priority="136" stopIfTrue="1" operator="greaterThan">
      <formula>1</formula>
    </cfRule>
  </conditionalFormatting>
  <conditionalFormatting sqref="AH36:AH38 AH40:AH41">
    <cfRule type="cellIs" dxfId="133" priority="133" stopIfTrue="1" operator="lessThan">
      <formula>1</formula>
    </cfRule>
    <cfRule type="cellIs" dxfId="132" priority="134" stopIfTrue="1" operator="greaterThan">
      <formula>1</formula>
    </cfRule>
  </conditionalFormatting>
  <conditionalFormatting sqref="AH39">
    <cfRule type="cellIs" dxfId="131" priority="131" stopIfTrue="1" operator="lessThan">
      <formula>1</formula>
    </cfRule>
    <cfRule type="cellIs" dxfId="130" priority="132" stopIfTrue="1" operator="greaterThan">
      <formula>1</formula>
    </cfRule>
  </conditionalFormatting>
  <conditionalFormatting sqref="AH46">
    <cfRule type="cellIs" dxfId="129" priority="129" stopIfTrue="1" operator="lessThan">
      <formula>1</formula>
    </cfRule>
    <cfRule type="cellIs" dxfId="128" priority="130" stopIfTrue="1" operator="greaterThan">
      <formula>1</formula>
    </cfRule>
  </conditionalFormatting>
  <conditionalFormatting sqref="AL10">
    <cfRule type="cellIs" dxfId="127" priority="127" stopIfTrue="1" operator="lessThan">
      <formula>1</formula>
    </cfRule>
    <cfRule type="cellIs" dxfId="126" priority="128" stopIfTrue="1" operator="greaterThan">
      <formula>1</formula>
    </cfRule>
  </conditionalFormatting>
  <conditionalFormatting sqref="AL11">
    <cfRule type="cellIs" dxfId="125" priority="125" stopIfTrue="1" operator="lessThan">
      <formula>1</formula>
    </cfRule>
    <cfRule type="cellIs" dxfId="124" priority="126" stopIfTrue="1" operator="greaterThan">
      <formula>1</formula>
    </cfRule>
  </conditionalFormatting>
  <conditionalFormatting sqref="AL12">
    <cfRule type="cellIs" dxfId="123" priority="123" stopIfTrue="1" operator="lessThan">
      <formula>1</formula>
    </cfRule>
    <cfRule type="cellIs" dxfId="122" priority="124" stopIfTrue="1" operator="greaterThan">
      <formula>1</formula>
    </cfRule>
  </conditionalFormatting>
  <conditionalFormatting sqref="AL15">
    <cfRule type="cellIs" dxfId="121" priority="121" stopIfTrue="1" operator="lessThan">
      <formula>1</formula>
    </cfRule>
    <cfRule type="cellIs" dxfId="120" priority="122" stopIfTrue="1" operator="greaterThan">
      <formula>1</formula>
    </cfRule>
  </conditionalFormatting>
  <conditionalFormatting sqref="AL16">
    <cfRule type="cellIs" dxfId="119" priority="119" stopIfTrue="1" operator="lessThan">
      <formula>1</formula>
    </cfRule>
    <cfRule type="cellIs" dxfId="118" priority="120" stopIfTrue="1" operator="greaterThan">
      <formula>1</formula>
    </cfRule>
  </conditionalFormatting>
  <conditionalFormatting sqref="AL17">
    <cfRule type="cellIs" dxfId="117" priority="117" stopIfTrue="1" operator="lessThan">
      <formula>1</formula>
    </cfRule>
    <cfRule type="cellIs" dxfId="116" priority="118" stopIfTrue="1" operator="greaterThan">
      <formula>1</formula>
    </cfRule>
  </conditionalFormatting>
  <conditionalFormatting sqref="AL18">
    <cfRule type="cellIs" dxfId="115" priority="115" stopIfTrue="1" operator="lessThan">
      <formula>1</formula>
    </cfRule>
    <cfRule type="cellIs" dxfId="114" priority="116" stopIfTrue="1" operator="greaterThan">
      <formula>1</formula>
    </cfRule>
  </conditionalFormatting>
  <conditionalFormatting sqref="AL21">
    <cfRule type="cellIs" dxfId="113" priority="113" stopIfTrue="1" operator="lessThan">
      <formula>1</formula>
    </cfRule>
    <cfRule type="cellIs" dxfId="112" priority="114" stopIfTrue="1" operator="greaterThan">
      <formula>1</formula>
    </cfRule>
  </conditionalFormatting>
  <conditionalFormatting sqref="AL22">
    <cfRule type="cellIs" dxfId="111" priority="111" stopIfTrue="1" operator="lessThan">
      <formula>1</formula>
    </cfRule>
    <cfRule type="cellIs" dxfId="110" priority="112" stopIfTrue="1" operator="greaterThan">
      <formula>1</formula>
    </cfRule>
  </conditionalFormatting>
  <conditionalFormatting sqref="AL23">
    <cfRule type="cellIs" dxfId="109" priority="109" stopIfTrue="1" operator="lessThan">
      <formula>1</formula>
    </cfRule>
    <cfRule type="cellIs" dxfId="108" priority="110" stopIfTrue="1" operator="greaterThan">
      <formula>1</formula>
    </cfRule>
  </conditionalFormatting>
  <conditionalFormatting sqref="AL26">
    <cfRule type="cellIs" dxfId="107" priority="107" stopIfTrue="1" operator="lessThan">
      <formula>1</formula>
    </cfRule>
    <cfRule type="cellIs" dxfId="106" priority="108" stopIfTrue="1" operator="greaterThan">
      <formula>1</formula>
    </cfRule>
  </conditionalFormatting>
  <conditionalFormatting sqref="AL27">
    <cfRule type="cellIs" dxfId="105" priority="105" stopIfTrue="1" operator="lessThan">
      <formula>1</formula>
    </cfRule>
    <cfRule type="cellIs" dxfId="104" priority="106" stopIfTrue="1" operator="greaterThan">
      <formula>1</formula>
    </cfRule>
  </conditionalFormatting>
  <conditionalFormatting sqref="AL28">
    <cfRule type="cellIs" dxfId="103" priority="103" stopIfTrue="1" operator="lessThan">
      <formula>1</formula>
    </cfRule>
    <cfRule type="cellIs" dxfId="102" priority="104" stopIfTrue="1" operator="greaterThan">
      <formula>1</formula>
    </cfRule>
  </conditionalFormatting>
  <conditionalFormatting sqref="AL43">
    <cfRule type="cellIs" dxfId="101" priority="101" stopIfTrue="1" operator="lessThan">
      <formula>1</formula>
    </cfRule>
    <cfRule type="cellIs" dxfId="100" priority="102" stopIfTrue="1" operator="greaterThan">
      <formula>1</formula>
    </cfRule>
  </conditionalFormatting>
  <conditionalFormatting sqref="AL44">
    <cfRule type="cellIs" dxfId="99" priority="99" stopIfTrue="1" operator="lessThan">
      <formula>1</formula>
    </cfRule>
    <cfRule type="cellIs" dxfId="98" priority="100" stopIfTrue="1" operator="greaterThan">
      <formula>1</formula>
    </cfRule>
  </conditionalFormatting>
  <conditionalFormatting sqref="AL45">
    <cfRule type="cellIs" dxfId="97" priority="97" stopIfTrue="1" operator="lessThan">
      <formula>1</formula>
    </cfRule>
    <cfRule type="cellIs" dxfId="96" priority="98" stopIfTrue="1" operator="greaterThan">
      <formula>1</formula>
    </cfRule>
  </conditionalFormatting>
  <conditionalFormatting sqref="AL50">
    <cfRule type="cellIs" dxfId="95" priority="95" stopIfTrue="1" operator="lessThan">
      <formula>1</formula>
    </cfRule>
    <cfRule type="cellIs" dxfId="94" priority="96" stopIfTrue="1" operator="greaterThan">
      <formula>1</formula>
    </cfRule>
  </conditionalFormatting>
  <conditionalFormatting sqref="AL51">
    <cfRule type="cellIs" dxfId="93" priority="93" stopIfTrue="1" operator="lessThan">
      <formula>1</formula>
    </cfRule>
    <cfRule type="cellIs" dxfId="92" priority="94" stopIfTrue="1" operator="greaterThan">
      <formula>1</formula>
    </cfRule>
  </conditionalFormatting>
  <conditionalFormatting sqref="AL52">
    <cfRule type="cellIs" dxfId="91" priority="91" stopIfTrue="1" operator="lessThan">
      <formula>1</formula>
    </cfRule>
    <cfRule type="cellIs" dxfId="90" priority="92" stopIfTrue="1" operator="greaterThan">
      <formula>1</formula>
    </cfRule>
  </conditionalFormatting>
  <conditionalFormatting sqref="AL53">
    <cfRule type="cellIs" dxfId="89" priority="89" stopIfTrue="1" operator="lessThan">
      <formula>1</formula>
    </cfRule>
    <cfRule type="cellIs" dxfId="88" priority="90" stopIfTrue="1" operator="greaterThan">
      <formula>1</formula>
    </cfRule>
  </conditionalFormatting>
  <conditionalFormatting sqref="AL48">
    <cfRule type="cellIs" dxfId="87" priority="83" stopIfTrue="1" operator="lessThan">
      <formula>1</formula>
    </cfRule>
    <cfRule type="cellIs" dxfId="86" priority="84" stopIfTrue="1" operator="greaterThan">
      <formula>1</formula>
    </cfRule>
  </conditionalFormatting>
  <conditionalFormatting sqref="AL19">
    <cfRule type="cellIs" dxfId="85" priority="87" stopIfTrue="1" operator="lessThan">
      <formula>1</formula>
    </cfRule>
    <cfRule type="cellIs" dxfId="84" priority="88" stopIfTrue="1" operator="greaterThan">
      <formula>1</formula>
    </cfRule>
  </conditionalFormatting>
  <conditionalFormatting sqref="AL47">
    <cfRule type="cellIs" dxfId="83" priority="85" stopIfTrue="1" operator="lessThan">
      <formula>1</formula>
    </cfRule>
    <cfRule type="cellIs" dxfId="82" priority="86" stopIfTrue="1" operator="greaterThan">
      <formula>1</formula>
    </cfRule>
  </conditionalFormatting>
  <conditionalFormatting sqref="AL31">
    <cfRule type="cellIs" dxfId="81" priority="81" stopIfTrue="1" operator="lessThan">
      <formula>1</formula>
    </cfRule>
    <cfRule type="cellIs" dxfId="80" priority="82" stopIfTrue="1" operator="greaterThan">
      <formula>1</formula>
    </cfRule>
  </conditionalFormatting>
  <conditionalFormatting sqref="AL32:AL33">
    <cfRule type="cellIs" dxfId="79" priority="79" stopIfTrue="1" operator="lessThan">
      <formula>1</formula>
    </cfRule>
    <cfRule type="cellIs" dxfId="78" priority="80" stopIfTrue="1" operator="greaterThan">
      <formula>1</formula>
    </cfRule>
  </conditionalFormatting>
  <conditionalFormatting sqref="AL13">
    <cfRule type="cellIs" dxfId="77" priority="77" stopIfTrue="1" operator="lessThan">
      <formula>1</formula>
    </cfRule>
    <cfRule type="cellIs" dxfId="76" priority="78" stopIfTrue="1" operator="greaterThan">
      <formula>1</formula>
    </cfRule>
  </conditionalFormatting>
  <conditionalFormatting sqref="AL24">
    <cfRule type="cellIs" dxfId="75" priority="75" stopIfTrue="1" operator="lessThan">
      <formula>1</formula>
    </cfRule>
    <cfRule type="cellIs" dxfId="74" priority="76" stopIfTrue="1" operator="greaterThan">
      <formula>1</formula>
    </cfRule>
  </conditionalFormatting>
  <conditionalFormatting sqref="AL29">
    <cfRule type="cellIs" dxfId="73" priority="73" stopIfTrue="1" operator="lessThan">
      <formula>1</formula>
    </cfRule>
    <cfRule type="cellIs" dxfId="72" priority="74" stopIfTrue="1" operator="greaterThan">
      <formula>1</formula>
    </cfRule>
  </conditionalFormatting>
  <conditionalFormatting sqref="AL34">
    <cfRule type="cellIs" dxfId="71" priority="71" stopIfTrue="1" operator="lessThan">
      <formula>1</formula>
    </cfRule>
    <cfRule type="cellIs" dxfId="70" priority="72" stopIfTrue="1" operator="greaterThan">
      <formula>1</formula>
    </cfRule>
  </conditionalFormatting>
  <conditionalFormatting sqref="AL36:AL38 AL40:AL41">
    <cfRule type="cellIs" dxfId="69" priority="69" stopIfTrue="1" operator="lessThan">
      <formula>1</formula>
    </cfRule>
    <cfRule type="cellIs" dxfId="68" priority="70" stopIfTrue="1" operator="greaterThan">
      <formula>1</formula>
    </cfRule>
  </conditionalFormatting>
  <conditionalFormatting sqref="AL39">
    <cfRule type="cellIs" dxfId="67" priority="67" stopIfTrue="1" operator="lessThan">
      <formula>1</formula>
    </cfRule>
    <cfRule type="cellIs" dxfId="66" priority="68" stopIfTrue="1" operator="greaterThan">
      <formula>1</formula>
    </cfRule>
  </conditionalFormatting>
  <conditionalFormatting sqref="AL46">
    <cfRule type="cellIs" dxfId="65" priority="65" stopIfTrue="1" operator="lessThan">
      <formula>1</formula>
    </cfRule>
    <cfRule type="cellIs" dxfId="64" priority="66" stopIfTrue="1" operator="greaterThan">
      <formula>1</formula>
    </cfRule>
  </conditionalFormatting>
  <conditionalFormatting sqref="AP10">
    <cfRule type="cellIs" dxfId="63" priority="63" stopIfTrue="1" operator="lessThan">
      <formula>1</formula>
    </cfRule>
    <cfRule type="cellIs" dxfId="62" priority="64" stopIfTrue="1" operator="greaterThan">
      <formula>1</formula>
    </cfRule>
  </conditionalFormatting>
  <conditionalFormatting sqref="AP11">
    <cfRule type="cellIs" dxfId="61" priority="61" stopIfTrue="1" operator="lessThan">
      <formula>1</formula>
    </cfRule>
    <cfRule type="cellIs" dxfId="60" priority="62" stopIfTrue="1" operator="greaterThan">
      <formula>1</formula>
    </cfRule>
  </conditionalFormatting>
  <conditionalFormatting sqref="AP12">
    <cfRule type="cellIs" dxfId="59" priority="59" stopIfTrue="1" operator="lessThan">
      <formula>1</formula>
    </cfRule>
    <cfRule type="cellIs" dxfId="58" priority="60" stopIfTrue="1" operator="greaterThan">
      <formula>1</formula>
    </cfRule>
  </conditionalFormatting>
  <conditionalFormatting sqref="AP15">
    <cfRule type="cellIs" dxfId="57" priority="57" stopIfTrue="1" operator="lessThan">
      <formula>1</formula>
    </cfRule>
    <cfRule type="cellIs" dxfId="56" priority="58" stopIfTrue="1" operator="greaterThan">
      <formula>1</formula>
    </cfRule>
  </conditionalFormatting>
  <conditionalFormatting sqref="AP16">
    <cfRule type="cellIs" dxfId="55" priority="55" stopIfTrue="1" operator="lessThan">
      <formula>1</formula>
    </cfRule>
    <cfRule type="cellIs" dxfId="54" priority="56" stopIfTrue="1" operator="greaterThan">
      <formula>1</formula>
    </cfRule>
  </conditionalFormatting>
  <conditionalFormatting sqref="AP17">
    <cfRule type="cellIs" dxfId="53" priority="53" stopIfTrue="1" operator="lessThan">
      <formula>1</formula>
    </cfRule>
    <cfRule type="cellIs" dxfId="52" priority="54" stopIfTrue="1" operator="greaterThan">
      <formula>1</formula>
    </cfRule>
  </conditionalFormatting>
  <conditionalFormatting sqref="AP18">
    <cfRule type="cellIs" dxfId="51" priority="51" stopIfTrue="1" operator="lessThan">
      <formula>1</formula>
    </cfRule>
    <cfRule type="cellIs" dxfId="50" priority="52" stopIfTrue="1" operator="greaterThan">
      <formula>1</formula>
    </cfRule>
  </conditionalFormatting>
  <conditionalFormatting sqref="AP21">
    <cfRule type="cellIs" dxfId="49" priority="49" stopIfTrue="1" operator="lessThan">
      <formula>1</formula>
    </cfRule>
    <cfRule type="cellIs" dxfId="48" priority="50" stopIfTrue="1" operator="greaterThan">
      <formula>1</formula>
    </cfRule>
  </conditionalFormatting>
  <conditionalFormatting sqref="AP22">
    <cfRule type="cellIs" dxfId="47" priority="47" stopIfTrue="1" operator="lessThan">
      <formula>1</formula>
    </cfRule>
    <cfRule type="cellIs" dxfId="46" priority="48" stopIfTrue="1" operator="greaterThan">
      <formula>1</formula>
    </cfRule>
  </conditionalFormatting>
  <conditionalFormatting sqref="AP23">
    <cfRule type="cellIs" dxfId="45" priority="45" stopIfTrue="1" operator="lessThan">
      <formula>1</formula>
    </cfRule>
    <cfRule type="cellIs" dxfId="44" priority="46" stopIfTrue="1" operator="greaterThan">
      <formula>1</formula>
    </cfRule>
  </conditionalFormatting>
  <conditionalFormatting sqref="AP26">
    <cfRule type="cellIs" dxfId="43" priority="43" stopIfTrue="1" operator="lessThan">
      <formula>1</formula>
    </cfRule>
    <cfRule type="cellIs" dxfId="42" priority="44" stopIfTrue="1" operator="greaterThan">
      <formula>1</formula>
    </cfRule>
  </conditionalFormatting>
  <conditionalFormatting sqref="AP27">
    <cfRule type="cellIs" dxfId="41" priority="41" stopIfTrue="1" operator="lessThan">
      <formula>1</formula>
    </cfRule>
    <cfRule type="cellIs" dxfId="40" priority="42" stopIfTrue="1" operator="greaterThan">
      <formula>1</formula>
    </cfRule>
  </conditionalFormatting>
  <conditionalFormatting sqref="AP28">
    <cfRule type="cellIs" dxfId="39" priority="39" stopIfTrue="1" operator="lessThan">
      <formula>1</formula>
    </cfRule>
    <cfRule type="cellIs" dxfId="38" priority="40" stopIfTrue="1" operator="greaterThan">
      <formula>1</formula>
    </cfRule>
  </conditionalFormatting>
  <conditionalFormatting sqref="AP43">
    <cfRule type="cellIs" dxfId="37" priority="37" stopIfTrue="1" operator="lessThan">
      <formula>1</formula>
    </cfRule>
    <cfRule type="cellIs" dxfId="36" priority="38" stopIfTrue="1" operator="greaterThan">
      <formula>1</formula>
    </cfRule>
  </conditionalFormatting>
  <conditionalFormatting sqref="AP44">
    <cfRule type="cellIs" dxfId="35" priority="35" stopIfTrue="1" operator="lessThan">
      <formula>1</formula>
    </cfRule>
    <cfRule type="cellIs" dxfId="34" priority="36" stopIfTrue="1" operator="greaterThan">
      <formula>1</formula>
    </cfRule>
  </conditionalFormatting>
  <conditionalFormatting sqref="AP45">
    <cfRule type="cellIs" dxfId="33" priority="33" stopIfTrue="1" operator="lessThan">
      <formula>1</formula>
    </cfRule>
    <cfRule type="cellIs" dxfId="32" priority="34" stopIfTrue="1" operator="greaterThan">
      <formula>1</formula>
    </cfRule>
  </conditionalFormatting>
  <conditionalFormatting sqref="AP50">
    <cfRule type="cellIs" dxfId="31" priority="31" stopIfTrue="1" operator="lessThan">
      <formula>1</formula>
    </cfRule>
    <cfRule type="cellIs" dxfId="30" priority="32" stopIfTrue="1" operator="greaterThan">
      <formula>1</formula>
    </cfRule>
  </conditionalFormatting>
  <conditionalFormatting sqref="AP51">
    <cfRule type="cellIs" dxfId="29" priority="29" stopIfTrue="1" operator="lessThan">
      <formula>1</formula>
    </cfRule>
    <cfRule type="cellIs" dxfId="28" priority="30" stopIfTrue="1" operator="greaterThan">
      <formula>1</formula>
    </cfRule>
  </conditionalFormatting>
  <conditionalFormatting sqref="AP52">
    <cfRule type="cellIs" dxfId="27" priority="27" stopIfTrue="1" operator="lessThan">
      <formula>1</formula>
    </cfRule>
    <cfRule type="cellIs" dxfId="26" priority="28" stopIfTrue="1" operator="greaterThan">
      <formula>1</formula>
    </cfRule>
  </conditionalFormatting>
  <conditionalFormatting sqref="AP53">
    <cfRule type="cellIs" dxfId="25" priority="25" stopIfTrue="1" operator="lessThan">
      <formula>1</formula>
    </cfRule>
    <cfRule type="cellIs" dxfId="24" priority="26" stopIfTrue="1" operator="greaterThan">
      <formula>1</formula>
    </cfRule>
  </conditionalFormatting>
  <conditionalFormatting sqref="AP48">
    <cfRule type="cellIs" dxfId="23" priority="19" stopIfTrue="1" operator="lessThan">
      <formula>1</formula>
    </cfRule>
    <cfRule type="cellIs" dxfId="22" priority="20" stopIfTrue="1" operator="greaterThan">
      <formula>1</formula>
    </cfRule>
  </conditionalFormatting>
  <conditionalFormatting sqref="AP19">
    <cfRule type="cellIs" dxfId="21" priority="23" stopIfTrue="1" operator="lessThan">
      <formula>1</formula>
    </cfRule>
    <cfRule type="cellIs" dxfId="20" priority="24" stopIfTrue="1" operator="greaterThan">
      <formula>1</formula>
    </cfRule>
  </conditionalFormatting>
  <conditionalFormatting sqref="AP47">
    <cfRule type="cellIs" dxfId="19" priority="21" stopIfTrue="1" operator="lessThan">
      <formula>1</formula>
    </cfRule>
    <cfRule type="cellIs" dxfId="18" priority="22" stopIfTrue="1" operator="greaterThan">
      <formula>1</formula>
    </cfRule>
  </conditionalFormatting>
  <conditionalFormatting sqref="AP31">
    <cfRule type="cellIs" dxfId="17" priority="17" stopIfTrue="1" operator="lessThan">
      <formula>1</formula>
    </cfRule>
    <cfRule type="cellIs" dxfId="16" priority="18" stopIfTrue="1" operator="greaterThan">
      <formula>1</formula>
    </cfRule>
  </conditionalFormatting>
  <conditionalFormatting sqref="AP32:AP33">
    <cfRule type="cellIs" dxfId="15" priority="15" stopIfTrue="1" operator="lessThan">
      <formula>1</formula>
    </cfRule>
    <cfRule type="cellIs" dxfId="14" priority="16" stopIfTrue="1" operator="greaterThan">
      <formula>1</formula>
    </cfRule>
  </conditionalFormatting>
  <conditionalFormatting sqref="AP13">
    <cfRule type="cellIs" dxfId="13" priority="13" stopIfTrue="1" operator="lessThan">
      <formula>1</formula>
    </cfRule>
    <cfRule type="cellIs" dxfId="12" priority="14" stopIfTrue="1" operator="greaterThan">
      <formula>1</formula>
    </cfRule>
  </conditionalFormatting>
  <conditionalFormatting sqref="AP24">
    <cfRule type="cellIs" dxfId="11" priority="11" stopIfTrue="1" operator="lessThan">
      <formula>1</formula>
    </cfRule>
    <cfRule type="cellIs" dxfId="10" priority="12" stopIfTrue="1" operator="greaterThan">
      <formula>1</formula>
    </cfRule>
  </conditionalFormatting>
  <conditionalFormatting sqref="AP29">
    <cfRule type="cellIs" dxfId="9" priority="9" stopIfTrue="1" operator="lessThan">
      <formula>1</formula>
    </cfRule>
    <cfRule type="cellIs" dxfId="8" priority="10" stopIfTrue="1" operator="greaterThan">
      <formula>1</formula>
    </cfRule>
  </conditionalFormatting>
  <conditionalFormatting sqref="AP34">
    <cfRule type="cellIs" dxfId="7" priority="7" stopIfTrue="1" operator="lessThan">
      <formula>1</formula>
    </cfRule>
    <cfRule type="cellIs" dxfId="6" priority="8" stopIfTrue="1" operator="greaterThan">
      <formula>1</formula>
    </cfRule>
  </conditionalFormatting>
  <conditionalFormatting sqref="AP36:AP38 AP40:AP41">
    <cfRule type="cellIs" dxfId="5" priority="5" stopIfTrue="1" operator="lessThan">
      <formula>1</formula>
    </cfRule>
    <cfRule type="cellIs" dxfId="4" priority="6" stopIfTrue="1" operator="greaterThan">
      <formula>1</formula>
    </cfRule>
  </conditionalFormatting>
  <conditionalFormatting sqref="AP39">
    <cfRule type="cellIs" dxfId="3" priority="3" stopIfTrue="1" operator="lessThan">
      <formula>1</formula>
    </cfRule>
    <cfRule type="cellIs" dxfId="2" priority="4" stopIfTrue="1" operator="greaterThan">
      <formula>1</formula>
    </cfRule>
  </conditionalFormatting>
  <conditionalFormatting sqref="AP46">
    <cfRule type="cellIs" dxfId="1" priority="1" stopIfTrue="1" operator="lessThan">
      <formula>1</formula>
    </cfRule>
    <cfRule type="cellIs" dxfId="0" priority="2" stopIfTrue="1" operator="greaterThan">
      <formula>1</formula>
    </cfRule>
  </conditionalFormatting>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2"/>
  <sheetViews>
    <sheetView workbookViewId="0"/>
  </sheetViews>
  <sheetFormatPr baseColWidth="10" defaultRowHeight="14.5" x14ac:dyDescent="0.35"/>
  <cols>
    <col min="8" max="11" width="12.81640625" customWidth="1"/>
  </cols>
  <sheetData>
    <row r="1" spans="1:11" x14ac:dyDescent="0.35">
      <c r="A1" t="str">
        <f>Grunddaten!A1&amp;"    "   &amp;Grunddaten!A2</f>
        <v>Gemeinde A    Abwasserbeseitigungseinrichtung</v>
      </c>
    </row>
    <row r="2" spans="1:11" ht="25.5" customHeight="1" x14ac:dyDescent="0.4">
      <c r="A2" s="911" t="s">
        <v>1083</v>
      </c>
      <c r="B2" s="911"/>
      <c r="C2" s="911"/>
      <c r="D2" s="911"/>
      <c r="E2" s="911"/>
      <c r="F2" s="911"/>
      <c r="G2" s="911"/>
      <c r="H2" s="911"/>
      <c r="I2" s="911"/>
      <c r="J2" s="911"/>
      <c r="K2" s="911"/>
    </row>
    <row r="3" spans="1:11" ht="18" customHeight="1" x14ac:dyDescent="0.35">
      <c r="A3" s="912" t="s">
        <v>714</v>
      </c>
      <c r="B3" s="913"/>
      <c r="C3" s="913"/>
      <c r="D3" s="913"/>
      <c r="E3" s="913"/>
      <c r="F3" s="913"/>
      <c r="G3" s="913"/>
      <c r="H3" s="913"/>
      <c r="I3" s="913"/>
      <c r="J3" s="913"/>
      <c r="K3" s="913"/>
    </row>
    <row r="4" spans="1:11" ht="18" customHeight="1" x14ac:dyDescent="0.35">
      <c r="A4" s="914" t="s">
        <v>715</v>
      </c>
      <c r="B4" s="914" t="s">
        <v>716</v>
      </c>
      <c r="C4" s="914" t="s">
        <v>717</v>
      </c>
      <c r="D4" s="916" t="s">
        <v>718</v>
      </c>
      <c r="E4" s="916"/>
      <c r="F4" s="916"/>
      <c r="G4" s="916"/>
      <c r="H4" s="916" t="s">
        <v>719</v>
      </c>
      <c r="I4" s="916"/>
      <c r="J4" s="916"/>
      <c r="K4" s="916"/>
    </row>
    <row r="5" spans="1:11" ht="18" customHeight="1" x14ac:dyDescent="0.35">
      <c r="A5" s="915"/>
      <c r="B5" s="915"/>
      <c r="C5" s="915"/>
      <c r="D5" s="292">
        <f>H5</f>
        <v>2017</v>
      </c>
      <c r="E5" s="292">
        <f t="shared" ref="E5:G5" si="0">I5</f>
        <v>2018</v>
      </c>
      <c r="F5" s="292">
        <f t="shared" si="0"/>
        <v>2019</v>
      </c>
      <c r="G5" s="292">
        <f t="shared" si="0"/>
        <v>2020</v>
      </c>
      <c r="H5" s="292">
        <f>Vorkalkulation!C6</f>
        <v>2017</v>
      </c>
      <c r="I5" s="292">
        <f>Vorkalkulation!E6</f>
        <v>2018</v>
      </c>
      <c r="J5" s="292">
        <f>Vorkalkulation!G6</f>
        <v>2019</v>
      </c>
      <c r="K5" s="292">
        <f>Vorkalkulation!I6</f>
        <v>2020</v>
      </c>
    </row>
    <row r="6" spans="1:11" ht="18" customHeight="1" x14ac:dyDescent="0.35">
      <c r="A6" s="293" t="s">
        <v>720</v>
      </c>
      <c r="B6" s="294">
        <v>2.5</v>
      </c>
      <c r="C6" s="295">
        <v>25</v>
      </c>
      <c r="D6" s="296">
        <v>2566</v>
      </c>
      <c r="E6" s="296">
        <v>2598</v>
      </c>
      <c r="F6" s="296">
        <v>2634</v>
      </c>
      <c r="G6" s="296">
        <v>2712</v>
      </c>
      <c r="H6" s="297">
        <f t="shared" ref="H6:K13" si="1">$C6*D6</f>
        <v>64150</v>
      </c>
      <c r="I6" s="297">
        <f t="shared" si="1"/>
        <v>64950</v>
      </c>
      <c r="J6" s="297">
        <f t="shared" si="1"/>
        <v>65850</v>
      </c>
      <c r="K6" s="297">
        <f t="shared" si="1"/>
        <v>67800</v>
      </c>
    </row>
    <row r="7" spans="1:11" ht="18" customHeight="1" x14ac:dyDescent="0.35">
      <c r="A7" s="293" t="s">
        <v>720</v>
      </c>
      <c r="B7" s="294">
        <v>6</v>
      </c>
      <c r="C7" s="295">
        <v>50</v>
      </c>
      <c r="D7" s="296">
        <v>97</v>
      </c>
      <c r="E7" s="296">
        <v>98</v>
      </c>
      <c r="F7" s="296">
        <v>98</v>
      </c>
      <c r="G7" s="296">
        <v>100</v>
      </c>
      <c r="H7" s="297">
        <f t="shared" si="1"/>
        <v>4850</v>
      </c>
      <c r="I7" s="297">
        <f t="shared" si="1"/>
        <v>4900</v>
      </c>
      <c r="J7" s="297">
        <f t="shared" si="1"/>
        <v>4900</v>
      </c>
      <c r="K7" s="297">
        <f t="shared" si="1"/>
        <v>5000</v>
      </c>
    </row>
    <row r="8" spans="1:11" ht="18" customHeight="1" x14ac:dyDescent="0.35">
      <c r="A8" s="293" t="s">
        <v>720</v>
      </c>
      <c r="B8" s="294">
        <v>10</v>
      </c>
      <c r="C8" s="295">
        <v>100</v>
      </c>
      <c r="D8" s="296">
        <v>11</v>
      </c>
      <c r="E8" s="296">
        <v>11</v>
      </c>
      <c r="F8" s="296">
        <v>11</v>
      </c>
      <c r="G8" s="296">
        <v>12</v>
      </c>
      <c r="H8" s="297">
        <f t="shared" si="1"/>
        <v>1100</v>
      </c>
      <c r="I8" s="297">
        <f t="shared" si="1"/>
        <v>1100</v>
      </c>
      <c r="J8" s="297">
        <f t="shared" si="1"/>
        <v>1100</v>
      </c>
      <c r="K8" s="297">
        <f t="shared" si="1"/>
        <v>1200</v>
      </c>
    </row>
    <row r="9" spans="1:11" s="222" customFormat="1" ht="18" customHeight="1" x14ac:dyDescent="0.35">
      <c r="A9" s="293" t="s">
        <v>720</v>
      </c>
      <c r="B9" s="294">
        <v>15</v>
      </c>
      <c r="C9" s="295">
        <v>150</v>
      </c>
      <c r="D9" s="296">
        <v>6</v>
      </c>
      <c r="E9" s="296">
        <v>6</v>
      </c>
      <c r="F9" s="296">
        <v>6</v>
      </c>
      <c r="G9" s="296">
        <v>7</v>
      </c>
      <c r="H9" s="297">
        <f t="shared" si="1"/>
        <v>900</v>
      </c>
      <c r="I9" s="297">
        <f t="shared" si="1"/>
        <v>900</v>
      </c>
      <c r="J9" s="297">
        <f t="shared" si="1"/>
        <v>900</v>
      </c>
      <c r="K9" s="297">
        <f t="shared" si="1"/>
        <v>1050</v>
      </c>
    </row>
    <row r="10" spans="1:11" s="222" customFormat="1" ht="18" customHeight="1" x14ac:dyDescent="0.35">
      <c r="A10" s="293" t="s">
        <v>720</v>
      </c>
      <c r="B10" s="294">
        <v>25</v>
      </c>
      <c r="C10" s="295">
        <v>300</v>
      </c>
      <c r="D10" s="296">
        <v>5</v>
      </c>
      <c r="E10" s="296">
        <v>5</v>
      </c>
      <c r="F10" s="296">
        <v>5</v>
      </c>
      <c r="G10" s="296">
        <v>6</v>
      </c>
      <c r="H10" s="297">
        <f t="shared" si="1"/>
        <v>1500</v>
      </c>
      <c r="I10" s="297">
        <f t="shared" si="1"/>
        <v>1500</v>
      </c>
      <c r="J10" s="297">
        <f t="shared" si="1"/>
        <v>1500</v>
      </c>
      <c r="K10" s="297">
        <f t="shared" si="1"/>
        <v>1800</v>
      </c>
    </row>
    <row r="11" spans="1:11" s="222" customFormat="1" ht="18" customHeight="1" x14ac:dyDescent="0.35">
      <c r="A11" s="298" t="s">
        <v>721</v>
      </c>
      <c r="B11" s="294">
        <v>25</v>
      </c>
      <c r="C11" s="295">
        <v>500</v>
      </c>
      <c r="D11" s="296">
        <v>3</v>
      </c>
      <c r="E11" s="296">
        <v>3</v>
      </c>
      <c r="F11" s="296">
        <v>3</v>
      </c>
      <c r="G11" s="296">
        <v>3</v>
      </c>
      <c r="H11" s="297">
        <f t="shared" si="1"/>
        <v>1500</v>
      </c>
      <c r="I11" s="297">
        <f t="shared" si="1"/>
        <v>1500</v>
      </c>
      <c r="J11" s="297">
        <f t="shared" si="1"/>
        <v>1500</v>
      </c>
      <c r="K11" s="297">
        <f t="shared" si="1"/>
        <v>1500</v>
      </c>
    </row>
    <row r="12" spans="1:11" s="222" customFormat="1" ht="18" customHeight="1" x14ac:dyDescent="0.35">
      <c r="A12" s="298"/>
      <c r="B12" s="294"/>
      <c r="C12" s="295"/>
      <c r="D12" s="296"/>
      <c r="E12" s="296"/>
      <c r="F12" s="296"/>
      <c r="G12" s="296"/>
      <c r="H12" s="297">
        <f t="shared" si="1"/>
        <v>0</v>
      </c>
      <c r="I12" s="297">
        <f t="shared" si="1"/>
        <v>0</v>
      </c>
      <c r="J12" s="297">
        <f t="shared" si="1"/>
        <v>0</v>
      </c>
      <c r="K12" s="297">
        <f t="shared" si="1"/>
        <v>0</v>
      </c>
    </row>
    <row r="13" spans="1:11" s="222" customFormat="1" ht="18" customHeight="1" x14ac:dyDescent="0.35">
      <c r="A13" s="298"/>
      <c r="B13" s="294"/>
      <c r="C13" s="295"/>
      <c r="D13" s="296"/>
      <c r="E13" s="296"/>
      <c r="F13" s="296"/>
      <c r="G13" s="296"/>
      <c r="H13" s="297">
        <f t="shared" si="1"/>
        <v>0</v>
      </c>
      <c r="I13" s="297">
        <f t="shared" si="1"/>
        <v>0</v>
      </c>
      <c r="J13" s="297">
        <f t="shared" si="1"/>
        <v>0</v>
      </c>
      <c r="K13" s="297">
        <f t="shared" si="1"/>
        <v>0</v>
      </c>
    </row>
    <row r="14" spans="1:11" ht="18" customHeight="1" thickBot="1" x14ac:dyDescent="0.4">
      <c r="A14" s="917" t="s">
        <v>722</v>
      </c>
      <c r="B14" s="917"/>
      <c r="C14" s="917"/>
      <c r="D14" s="299">
        <f t="shared" ref="D14:K14" si="2">SUM(D6:D13)</f>
        <v>2688</v>
      </c>
      <c r="E14" s="299">
        <f t="shared" si="2"/>
        <v>2721</v>
      </c>
      <c r="F14" s="299">
        <f t="shared" si="2"/>
        <v>2757</v>
      </c>
      <c r="G14" s="299">
        <f t="shared" si="2"/>
        <v>2840</v>
      </c>
      <c r="H14" s="300">
        <f t="shared" si="2"/>
        <v>74000</v>
      </c>
      <c r="I14" s="300">
        <f t="shared" si="2"/>
        <v>74850</v>
      </c>
      <c r="J14" s="300">
        <f t="shared" si="2"/>
        <v>75750</v>
      </c>
      <c r="K14" s="300">
        <f t="shared" si="2"/>
        <v>78350</v>
      </c>
    </row>
    <row r="15" spans="1:11" ht="9" customHeight="1" thickTop="1" x14ac:dyDescent="0.35">
      <c r="A15" s="301"/>
      <c r="B15" s="301"/>
      <c r="C15" s="301"/>
      <c r="D15" s="301"/>
      <c r="E15" s="301"/>
      <c r="F15" s="301"/>
      <c r="G15" s="301"/>
      <c r="H15" s="301"/>
      <c r="I15" s="301"/>
      <c r="J15" s="301"/>
      <c r="K15" s="301"/>
    </row>
    <row r="16" spans="1:11" ht="18" customHeight="1" x14ac:dyDescent="0.35">
      <c r="A16" s="912" t="s">
        <v>723</v>
      </c>
      <c r="B16" s="913"/>
      <c r="C16" s="913"/>
      <c r="D16" s="913"/>
      <c r="E16" s="913"/>
      <c r="F16" s="913"/>
      <c r="G16" s="913"/>
      <c r="H16" s="913"/>
      <c r="I16" s="913"/>
      <c r="J16" s="913"/>
      <c r="K16" s="913"/>
    </row>
    <row r="17" spans="1:11" ht="18" customHeight="1" x14ac:dyDescent="0.35">
      <c r="A17" s="914" t="s">
        <v>715</v>
      </c>
      <c r="B17" s="914" t="s">
        <v>716</v>
      </c>
      <c r="C17" s="914" t="s">
        <v>717</v>
      </c>
      <c r="D17" s="916" t="s">
        <v>718</v>
      </c>
      <c r="E17" s="916"/>
      <c r="F17" s="916"/>
      <c r="G17" s="916"/>
      <c r="H17" s="916" t="s">
        <v>719</v>
      </c>
      <c r="I17" s="916"/>
      <c r="J17" s="916"/>
      <c r="K17" s="916"/>
    </row>
    <row r="18" spans="1:11" ht="18" customHeight="1" x14ac:dyDescent="0.35">
      <c r="A18" s="915"/>
      <c r="B18" s="915"/>
      <c r="C18" s="915"/>
      <c r="D18" s="292">
        <f>D5</f>
        <v>2017</v>
      </c>
      <c r="E18" s="292">
        <f>E5</f>
        <v>2018</v>
      </c>
      <c r="F18" s="292">
        <f>F5</f>
        <v>2019</v>
      </c>
      <c r="G18" s="292">
        <f>G5</f>
        <v>2020</v>
      </c>
      <c r="H18" s="292">
        <f>D18</f>
        <v>2017</v>
      </c>
      <c r="I18" s="292">
        <f>E18</f>
        <v>2018</v>
      </c>
      <c r="J18" s="292">
        <f>F18</f>
        <v>2019</v>
      </c>
      <c r="K18" s="292">
        <f>G18</f>
        <v>2020</v>
      </c>
    </row>
    <row r="19" spans="1:11" ht="18" customHeight="1" x14ac:dyDescent="0.35">
      <c r="A19" s="293" t="s">
        <v>720</v>
      </c>
      <c r="B19" s="294">
        <v>2.5</v>
      </c>
      <c r="C19" s="295">
        <v>25</v>
      </c>
      <c r="D19" s="296"/>
      <c r="E19" s="296"/>
      <c r="F19" s="296"/>
      <c r="G19" s="296"/>
      <c r="H19" s="297">
        <f t="shared" ref="H19:K26" si="3">$C19*D19</f>
        <v>0</v>
      </c>
      <c r="I19" s="297">
        <f t="shared" si="3"/>
        <v>0</v>
      </c>
      <c r="J19" s="297">
        <f t="shared" si="3"/>
        <v>0</v>
      </c>
      <c r="K19" s="297">
        <f t="shared" si="3"/>
        <v>0</v>
      </c>
    </row>
    <row r="20" spans="1:11" ht="18" customHeight="1" x14ac:dyDescent="0.35">
      <c r="A20" s="293" t="s">
        <v>720</v>
      </c>
      <c r="B20" s="294">
        <v>6</v>
      </c>
      <c r="C20" s="295">
        <v>50</v>
      </c>
      <c r="D20" s="296"/>
      <c r="E20" s="296"/>
      <c r="F20" s="296"/>
      <c r="G20" s="296"/>
      <c r="H20" s="297">
        <f t="shared" si="3"/>
        <v>0</v>
      </c>
      <c r="I20" s="297">
        <f t="shared" si="3"/>
        <v>0</v>
      </c>
      <c r="J20" s="297">
        <f t="shared" si="3"/>
        <v>0</v>
      </c>
      <c r="K20" s="297">
        <f t="shared" si="3"/>
        <v>0</v>
      </c>
    </row>
    <row r="21" spans="1:11" ht="18" customHeight="1" x14ac:dyDescent="0.35">
      <c r="A21" s="293" t="s">
        <v>720</v>
      </c>
      <c r="B21" s="294">
        <v>10</v>
      </c>
      <c r="C21" s="295">
        <v>100</v>
      </c>
      <c r="D21" s="296"/>
      <c r="E21" s="296"/>
      <c r="F21" s="296"/>
      <c r="G21" s="296"/>
      <c r="H21" s="297">
        <f t="shared" si="3"/>
        <v>0</v>
      </c>
      <c r="I21" s="297">
        <f t="shared" si="3"/>
        <v>0</v>
      </c>
      <c r="J21" s="297">
        <f t="shared" si="3"/>
        <v>0</v>
      </c>
      <c r="K21" s="297">
        <f t="shared" si="3"/>
        <v>0</v>
      </c>
    </row>
    <row r="22" spans="1:11" s="222" customFormat="1" ht="18" customHeight="1" x14ac:dyDescent="0.35">
      <c r="A22" s="293" t="s">
        <v>720</v>
      </c>
      <c r="B22" s="294">
        <v>15</v>
      </c>
      <c r="C22" s="295">
        <v>150</v>
      </c>
      <c r="D22" s="296"/>
      <c r="E22" s="296"/>
      <c r="F22" s="296"/>
      <c r="G22" s="296"/>
      <c r="H22" s="297">
        <f t="shared" si="3"/>
        <v>0</v>
      </c>
      <c r="I22" s="297">
        <f t="shared" si="3"/>
        <v>0</v>
      </c>
      <c r="J22" s="297">
        <f t="shared" si="3"/>
        <v>0</v>
      </c>
      <c r="K22" s="297">
        <f t="shared" si="3"/>
        <v>0</v>
      </c>
    </row>
    <row r="23" spans="1:11" s="222" customFormat="1" ht="18" customHeight="1" x14ac:dyDescent="0.35">
      <c r="A23" s="293" t="s">
        <v>720</v>
      </c>
      <c r="B23" s="294">
        <v>25</v>
      </c>
      <c r="C23" s="295">
        <v>300</v>
      </c>
      <c r="D23" s="296"/>
      <c r="E23" s="296"/>
      <c r="F23" s="296"/>
      <c r="G23" s="296"/>
      <c r="H23" s="297">
        <f t="shared" si="3"/>
        <v>0</v>
      </c>
      <c r="I23" s="297">
        <f t="shared" si="3"/>
        <v>0</v>
      </c>
      <c r="J23" s="297">
        <f t="shared" si="3"/>
        <v>0</v>
      </c>
      <c r="K23" s="297">
        <f t="shared" si="3"/>
        <v>0</v>
      </c>
    </row>
    <row r="24" spans="1:11" s="222" customFormat="1" ht="18" customHeight="1" x14ac:dyDescent="0.35">
      <c r="A24" s="298" t="s">
        <v>721</v>
      </c>
      <c r="B24" s="294">
        <v>25</v>
      </c>
      <c r="C24" s="295">
        <v>500</v>
      </c>
      <c r="D24" s="296"/>
      <c r="E24" s="296"/>
      <c r="F24" s="296"/>
      <c r="G24" s="296"/>
      <c r="H24" s="297">
        <f t="shared" si="3"/>
        <v>0</v>
      </c>
      <c r="I24" s="297">
        <f t="shared" si="3"/>
        <v>0</v>
      </c>
      <c r="J24" s="297">
        <f t="shared" si="3"/>
        <v>0</v>
      </c>
      <c r="K24" s="297">
        <f t="shared" si="3"/>
        <v>0</v>
      </c>
    </row>
    <row r="25" spans="1:11" s="222" customFormat="1" ht="18" customHeight="1" x14ac:dyDescent="0.35">
      <c r="A25" s="298"/>
      <c r="B25" s="294"/>
      <c r="C25" s="295"/>
      <c r="D25" s="296"/>
      <c r="E25" s="296"/>
      <c r="F25" s="296"/>
      <c r="G25" s="296"/>
      <c r="H25" s="297">
        <f t="shared" si="3"/>
        <v>0</v>
      </c>
      <c r="I25" s="297">
        <f t="shared" si="3"/>
        <v>0</v>
      </c>
      <c r="J25" s="297">
        <f t="shared" si="3"/>
        <v>0</v>
      </c>
      <c r="K25" s="297">
        <f t="shared" si="3"/>
        <v>0</v>
      </c>
    </row>
    <row r="26" spans="1:11" s="222" customFormat="1" ht="18" customHeight="1" x14ac:dyDescent="0.35">
      <c r="A26" s="298"/>
      <c r="B26" s="294"/>
      <c r="C26" s="295"/>
      <c r="D26" s="296"/>
      <c r="E26" s="296"/>
      <c r="F26" s="296"/>
      <c r="G26" s="296"/>
      <c r="H26" s="297">
        <f t="shared" si="3"/>
        <v>0</v>
      </c>
      <c r="I26" s="297">
        <f t="shared" si="3"/>
        <v>0</v>
      </c>
      <c r="J26" s="297">
        <f t="shared" si="3"/>
        <v>0</v>
      </c>
      <c r="K26" s="297">
        <f t="shared" si="3"/>
        <v>0</v>
      </c>
    </row>
    <row r="27" spans="1:11" ht="18" customHeight="1" thickBot="1" x14ac:dyDescent="0.4">
      <c r="A27" s="917" t="s">
        <v>724</v>
      </c>
      <c r="B27" s="917"/>
      <c r="C27" s="917"/>
      <c r="D27" s="299">
        <f t="shared" ref="D27:K27" si="4">SUM(D19:D26)</f>
        <v>0</v>
      </c>
      <c r="E27" s="299">
        <f t="shared" si="4"/>
        <v>0</v>
      </c>
      <c r="F27" s="299">
        <f t="shared" si="4"/>
        <v>0</v>
      </c>
      <c r="G27" s="299">
        <f t="shared" si="4"/>
        <v>0</v>
      </c>
      <c r="H27" s="300">
        <f t="shared" si="4"/>
        <v>0</v>
      </c>
      <c r="I27" s="300">
        <f t="shared" si="4"/>
        <v>0</v>
      </c>
      <c r="J27" s="300">
        <f t="shared" si="4"/>
        <v>0</v>
      </c>
      <c r="K27" s="300">
        <f t="shared" si="4"/>
        <v>0</v>
      </c>
    </row>
    <row r="28" spans="1:11" ht="9" customHeight="1" thickTop="1" x14ac:dyDescent="0.35">
      <c r="A28" s="302"/>
      <c r="B28" s="302"/>
      <c r="C28" s="302"/>
      <c r="D28" s="303"/>
      <c r="E28" s="303"/>
      <c r="F28" s="303"/>
      <c r="G28" s="303"/>
      <c r="H28" s="304"/>
      <c r="I28" s="304"/>
      <c r="J28" s="304"/>
      <c r="K28" s="304"/>
    </row>
    <row r="29" spans="1:11" ht="24" customHeight="1" thickBot="1" x14ac:dyDescent="0.4">
      <c r="A29" s="918" t="s">
        <v>725</v>
      </c>
      <c r="B29" s="918"/>
      <c r="C29" s="918"/>
      <c r="D29" s="305">
        <f t="shared" ref="D29:K29" si="5">D14+D27</f>
        <v>2688</v>
      </c>
      <c r="E29" s="305">
        <f t="shared" si="5"/>
        <v>2721</v>
      </c>
      <c r="F29" s="305">
        <f t="shared" si="5"/>
        <v>2757</v>
      </c>
      <c r="G29" s="305">
        <f t="shared" si="5"/>
        <v>2840</v>
      </c>
      <c r="H29" s="306">
        <f t="shared" si="5"/>
        <v>74000</v>
      </c>
      <c r="I29" s="306">
        <f t="shared" si="5"/>
        <v>74850</v>
      </c>
      <c r="J29" s="306">
        <f t="shared" si="5"/>
        <v>75750</v>
      </c>
      <c r="K29" s="306">
        <f t="shared" si="5"/>
        <v>78350</v>
      </c>
    </row>
    <row r="30" spans="1:11" ht="15" hidden="1" thickTop="1" x14ac:dyDescent="0.35">
      <c r="H30" s="371">
        <f>H5</f>
        <v>2017</v>
      </c>
      <c r="I30" s="371">
        <f t="shared" ref="I30:K30" si="6">I5</f>
        <v>2018</v>
      </c>
      <c r="J30" s="371">
        <f t="shared" si="6"/>
        <v>2019</v>
      </c>
      <c r="K30" s="371">
        <f t="shared" si="6"/>
        <v>2020</v>
      </c>
    </row>
    <row r="31" spans="1:11" hidden="1" x14ac:dyDescent="0.35">
      <c r="B31" s="581" t="str">
        <f>"Zwischen Zeile "&amp;ROW(30:30)&amp;" und Zeile "&amp;ROW(31:31)&amp;" weder eine Zeile einfügen noch löschen!!!"</f>
        <v>Zwischen Zeile 30 und Zeile 31 weder eine Zeile einfügen noch löschen!!!</v>
      </c>
      <c r="H31" s="370">
        <f>H29</f>
        <v>74000</v>
      </c>
      <c r="I31" s="370">
        <f t="shared" ref="I31:K31" si="7">I29</f>
        <v>74850</v>
      </c>
      <c r="J31" s="370">
        <f t="shared" si="7"/>
        <v>75750</v>
      </c>
      <c r="K31" s="370">
        <f t="shared" si="7"/>
        <v>78350</v>
      </c>
    </row>
    <row r="32" spans="1:11" ht="15" thickTop="1" x14ac:dyDescent="0.35"/>
  </sheetData>
  <sheetProtection sheet="1" objects="1" scenarios="1"/>
  <mergeCells count="16">
    <mergeCell ref="A27:C27"/>
    <mergeCell ref="A29:C29"/>
    <mergeCell ref="A14:C14"/>
    <mergeCell ref="A16:K16"/>
    <mergeCell ref="A17:A18"/>
    <mergeCell ref="B17:B18"/>
    <mergeCell ref="C17:C18"/>
    <mergeCell ref="D17:G17"/>
    <mergeCell ref="H17:K17"/>
    <mergeCell ref="A2:K2"/>
    <mergeCell ref="A3:K3"/>
    <mergeCell ref="A4:A5"/>
    <mergeCell ref="B4:B5"/>
    <mergeCell ref="C4:C5"/>
    <mergeCell ref="D4:G4"/>
    <mergeCell ref="H4:K4"/>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R114"/>
  <sheetViews>
    <sheetView workbookViewId="0">
      <pane xSplit="7" ySplit="6" topLeftCell="H7" activePane="bottomRight" state="frozen"/>
      <selection pane="topRight" activeCell="H1" sqref="H1"/>
      <selection pane="bottomLeft" activeCell="A7" sqref="A7"/>
      <selection pane="bottomRight" activeCell="H7" sqref="H7"/>
    </sheetView>
  </sheetViews>
  <sheetFormatPr baseColWidth="10" defaultColWidth="11.453125" defaultRowHeight="14.5" x14ac:dyDescent="0.35"/>
  <cols>
    <col min="1" max="1" width="5.7265625" style="10" customWidth="1"/>
    <col min="2" max="2" width="9.26953125" style="10" customWidth="1"/>
    <col min="3" max="3" width="68" style="10" bestFit="1" customWidth="1"/>
    <col min="4" max="7" width="7.453125" style="10" customWidth="1"/>
    <col min="8" max="8" width="12.7265625" style="10" customWidth="1"/>
    <col min="9" max="11" width="12.7265625" style="225" customWidth="1"/>
    <col min="12" max="14" width="12.26953125" style="10" customWidth="1"/>
    <col min="15" max="15" width="12.7265625" style="10" customWidth="1"/>
    <col min="16" max="18" width="12.7265625" style="225" customWidth="1"/>
    <col min="19" max="21" width="12.26953125" style="10" customWidth="1"/>
    <col min="22" max="22" width="12.7265625" style="10" customWidth="1"/>
    <col min="23" max="25" width="12.7265625" style="225" customWidth="1"/>
    <col min="26" max="28" width="12.26953125" style="10" customWidth="1"/>
    <col min="29" max="29" width="12.7265625" style="10" customWidth="1"/>
    <col min="30" max="32" width="12.7265625" style="225" customWidth="1"/>
    <col min="33" max="35" width="12.26953125" style="10" customWidth="1"/>
    <col min="36" max="36" width="12.7265625" style="10" customWidth="1"/>
    <col min="37" max="39" width="12.7265625" style="225" customWidth="1"/>
    <col min="40" max="42" width="12.26953125" style="10" customWidth="1"/>
    <col min="43" max="43" width="12.7265625" style="10" customWidth="1"/>
    <col min="44" max="46" width="12.7265625" style="225" customWidth="1"/>
    <col min="47" max="49" width="12.26953125" style="10" customWidth="1"/>
    <col min="50" max="50" width="12.7265625" style="10" customWidth="1"/>
    <col min="51" max="53" width="12.7265625" style="225" customWidth="1"/>
    <col min="54" max="56" width="12.26953125" style="10" customWidth="1"/>
    <col min="57" max="57" width="12.7265625" style="10" customWidth="1"/>
    <col min="58" max="60" width="12.7265625" style="225" customWidth="1"/>
    <col min="61" max="63" width="12.26953125" style="10" customWidth="1"/>
    <col min="64" max="64" width="12.7265625" style="10" customWidth="1"/>
    <col min="65" max="67" width="12.7265625" style="225" customWidth="1"/>
    <col min="68" max="70" width="12.26953125" style="10" customWidth="1"/>
    <col min="71" max="16384" width="11.453125" style="10"/>
  </cols>
  <sheetData>
    <row r="1" spans="1:70" ht="24" customHeight="1" thickBot="1" x14ac:dyDescent="0.4">
      <c r="A1" s="928" t="str">
        <f>Grunddaten!A1 &amp; "   " &amp; Grunddaten!A2</f>
        <v>Gemeinde A   Abwasserbeseitigungseinrichtung</v>
      </c>
      <c r="B1" s="929"/>
      <c r="C1" s="929"/>
      <c r="D1" s="929"/>
      <c r="E1" s="929"/>
      <c r="F1" s="929"/>
      <c r="G1" s="930"/>
      <c r="H1" s="225"/>
      <c r="L1" s="225"/>
      <c r="M1" s="225"/>
      <c r="N1" s="205"/>
      <c r="O1" s="225"/>
      <c r="S1" s="225"/>
      <c r="T1" s="225"/>
      <c r="U1" s="205"/>
      <c r="V1" s="225"/>
      <c r="Z1" s="225"/>
      <c r="AA1" s="225"/>
      <c r="AB1" s="205"/>
      <c r="AC1" s="225"/>
      <c r="AG1" s="225"/>
      <c r="AH1" s="225"/>
      <c r="AI1" s="205"/>
      <c r="AJ1" s="225"/>
      <c r="AN1" s="225"/>
      <c r="AO1" s="225"/>
      <c r="AP1" s="205"/>
      <c r="AQ1" s="225"/>
      <c r="AU1" s="225"/>
      <c r="AV1" s="225"/>
      <c r="AW1" s="205"/>
      <c r="AX1" s="225"/>
      <c r="BB1" s="225"/>
      <c r="BC1" s="225"/>
      <c r="BD1" s="205"/>
      <c r="BE1" s="225"/>
      <c r="BI1" s="225"/>
      <c r="BJ1" s="225"/>
      <c r="BK1" s="205"/>
      <c r="BL1" s="225"/>
      <c r="BP1" s="225"/>
      <c r="BQ1" s="225"/>
      <c r="BR1" s="205"/>
    </row>
    <row r="2" spans="1:70" ht="29.25" customHeight="1" thickBot="1" x14ac:dyDescent="0.4">
      <c r="A2" s="931" t="s">
        <v>600</v>
      </c>
      <c r="B2" s="932"/>
      <c r="C2" s="932"/>
      <c r="D2" s="933"/>
      <c r="E2" s="933"/>
      <c r="F2" s="933"/>
      <c r="G2" s="934"/>
      <c r="H2" s="500">
        <f>Nachkalkulation!C6</f>
        <v>2012</v>
      </c>
      <c r="I2" s="935" t="s">
        <v>601</v>
      </c>
      <c r="J2" s="936"/>
      <c r="K2" s="936"/>
      <c r="L2" s="936"/>
      <c r="M2" s="936"/>
      <c r="N2" s="937"/>
      <c r="O2" s="500">
        <f>Nachkalkulation!E6</f>
        <v>2013</v>
      </c>
      <c r="P2" s="935" t="s">
        <v>700</v>
      </c>
      <c r="Q2" s="936"/>
      <c r="R2" s="936"/>
      <c r="S2" s="936"/>
      <c r="T2" s="936"/>
      <c r="U2" s="937"/>
      <c r="V2" s="500">
        <f>Nachkalkulation!G6</f>
        <v>2014</v>
      </c>
      <c r="W2" s="935" t="s">
        <v>700</v>
      </c>
      <c r="X2" s="936"/>
      <c r="Y2" s="936"/>
      <c r="Z2" s="936"/>
      <c r="AA2" s="936"/>
      <c r="AB2" s="937"/>
      <c r="AC2" s="500">
        <f>Nachkalkulation!I6</f>
        <v>2015</v>
      </c>
      <c r="AD2" s="935" t="s">
        <v>700</v>
      </c>
      <c r="AE2" s="936"/>
      <c r="AF2" s="936"/>
      <c r="AG2" s="936"/>
      <c r="AH2" s="936"/>
      <c r="AI2" s="937"/>
      <c r="AJ2" s="500">
        <f>Nachkalkulation!K6</f>
        <v>2016</v>
      </c>
      <c r="AK2" s="935" t="s">
        <v>700</v>
      </c>
      <c r="AL2" s="936"/>
      <c r="AM2" s="936"/>
      <c r="AN2" s="936"/>
      <c r="AO2" s="936"/>
      <c r="AP2" s="937"/>
      <c r="AQ2" s="500">
        <f>Vorkalkulation!C6</f>
        <v>2017</v>
      </c>
      <c r="AR2" s="935" t="s">
        <v>701</v>
      </c>
      <c r="AS2" s="936"/>
      <c r="AT2" s="936"/>
      <c r="AU2" s="936"/>
      <c r="AV2" s="936"/>
      <c r="AW2" s="937"/>
      <c r="AX2" s="500">
        <f>Vorkalkulation!E6</f>
        <v>2018</v>
      </c>
      <c r="AY2" s="935" t="s">
        <v>701</v>
      </c>
      <c r="AZ2" s="936"/>
      <c r="BA2" s="936"/>
      <c r="BB2" s="936"/>
      <c r="BC2" s="936"/>
      <c r="BD2" s="937"/>
      <c r="BE2" s="500">
        <f>Vorkalkulation!G6</f>
        <v>2019</v>
      </c>
      <c r="BF2" s="935" t="s">
        <v>701</v>
      </c>
      <c r="BG2" s="936"/>
      <c r="BH2" s="936"/>
      <c r="BI2" s="936"/>
      <c r="BJ2" s="936"/>
      <c r="BK2" s="937"/>
      <c r="BL2" s="500">
        <f>Vorkalkulation!I6</f>
        <v>2020</v>
      </c>
      <c r="BM2" s="935" t="s">
        <v>701</v>
      </c>
      <c r="BN2" s="936"/>
      <c r="BO2" s="936"/>
      <c r="BP2" s="936"/>
      <c r="BQ2" s="936"/>
      <c r="BR2" s="937"/>
    </row>
    <row r="3" spans="1:70" ht="15" customHeight="1" x14ac:dyDescent="0.35">
      <c r="A3" s="938" t="s">
        <v>0</v>
      </c>
      <c r="B3" s="941" t="s">
        <v>602</v>
      </c>
      <c r="C3" s="941" t="s">
        <v>439</v>
      </c>
      <c r="D3" s="943" t="s">
        <v>603</v>
      </c>
      <c r="E3" s="943" t="s">
        <v>604</v>
      </c>
      <c r="F3" s="943"/>
      <c r="G3" s="946"/>
      <c r="H3" s="948" t="s">
        <v>605</v>
      </c>
      <c r="I3" s="949"/>
      <c r="J3" s="949"/>
      <c r="K3" s="949"/>
      <c r="L3" s="949"/>
      <c r="M3" s="949"/>
      <c r="N3" s="950"/>
      <c r="O3" s="948" t="s">
        <v>605</v>
      </c>
      <c r="P3" s="949"/>
      <c r="Q3" s="949"/>
      <c r="R3" s="949"/>
      <c r="S3" s="949"/>
      <c r="T3" s="949"/>
      <c r="U3" s="950"/>
      <c r="V3" s="948" t="s">
        <v>605</v>
      </c>
      <c r="W3" s="949"/>
      <c r="X3" s="949"/>
      <c r="Y3" s="949"/>
      <c r="Z3" s="949"/>
      <c r="AA3" s="949"/>
      <c r="AB3" s="950"/>
      <c r="AC3" s="948" t="s">
        <v>605</v>
      </c>
      <c r="AD3" s="949"/>
      <c r="AE3" s="949"/>
      <c r="AF3" s="949"/>
      <c r="AG3" s="949"/>
      <c r="AH3" s="949"/>
      <c r="AI3" s="950"/>
      <c r="AJ3" s="948" t="s">
        <v>605</v>
      </c>
      <c r="AK3" s="949"/>
      <c r="AL3" s="949"/>
      <c r="AM3" s="949"/>
      <c r="AN3" s="949"/>
      <c r="AO3" s="949"/>
      <c r="AP3" s="950"/>
      <c r="AQ3" s="948" t="s">
        <v>605</v>
      </c>
      <c r="AR3" s="949"/>
      <c r="AS3" s="949"/>
      <c r="AT3" s="949"/>
      <c r="AU3" s="949"/>
      <c r="AV3" s="949"/>
      <c r="AW3" s="950"/>
      <c r="AX3" s="948" t="s">
        <v>605</v>
      </c>
      <c r="AY3" s="949"/>
      <c r="AZ3" s="949"/>
      <c r="BA3" s="949"/>
      <c r="BB3" s="949"/>
      <c r="BC3" s="949"/>
      <c r="BD3" s="950"/>
      <c r="BE3" s="948" t="s">
        <v>605</v>
      </c>
      <c r="BF3" s="949"/>
      <c r="BG3" s="949"/>
      <c r="BH3" s="949"/>
      <c r="BI3" s="949"/>
      <c r="BJ3" s="949"/>
      <c r="BK3" s="950"/>
      <c r="BL3" s="948" t="s">
        <v>605</v>
      </c>
      <c r="BM3" s="949"/>
      <c r="BN3" s="949"/>
      <c r="BO3" s="949"/>
      <c r="BP3" s="949"/>
      <c r="BQ3" s="949"/>
      <c r="BR3" s="950"/>
    </row>
    <row r="4" spans="1:70" x14ac:dyDescent="0.35">
      <c r="A4" s="939"/>
      <c r="B4" s="766"/>
      <c r="C4" s="766"/>
      <c r="D4" s="944"/>
      <c r="E4" s="944"/>
      <c r="F4" s="944"/>
      <c r="G4" s="947"/>
      <c r="H4" s="951">
        <f>H2</f>
        <v>2012</v>
      </c>
      <c r="I4" s="949"/>
      <c r="J4" s="949"/>
      <c r="K4" s="949"/>
      <c r="L4" s="949"/>
      <c r="M4" s="949"/>
      <c r="N4" s="950"/>
      <c r="O4" s="951">
        <f>O2</f>
        <v>2013</v>
      </c>
      <c r="P4" s="949"/>
      <c r="Q4" s="949"/>
      <c r="R4" s="949"/>
      <c r="S4" s="949"/>
      <c r="T4" s="949"/>
      <c r="U4" s="950"/>
      <c r="V4" s="951">
        <f>V2</f>
        <v>2014</v>
      </c>
      <c r="W4" s="949"/>
      <c r="X4" s="949"/>
      <c r="Y4" s="949"/>
      <c r="Z4" s="949"/>
      <c r="AA4" s="949"/>
      <c r="AB4" s="950"/>
      <c r="AC4" s="951">
        <f>AC2</f>
        <v>2015</v>
      </c>
      <c r="AD4" s="949"/>
      <c r="AE4" s="949"/>
      <c r="AF4" s="949"/>
      <c r="AG4" s="949"/>
      <c r="AH4" s="949"/>
      <c r="AI4" s="950"/>
      <c r="AJ4" s="951">
        <f>AJ2</f>
        <v>2016</v>
      </c>
      <c r="AK4" s="949"/>
      <c r="AL4" s="949"/>
      <c r="AM4" s="949"/>
      <c r="AN4" s="949"/>
      <c r="AO4" s="949"/>
      <c r="AP4" s="950"/>
      <c r="AQ4" s="951">
        <f>AQ2</f>
        <v>2017</v>
      </c>
      <c r="AR4" s="949"/>
      <c r="AS4" s="949"/>
      <c r="AT4" s="949"/>
      <c r="AU4" s="949"/>
      <c r="AV4" s="949"/>
      <c r="AW4" s="950"/>
      <c r="AX4" s="951">
        <f>AX2</f>
        <v>2018</v>
      </c>
      <c r="AY4" s="949"/>
      <c r="AZ4" s="949"/>
      <c r="BA4" s="949"/>
      <c r="BB4" s="949"/>
      <c r="BC4" s="949"/>
      <c r="BD4" s="950"/>
      <c r="BE4" s="951">
        <f>BE2</f>
        <v>2019</v>
      </c>
      <c r="BF4" s="949"/>
      <c r="BG4" s="949"/>
      <c r="BH4" s="949"/>
      <c r="BI4" s="949"/>
      <c r="BJ4" s="949"/>
      <c r="BK4" s="950"/>
      <c r="BL4" s="951">
        <f>BL2</f>
        <v>2020</v>
      </c>
      <c r="BM4" s="949"/>
      <c r="BN4" s="949"/>
      <c r="BO4" s="949"/>
      <c r="BP4" s="949"/>
      <c r="BQ4" s="949"/>
      <c r="BR4" s="950"/>
    </row>
    <row r="5" spans="1:70" ht="18" customHeight="1" x14ac:dyDescent="0.35">
      <c r="A5" s="939"/>
      <c r="B5" s="766"/>
      <c r="C5" s="766"/>
      <c r="D5" s="944"/>
      <c r="E5" s="944"/>
      <c r="F5" s="944"/>
      <c r="G5" s="947"/>
      <c r="H5" s="952" t="s">
        <v>606</v>
      </c>
      <c r="I5" s="954" t="s">
        <v>607</v>
      </c>
      <c r="J5" s="954" t="s">
        <v>608</v>
      </c>
      <c r="K5" s="954" t="s">
        <v>609</v>
      </c>
      <c r="L5" s="956" t="s">
        <v>610</v>
      </c>
      <c r="M5" s="956"/>
      <c r="N5" s="957"/>
      <c r="O5" s="952" t="s">
        <v>606</v>
      </c>
      <c r="P5" s="954" t="s">
        <v>607</v>
      </c>
      <c r="Q5" s="954" t="s">
        <v>608</v>
      </c>
      <c r="R5" s="954" t="s">
        <v>609</v>
      </c>
      <c r="S5" s="956" t="s">
        <v>610</v>
      </c>
      <c r="T5" s="956"/>
      <c r="U5" s="957"/>
      <c r="V5" s="952" t="s">
        <v>606</v>
      </c>
      <c r="W5" s="954" t="s">
        <v>607</v>
      </c>
      <c r="X5" s="954" t="s">
        <v>608</v>
      </c>
      <c r="Y5" s="954" t="s">
        <v>609</v>
      </c>
      <c r="Z5" s="956" t="s">
        <v>610</v>
      </c>
      <c r="AA5" s="956"/>
      <c r="AB5" s="957"/>
      <c r="AC5" s="952" t="s">
        <v>606</v>
      </c>
      <c r="AD5" s="954" t="s">
        <v>607</v>
      </c>
      <c r="AE5" s="954" t="s">
        <v>608</v>
      </c>
      <c r="AF5" s="954" t="s">
        <v>609</v>
      </c>
      <c r="AG5" s="956" t="s">
        <v>610</v>
      </c>
      <c r="AH5" s="956"/>
      <c r="AI5" s="957"/>
      <c r="AJ5" s="952" t="s">
        <v>606</v>
      </c>
      <c r="AK5" s="954" t="s">
        <v>607</v>
      </c>
      <c r="AL5" s="954" t="s">
        <v>608</v>
      </c>
      <c r="AM5" s="954" t="s">
        <v>609</v>
      </c>
      <c r="AN5" s="956" t="s">
        <v>610</v>
      </c>
      <c r="AO5" s="956"/>
      <c r="AP5" s="957"/>
      <c r="AQ5" s="952" t="s">
        <v>606</v>
      </c>
      <c r="AR5" s="954" t="s">
        <v>607</v>
      </c>
      <c r="AS5" s="954" t="s">
        <v>608</v>
      </c>
      <c r="AT5" s="954" t="s">
        <v>609</v>
      </c>
      <c r="AU5" s="956" t="s">
        <v>610</v>
      </c>
      <c r="AV5" s="956"/>
      <c r="AW5" s="957"/>
      <c r="AX5" s="952" t="s">
        <v>606</v>
      </c>
      <c r="AY5" s="954" t="s">
        <v>607</v>
      </c>
      <c r="AZ5" s="954" t="s">
        <v>608</v>
      </c>
      <c r="BA5" s="954" t="s">
        <v>609</v>
      </c>
      <c r="BB5" s="956" t="s">
        <v>610</v>
      </c>
      <c r="BC5" s="956"/>
      <c r="BD5" s="957"/>
      <c r="BE5" s="952" t="s">
        <v>606</v>
      </c>
      <c r="BF5" s="954" t="s">
        <v>607</v>
      </c>
      <c r="BG5" s="954" t="s">
        <v>608</v>
      </c>
      <c r="BH5" s="954" t="s">
        <v>609</v>
      </c>
      <c r="BI5" s="956" t="s">
        <v>610</v>
      </c>
      <c r="BJ5" s="956"/>
      <c r="BK5" s="957"/>
      <c r="BL5" s="952" t="s">
        <v>606</v>
      </c>
      <c r="BM5" s="954" t="s">
        <v>607</v>
      </c>
      <c r="BN5" s="954" t="s">
        <v>608</v>
      </c>
      <c r="BO5" s="954" t="s">
        <v>609</v>
      </c>
      <c r="BP5" s="956" t="s">
        <v>610</v>
      </c>
      <c r="BQ5" s="956"/>
      <c r="BR5" s="957"/>
    </row>
    <row r="6" spans="1:70" ht="28.5" customHeight="1" thickBot="1" x14ac:dyDescent="0.4">
      <c r="A6" s="940"/>
      <c r="B6" s="942"/>
      <c r="C6" s="942"/>
      <c r="D6" s="945"/>
      <c r="E6" s="488" t="s">
        <v>611</v>
      </c>
      <c r="F6" s="488" t="s">
        <v>612</v>
      </c>
      <c r="G6" s="489" t="s">
        <v>613</v>
      </c>
      <c r="H6" s="953"/>
      <c r="I6" s="955"/>
      <c r="J6" s="955"/>
      <c r="K6" s="955"/>
      <c r="L6" s="488" t="s">
        <v>440</v>
      </c>
      <c r="M6" s="488" t="s">
        <v>614</v>
      </c>
      <c r="N6" s="489" t="s">
        <v>615</v>
      </c>
      <c r="O6" s="953"/>
      <c r="P6" s="955"/>
      <c r="Q6" s="955"/>
      <c r="R6" s="955"/>
      <c r="S6" s="488" t="s">
        <v>440</v>
      </c>
      <c r="T6" s="488" t="s">
        <v>614</v>
      </c>
      <c r="U6" s="489" t="s">
        <v>615</v>
      </c>
      <c r="V6" s="953"/>
      <c r="W6" s="955"/>
      <c r="X6" s="955"/>
      <c r="Y6" s="955"/>
      <c r="Z6" s="488" t="s">
        <v>440</v>
      </c>
      <c r="AA6" s="488" t="s">
        <v>614</v>
      </c>
      <c r="AB6" s="489" t="s">
        <v>615</v>
      </c>
      <c r="AC6" s="953"/>
      <c r="AD6" s="955"/>
      <c r="AE6" s="955"/>
      <c r="AF6" s="955"/>
      <c r="AG6" s="488" t="s">
        <v>440</v>
      </c>
      <c r="AH6" s="488" t="s">
        <v>614</v>
      </c>
      <c r="AI6" s="489" t="s">
        <v>615</v>
      </c>
      <c r="AJ6" s="953"/>
      <c r="AK6" s="955"/>
      <c r="AL6" s="955"/>
      <c r="AM6" s="955"/>
      <c r="AN6" s="488" t="s">
        <v>440</v>
      </c>
      <c r="AO6" s="488" t="s">
        <v>614</v>
      </c>
      <c r="AP6" s="489" t="s">
        <v>615</v>
      </c>
      <c r="AQ6" s="953"/>
      <c r="AR6" s="955"/>
      <c r="AS6" s="955"/>
      <c r="AT6" s="955"/>
      <c r="AU6" s="488" t="s">
        <v>440</v>
      </c>
      <c r="AV6" s="488" t="s">
        <v>614</v>
      </c>
      <c r="AW6" s="489" t="s">
        <v>615</v>
      </c>
      <c r="AX6" s="953"/>
      <c r="AY6" s="955"/>
      <c r="AZ6" s="955"/>
      <c r="BA6" s="955"/>
      <c r="BB6" s="488" t="s">
        <v>440</v>
      </c>
      <c r="BC6" s="488" t="s">
        <v>614</v>
      </c>
      <c r="BD6" s="489" t="s">
        <v>615</v>
      </c>
      <c r="BE6" s="953"/>
      <c r="BF6" s="955"/>
      <c r="BG6" s="955"/>
      <c r="BH6" s="955"/>
      <c r="BI6" s="488" t="s">
        <v>440</v>
      </c>
      <c r="BJ6" s="488" t="s">
        <v>614</v>
      </c>
      <c r="BK6" s="489" t="s">
        <v>615</v>
      </c>
      <c r="BL6" s="953"/>
      <c r="BM6" s="955"/>
      <c r="BN6" s="955"/>
      <c r="BO6" s="955"/>
      <c r="BP6" s="488" t="s">
        <v>440</v>
      </c>
      <c r="BQ6" s="488" t="s">
        <v>614</v>
      </c>
      <c r="BR6" s="489" t="s">
        <v>615</v>
      </c>
    </row>
    <row r="7" spans="1:70" ht="27.75" customHeight="1" thickTop="1" x14ac:dyDescent="0.45">
      <c r="A7" s="226" t="s">
        <v>616</v>
      </c>
      <c r="B7" s="490"/>
      <c r="C7" s="925" t="s">
        <v>1059</v>
      </c>
      <c r="D7" s="926"/>
      <c r="E7" s="926"/>
      <c r="F7" s="926"/>
      <c r="G7" s="927"/>
      <c r="H7" s="227"/>
      <c r="I7" s="227"/>
      <c r="J7" s="227"/>
      <c r="K7" s="228"/>
      <c r="L7" s="228"/>
      <c r="M7" s="228"/>
      <c r="N7" s="229"/>
      <c r="O7" s="227"/>
      <c r="P7" s="227"/>
      <c r="Q7" s="227"/>
      <c r="R7" s="228"/>
      <c r="S7" s="228"/>
      <c r="T7" s="228"/>
      <c r="U7" s="229"/>
      <c r="V7" s="227"/>
      <c r="W7" s="227"/>
      <c r="X7" s="227"/>
      <c r="Y7" s="228"/>
      <c r="Z7" s="228"/>
      <c r="AA7" s="228"/>
      <c r="AB7" s="229"/>
      <c r="AC7" s="227"/>
      <c r="AD7" s="227"/>
      <c r="AE7" s="227"/>
      <c r="AF7" s="228"/>
      <c r="AG7" s="228"/>
      <c r="AH7" s="228"/>
      <c r="AI7" s="229"/>
      <c r="AJ7" s="227"/>
      <c r="AK7" s="227"/>
      <c r="AL7" s="227"/>
      <c r="AM7" s="228"/>
      <c r="AN7" s="228"/>
      <c r="AO7" s="228"/>
      <c r="AP7" s="229"/>
      <c r="AQ7" s="227"/>
      <c r="AR7" s="227"/>
      <c r="AS7" s="227"/>
      <c r="AT7" s="228"/>
      <c r="AU7" s="228"/>
      <c r="AV7" s="228"/>
      <c r="AW7" s="229"/>
      <c r="AX7" s="227"/>
      <c r="AY7" s="227"/>
      <c r="AZ7" s="227"/>
      <c r="BA7" s="228"/>
      <c r="BB7" s="228"/>
      <c r="BC7" s="228"/>
      <c r="BD7" s="229"/>
      <c r="BE7" s="227"/>
      <c r="BF7" s="227"/>
      <c r="BG7" s="227"/>
      <c r="BH7" s="228"/>
      <c r="BI7" s="228"/>
      <c r="BJ7" s="228"/>
      <c r="BK7" s="229"/>
      <c r="BL7" s="227"/>
      <c r="BM7" s="227"/>
      <c r="BN7" s="227"/>
      <c r="BO7" s="228"/>
      <c r="BP7" s="228"/>
      <c r="BQ7" s="228"/>
      <c r="BR7" s="229"/>
    </row>
    <row r="8" spans="1:70" x14ac:dyDescent="0.35">
      <c r="A8" s="491" t="s">
        <v>11</v>
      </c>
      <c r="B8" s="175"/>
      <c r="C8" s="492" t="s">
        <v>552</v>
      </c>
      <c r="D8" s="175"/>
      <c r="E8" s="230"/>
      <c r="F8" s="230"/>
      <c r="G8" s="231"/>
      <c r="H8" s="232"/>
      <c r="I8" s="87"/>
      <c r="J8" s="87"/>
      <c r="K8" s="233">
        <f t="shared" ref="K8:K26" si="0">H8-I8+J8</f>
        <v>0</v>
      </c>
      <c r="L8" s="233">
        <f t="shared" ref="L8:L26" si="1">IF(H$2="-","-",IF($E8+$F8+$G8=1,K8*$E8,IF($D8="uns",K8*HLOOKUP(H$2,Verteil_sw,46,FALSE),IF($D8="unm",K8*HLOOKUP(H$2,Verteil_sw,47,FALSE),IF($D8="unr",K8*HLOOKUP(H$2,Verteil_sw,48,FALSE),IF($D8="unk",K8*HLOOKUP(H$2,Verteil_sw,49,FALSE),IF($D8="alz",K8*HLOOKUP(H$2,Verteil_sw,51,FALSE),0)))))))</f>
        <v>0</v>
      </c>
      <c r="M8" s="233">
        <f t="shared" ref="M8:M26" si="2">IF(H$2="-","-",IF($E8+$F8+$G8=1,K8*$F8,IF($D8="uns",K8*HLOOKUP(H$2,Verteil_rwgr,45,FALSE),IF($D8="unm",K8*HLOOKUP(H$2,Verteil_rwgr,46,FALSE),IF($D8="unr",K8*HLOOKUP(H$2,Verteil_rwgr,47,FALSE),IF($D8="unk",K8*HLOOKUP(H$2,Verteil_rwgr,48,FALSE),IF($D8="alz",K8*HLOOKUP(H$2,Verteil_rwgr,50,FALSE),0)))))))</f>
        <v>0</v>
      </c>
      <c r="N8" s="224">
        <f t="shared" ref="N8:N26" si="3">IF(H$2="-","-",IF($E8+$F8+$G8=1,K8*$G8,IF($D8="uns",K8*HLOOKUP(H$2,Verteil_rwst,44,FALSE),IF($D8="unm",K8*HLOOKUP(H$2,Verteil_rwst,45,FALSE),IF($D8="unr",K8*HLOOKUP(H$2,Verteil_rwst,46,FALSE),IF($D8="unk",K8*HLOOKUP(H$2,Verteil_rwst,47,FALSE),IF($D8="alz",K8*HLOOKUP(H$2,Verteil_rwst,49,FALSE),0)))))))</f>
        <v>0</v>
      </c>
      <c r="O8" s="232"/>
      <c r="P8" s="87"/>
      <c r="Q8" s="87"/>
      <c r="R8" s="233">
        <f t="shared" ref="R8:R26" si="4">O8-P8+Q8</f>
        <v>0</v>
      </c>
      <c r="S8" s="233">
        <f t="shared" ref="S8:S26" si="5">IF(O$2="-","-",IF($E8+$F8+$G8=1,R8*$E8,IF($D8="uns",R8*HLOOKUP(O$2,Verteil_sw,46,FALSE),IF($D8="unm",R8*HLOOKUP(O$2,Verteil_sw,47,FALSE),IF($D8="unr",R8*HLOOKUP(O$2,Verteil_sw,48,FALSE),IF($D8="unk",R8*HLOOKUP(O$2,Verteil_sw,49,FALSE),IF($D8="alz",R8*HLOOKUP(O$2,Verteil_sw,51,FALSE),0)))))))</f>
        <v>0</v>
      </c>
      <c r="T8" s="233">
        <f t="shared" ref="T8:T26" si="6">IF(O$2="-","-",IF($E8+$F8+$G8=1,R8*$F8,IF($D8="uns",R8*HLOOKUP(O$2,Verteil_rwgr,45,FALSE),IF($D8="unm",R8*HLOOKUP(O$2,Verteil_rwgr,46,FALSE),IF($D8="unr",R8*HLOOKUP(O$2,Verteil_rwgr,47,FALSE),IF($D8="unk",R8*HLOOKUP(O$2,Verteil_rwgr,48,FALSE),IF($D8="alz",R8*HLOOKUP(O$2,Verteil_rwgr,50,FALSE),0)))))))</f>
        <v>0</v>
      </c>
      <c r="U8" s="224">
        <f t="shared" ref="U8:U26" si="7">IF(O$2="-","-",IF($E8+$F8+$G8=1,R8*$G8,IF($D8="uns",R8*HLOOKUP(O$2,Verteil_rwst,44,FALSE),IF($D8="unm",R8*HLOOKUP(O$2,Verteil_rwst,45,FALSE),IF($D8="unr",R8*HLOOKUP(O$2,Verteil_rwst,46,FALSE),IF($D8="unk",R8*HLOOKUP(O$2,Verteil_rwst,47,FALSE),IF($D8="alz",R8*HLOOKUP(O$2,Verteil_rwst,49,FALSE),0)))))))</f>
        <v>0</v>
      </c>
      <c r="V8" s="232"/>
      <c r="W8" s="87"/>
      <c r="X8" s="87"/>
      <c r="Y8" s="233">
        <f t="shared" ref="Y8:Y26" si="8">V8-W8+X8</f>
        <v>0</v>
      </c>
      <c r="Z8" s="233">
        <f t="shared" ref="Z8:Z26" si="9">IF(V$2="-","-",IF($E8+$F8+$G8=1,Y8*$E8,IF($D8="uns",Y8*HLOOKUP(V$2,Verteil_sw,46,FALSE),IF($D8="unm",Y8*HLOOKUP(V$2,Verteil_sw,47,FALSE),IF($D8="unr",Y8*HLOOKUP(V$2,Verteil_sw,48,FALSE),IF($D8="unk",Y8*HLOOKUP(V$2,Verteil_sw,49,FALSE),IF($D8="alz",Y8*HLOOKUP(V$2,Verteil_sw,51,FALSE),0)))))))</f>
        <v>0</v>
      </c>
      <c r="AA8" s="233">
        <f t="shared" ref="AA8:AA26" si="10">IF(V$2="-","-",IF($E8+$F8+$G8=1,Y8*$F8,IF($D8="uns",Y8*HLOOKUP(V$2,Verteil_rwgr,45,FALSE),IF($D8="unm",Y8*HLOOKUP(V$2,Verteil_rwgr,46,FALSE),IF($D8="unr",Y8*HLOOKUP(V$2,Verteil_rwgr,47,FALSE),IF($D8="unk",Y8*HLOOKUP(V$2,Verteil_rwgr,48,FALSE),IF($D8="alz",Y8*HLOOKUP(V$2,Verteil_rwgr,50,FALSE),0)))))))</f>
        <v>0</v>
      </c>
      <c r="AB8" s="224">
        <f t="shared" ref="AB8:AB26" si="11">IF(V$2="-","-",IF($E8+$F8+$G8=1,Y8*$G8,IF($D8="uns",Y8*HLOOKUP(V$2,Verteil_rwst,44,FALSE),IF($D8="unm",Y8*HLOOKUP(V$2,Verteil_rwst,45,FALSE),IF($D8="unr",Y8*HLOOKUP(V$2,Verteil_rwst,46,FALSE),IF($D8="unk",Y8*HLOOKUP(V$2,Verteil_rwst,47,FALSE),IF($D8="alz",Y8*HLOOKUP(V$2,Verteil_rwst,49,FALSE),0)))))))</f>
        <v>0</v>
      </c>
      <c r="AC8" s="232"/>
      <c r="AD8" s="87"/>
      <c r="AE8" s="87"/>
      <c r="AF8" s="233">
        <f t="shared" ref="AF8:AF26" si="12">AC8-AD8+AE8</f>
        <v>0</v>
      </c>
      <c r="AG8" s="233">
        <f t="shared" ref="AG8:AG26" si="13">IF(AC$2="-","-",IF($E8+$F8+$G8=1,AF8*$E8,IF($D8="uns",AF8*HLOOKUP(AC$2,Verteil_sw,46,FALSE),IF($D8="unm",AF8*HLOOKUP(AC$2,Verteil_sw,47,FALSE),IF($D8="unr",AF8*HLOOKUP(AC$2,Verteil_sw,48,FALSE),IF($D8="unk",AF8*HLOOKUP(AC$2,Verteil_sw,49,FALSE),IF($D8="alz",AF8*HLOOKUP(AC$2,Verteil_sw,51,FALSE),0)))))))</f>
        <v>0</v>
      </c>
      <c r="AH8" s="233">
        <f t="shared" ref="AH8:AH26" si="14">IF(AC$2="-","-",IF($E8+$F8+$G8=1,AF8*$F8,IF($D8="uns",AF8*HLOOKUP(AC$2,Verteil_rwgr,45,FALSE),IF($D8="unm",AF8*HLOOKUP(AC$2,Verteil_rwgr,46,FALSE),IF($D8="unr",AF8*HLOOKUP(AC$2,Verteil_rwgr,47,FALSE),IF($D8="unk",AF8*HLOOKUP(AC$2,Verteil_rwgr,48,FALSE),IF($D8="alz",AF8*HLOOKUP(AC$2,Verteil_rwgr,50,FALSE),0)))))))</f>
        <v>0</v>
      </c>
      <c r="AI8" s="224">
        <f t="shared" ref="AI8:AI26" si="15">IF(AC$2="-","-",IF($E8+$F8+$G8=1,AF8*$G8,IF($D8="uns",AF8*HLOOKUP(AC$2,Verteil_rwst,44,FALSE),IF($D8="unm",AF8*HLOOKUP(AC$2,Verteil_rwst,45,FALSE),IF($D8="unr",AF8*HLOOKUP(AC$2,Verteil_rwst,46,FALSE),IF($D8="unk",AF8*HLOOKUP(AC$2,Verteil_rwst,47,FALSE),IF($D8="alz",AF8*HLOOKUP(AC$2,Verteil_rwst,49,FALSE),0)))))))</f>
        <v>0</v>
      </c>
      <c r="AJ8" s="232"/>
      <c r="AK8" s="87"/>
      <c r="AL8" s="87"/>
      <c r="AM8" s="233">
        <f t="shared" ref="AM8:AM26" si="16">AJ8-AK8+AL8</f>
        <v>0</v>
      </c>
      <c r="AN8" s="233">
        <f t="shared" ref="AN8:AN26" si="17">IF(AJ$2="-","-",IF($E8+$F8+$G8=1,AM8*$E8,IF($D8="uns",AM8*HLOOKUP(AJ$2,Verteil_sw,46,FALSE),IF($D8="unm",AM8*HLOOKUP(AJ$2,Verteil_sw,47,FALSE),IF($D8="unr",AM8*HLOOKUP(AJ$2,Verteil_sw,48,FALSE),IF($D8="unk",AM8*HLOOKUP(AJ$2,Verteil_sw,49,FALSE),IF($D8="alz",AM8*HLOOKUP(AJ$2,Verteil_sw,51,FALSE),0)))))))</f>
        <v>0</v>
      </c>
      <c r="AO8" s="233">
        <f t="shared" ref="AO8:AO26" si="18">IF(AJ$2="-","-",IF($E8+$F8+$G8=1,AM8*$F8,IF($D8="uns",AM8*HLOOKUP(AJ$2,Verteil_rwgr,45,FALSE),IF($D8="unm",AM8*HLOOKUP(AJ$2,Verteil_rwgr,46,FALSE),IF($D8="unr",AM8*HLOOKUP(AJ$2,Verteil_rwgr,47,FALSE),IF($D8="unk",AM8*HLOOKUP(AJ$2,Verteil_rwgr,48,FALSE),IF($D8="alz",AM8*HLOOKUP(AJ$2,Verteil_rwgr,50,FALSE),0)))))))</f>
        <v>0</v>
      </c>
      <c r="AP8" s="224">
        <f t="shared" ref="AP8:AP26" si="19">IF(AJ$2="-","-",IF($E8+$F8+$G8=1,AM8*$G8,IF($D8="uns",AM8*HLOOKUP(AJ$2,Verteil_rwst,44,FALSE),IF($D8="unm",AM8*HLOOKUP(AJ$2,Verteil_rwst,45,FALSE),IF($D8="unr",AM8*HLOOKUP(AJ$2,Verteil_rwst,46,FALSE),IF($D8="unk",AM8*HLOOKUP(AJ$2,Verteil_rwst,47,FALSE),IF($D8="alz",AM8*HLOOKUP(AJ$2,Verteil_rwst,49,FALSE),0)))))))</f>
        <v>0</v>
      </c>
      <c r="AQ8" s="232"/>
      <c r="AR8" s="87"/>
      <c r="AS8" s="87"/>
      <c r="AT8" s="233">
        <f t="shared" ref="AT8:AT26" si="20">AQ8-AR8+AS8</f>
        <v>0</v>
      </c>
      <c r="AU8" s="233">
        <f t="shared" ref="AU8:AU26" si="21">IF(AQ$2="-","-",IF($E8+$F8+$G8=1,AT8*$E8,IF($D8="uns",AT8*HLOOKUP(AQ$2,Verteil_sw,46,FALSE),IF($D8="unm",AT8*HLOOKUP(AQ$2,Verteil_sw,47,FALSE),IF($D8="unr",AT8*HLOOKUP(AQ$2,Verteil_sw,48,FALSE),IF($D8="unk",AT8*HLOOKUP(AQ$2,Verteil_sw,49,FALSE),IF($D8="alz",AT8*HLOOKUP(AQ$2,Verteil_sw,51,FALSE),0)))))))</f>
        <v>0</v>
      </c>
      <c r="AV8" s="233">
        <f t="shared" ref="AV8:AV26" si="22">IF(AQ$2="-","-",IF($E8+$F8+$G8=1,AT8*$F8,IF($D8="uns",AT8*HLOOKUP(AQ$2,Verteil_rwgr,45,FALSE),IF($D8="unm",AT8*HLOOKUP(AQ$2,Verteil_rwgr,46,FALSE),IF($D8="unr",AT8*HLOOKUP(AQ$2,Verteil_rwgr,47,FALSE),IF($D8="unk",AT8*HLOOKUP(AQ$2,Verteil_rwgr,48,FALSE),IF($D8="alz",AT8*HLOOKUP(AQ$2,Verteil_rwgr,50,FALSE),0)))))))</f>
        <v>0</v>
      </c>
      <c r="AW8" s="224">
        <f t="shared" ref="AW8:AW26" si="23">IF(AQ$2="-","-",IF($E8+$F8+$G8=1,AT8*$G8,IF($D8="uns",AT8*HLOOKUP(AQ$2,Verteil_rwst,44,FALSE),IF($D8="unm",AT8*HLOOKUP(AQ$2,Verteil_rwst,45,FALSE),IF($D8="unr",AT8*HLOOKUP(AQ$2,Verteil_rwst,46,FALSE),IF($D8="unk",AT8*HLOOKUP(AQ$2,Verteil_rwst,47,FALSE),IF($D8="alz",AT8*HLOOKUP(AQ$2,Verteil_rwst,49,FALSE),0)))))))</f>
        <v>0</v>
      </c>
      <c r="AX8" s="232"/>
      <c r="AY8" s="87"/>
      <c r="AZ8" s="87"/>
      <c r="BA8" s="233">
        <f t="shared" ref="BA8:BA26" si="24">AX8-AY8+AZ8</f>
        <v>0</v>
      </c>
      <c r="BB8" s="233">
        <f t="shared" ref="BB8:BB26" si="25">IF(AX$2="-","-",IF($E8+$F8+$G8=1,BA8*$E8,IF($D8="uns",BA8*HLOOKUP(AX$2,Verteil_sw,46,FALSE),IF($D8="unm",BA8*HLOOKUP(AX$2,Verteil_sw,47,FALSE),IF($D8="unr",BA8*HLOOKUP(AX$2,Verteil_sw,48,FALSE),IF($D8="unk",BA8*HLOOKUP(AX$2,Verteil_sw,49,FALSE),IF($D8="alz",BA8*HLOOKUP(AX$2,Verteil_sw,51,FALSE),0)))))))</f>
        <v>0</v>
      </c>
      <c r="BC8" s="233">
        <f t="shared" ref="BC8:BC26" si="26">IF(AX$2="-","-",IF($E8+$F8+$G8=1,BA8*$F8,IF($D8="uns",BA8*HLOOKUP(AX$2,Verteil_rwgr,45,FALSE),IF($D8="unm",BA8*HLOOKUP(AX$2,Verteil_rwgr,46,FALSE),IF($D8="unr",BA8*HLOOKUP(AX$2,Verteil_rwgr,47,FALSE),IF($D8="unk",BA8*HLOOKUP(AX$2,Verteil_rwgr,48,FALSE),IF($D8="alz",BA8*HLOOKUP(AX$2,Verteil_rwgr,50,FALSE),0)))))))</f>
        <v>0</v>
      </c>
      <c r="BD8" s="224">
        <f t="shared" ref="BD8:BD26" si="27">IF(AX$2="-","-",IF($E8+$F8+$G8=1,BA8*$G8,IF($D8="uns",BA8*HLOOKUP(AX$2,Verteil_rwst,44,FALSE),IF($D8="unm",BA8*HLOOKUP(AX$2,Verteil_rwst,45,FALSE),IF($D8="unr",BA8*HLOOKUP(AX$2,Verteil_rwst,46,FALSE),IF($D8="unk",BA8*HLOOKUP(AX$2,Verteil_rwst,47,FALSE),IF($D8="alz",BA8*HLOOKUP(AX$2,Verteil_rwst,49,FALSE),0)))))))</f>
        <v>0</v>
      </c>
      <c r="BE8" s="232"/>
      <c r="BF8" s="87"/>
      <c r="BG8" s="87"/>
      <c r="BH8" s="233">
        <f t="shared" ref="BH8:BH26" si="28">BE8-BF8+BG8</f>
        <v>0</v>
      </c>
      <c r="BI8" s="233">
        <f t="shared" ref="BI8:BI26" si="29">IF(BE$2="-","-",IF($E8+$F8+$G8=1,BH8*$E8,IF($D8="uns",BH8*HLOOKUP(BE$2,Verteil_sw,46,FALSE),IF($D8="unm",BH8*HLOOKUP(BE$2,Verteil_sw,47,FALSE),IF($D8="unr",BH8*HLOOKUP(BE$2,Verteil_sw,48,FALSE),IF($D8="unk",BH8*HLOOKUP(BE$2,Verteil_sw,49,FALSE),IF($D8="alz",BH8*HLOOKUP(BE$2,Verteil_sw,51,FALSE),0)))))))</f>
        <v>0</v>
      </c>
      <c r="BJ8" s="233">
        <f t="shared" ref="BJ8:BJ26" si="30">IF(BE$2="-","-",IF($E8+$F8+$G8=1,BH8*$F8,IF($D8="uns",BH8*HLOOKUP(BE$2,Verteil_rwgr,45,FALSE),IF($D8="unm",BH8*HLOOKUP(BE$2,Verteil_rwgr,46,FALSE),IF($D8="unr",BH8*HLOOKUP(BE$2,Verteil_rwgr,47,FALSE),IF($D8="unk",BH8*HLOOKUP(BE$2,Verteil_rwgr,48,FALSE),IF($D8="alz",BH8*HLOOKUP(BE$2,Verteil_rwgr,50,FALSE),0)))))))</f>
        <v>0</v>
      </c>
      <c r="BK8" s="224">
        <f t="shared" ref="BK8:BK26" si="31">IF(BE$2="-","-",IF($E8+$F8+$G8=1,BH8*$G8,IF($D8="uns",BH8*HLOOKUP(BE$2,Verteil_rwst,44,FALSE),IF($D8="unm",BH8*HLOOKUP(BE$2,Verteil_rwst,45,FALSE),IF($D8="unr",BH8*HLOOKUP(BE$2,Verteil_rwst,46,FALSE),IF($D8="unk",BH8*HLOOKUP(BE$2,Verteil_rwst,47,FALSE),IF($D8="alz",BH8*HLOOKUP(BE$2,Verteil_rwst,49,FALSE),0)))))))</f>
        <v>0</v>
      </c>
      <c r="BL8" s="232"/>
      <c r="BM8" s="87"/>
      <c r="BN8" s="87"/>
      <c r="BO8" s="233">
        <f t="shared" ref="BO8:BO26" si="32">BL8-BM8+BN8</f>
        <v>0</v>
      </c>
      <c r="BP8" s="233">
        <f t="shared" ref="BP8:BP26" si="33">IF(BL$2="-","-",IF($E8+$F8+$G8=1,BO8*$E8,IF($D8="uns",BO8*HLOOKUP(BL$2,Verteil_sw,46,FALSE),IF($D8="unm",BO8*HLOOKUP(BL$2,Verteil_sw,47,FALSE),IF($D8="unr",BO8*HLOOKUP(BL$2,Verteil_sw,48,FALSE),IF($D8="unk",BO8*HLOOKUP(BL$2,Verteil_sw,49,FALSE),IF($D8="alz",BO8*HLOOKUP(BL$2,Verteil_sw,51,FALSE),0)))))))</f>
        <v>0</v>
      </c>
      <c r="BQ8" s="233">
        <f t="shared" ref="BQ8:BQ26" si="34">IF(BL$2="-","-",IF($E8+$F8+$G8=1,BO8*$F8,IF($D8="uns",BO8*HLOOKUP(BL$2,Verteil_rwgr,45,FALSE),IF($D8="unm",BO8*HLOOKUP(BL$2,Verteil_rwgr,46,FALSE),IF($D8="unr",BO8*HLOOKUP(BL$2,Verteil_rwgr,47,FALSE),IF($D8="unk",BO8*HLOOKUP(BL$2,Verteil_rwgr,48,FALSE),IF($D8="alz",BO8*HLOOKUP(BL$2,Verteil_rwgr,50,FALSE),0)))))))</f>
        <v>0</v>
      </c>
      <c r="BR8" s="224">
        <f t="shared" ref="BR8:BR26" si="35">IF(BL$2="-","-",IF($E8+$F8+$G8=1,BO8*$G8,IF($D8="uns",BO8*HLOOKUP(BL$2,Verteil_rwst,44,FALSE),IF($D8="unm",BO8*HLOOKUP(BL$2,Verteil_rwst,45,FALSE),IF($D8="unr",BO8*HLOOKUP(BL$2,Verteil_rwst,46,FALSE),IF($D8="unk",BO8*HLOOKUP(BL$2,Verteil_rwst,47,FALSE),IF($D8="alz",BO8*HLOOKUP(BL$2,Verteil_rwst,49,FALSE),0)))))))</f>
        <v>0</v>
      </c>
    </row>
    <row r="9" spans="1:70" x14ac:dyDescent="0.35">
      <c r="A9" s="491" t="s">
        <v>13</v>
      </c>
      <c r="B9" s="83"/>
      <c r="C9" s="234"/>
      <c r="D9" s="83"/>
      <c r="E9" s="230"/>
      <c r="F9" s="230"/>
      <c r="G9" s="231"/>
      <c r="H9" s="235"/>
      <c r="I9" s="84"/>
      <c r="J9" s="84"/>
      <c r="K9" s="233">
        <f t="shared" si="0"/>
        <v>0</v>
      </c>
      <c r="L9" s="233">
        <f t="shared" si="1"/>
        <v>0</v>
      </c>
      <c r="M9" s="233">
        <f t="shared" si="2"/>
        <v>0</v>
      </c>
      <c r="N9" s="224">
        <f t="shared" si="3"/>
        <v>0</v>
      </c>
      <c r="O9" s="235"/>
      <c r="P9" s="84"/>
      <c r="Q9" s="84"/>
      <c r="R9" s="233">
        <f t="shared" si="4"/>
        <v>0</v>
      </c>
      <c r="S9" s="233">
        <f t="shared" si="5"/>
        <v>0</v>
      </c>
      <c r="T9" s="233">
        <f t="shared" si="6"/>
        <v>0</v>
      </c>
      <c r="U9" s="224">
        <f t="shared" si="7"/>
        <v>0</v>
      </c>
      <c r="V9" s="235"/>
      <c r="W9" s="84"/>
      <c r="X9" s="84"/>
      <c r="Y9" s="233">
        <f t="shared" si="8"/>
        <v>0</v>
      </c>
      <c r="Z9" s="233">
        <f t="shared" si="9"/>
        <v>0</v>
      </c>
      <c r="AA9" s="233">
        <f t="shared" si="10"/>
        <v>0</v>
      </c>
      <c r="AB9" s="224">
        <f t="shared" si="11"/>
        <v>0</v>
      </c>
      <c r="AC9" s="235"/>
      <c r="AD9" s="84"/>
      <c r="AE9" s="84"/>
      <c r="AF9" s="233">
        <f t="shared" si="12"/>
        <v>0</v>
      </c>
      <c r="AG9" s="233">
        <f t="shared" si="13"/>
        <v>0</v>
      </c>
      <c r="AH9" s="233">
        <f t="shared" si="14"/>
        <v>0</v>
      </c>
      <c r="AI9" s="224">
        <f t="shared" si="15"/>
        <v>0</v>
      </c>
      <c r="AJ9" s="235"/>
      <c r="AK9" s="84"/>
      <c r="AL9" s="84"/>
      <c r="AM9" s="233">
        <f t="shared" si="16"/>
        <v>0</v>
      </c>
      <c r="AN9" s="233">
        <f t="shared" si="17"/>
        <v>0</v>
      </c>
      <c r="AO9" s="233">
        <f t="shared" si="18"/>
        <v>0</v>
      </c>
      <c r="AP9" s="224">
        <f t="shared" si="19"/>
        <v>0</v>
      </c>
      <c r="AQ9" s="235"/>
      <c r="AR9" s="84"/>
      <c r="AS9" s="84"/>
      <c r="AT9" s="233">
        <f t="shared" si="20"/>
        <v>0</v>
      </c>
      <c r="AU9" s="233">
        <f t="shared" si="21"/>
        <v>0</v>
      </c>
      <c r="AV9" s="233">
        <f t="shared" si="22"/>
        <v>0</v>
      </c>
      <c r="AW9" s="224">
        <f t="shared" si="23"/>
        <v>0</v>
      </c>
      <c r="AX9" s="235"/>
      <c r="AY9" s="84"/>
      <c r="AZ9" s="84"/>
      <c r="BA9" s="233">
        <f t="shared" si="24"/>
        <v>0</v>
      </c>
      <c r="BB9" s="233">
        <f t="shared" si="25"/>
        <v>0</v>
      </c>
      <c r="BC9" s="233">
        <f t="shared" si="26"/>
        <v>0</v>
      </c>
      <c r="BD9" s="224">
        <f t="shared" si="27"/>
        <v>0</v>
      </c>
      <c r="BE9" s="235"/>
      <c r="BF9" s="84"/>
      <c r="BG9" s="84"/>
      <c r="BH9" s="233">
        <f t="shared" si="28"/>
        <v>0</v>
      </c>
      <c r="BI9" s="233">
        <f t="shared" si="29"/>
        <v>0</v>
      </c>
      <c r="BJ9" s="233">
        <f t="shared" si="30"/>
        <v>0</v>
      </c>
      <c r="BK9" s="224">
        <f t="shared" si="31"/>
        <v>0</v>
      </c>
      <c r="BL9" s="235"/>
      <c r="BM9" s="84"/>
      <c r="BN9" s="84"/>
      <c r="BO9" s="233">
        <f t="shared" si="32"/>
        <v>0</v>
      </c>
      <c r="BP9" s="233">
        <f t="shared" si="33"/>
        <v>0</v>
      </c>
      <c r="BQ9" s="233">
        <f t="shared" si="34"/>
        <v>0</v>
      </c>
      <c r="BR9" s="224">
        <f t="shared" si="35"/>
        <v>0</v>
      </c>
    </row>
    <row r="10" spans="1:70" x14ac:dyDescent="0.35">
      <c r="A10" s="491" t="s">
        <v>16</v>
      </c>
      <c r="B10" s="175">
        <v>7000</v>
      </c>
      <c r="C10" s="492" t="s">
        <v>26</v>
      </c>
      <c r="D10" s="83"/>
      <c r="E10" s="230"/>
      <c r="F10" s="230"/>
      <c r="G10" s="231"/>
      <c r="H10" s="235"/>
      <c r="I10" s="84"/>
      <c r="J10" s="84"/>
      <c r="K10" s="233">
        <f t="shared" si="0"/>
        <v>0</v>
      </c>
      <c r="L10" s="233">
        <f t="shared" si="1"/>
        <v>0</v>
      </c>
      <c r="M10" s="233">
        <f t="shared" si="2"/>
        <v>0</v>
      </c>
      <c r="N10" s="224">
        <f t="shared" si="3"/>
        <v>0</v>
      </c>
      <c r="O10" s="235"/>
      <c r="P10" s="84"/>
      <c r="Q10" s="84"/>
      <c r="R10" s="233">
        <f t="shared" si="4"/>
        <v>0</v>
      </c>
      <c r="S10" s="233">
        <f t="shared" si="5"/>
        <v>0</v>
      </c>
      <c r="T10" s="233">
        <f t="shared" si="6"/>
        <v>0</v>
      </c>
      <c r="U10" s="224">
        <f t="shared" si="7"/>
        <v>0</v>
      </c>
      <c r="V10" s="235"/>
      <c r="W10" s="84"/>
      <c r="X10" s="84"/>
      <c r="Y10" s="233">
        <f t="shared" si="8"/>
        <v>0</v>
      </c>
      <c r="Z10" s="233">
        <f t="shared" si="9"/>
        <v>0</v>
      </c>
      <c r="AA10" s="233">
        <f t="shared" si="10"/>
        <v>0</v>
      </c>
      <c r="AB10" s="224">
        <f t="shared" si="11"/>
        <v>0</v>
      </c>
      <c r="AC10" s="235"/>
      <c r="AD10" s="84"/>
      <c r="AE10" s="84"/>
      <c r="AF10" s="233">
        <f t="shared" si="12"/>
        <v>0</v>
      </c>
      <c r="AG10" s="233">
        <f t="shared" si="13"/>
        <v>0</v>
      </c>
      <c r="AH10" s="233">
        <f t="shared" si="14"/>
        <v>0</v>
      </c>
      <c r="AI10" s="224">
        <f t="shared" si="15"/>
        <v>0</v>
      </c>
      <c r="AJ10" s="235"/>
      <c r="AK10" s="84"/>
      <c r="AL10" s="84"/>
      <c r="AM10" s="233">
        <f t="shared" si="16"/>
        <v>0</v>
      </c>
      <c r="AN10" s="233">
        <f t="shared" si="17"/>
        <v>0</v>
      </c>
      <c r="AO10" s="233">
        <f t="shared" si="18"/>
        <v>0</v>
      </c>
      <c r="AP10" s="224">
        <f t="shared" si="19"/>
        <v>0</v>
      </c>
      <c r="AQ10" s="235"/>
      <c r="AR10" s="84"/>
      <c r="AS10" s="84"/>
      <c r="AT10" s="233">
        <f t="shared" si="20"/>
        <v>0</v>
      </c>
      <c r="AU10" s="233">
        <f t="shared" si="21"/>
        <v>0</v>
      </c>
      <c r="AV10" s="233">
        <f t="shared" si="22"/>
        <v>0</v>
      </c>
      <c r="AW10" s="224">
        <f t="shared" si="23"/>
        <v>0</v>
      </c>
      <c r="AX10" s="235"/>
      <c r="AY10" s="84"/>
      <c r="AZ10" s="84"/>
      <c r="BA10" s="233">
        <f t="shared" si="24"/>
        <v>0</v>
      </c>
      <c r="BB10" s="233">
        <f t="shared" si="25"/>
        <v>0</v>
      </c>
      <c r="BC10" s="233">
        <f t="shared" si="26"/>
        <v>0</v>
      </c>
      <c r="BD10" s="224">
        <f t="shared" si="27"/>
        <v>0</v>
      </c>
      <c r="BE10" s="235"/>
      <c r="BF10" s="84"/>
      <c r="BG10" s="84"/>
      <c r="BH10" s="233">
        <f t="shared" si="28"/>
        <v>0</v>
      </c>
      <c r="BI10" s="233">
        <f t="shared" si="29"/>
        <v>0</v>
      </c>
      <c r="BJ10" s="233">
        <f t="shared" si="30"/>
        <v>0</v>
      </c>
      <c r="BK10" s="224">
        <f t="shared" si="31"/>
        <v>0</v>
      </c>
      <c r="BL10" s="235"/>
      <c r="BM10" s="84"/>
      <c r="BN10" s="84"/>
      <c r="BO10" s="233">
        <f t="shared" si="32"/>
        <v>0</v>
      </c>
      <c r="BP10" s="233">
        <f t="shared" si="33"/>
        <v>0</v>
      </c>
      <c r="BQ10" s="233">
        <f t="shared" si="34"/>
        <v>0</v>
      </c>
      <c r="BR10" s="224">
        <f t="shared" si="35"/>
        <v>0</v>
      </c>
    </row>
    <row r="11" spans="1:70" x14ac:dyDescent="0.35">
      <c r="A11" s="491" t="s">
        <v>19</v>
      </c>
      <c r="B11" s="83">
        <v>1108</v>
      </c>
      <c r="C11" s="234" t="s">
        <v>617</v>
      </c>
      <c r="D11" s="83"/>
      <c r="E11" s="230"/>
      <c r="F11" s="230"/>
      <c r="G11" s="231"/>
      <c r="H11" s="235">
        <v>814</v>
      </c>
      <c r="I11" s="84">
        <v>814</v>
      </c>
      <c r="J11" s="84"/>
      <c r="K11" s="233">
        <f t="shared" si="0"/>
        <v>0</v>
      </c>
      <c r="L11" s="233">
        <f t="shared" si="1"/>
        <v>0</v>
      </c>
      <c r="M11" s="233">
        <f t="shared" si="2"/>
        <v>0</v>
      </c>
      <c r="N11" s="224">
        <f t="shared" si="3"/>
        <v>0</v>
      </c>
      <c r="O11" s="279">
        <v>830</v>
      </c>
      <c r="P11" s="84">
        <v>830</v>
      </c>
      <c r="Q11" s="84"/>
      <c r="R11" s="233">
        <f t="shared" si="4"/>
        <v>0</v>
      </c>
      <c r="S11" s="233">
        <f t="shared" si="5"/>
        <v>0</v>
      </c>
      <c r="T11" s="233">
        <f t="shared" si="6"/>
        <v>0</v>
      </c>
      <c r="U11" s="224">
        <f t="shared" si="7"/>
        <v>0</v>
      </c>
      <c r="V11" s="279">
        <v>847</v>
      </c>
      <c r="W11" s="84">
        <v>847</v>
      </c>
      <c r="X11" s="84"/>
      <c r="Y11" s="233">
        <f t="shared" si="8"/>
        <v>0</v>
      </c>
      <c r="Z11" s="233">
        <f t="shared" si="9"/>
        <v>0</v>
      </c>
      <c r="AA11" s="233">
        <f t="shared" si="10"/>
        <v>0</v>
      </c>
      <c r="AB11" s="224">
        <f t="shared" si="11"/>
        <v>0</v>
      </c>
      <c r="AC11" s="279">
        <v>864</v>
      </c>
      <c r="AD11" s="84">
        <v>864</v>
      </c>
      <c r="AE11" s="84"/>
      <c r="AF11" s="233">
        <f t="shared" si="12"/>
        <v>0</v>
      </c>
      <c r="AG11" s="233">
        <f t="shared" si="13"/>
        <v>0</v>
      </c>
      <c r="AH11" s="233">
        <f t="shared" si="14"/>
        <v>0</v>
      </c>
      <c r="AI11" s="224">
        <f t="shared" si="15"/>
        <v>0</v>
      </c>
      <c r="AJ11" s="279">
        <v>881</v>
      </c>
      <c r="AK11" s="84">
        <v>881</v>
      </c>
      <c r="AL11" s="84"/>
      <c r="AM11" s="233">
        <f t="shared" si="16"/>
        <v>0</v>
      </c>
      <c r="AN11" s="233">
        <f t="shared" si="17"/>
        <v>0</v>
      </c>
      <c r="AO11" s="233">
        <f t="shared" si="18"/>
        <v>0</v>
      </c>
      <c r="AP11" s="224">
        <f t="shared" si="19"/>
        <v>0</v>
      </c>
      <c r="AQ11" s="279"/>
      <c r="AR11" s="84"/>
      <c r="AS11" s="84"/>
      <c r="AT11" s="233">
        <f t="shared" si="20"/>
        <v>0</v>
      </c>
      <c r="AU11" s="233">
        <f t="shared" si="21"/>
        <v>0</v>
      </c>
      <c r="AV11" s="233">
        <f t="shared" si="22"/>
        <v>0</v>
      </c>
      <c r="AW11" s="224">
        <f t="shared" si="23"/>
        <v>0</v>
      </c>
      <c r="AX11" s="279"/>
      <c r="AY11" s="84"/>
      <c r="AZ11" s="84"/>
      <c r="BA11" s="233">
        <f t="shared" si="24"/>
        <v>0</v>
      </c>
      <c r="BB11" s="233">
        <f t="shared" si="25"/>
        <v>0</v>
      </c>
      <c r="BC11" s="233">
        <f t="shared" si="26"/>
        <v>0</v>
      </c>
      <c r="BD11" s="224">
        <f t="shared" si="27"/>
        <v>0</v>
      </c>
      <c r="BE11" s="279"/>
      <c r="BF11" s="84"/>
      <c r="BG11" s="84"/>
      <c r="BH11" s="233">
        <f t="shared" si="28"/>
        <v>0</v>
      </c>
      <c r="BI11" s="233">
        <f t="shared" si="29"/>
        <v>0</v>
      </c>
      <c r="BJ11" s="233">
        <f t="shared" si="30"/>
        <v>0</v>
      </c>
      <c r="BK11" s="224">
        <f t="shared" si="31"/>
        <v>0</v>
      </c>
      <c r="BL11" s="279"/>
      <c r="BM11" s="84"/>
      <c r="BN11" s="84"/>
      <c r="BO11" s="233">
        <f t="shared" si="32"/>
        <v>0</v>
      </c>
      <c r="BP11" s="233">
        <f t="shared" si="33"/>
        <v>0</v>
      </c>
      <c r="BQ11" s="233">
        <f t="shared" si="34"/>
        <v>0</v>
      </c>
      <c r="BR11" s="224">
        <f t="shared" si="35"/>
        <v>0</v>
      </c>
    </row>
    <row r="12" spans="1:70" x14ac:dyDescent="0.35">
      <c r="A12" s="491" t="s">
        <v>22</v>
      </c>
      <c r="B12" s="83">
        <v>1105</v>
      </c>
      <c r="C12" s="234" t="s">
        <v>618</v>
      </c>
      <c r="D12" s="83"/>
      <c r="E12" s="230"/>
      <c r="F12" s="230"/>
      <c r="G12" s="231"/>
      <c r="H12" s="235">
        <v>20031</v>
      </c>
      <c r="I12" s="84">
        <v>20031</v>
      </c>
      <c r="J12" s="84"/>
      <c r="K12" s="233">
        <f t="shared" si="0"/>
        <v>0</v>
      </c>
      <c r="L12" s="233">
        <f t="shared" si="1"/>
        <v>0</v>
      </c>
      <c r="M12" s="233">
        <f t="shared" si="2"/>
        <v>0</v>
      </c>
      <c r="N12" s="224">
        <f t="shared" si="3"/>
        <v>0</v>
      </c>
      <c r="O12" s="279">
        <v>20432</v>
      </c>
      <c r="P12" s="84">
        <v>20432</v>
      </c>
      <c r="Q12" s="84"/>
      <c r="R12" s="233">
        <f t="shared" si="4"/>
        <v>0</v>
      </c>
      <c r="S12" s="233">
        <f t="shared" si="5"/>
        <v>0</v>
      </c>
      <c r="T12" s="233">
        <f t="shared" si="6"/>
        <v>0</v>
      </c>
      <c r="U12" s="224">
        <f t="shared" si="7"/>
        <v>0</v>
      </c>
      <c r="V12" s="279">
        <v>20840</v>
      </c>
      <c r="W12" s="84">
        <v>20840</v>
      </c>
      <c r="X12" s="84"/>
      <c r="Y12" s="233">
        <f t="shared" si="8"/>
        <v>0</v>
      </c>
      <c r="Z12" s="233">
        <f t="shared" si="9"/>
        <v>0</v>
      </c>
      <c r="AA12" s="233">
        <f t="shared" si="10"/>
        <v>0</v>
      </c>
      <c r="AB12" s="224">
        <f t="shared" si="11"/>
        <v>0</v>
      </c>
      <c r="AC12" s="279">
        <v>21257</v>
      </c>
      <c r="AD12" s="84">
        <v>21257</v>
      </c>
      <c r="AE12" s="84"/>
      <c r="AF12" s="233">
        <f t="shared" si="12"/>
        <v>0</v>
      </c>
      <c r="AG12" s="233">
        <f t="shared" si="13"/>
        <v>0</v>
      </c>
      <c r="AH12" s="233">
        <f t="shared" si="14"/>
        <v>0</v>
      </c>
      <c r="AI12" s="224">
        <f t="shared" si="15"/>
        <v>0</v>
      </c>
      <c r="AJ12" s="279">
        <v>21682</v>
      </c>
      <c r="AK12" s="84">
        <v>21682</v>
      </c>
      <c r="AL12" s="84"/>
      <c r="AM12" s="233">
        <f t="shared" si="16"/>
        <v>0</v>
      </c>
      <c r="AN12" s="233">
        <f t="shared" si="17"/>
        <v>0</v>
      </c>
      <c r="AO12" s="233">
        <f t="shared" si="18"/>
        <v>0</v>
      </c>
      <c r="AP12" s="224">
        <f t="shared" si="19"/>
        <v>0</v>
      </c>
      <c r="AQ12" s="279"/>
      <c r="AR12" s="84"/>
      <c r="AS12" s="84"/>
      <c r="AT12" s="233">
        <f t="shared" si="20"/>
        <v>0</v>
      </c>
      <c r="AU12" s="233">
        <f t="shared" si="21"/>
        <v>0</v>
      </c>
      <c r="AV12" s="233">
        <f t="shared" si="22"/>
        <v>0</v>
      </c>
      <c r="AW12" s="224">
        <f t="shared" si="23"/>
        <v>0</v>
      </c>
      <c r="AX12" s="279"/>
      <c r="AY12" s="84"/>
      <c r="AZ12" s="84"/>
      <c r="BA12" s="233">
        <f t="shared" si="24"/>
        <v>0</v>
      </c>
      <c r="BB12" s="233">
        <f t="shared" si="25"/>
        <v>0</v>
      </c>
      <c r="BC12" s="233">
        <f t="shared" si="26"/>
        <v>0</v>
      </c>
      <c r="BD12" s="224">
        <f t="shared" si="27"/>
        <v>0</v>
      </c>
      <c r="BE12" s="279"/>
      <c r="BF12" s="84"/>
      <c r="BG12" s="84"/>
      <c r="BH12" s="233">
        <f t="shared" si="28"/>
        <v>0</v>
      </c>
      <c r="BI12" s="233">
        <f t="shared" si="29"/>
        <v>0</v>
      </c>
      <c r="BJ12" s="233">
        <f t="shared" si="30"/>
        <v>0</v>
      </c>
      <c r="BK12" s="224">
        <f t="shared" si="31"/>
        <v>0</v>
      </c>
      <c r="BL12" s="279"/>
      <c r="BM12" s="84"/>
      <c r="BN12" s="84"/>
      <c r="BO12" s="233">
        <f t="shared" si="32"/>
        <v>0</v>
      </c>
      <c r="BP12" s="233">
        <f t="shared" si="33"/>
        <v>0</v>
      </c>
      <c r="BQ12" s="233">
        <f t="shared" si="34"/>
        <v>0</v>
      </c>
      <c r="BR12" s="224">
        <f t="shared" si="35"/>
        <v>0</v>
      </c>
    </row>
    <row r="13" spans="1:70" x14ac:dyDescent="0.35">
      <c r="A13" s="491" t="s">
        <v>25</v>
      </c>
      <c r="B13" s="83"/>
      <c r="C13" s="234"/>
      <c r="D13" s="83"/>
      <c r="E13" s="230"/>
      <c r="F13" s="230"/>
      <c r="G13" s="231"/>
      <c r="H13" s="235"/>
      <c r="I13" s="84"/>
      <c r="J13" s="84"/>
      <c r="K13" s="233">
        <f t="shared" si="0"/>
        <v>0</v>
      </c>
      <c r="L13" s="233">
        <f t="shared" si="1"/>
        <v>0</v>
      </c>
      <c r="M13" s="233">
        <f t="shared" si="2"/>
        <v>0</v>
      </c>
      <c r="N13" s="224">
        <f t="shared" si="3"/>
        <v>0</v>
      </c>
      <c r="O13" s="279"/>
      <c r="P13" s="84"/>
      <c r="Q13" s="84"/>
      <c r="R13" s="233">
        <f t="shared" si="4"/>
        <v>0</v>
      </c>
      <c r="S13" s="233">
        <f t="shared" si="5"/>
        <v>0</v>
      </c>
      <c r="T13" s="233">
        <f t="shared" si="6"/>
        <v>0</v>
      </c>
      <c r="U13" s="224">
        <f t="shared" si="7"/>
        <v>0</v>
      </c>
      <c r="V13" s="279"/>
      <c r="W13" s="84"/>
      <c r="X13" s="84"/>
      <c r="Y13" s="233">
        <f t="shared" si="8"/>
        <v>0</v>
      </c>
      <c r="Z13" s="233">
        <f t="shared" si="9"/>
        <v>0</v>
      </c>
      <c r="AA13" s="233">
        <f t="shared" si="10"/>
        <v>0</v>
      </c>
      <c r="AB13" s="224">
        <f t="shared" si="11"/>
        <v>0</v>
      </c>
      <c r="AC13" s="279"/>
      <c r="AD13" s="84"/>
      <c r="AE13" s="84"/>
      <c r="AF13" s="233">
        <f t="shared" si="12"/>
        <v>0</v>
      </c>
      <c r="AG13" s="233">
        <f t="shared" si="13"/>
        <v>0</v>
      </c>
      <c r="AH13" s="233">
        <f t="shared" si="14"/>
        <v>0</v>
      </c>
      <c r="AI13" s="224">
        <f t="shared" si="15"/>
        <v>0</v>
      </c>
      <c r="AJ13" s="279"/>
      <c r="AK13" s="84"/>
      <c r="AL13" s="84"/>
      <c r="AM13" s="233">
        <f t="shared" si="16"/>
        <v>0</v>
      </c>
      <c r="AN13" s="233">
        <f t="shared" si="17"/>
        <v>0</v>
      </c>
      <c r="AO13" s="233">
        <f t="shared" si="18"/>
        <v>0</v>
      </c>
      <c r="AP13" s="224">
        <f t="shared" si="19"/>
        <v>0</v>
      </c>
      <c r="AQ13" s="279"/>
      <c r="AR13" s="84"/>
      <c r="AS13" s="84"/>
      <c r="AT13" s="233">
        <f t="shared" si="20"/>
        <v>0</v>
      </c>
      <c r="AU13" s="233">
        <f t="shared" si="21"/>
        <v>0</v>
      </c>
      <c r="AV13" s="233">
        <f t="shared" si="22"/>
        <v>0</v>
      </c>
      <c r="AW13" s="224">
        <f t="shared" si="23"/>
        <v>0</v>
      </c>
      <c r="AX13" s="279"/>
      <c r="AY13" s="84"/>
      <c r="AZ13" s="84"/>
      <c r="BA13" s="233">
        <f t="shared" si="24"/>
        <v>0</v>
      </c>
      <c r="BB13" s="233">
        <f t="shared" si="25"/>
        <v>0</v>
      </c>
      <c r="BC13" s="233">
        <f t="shared" si="26"/>
        <v>0</v>
      </c>
      <c r="BD13" s="224">
        <f t="shared" si="27"/>
        <v>0</v>
      </c>
      <c r="BE13" s="279"/>
      <c r="BF13" s="84"/>
      <c r="BG13" s="84"/>
      <c r="BH13" s="233">
        <f t="shared" si="28"/>
        <v>0</v>
      </c>
      <c r="BI13" s="233">
        <f t="shared" si="29"/>
        <v>0</v>
      </c>
      <c r="BJ13" s="233">
        <f t="shared" si="30"/>
        <v>0</v>
      </c>
      <c r="BK13" s="224">
        <f t="shared" si="31"/>
        <v>0</v>
      </c>
      <c r="BL13" s="279"/>
      <c r="BM13" s="84"/>
      <c r="BN13" s="84"/>
      <c r="BO13" s="233">
        <f t="shared" si="32"/>
        <v>0</v>
      </c>
      <c r="BP13" s="233">
        <f t="shared" si="33"/>
        <v>0</v>
      </c>
      <c r="BQ13" s="233">
        <f t="shared" si="34"/>
        <v>0</v>
      </c>
      <c r="BR13" s="224">
        <f t="shared" si="35"/>
        <v>0</v>
      </c>
    </row>
    <row r="14" spans="1:70" x14ac:dyDescent="0.35">
      <c r="A14" s="491" t="s">
        <v>27</v>
      </c>
      <c r="B14" s="83">
        <v>1400</v>
      </c>
      <c r="C14" s="234" t="s">
        <v>619</v>
      </c>
      <c r="D14" s="83"/>
      <c r="E14" s="230">
        <v>0.9</v>
      </c>
      <c r="F14" s="230">
        <v>0.1</v>
      </c>
      <c r="G14" s="231"/>
      <c r="H14" s="235">
        <v>6677</v>
      </c>
      <c r="I14" s="84"/>
      <c r="J14" s="84"/>
      <c r="K14" s="233">
        <f t="shared" si="0"/>
        <v>6677</v>
      </c>
      <c r="L14" s="233">
        <f t="shared" si="1"/>
        <v>6009.3</v>
      </c>
      <c r="M14" s="233">
        <f t="shared" si="2"/>
        <v>667.7</v>
      </c>
      <c r="N14" s="224">
        <f t="shared" si="3"/>
        <v>0</v>
      </c>
      <c r="O14" s="279">
        <v>6811</v>
      </c>
      <c r="P14" s="84"/>
      <c r="Q14" s="84"/>
      <c r="R14" s="233">
        <f t="shared" si="4"/>
        <v>6811</v>
      </c>
      <c r="S14" s="233">
        <f t="shared" si="5"/>
        <v>6129.9000000000005</v>
      </c>
      <c r="T14" s="233">
        <f t="shared" si="6"/>
        <v>681.1</v>
      </c>
      <c r="U14" s="224">
        <f t="shared" si="7"/>
        <v>0</v>
      </c>
      <c r="V14" s="279">
        <v>6947</v>
      </c>
      <c r="W14" s="84"/>
      <c r="X14" s="84"/>
      <c r="Y14" s="233">
        <f t="shared" si="8"/>
        <v>6947</v>
      </c>
      <c r="Z14" s="233">
        <f t="shared" si="9"/>
        <v>6252.3</v>
      </c>
      <c r="AA14" s="233">
        <f t="shared" si="10"/>
        <v>694.7</v>
      </c>
      <c r="AB14" s="224">
        <f t="shared" si="11"/>
        <v>0</v>
      </c>
      <c r="AC14" s="279">
        <v>7086</v>
      </c>
      <c r="AD14" s="84"/>
      <c r="AE14" s="84"/>
      <c r="AF14" s="233">
        <f t="shared" si="12"/>
        <v>7086</v>
      </c>
      <c r="AG14" s="233">
        <f t="shared" si="13"/>
        <v>6377.4000000000005</v>
      </c>
      <c r="AH14" s="233">
        <f t="shared" si="14"/>
        <v>708.6</v>
      </c>
      <c r="AI14" s="224">
        <f t="shared" si="15"/>
        <v>0</v>
      </c>
      <c r="AJ14" s="279">
        <v>7227</v>
      </c>
      <c r="AK14" s="84"/>
      <c r="AL14" s="84"/>
      <c r="AM14" s="233">
        <f t="shared" si="16"/>
        <v>7227</v>
      </c>
      <c r="AN14" s="233">
        <f t="shared" si="17"/>
        <v>6504.3</v>
      </c>
      <c r="AO14" s="233">
        <f t="shared" si="18"/>
        <v>722.7</v>
      </c>
      <c r="AP14" s="224">
        <f t="shared" si="19"/>
        <v>0</v>
      </c>
      <c r="AQ14" s="279">
        <v>7372</v>
      </c>
      <c r="AR14" s="84"/>
      <c r="AS14" s="84"/>
      <c r="AT14" s="233">
        <f t="shared" si="20"/>
        <v>7372</v>
      </c>
      <c r="AU14" s="233">
        <f t="shared" si="21"/>
        <v>6634.8</v>
      </c>
      <c r="AV14" s="233">
        <f t="shared" si="22"/>
        <v>737.2</v>
      </c>
      <c r="AW14" s="224">
        <f t="shared" si="23"/>
        <v>0</v>
      </c>
      <c r="AX14" s="279">
        <v>7519</v>
      </c>
      <c r="AY14" s="84"/>
      <c r="AZ14" s="84"/>
      <c r="BA14" s="233">
        <f t="shared" si="24"/>
        <v>7519</v>
      </c>
      <c r="BB14" s="233">
        <f t="shared" si="25"/>
        <v>6767.1</v>
      </c>
      <c r="BC14" s="233">
        <f t="shared" si="26"/>
        <v>751.90000000000009</v>
      </c>
      <c r="BD14" s="224">
        <f t="shared" si="27"/>
        <v>0</v>
      </c>
      <c r="BE14" s="279">
        <v>7670</v>
      </c>
      <c r="BF14" s="84"/>
      <c r="BG14" s="84"/>
      <c r="BH14" s="233">
        <f t="shared" si="28"/>
        <v>7670</v>
      </c>
      <c r="BI14" s="233">
        <f t="shared" si="29"/>
        <v>6903</v>
      </c>
      <c r="BJ14" s="233">
        <f t="shared" si="30"/>
        <v>767</v>
      </c>
      <c r="BK14" s="224">
        <f t="shared" si="31"/>
        <v>0</v>
      </c>
      <c r="BL14" s="279">
        <v>7823</v>
      </c>
      <c r="BM14" s="84"/>
      <c r="BN14" s="84"/>
      <c r="BO14" s="233">
        <f t="shared" si="32"/>
        <v>7823</v>
      </c>
      <c r="BP14" s="233">
        <f t="shared" si="33"/>
        <v>7040.7</v>
      </c>
      <c r="BQ14" s="233">
        <f t="shared" si="34"/>
        <v>782.30000000000007</v>
      </c>
      <c r="BR14" s="224">
        <f t="shared" si="35"/>
        <v>0</v>
      </c>
    </row>
    <row r="15" spans="1:70" x14ac:dyDescent="0.35">
      <c r="A15" s="491" t="s">
        <v>30</v>
      </c>
      <c r="B15" s="83">
        <v>1500</v>
      </c>
      <c r="C15" s="234" t="s">
        <v>620</v>
      </c>
      <c r="D15" s="83" t="s">
        <v>126</v>
      </c>
      <c r="E15" s="230"/>
      <c r="F15" s="230"/>
      <c r="G15" s="231"/>
      <c r="H15" s="235">
        <v>4211</v>
      </c>
      <c r="I15" s="84"/>
      <c r="J15" s="84"/>
      <c r="K15" s="233">
        <f t="shared" si="0"/>
        <v>4211</v>
      </c>
      <c r="L15" s="233">
        <f t="shared" si="1"/>
        <v>4211</v>
      </c>
      <c r="M15" s="233">
        <f t="shared" si="2"/>
        <v>0</v>
      </c>
      <c r="N15" s="224">
        <f t="shared" si="3"/>
        <v>0</v>
      </c>
      <c r="O15" s="279">
        <v>4295</v>
      </c>
      <c r="P15" s="84"/>
      <c r="Q15" s="84"/>
      <c r="R15" s="233">
        <f t="shared" si="4"/>
        <v>4295</v>
      </c>
      <c r="S15" s="233">
        <f t="shared" si="5"/>
        <v>4295</v>
      </c>
      <c r="T15" s="233">
        <f t="shared" si="6"/>
        <v>0</v>
      </c>
      <c r="U15" s="224">
        <f t="shared" si="7"/>
        <v>0</v>
      </c>
      <c r="V15" s="279">
        <v>4381</v>
      </c>
      <c r="W15" s="84"/>
      <c r="X15" s="84"/>
      <c r="Y15" s="233">
        <f t="shared" si="8"/>
        <v>4381</v>
      </c>
      <c r="Z15" s="233">
        <f t="shared" si="9"/>
        <v>4381</v>
      </c>
      <c r="AA15" s="233">
        <f t="shared" si="10"/>
        <v>0</v>
      </c>
      <c r="AB15" s="224">
        <f t="shared" si="11"/>
        <v>0</v>
      </c>
      <c r="AC15" s="279">
        <v>4469</v>
      </c>
      <c r="AD15" s="84"/>
      <c r="AE15" s="84"/>
      <c r="AF15" s="233">
        <f t="shared" si="12"/>
        <v>4469</v>
      </c>
      <c r="AG15" s="233">
        <f t="shared" si="13"/>
        <v>4469</v>
      </c>
      <c r="AH15" s="233">
        <f t="shared" si="14"/>
        <v>0</v>
      </c>
      <c r="AI15" s="224">
        <f t="shared" si="15"/>
        <v>0</v>
      </c>
      <c r="AJ15" s="279">
        <v>4558</v>
      </c>
      <c r="AK15" s="84"/>
      <c r="AL15" s="84"/>
      <c r="AM15" s="233">
        <f t="shared" si="16"/>
        <v>4558</v>
      </c>
      <c r="AN15" s="233">
        <f t="shared" si="17"/>
        <v>4558</v>
      </c>
      <c r="AO15" s="233">
        <f t="shared" si="18"/>
        <v>0</v>
      </c>
      <c r="AP15" s="224">
        <f t="shared" si="19"/>
        <v>0</v>
      </c>
      <c r="AQ15" s="279">
        <v>4649</v>
      </c>
      <c r="AR15" s="84"/>
      <c r="AS15" s="84"/>
      <c r="AT15" s="233">
        <f t="shared" si="20"/>
        <v>4649</v>
      </c>
      <c r="AU15" s="233">
        <f t="shared" si="21"/>
        <v>4649</v>
      </c>
      <c r="AV15" s="233">
        <f t="shared" si="22"/>
        <v>0</v>
      </c>
      <c r="AW15" s="224">
        <f t="shared" si="23"/>
        <v>0</v>
      </c>
      <c r="AX15" s="279">
        <v>4742</v>
      </c>
      <c r="AY15" s="84"/>
      <c r="AZ15" s="84"/>
      <c r="BA15" s="233">
        <f t="shared" si="24"/>
        <v>4742</v>
      </c>
      <c r="BB15" s="233">
        <f t="shared" si="25"/>
        <v>4742</v>
      </c>
      <c r="BC15" s="233">
        <f t="shared" si="26"/>
        <v>0</v>
      </c>
      <c r="BD15" s="224">
        <f t="shared" si="27"/>
        <v>0</v>
      </c>
      <c r="BE15" s="279">
        <v>4837</v>
      </c>
      <c r="BF15" s="84"/>
      <c r="BG15" s="84"/>
      <c r="BH15" s="233">
        <f t="shared" si="28"/>
        <v>4837</v>
      </c>
      <c r="BI15" s="233">
        <f t="shared" si="29"/>
        <v>4837</v>
      </c>
      <c r="BJ15" s="233">
        <f t="shared" si="30"/>
        <v>0</v>
      </c>
      <c r="BK15" s="224">
        <f t="shared" si="31"/>
        <v>0</v>
      </c>
      <c r="BL15" s="279">
        <v>4934</v>
      </c>
      <c r="BM15" s="84"/>
      <c r="BN15" s="84"/>
      <c r="BO15" s="233">
        <f t="shared" si="32"/>
        <v>4934</v>
      </c>
      <c r="BP15" s="233">
        <f t="shared" si="33"/>
        <v>4934</v>
      </c>
      <c r="BQ15" s="233">
        <f t="shared" si="34"/>
        <v>0</v>
      </c>
      <c r="BR15" s="224">
        <f t="shared" si="35"/>
        <v>0</v>
      </c>
    </row>
    <row r="16" spans="1:70" x14ac:dyDescent="0.35">
      <c r="A16" s="491" t="s">
        <v>33</v>
      </c>
      <c r="B16" s="83">
        <v>1550</v>
      </c>
      <c r="C16" s="234" t="s">
        <v>621</v>
      </c>
      <c r="D16" s="83" t="s">
        <v>126</v>
      </c>
      <c r="E16" s="230"/>
      <c r="F16" s="230"/>
      <c r="G16" s="231"/>
      <c r="H16" s="235">
        <v>2876</v>
      </c>
      <c r="I16" s="84"/>
      <c r="J16" s="84"/>
      <c r="K16" s="233">
        <f t="shared" si="0"/>
        <v>2876</v>
      </c>
      <c r="L16" s="233">
        <f t="shared" si="1"/>
        <v>2876</v>
      </c>
      <c r="M16" s="233">
        <f t="shared" si="2"/>
        <v>0</v>
      </c>
      <c r="N16" s="224">
        <f t="shared" si="3"/>
        <v>0</v>
      </c>
      <c r="O16" s="279">
        <v>2934</v>
      </c>
      <c r="P16" s="84"/>
      <c r="Q16" s="84"/>
      <c r="R16" s="233">
        <f t="shared" si="4"/>
        <v>2934</v>
      </c>
      <c r="S16" s="233">
        <f t="shared" si="5"/>
        <v>2934</v>
      </c>
      <c r="T16" s="233">
        <f t="shared" si="6"/>
        <v>0</v>
      </c>
      <c r="U16" s="224">
        <f t="shared" si="7"/>
        <v>0</v>
      </c>
      <c r="V16" s="279">
        <v>2992</v>
      </c>
      <c r="W16" s="84"/>
      <c r="X16" s="84"/>
      <c r="Y16" s="233">
        <f t="shared" si="8"/>
        <v>2992</v>
      </c>
      <c r="Z16" s="233">
        <f t="shared" si="9"/>
        <v>2992</v>
      </c>
      <c r="AA16" s="233">
        <f t="shared" si="10"/>
        <v>0</v>
      </c>
      <c r="AB16" s="224">
        <f t="shared" si="11"/>
        <v>0</v>
      </c>
      <c r="AC16" s="279">
        <v>3052</v>
      </c>
      <c r="AD16" s="84"/>
      <c r="AE16" s="84"/>
      <c r="AF16" s="233">
        <f t="shared" si="12"/>
        <v>3052</v>
      </c>
      <c r="AG16" s="233">
        <f t="shared" si="13"/>
        <v>3052</v>
      </c>
      <c r="AH16" s="233">
        <f t="shared" si="14"/>
        <v>0</v>
      </c>
      <c r="AI16" s="224">
        <f t="shared" si="15"/>
        <v>0</v>
      </c>
      <c r="AJ16" s="279">
        <v>3113</v>
      </c>
      <c r="AK16" s="84"/>
      <c r="AL16" s="84"/>
      <c r="AM16" s="233">
        <f t="shared" si="16"/>
        <v>3113</v>
      </c>
      <c r="AN16" s="233">
        <f t="shared" si="17"/>
        <v>3113</v>
      </c>
      <c r="AO16" s="233">
        <f t="shared" si="18"/>
        <v>0</v>
      </c>
      <c r="AP16" s="224">
        <f t="shared" si="19"/>
        <v>0</v>
      </c>
      <c r="AQ16" s="279">
        <v>3175</v>
      </c>
      <c r="AR16" s="84"/>
      <c r="AS16" s="84"/>
      <c r="AT16" s="233">
        <f t="shared" si="20"/>
        <v>3175</v>
      </c>
      <c r="AU16" s="233">
        <f t="shared" si="21"/>
        <v>3175</v>
      </c>
      <c r="AV16" s="233">
        <f t="shared" si="22"/>
        <v>0</v>
      </c>
      <c r="AW16" s="224">
        <f t="shared" si="23"/>
        <v>0</v>
      </c>
      <c r="AX16" s="279">
        <v>3239</v>
      </c>
      <c r="AY16" s="84"/>
      <c r="AZ16" s="84"/>
      <c r="BA16" s="233">
        <f t="shared" si="24"/>
        <v>3239</v>
      </c>
      <c r="BB16" s="233">
        <f t="shared" si="25"/>
        <v>3239</v>
      </c>
      <c r="BC16" s="233">
        <f t="shared" si="26"/>
        <v>0</v>
      </c>
      <c r="BD16" s="224">
        <f t="shared" si="27"/>
        <v>0</v>
      </c>
      <c r="BE16" s="279">
        <v>3304</v>
      </c>
      <c r="BF16" s="84"/>
      <c r="BG16" s="84"/>
      <c r="BH16" s="233">
        <f t="shared" si="28"/>
        <v>3304</v>
      </c>
      <c r="BI16" s="233">
        <f t="shared" si="29"/>
        <v>3304</v>
      </c>
      <c r="BJ16" s="233">
        <f t="shared" si="30"/>
        <v>0</v>
      </c>
      <c r="BK16" s="224">
        <f t="shared" si="31"/>
        <v>0</v>
      </c>
      <c r="BL16" s="279">
        <v>3370</v>
      </c>
      <c r="BM16" s="84"/>
      <c r="BN16" s="84"/>
      <c r="BO16" s="233">
        <f t="shared" si="32"/>
        <v>3370</v>
      </c>
      <c r="BP16" s="233">
        <f t="shared" si="33"/>
        <v>3370</v>
      </c>
      <c r="BQ16" s="233">
        <f t="shared" si="34"/>
        <v>0</v>
      </c>
      <c r="BR16" s="224">
        <f t="shared" si="35"/>
        <v>0</v>
      </c>
    </row>
    <row r="17" spans="1:70" x14ac:dyDescent="0.35">
      <c r="A17" s="491" t="s">
        <v>36</v>
      </c>
      <c r="B17" s="83">
        <v>1620</v>
      </c>
      <c r="C17" s="234" t="s">
        <v>622</v>
      </c>
      <c r="D17" s="83" t="s">
        <v>126</v>
      </c>
      <c r="E17" s="230"/>
      <c r="F17" s="230"/>
      <c r="G17" s="231"/>
      <c r="H17" s="235">
        <v>14234</v>
      </c>
      <c r="I17" s="84">
        <v>14234</v>
      </c>
      <c r="J17" s="84">
        <v>14519</v>
      </c>
      <c r="K17" s="233">
        <f t="shared" si="0"/>
        <v>14519</v>
      </c>
      <c r="L17" s="233">
        <f t="shared" si="1"/>
        <v>14519</v>
      </c>
      <c r="M17" s="233">
        <f t="shared" si="2"/>
        <v>0</v>
      </c>
      <c r="N17" s="224">
        <f t="shared" si="3"/>
        <v>0</v>
      </c>
      <c r="O17" s="279">
        <v>14519</v>
      </c>
      <c r="P17" s="84">
        <v>14519</v>
      </c>
      <c r="Q17" s="84">
        <v>14809</v>
      </c>
      <c r="R17" s="233">
        <f t="shared" si="4"/>
        <v>14809</v>
      </c>
      <c r="S17" s="233">
        <f t="shared" si="5"/>
        <v>14809</v>
      </c>
      <c r="T17" s="233">
        <f t="shared" si="6"/>
        <v>0</v>
      </c>
      <c r="U17" s="224">
        <f t="shared" si="7"/>
        <v>0</v>
      </c>
      <c r="V17" s="279">
        <v>14809</v>
      </c>
      <c r="W17" s="84">
        <v>14809</v>
      </c>
      <c r="X17" s="84">
        <v>15105</v>
      </c>
      <c r="Y17" s="233">
        <f t="shared" si="8"/>
        <v>15105</v>
      </c>
      <c r="Z17" s="233">
        <f t="shared" si="9"/>
        <v>15105</v>
      </c>
      <c r="AA17" s="233">
        <f t="shared" si="10"/>
        <v>0</v>
      </c>
      <c r="AB17" s="224">
        <f t="shared" si="11"/>
        <v>0</v>
      </c>
      <c r="AC17" s="279">
        <v>15105</v>
      </c>
      <c r="AD17" s="84">
        <v>15105</v>
      </c>
      <c r="AE17" s="84">
        <v>15407</v>
      </c>
      <c r="AF17" s="233">
        <f t="shared" si="12"/>
        <v>15407</v>
      </c>
      <c r="AG17" s="233">
        <f t="shared" si="13"/>
        <v>15407</v>
      </c>
      <c r="AH17" s="233">
        <f t="shared" si="14"/>
        <v>0</v>
      </c>
      <c r="AI17" s="224">
        <f t="shared" si="15"/>
        <v>0</v>
      </c>
      <c r="AJ17" s="279">
        <v>15407</v>
      </c>
      <c r="AK17" s="84">
        <v>15407</v>
      </c>
      <c r="AL17" s="84">
        <v>16000</v>
      </c>
      <c r="AM17" s="233">
        <f t="shared" si="16"/>
        <v>16000</v>
      </c>
      <c r="AN17" s="233">
        <f t="shared" si="17"/>
        <v>16000</v>
      </c>
      <c r="AO17" s="233">
        <f t="shared" si="18"/>
        <v>0</v>
      </c>
      <c r="AP17" s="224">
        <f t="shared" si="19"/>
        <v>0</v>
      </c>
      <c r="AQ17" s="279">
        <v>16320</v>
      </c>
      <c r="AR17" s="84"/>
      <c r="AS17" s="84"/>
      <c r="AT17" s="233">
        <f t="shared" si="20"/>
        <v>16320</v>
      </c>
      <c r="AU17" s="233">
        <f t="shared" si="21"/>
        <v>16320</v>
      </c>
      <c r="AV17" s="233">
        <f t="shared" si="22"/>
        <v>0</v>
      </c>
      <c r="AW17" s="224">
        <f t="shared" si="23"/>
        <v>0</v>
      </c>
      <c r="AX17" s="279">
        <v>16646</v>
      </c>
      <c r="AY17" s="84"/>
      <c r="AZ17" s="84"/>
      <c r="BA17" s="233">
        <f t="shared" si="24"/>
        <v>16646</v>
      </c>
      <c r="BB17" s="233">
        <f t="shared" si="25"/>
        <v>16646</v>
      </c>
      <c r="BC17" s="233">
        <f t="shared" si="26"/>
        <v>0</v>
      </c>
      <c r="BD17" s="224">
        <f t="shared" si="27"/>
        <v>0</v>
      </c>
      <c r="BE17" s="279">
        <v>16979</v>
      </c>
      <c r="BF17" s="84"/>
      <c r="BG17" s="84"/>
      <c r="BH17" s="233">
        <f t="shared" si="28"/>
        <v>16979</v>
      </c>
      <c r="BI17" s="233">
        <f t="shared" si="29"/>
        <v>16979</v>
      </c>
      <c r="BJ17" s="233">
        <f t="shared" si="30"/>
        <v>0</v>
      </c>
      <c r="BK17" s="224">
        <f t="shared" si="31"/>
        <v>0</v>
      </c>
      <c r="BL17" s="279">
        <v>17319</v>
      </c>
      <c r="BM17" s="84"/>
      <c r="BN17" s="84"/>
      <c r="BO17" s="233">
        <f t="shared" si="32"/>
        <v>17319</v>
      </c>
      <c r="BP17" s="233">
        <f t="shared" si="33"/>
        <v>17319</v>
      </c>
      <c r="BQ17" s="233">
        <f t="shared" si="34"/>
        <v>0</v>
      </c>
      <c r="BR17" s="224">
        <f t="shared" si="35"/>
        <v>0</v>
      </c>
    </row>
    <row r="18" spans="1:70" x14ac:dyDescent="0.35">
      <c r="A18" s="491" t="s">
        <v>39</v>
      </c>
      <c r="B18" s="83"/>
      <c r="C18" s="234"/>
      <c r="D18" s="83"/>
      <c r="E18" s="230"/>
      <c r="F18" s="230"/>
      <c r="G18" s="231"/>
      <c r="H18" s="235"/>
      <c r="I18" s="84"/>
      <c r="J18" s="84"/>
      <c r="K18" s="233">
        <f t="shared" si="0"/>
        <v>0</v>
      </c>
      <c r="L18" s="233">
        <f t="shared" si="1"/>
        <v>0</v>
      </c>
      <c r="M18" s="233">
        <f t="shared" si="2"/>
        <v>0</v>
      </c>
      <c r="N18" s="224">
        <f t="shared" si="3"/>
        <v>0</v>
      </c>
      <c r="O18" s="279"/>
      <c r="P18" s="84"/>
      <c r="Q18" s="84"/>
      <c r="R18" s="233">
        <f t="shared" si="4"/>
        <v>0</v>
      </c>
      <c r="S18" s="233">
        <f t="shared" si="5"/>
        <v>0</v>
      </c>
      <c r="T18" s="233">
        <f t="shared" si="6"/>
        <v>0</v>
      </c>
      <c r="U18" s="224">
        <f t="shared" si="7"/>
        <v>0</v>
      </c>
      <c r="V18" s="279"/>
      <c r="W18" s="84"/>
      <c r="X18" s="84"/>
      <c r="Y18" s="233">
        <f t="shared" si="8"/>
        <v>0</v>
      </c>
      <c r="Z18" s="233">
        <f t="shared" si="9"/>
        <v>0</v>
      </c>
      <c r="AA18" s="233">
        <f t="shared" si="10"/>
        <v>0</v>
      </c>
      <c r="AB18" s="224">
        <f t="shared" si="11"/>
        <v>0</v>
      </c>
      <c r="AC18" s="279"/>
      <c r="AD18" s="84"/>
      <c r="AE18" s="84"/>
      <c r="AF18" s="233">
        <f t="shared" si="12"/>
        <v>0</v>
      </c>
      <c r="AG18" s="233">
        <f t="shared" si="13"/>
        <v>0</v>
      </c>
      <c r="AH18" s="233">
        <f t="shared" si="14"/>
        <v>0</v>
      </c>
      <c r="AI18" s="224">
        <f t="shared" si="15"/>
        <v>0</v>
      </c>
      <c r="AJ18" s="279"/>
      <c r="AK18" s="84"/>
      <c r="AL18" s="84"/>
      <c r="AM18" s="233">
        <f t="shared" si="16"/>
        <v>0</v>
      </c>
      <c r="AN18" s="233">
        <f t="shared" si="17"/>
        <v>0</v>
      </c>
      <c r="AO18" s="233">
        <f t="shared" si="18"/>
        <v>0</v>
      </c>
      <c r="AP18" s="224">
        <f t="shared" si="19"/>
        <v>0</v>
      </c>
      <c r="AQ18" s="279"/>
      <c r="AR18" s="84"/>
      <c r="AS18" s="84"/>
      <c r="AT18" s="233">
        <f t="shared" si="20"/>
        <v>0</v>
      </c>
      <c r="AU18" s="233">
        <f t="shared" si="21"/>
        <v>0</v>
      </c>
      <c r="AV18" s="233">
        <f t="shared" si="22"/>
        <v>0</v>
      </c>
      <c r="AW18" s="224">
        <f t="shared" si="23"/>
        <v>0</v>
      </c>
      <c r="AX18" s="279"/>
      <c r="AY18" s="84"/>
      <c r="AZ18" s="84"/>
      <c r="BA18" s="233">
        <f t="shared" si="24"/>
        <v>0</v>
      </c>
      <c r="BB18" s="233">
        <f t="shared" si="25"/>
        <v>0</v>
      </c>
      <c r="BC18" s="233">
        <f t="shared" si="26"/>
        <v>0</v>
      </c>
      <c r="BD18" s="224">
        <f t="shared" si="27"/>
        <v>0</v>
      </c>
      <c r="BE18" s="279"/>
      <c r="BF18" s="84"/>
      <c r="BG18" s="84"/>
      <c r="BH18" s="233">
        <f t="shared" si="28"/>
        <v>0</v>
      </c>
      <c r="BI18" s="233">
        <f t="shared" si="29"/>
        <v>0</v>
      </c>
      <c r="BJ18" s="233">
        <f t="shared" si="30"/>
        <v>0</v>
      </c>
      <c r="BK18" s="224">
        <f t="shared" si="31"/>
        <v>0</v>
      </c>
      <c r="BL18" s="279"/>
      <c r="BM18" s="84"/>
      <c r="BN18" s="84"/>
      <c r="BO18" s="233">
        <f t="shared" si="32"/>
        <v>0</v>
      </c>
      <c r="BP18" s="233">
        <f t="shared" si="33"/>
        <v>0</v>
      </c>
      <c r="BQ18" s="233">
        <f t="shared" si="34"/>
        <v>0</v>
      </c>
      <c r="BR18" s="224">
        <f t="shared" si="35"/>
        <v>0</v>
      </c>
    </row>
    <row r="19" spans="1:70" x14ac:dyDescent="0.35">
      <c r="A19" s="491" t="s">
        <v>42</v>
      </c>
      <c r="B19" s="175">
        <v>7003</v>
      </c>
      <c r="C19" s="492" t="s">
        <v>623</v>
      </c>
      <c r="D19" s="83"/>
      <c r="E19" s="230"/>
      <c r="F19" s="230"/>
      <c r="G19" s="231"/>
      <c r="H19" s="235"/>
      <c r="I19" s="84"/>
      <c r="J19" s="84"/>
      <c r="K19" s="233">
        <f t="shared" si="0"/>
        <v>0</v>
      </c>
      <c r="L19" s="233">
        <f t="shared" si="1"/>
        <v>0</v>
      </c>
      <c r="M19" s="233">
        <f t="shared" si="2"/>
        <v>0</v>
      </c>
      <c r="N19" s="224">
        <f t="shared" si="3"/>
        <v>0</v>
      </c>
      <c r="O19" s="279"/>
      <c r="P19" s="84"/>
      <c r="Q19" s="84"/>
      <c r="R19" s="233">
        <f t="shared" si="4"/>
        <v>0</v>
      </c>
      <c r="S19" s="233">
        <f t="shared" si="5"/>
        <v>0</v>
      </c>
      <c r="T19" s="233">
        <f t="shared" si="6"/>
        <v>0</v>
      </c>
      <c r="U19" s="224">
        <f t="shared" si="7"/>
        <v>0</v>
      </c>
      <c r="V19" s="279"/>
      <c r="W19" s="84"/>
      <c r="X19" s="84"/>
      <c r="Y19" s="233">
        <f t="shared" si="8"/>
        <v>0</v>
      </c>
      <c r="Z19" s="233">
        <f t="shared" si="9"/>
        <v>0</v>
      </c>
      <c r="AA19" s="233">
        <f t="shared" si="10"/>
        <v>0</v>
      </c>
      <c r="AB19" s="224">
        <f t="shared" si="11"/>
        <v>0</v>
      </c>
      <c r="AC19" s="279"/>
      <c r="AD19" s="84"/>
      <c r="AE19" s="84"/>
      <c r="AF19" s="233">
        <f t="shared" si="12"/>
        <v>0</v>
      </c>
      <c r="AG19" s="233">
        <f t="shared" si="13"/>
        <v>0</v>
      </c>
      <c r="AH19" s="233">
        <f t="shared" si="14"/>
        <v>0</v>
      </c>
      <c r="AI19" s="224">
        <f t="shared" si="15"/>
        <v>0</v>
      </c>
      <c r="AJ19" s="279"/>
      <c r="AK19" s="84"/>
      <c r="AL19" s="84"/>
      <c r="AM19" s="233">
        <f t="shared" si="16"/>
        <v>0</v>
      </c>
      <c r="AN19" s="233">
        <f t="shared" si="17"/>
        <v>0</v>
      </c>
      <c r="AO19" s="233">
        <f t="shared" si="18"/>
        <v>0</v>
      </c>
      <c r="AP19" s="224">
        <f t="shared" si="19"/>
        <v>0</v>
      </c>
      <c r="AQ19" s="279"/>
      <c r="AR19" s="84"/>
      <c r="AS19" s="84"/>
      <c r="AT19" s="233">
        <f t="shared" si="20"/>
        <v>0</v>
      </c>
      <c r="AU19" s="233">
        <f t="shared" si="21"/>
        <v>0</v>
      </c>
      <c r="AV19" s="233">
        <f t="shared" si="22"/>
        <v>0</v>
      </c>
      <c r="AW19" s="224">
        <f t="shared" si="23"/>
        <v>0</v>
      </c>
      <c r="AX19" s="279"/>
      <c r="AY19" s="84"/>
      <c r="AZ19" s="84"/>
      <c r="BA19" s="233">
        <f t="shared" si="24"/>
        <v>0</v>
      </c>
      <c r="BB19" s="233">
        <f t="shared" si="25"/>
        <v>0</v>
      </c>
      <c r="BC19" s="233">
        <f t="shared" si="26"/>
        <v>0</v>
      </c>
      <c r="BD19" s="224">
        <f t="shared" si="27"/>
        <v>0</v>
      </c>
      <c r="BE19" s="279"/>
      <c r="BF19" s="84"/>
      <c r="BG19" s="84"/>
      <c r="BH19" s="233">
        <f t="shared" si="28"/>
        <v>0</v>
      </c>
      <c r="BI19" s="233">
        <f t="shared" si="29"/>
        <v>0</v>
      </c>
      <c r="BJ19" s="233">
        <f t="shared" si="30"/>
        <v>0</v>
      </c>
      <c r="BK19" s="224">
        <f t="shared" si="31"/>
        <v>0</v>
      </c>
      <c r="BL19" s="279"/>
      <c r="BM19" s="84"/>
      <c r="BN19" s="84"/>
      <c r="BO19" s="233">
        <f t="shared" si="32"/>
        <v>0</v>
      </c>
      <c r="BP19" s="233">
        <f t="shared" si="33"/>
        <v>0</v>
      </c>
      <c r="BQ19" s="233">
        <f t="shared" si="34"/>
        <v>0</v>
      </c>
      <c r="BR19" s="224">
        <f t="shared" si="35"/>
        <v>0</v>
      </c>
    </row>
    <row r="20" spans="1:70" x14ac:dyDescent="0.35">
      <c r="A20" s="491" t="s">
        <v>44</v>
      </c>
      <c r="B20" s="83">
        <v>1620</v>
      </c>
      <c r="C20" s="234" t="s">
        <v>624</v>
      </c>
      <c r="D20" s="83" t="s">
        <v>126</v>
      </c>
      <c r="E20" s="230"/>
      <c r="F20" s="230"/>
      <c r="G20" s="231"/>
      <c r="H20" s="235">
        <v>1350</v>
      </c>
      <c r="I20" s="84"/>
      <c r="J20" s="84"/>
      <c r="K20" s="233">
        <f t="shared" si="0"/>
        <v>1350</v>
      </c>
      <c r="L20" s="233">
        <f t="shared" si="1"/>
        <v>1350</v>
      </c>
      <c r="M20" s="233">
        <f t="shared" si="2"/>
        <v>0</v>
      </c>
      <c r="N20" s="224">
        <f t="shared" si="3"/>
        <v>0</v>
      </c>
      <c r="O20" s="279">
        <v>1377</v>
      </c>
      <c r="P20" s="84"/>
      <c r="Q20" s="84"/>
      <c r="R20" s="233">
        <f t="shared" si="4"/>
        <v>1377</v>
      </c>
      <c r="S20" s="233">
        <f t="shared" si="5"/>
        <v>1377</v>
      </c>
      <c r="T20" s="233">
        <f t="shared" si="6"/>
        <v>0</v>
      </c>
      <c r="U20" s="224">
        <f t="shared" si="7"/>
        <v>0</v>
      </c>
      <c r="V20" s="279">
        <v>1405</v>
      </c>
      <c r="W20" s="84"/>
      <c r="X20" s="84"/>
      <c r="Y20" s="233">
        <f t="shared" si="8"/>
        <v>1405</v>
      </c>
      <c r="Z20" s="233">
        <f t="shared" si="9"/>
        <v>1405</v>
      </c>
      <c r="AA20" s="233">
        <f t="shared" si="10"/>
        <v>0</v>
      </c>
      <c r="AB20" s="224">
        <f t="shared" si="11"/>
        <v>0</v>
      </c>
      <c r="AC20" s="279">
        <v>1433</v>
      </c>
      <c r="AD20" s="84"/>
      <c r="AE20" s="84"/>
      <c r="AF20" s="233">
        <f t="shared" si="12"/>
        <v>1433</v>
      </c>
      <c r="AG20" s="233">
        <f t="shared" si="13"/>
        <v>1433</v>
      </c>
      <c r="AH20" s="233">
        <f t="shared" si="14"/>
        <v>0</v>
      </c>
      <c r="AI20" s="224">
        <f t="shared" si="15"/>
        <v>0</v>
      </c>
      <c r="AJ20" s="279">
        <v>1461</v>
      </c>
      <c r="AK20" s="84"/>
      <c r="AL20" s="84"/>
      <c r="AM20" s="233">
        <f t="shared" si="16"/>
        <v>1461</v>
      </c>
      <c r="AN20" s="233">
        <f t="shared" si="17"/>
        <v>1461</v>
      </c>
      <c r="AO20" s="233">
        <f t="shared" si="18"/>
        <v>0</v>
      </c>
      <c r="AP20" s="224">
        <f t="shared" si="19"/>
        <v>0</v>
      </c>
      <c r="AQ20" s="279">
        <v>1491</v>
      </c>
      <c r="AR20" s="84"/>
      <c r="AS20" s="84"/>
      <c r="AT20" s="233">
        <f t="shared" si="20"/>
        <v>1491</v>
      </c>
      <c r="AU20" s="233">
        <f t="shared" si="21"/>
        <v>1491</v>
      </c>
      <c r="AV20" s="233">
        <f t="shared" si="22"/>
        <v>0</v>
      </c>
      <c r="AW20" s="224">
        <f t="shared" si="23"/>
        <v>0</v>
      </c>
      <c r="AX20" s="279">
        <v>1520</v>
      </c>
      <c r="AY20" s="84"/>
      <c r="AZ20" s="84"/>
      <c r="BA20" s="233">
        <f t="shared" si="24"/>
        <v>1520</v>
      </c>
      <c r="BB20" s="233">
        <f t="shared" si="25"/>
        <v>1520</v>
      </c>
      <c r="BC20" s="233">
        <f t="shared" si="26"/>
        <v>0</v>
      </c>
      <c r="BD20" s="224">
        <f t="shared" si="27"/>
        <v>0</v>
      </c>
      <c r="BE20" s="279">
        <v>1551</v>
      </c>
      <c r="BF20" s="84"/>
      <c r="BG20" s="84"/>
      <c r="BH20" s="233">
        <f t="shared" si="28"/>
        <v>1551</v>
      </c>
      <c r="BI20" s="233">
        <f t="shared" si="29"/>
        <v>1551</v>
      </c>
      <c r="BJ20" s="233">
        <f t="shared" si="30"/>
        <v>0</v>
      </c>
      <c r="BK20" s="224">
        <f t="shared" si="31"/>
        <v>0</v>
      </c>
      <c r="BL20" s="279">
        <v>1582</v>
      </c>
      <c r="BM20" s="84"/>
      <c r="BN20" s="84"/>
      <c r="BO20" s="233">
        <f t="shared" si="32"/>
        <v>1582</v>
      </c>
      <c r="BP20" s="233">
        <f t="shared" si="33"/>
        <v>1582</v>
      </c>
      <c r="BQ20" s="233">
        <f t="shared" si="34"/>
        <v>0</v>
      </c>
      <c r="BR20" s="224">
        <f t="shared" si="35"/>
        <v>0</v>
      </c>
    </row>
    <row r="21" spans="1:70" x14ac:dyDescent="0.35">
      <c r="A21" s="491" t="s">
        <v>47</v>
      </c>
      <c r="B21" s="83"/>
      <c r="C21" s="234"/>
      <c r="D21" s="83"/>
      <c r="E21" s="230"/>
      <c r="F21" s="230"/>
      <c r="G21" s="231"/>
      <c r="H21" s="235"/>
      <c r="I21" s="84"/>
      <c r="J21" s="84"/>
      <c r="K21" s="233">
        <f t="shared" si="0"/>
        <v>0</v>
      </c>
      <c r="L21" s="233">
        <f t="shared" si="1"/>
        <v>0</v>
      </c>
      <c r="M21" s="233">
        <f t="shared" si="2"/>
        <v>0</v>
      </c>
      <c r="N21" s="224">
        <f t="shared" si="3"/>
        <v>0</v>
      </c>
      <c r="O21" s="279"/>
      <c r="P21" s="84"/>
      <c r="Q21" s="84"/>
      <c r="R21" s="233">
        <f t="shared" si="4"/>
        <v>0</v>
      </c>
      <c r="S21" s="233">
        <f t="shared" si="5"/>
        <v>0</v>
      </c>
      <c r="T21" s="233">
        <f t="shared" si="6"/>
        <v>0</v>
      </c>
      <c r="U21" s="224">
        <f t="shared" si="7"/>
        <v>0</v>
      </c>
      <c r="V21" s="235"/>
      <c r="W21" s="84"/>
      <c r="X21" s="84"/>
      <c r="Y21" s="233">
        <f t="shared" si="8"/>
        <v>0</v>
      </c>
      <c r="Z21" s="233">
        <f t="shared" si="9"/>
        <v>0</v>
      </c>
      <c r="AA21" s="233">
        <f t="shared" si="10"/>
        <v>0</v>
      </c>
      <c r="AB21" s="224">
        <f t="shared" si="11"/>
        <v>0</v>
      </c>
      <c r="AC21" s="279"/>
      <c r="AD21" s="84"/>
      <c r="AE21" s="84"/>
      <c r="AF21" s="233">
        <f t="shared" si="12"/>
        <v>0</v>
      </c>
      <c r="AG21" s="233">
        <f t="shared" si="13"/>
        <v>0</v>
      </c>
      <c r="AH21" s="233">
        <f t="shared" si="14"/>
        <v>0</v>
      </c>
      <c r="AI21" s="224">
        <f t="shared" si="15"/>
        <v>0</v>
      </c>
      <c r="AJ21" s="235"/>
      <c r="AK21" s="84"/>
      <c r="AL21" s="84"/>
      <c r="AM21" s="233">
        <f t="shared" si="16"/>
        <v>0</v>
      </c>
      <c r="AN21" s="233">
        <f t="shared" si="17"/>
        <v>0</v>
      </c>
      <c r="AO21" s="233">
        <f t="shared" si="18"/>
        <v>0</v>
      </c>
      <c r="AP21" s="224">
        <f t="shared" si="19"/>
        <v>0</v>
      </c>
      <c r="AQ21" s="279"/>
      <c r="AR21" s="84"/>
      <c r="AS21" s="84"/>
      <c r="AT21" s="233">
        <f t="shared" si="20"/>
        <v>0</v>
      </c>
      <c r="AU21" s="233">
        <f t="shared" si="21"/>
        <v>0</v>
      </c>
      <c r="AV21" s="233">
        <f t="shared" si="22"/>
        <v>0</v>
      </c>
      <c r="AW21" s="224">
        <f t="shared" si="23"/>
        <v>0</v>
      </c>
      <c r="AX21" s="279"/>
      <c r="AY21" s="84"/>
      <c r="AZ21" s="84"/>
      <c r="BA21" s="233">
        <f t="shared" si="24"/>
        <v>0</v>
      </c>
      <c r="BB21" s="233">
        <f t="shared" si="25"/>
        <v>0</v>
      </c>
      <c r="BC21" s="233">
        <f t="shared" si="26"/>
        <v>0</v>
      </c>
      <c r="BD21" s="224">
        <f t="shared" si="27"/>
        <v>0</v>
      </c>
      <c r="BE21" s="279"/>
      <c r="BF21" s="84"/>
      <c r="BG21" s="84"/>
      <c r="BH21" s="233">
        <f t="shared" si="28"/>
        <v>0</v>
      </c>
      <c r="BI21" s="233">
        <f t="shared" si="29"/>
        <v>0</v>
      </c>
      <c r="BJ21" s="233">
        <f t="shared" si="30"/>
        <v>0</v>
      </c>
      <c r="BK21" s="224">
        <f t="shared" si="31"/>
        <v>0</v>
      </c>
      <c r="BL21" s="279"/>
      <c r="BM21" s="84"/>
      <c r="BN21" s="84"/>
      <c r="BO21" s="233">
        <f t="shared" si="32"/>
        <v>0</v>
      </c>
      <c r="BP21" s="233">
        <f t="shared" si="33"/>
        <v>0</v>
      </c>
      <c r="BQ21" s="233">
        <f t="shared" si="34"/>
        <v>0</v>
      </c>
      <c r="BR21" s="224">
        <f t="shared" si="35"/>
        <v>0</v>
      </c>
    </row>
    <row r="22" spans="1:70" x14ac:dyDescent="0.35">
      <c r="A22" s="491" t="s">
        <v>50</v>
      </c>
      <c r="B22" s="83"/>
      <c r="C22" s="234"/>
      <c r="D22" s="175"/>
      <c r="E22" s="230"/>
      <c r="F22" s="230"/>
      <c r="G22" s="231"/>
      <c r="H22" s="235"/>
      <c r="I22" s="84"/>
      <c r="J22" s="84"/>
      <c r="K22" s="233">
        <f t="shared" si="0"/>
        <v>0</v>
      </c>
      <c r="L22" s="233">
        <f t="shared" si="1"/>
        <v>0</v>
      </c>
      <c r="M22" s="233">
        <f t="shared" si="2"/>
        <v>0</v>
      </c>
      <c r="N22" s="224">
        <f t="shared" si="3"/>
        <v>0</v>
      </c>
      <c r="O22" s="235"/>
      <c r="P22" s="84"/>
      <c r="Q22" s="84"/>
      <c r="R22" s="233">
        <f t="shared" si="4"/>
        <v>0</v>
      </c>
      <c r="S22" s="233">
        <f t="shared" si="5"/>
        <v>0</v>
      </c>
      <c r="T22" s="233">
        <f t="shared" si="6"/>
        <v>0</v>
      </c>
      <c r="U22" s="224">
        <f t="shared" si="7"/>
        <v>0</v>
      </c>
      <c r="V22" s="235"/>
      <c r="W22" s="84"/>
      <c r="X22" s="84"/>
      <c r="Y22" s="233">
        <f t="shared" si="8"/>
        <v>0</v>
      </c>
      <c r="Z22" s="233">
        <f t="shared" si="9"/>
        <v>0</v>
      </c>
      <c r="AA22" s="233">
        <f t="shared" si="10"/>
        <v>0</v>
      </c>
      <c r="AB22" s="224">
        <f t="shared" si="11"/>
        <v>0</v>
      </c>
      <c r="AC22" s="235"/>
      <c r="AD22" s="84"/>
      <c r="AE22" s="84"/>
      <c r="AF22" s="233">
        <f t="shared" si="12"/>
        <v>0</v>
      </c>
      <c r="AG22" s="233">
        <f t="shared" si="13"/>
        <v>0</v>
      </c>
      <c r="AH22" s="233">
        <f t="shared" si="14"/>
        <v>0</v>
      </c>
      <c r="AI22" s="224">
        <f t="shared" si="15"/>
        <v>0</v>
      </c>
      <c r="AJ22" s="235"/>
      <c r="AK22" s="84"/>
      <c r="AL22" s="84"/>
      <c r="AM22" s="233">
        <f t="shared" si="16"/>
        <v>0</v>
      </c>
      <c r="AN22" s="233">
        <f t="shared" si="17"/>
        <v>0</v>
      </c>
      <c r="AO22" s="233">
        <f t="shared" si="18"/>
        <v>0</v>
      </c>
      <c r="AP22" s="224">
        <f t="shared" si="19"/>
        <v>0</v>
      </c>
      <c r="AQ22" s="235"/>
      <c r="AR22" s="84"/>
      <c r="AS22" s="84"/>
      <c r="AT22" s="233">
        <f t="shared" si="20"/>
        <v>0</v>
      </c>
      <c r="AU22" s="233">
        <f t="shared" si="21"/>
        <v>0</v>
      </c>
      <c r="AV22" s="233">
        <f t="shared" si="22"/>
        <v>0</v>
      </c>
      <c r="AW22" s="224">
        <f t="shared" si="23"/>
        <v>0</v>
      </c>
      <c r="AX22" s="235"/>
      <c r="AY22" s="84"/>
      <c r="AZ22" s="84"/>
      <c r="BA22" s="233">
        <f t="shared" si="24"/>
        <v>0</v>
      </c>
      <c r="BB22" s="233">
        <f t="shared" si="25"/>
        <v>0</v>
      </c>
      <c r="BC22" s="233">
        <f t="shared" si="26"/>
        <v>0</v>
      </c>
      <c r="BD22" s="224">
        <f t="shared" si="27"/>
        <v>0</v>
      </c>
      <c r="BE22" s="235"/>
      <c r="BF22" s="84"/>
      <c r="BG22" s="84"/>
      <c r="BH22" s="233">
        <f t="shared" si="28"/>
        <v>0</v>
      </c>
      <c r="BI22" s="233">
        <f t="shared" si="29"/>
        <v>0</v>
      </c>
      <c r="BJ22" s="233">
        <f t="shared" si="30"/>
        <v>0</v>
      </c>
      <c r="BK22" s="224">
        <f t="shared" si="31"/>
        <v>0</v>
      </c>
      <c r="BL22" s="235"/>
      <c r="BM22" s="84"/>
      <c r="BN22" s="84"/>
      <c r="BO22" s="233">
        <f t="shared" si="32"/>
        <v>0</v>
      </c>
      <c r="BP22" s="233">
        <f t="shared" si="33"/>
        <v>0</v>
      </c>
      <c r="BQ22" s="233">
        <f t="shared" si="34"/>
        <v>0</v>
      </c>
      <c r="BR22" s="224">
        <f t="shared" si="35"/>
        <v>0</v>
      </c>
    </row>
    <row r="23" spans="1:70" x14ac:dyDescent="0.35">
      <c r="A23" s="491" t="s">
        <v>53</v>
      </c>
      <c r="B23" s="83"/>
      <c r="C23" s="234"/>
      <c r="D23" s="83"/>
      <c r="E23" s="230"/>
      <c r="F23" s="230"/>
      <c r="G23" s="231"/>
      <c r="H23" s="235"/>
      <c r="I23" s="84"/>
      <c r="J23" s="84"/>
      <c r="K23" s="233">
        <f t="shared" si="0"/>
        <v>0</v>
      </c>
      <c r="L23" s="233">
        <f t="shared" si="1"/>
        <v>0</v>
      </c>
      <c r="M23" s="233">
        <f t="shared" si="2"/>
        <v>0</v>
      </c>
      <c r="N23" s="224">
        <f t="shared" si="3"/>
        <v>0</v>
      </c>
      <c r="O23" s="235"/>
      <c r="P23" s="84"/>
      <c r="Q23" s="84"/>
      <c r="R23" s="233">
        <f t="shared" si="4"/>
        <v>0</v>
      </c>
      <c r="S23" s="233">
        <f t="shared" si="5"/>
        <v>0</v>
      </c>
      <c r="T23" s="233">
        <f t="shared" si="6"/>
        <v>0</v>
      </c>
      <c r="U23" s="224">
        <f t="shared" si="7"/>
        <v>0</v>
      </c>
      <c r="V23" s="235"/>
      <c r="W23" s="84"/>
      <c r="X23" s="84"/>
      <c r="Y23" s="233">
        <f t="shared" si="8"/>
        <v>0</v>
      </c>
      <c r="Z23" s="233">
        <f t="shared" si="9"/>
        <v>0</v>
      </c>
      <c r="AA23" s="233">
        <f t="shared" si="10"/>
        <v>0</v>
      </c>
      <c r="AB23" s="224">
        <f t="shared" si="11"/>
        <v>0</v>
      </c>
      <c r="AC23" s="235"/>
      <c r="AD23" s="84"/>
      <c r="AE23" s="84"/>
      <c r="AF23" s="233">
        <f t="shared" si="12"/>
        <v>0</v>
      </c>
      <c r="AG23" s="233">
        <f t="shared" si="13"/>
        <v>0</v>
      </c>
      <c r="AH23" s="233">
        <f t="shared" si="14"/>
        <v>0</v>
      </c>
      <c r="AI23" s="224">
        <f t="shared" si="15"/>
        <v>0</v>
      </c>
      <c r="AJ23" s="235"/>
      <c r="AK23" s="84"/>
      <c r="AL23" s="84"/>
      <c r="AM23" s="233">
        <f t="shared" si="16"/>
        <v>0</v>
      </c>
      <c r="AN23" s="233">
        <f t="shared" si="17"/>
        <v>0</v>
      </c>
      <c r="AO23" s="233">
        <f t="shared" si="18"/>
        <v>0</v>
      </c>
      <c r="AP23" s="224">
        <f t="shared" si="19"/>
        <v>0</v>
      </c>
      <c r="AQ23" s="235"/>
      <c r="AR23" s="84"/>
      <c r="AS23" s="84"/>
      <c r="AT23" s="233">
        <f t="shared" si="20"/>
        <v>0</v>
      </c>
      <c r="AU23" s="233">
        <f t="shared" si="21"/>
        <v>0</v>
      </c>
      <c r="AV23" s="233">
        <f t="shared" si="22"/>
        <v>0</v>
      </c>
      <c r="AW23" s="224">
        <f t="shared" si="23"/>
        <v>0</v>
      </c>
      <c r="AX23" s="235"/>
      <c r="AY23" s="84"/>
      <c r="AZ23" s="84"/>
      <c r="BA23" s="233">
        <f t="shared" si="24"/>
        <v>0</v>
      </c>
      <c r="BB23" s="233">
        <f t="shared" si="25"/>
        <v>0</v>
      </c>
      <c r="BC23" s="233">
        <f t="shared" si="26"/>
        <v>0</v>
      </c>
      <c r="BD23" s="224">
        <f t="shared" si="27"/>
        <v>0</v>
      </c>
      <c r="BE23" s="235"/>
      <c r="BF23" s="84"/>
      <c r="BG23" s="84"/>
      <c r="BH23" s="233">
        <f t="shared" si="28"/>
        <v>0</v>
      </c>
      <c r="BI23" s="233">
        <f t="shared" si="29"/>
        <v>0</v>
      </c>
      <c r="BJ23" s="233">
        <f t="shared" si="30"/>
        <v>0</v>
      </c>
      <c r="BK23" s="224">
        <f t="shared" si="31"/>
        <v>0</v>
      </c>
      <c r="BL23" s="235"/>
      <c r="BM23" s="84"/>
      <c r="BN23" s="84"/>
      <c r="BO23" s="233">
        <f t="shared" si="32"/>
        <v>0</v>
      </c>
      <c r="BP23" s="233">
        <f t="shared" si="33"/>
        <v>0</v>
      </c>
      <c r="BQ23" s="233">
        <f t="shared" si="34"/>
        <v>0</v>
      </c>
      <c r="BR23" s="224">
        <f t="shared" si="35"/>
        <v>0</v>
      </c>
    </row>
    <row r="24" spans="1:70" x14ac:dyDescent="0.35">
      <c r="A24" s="491" t="s">
        <v>56</v>
      </c>
      <c r="B24" s="83"/>
      <c r="C24" s="234"/>
      <c r="D24" s="83"/>
      <c r="E24" s="230"/>
      <c r="F24" s="230"/>
      <c r="G24" s="231"/>
      <c r="H24" s="235"/>
      <c r="I24" s="84"/>
      <c r="J24" s="84"/>
      <c r="K24" s="233">
        <f t="shared" si="0"/>
        <v>0</v>
      </c>
      <c r="L24" s="233">
        <f t="shared" si="1"/>
        <v>0</v>
      </c>
      <c r="M24" s="233">
        <f t="shared" si="2"/>
        <v>0</v>
      </c>
      <c r="N24" s="224">
        <f t="shared" si="3"/>
        <v>0</v>
      </c>
      <c r="O24" s="235"/>
      <c r="P24" s="84"/>
      <c r="Q24" s="84"/>
      <c r="R24" s="233">
        <f t="shared" si="4"/>
        <v>0</v>
      </c>
      <c r="S24" s="233">
        <f t="shared" si="5"/>
        <v>0</v>
      </c>
      <c r="T24" s="233">
        <f t="shared" si="6"/>
        <v>0</v>
      </c>
      <c r="U24" s="224">
        <f t="shared" si="7"/>
        <v>0</v>
      </c>
      <c r="V24" s="235"/>
      <c r="W24" s="84"/>
      <c r="X24" s="84"/>
      <c r="Y24" s="233">
        <f t="shared" si="8"/>
        <v>0</v>
      </c>
      <c r="Z24" s="233">
        <f t="shared" si="9"/>
        <v>0</v>
      </c>
      <c r="AA24" s="233">
        <f t="shared" si="10"/>
        <v>0</v>
      </c>
      <c r="AB24" s="224">
        <f t="shared" si="11"/>
        <v>0</v>
      </c>
      <c r="AC24" s="235"/>
      <c r="AD24" s="84"/>
      <c r="AE24" s="84"/>
      <c r="AF24" s="233">
        <f t="shared" si="12"/>
        <v>0</v>
      </c>
      <c r="AG24" s="233">
        <f t="shared" si="13"/>
        <v>0</v>
      </c>
      <c r="AH24" s="233">
        <f t="shared" si="14"/>
        <v>0</v>
      </c>
      <c r="AI24" s="224">
        <f t="shared" si="15"/>
        <v>0</v>
      </c>
      <c r="AJ24" s="235"/>
      <c r="AK24" s="84"/>
      <c r="AL24" s="84"/>
      <c r="AM24" s="233">
        <f t="shared" si="16"/>
        <v>0</v>
      </c>
      <c r="AN24" s="233">
        <f t="shared" si="17"/>
        <v>0</v>
      </c>
      <c r="AO24" s="233">
        <f t="shared" si="18"/>
        <v>0</v>
      </c>
      <c r="AP24" s="224">
        <f t="shared" si="19"/>
        <v>0</v>
      </c>
      <c r="AQ24" s="235"/>
      <c r="AR24" s="84"/>
      <c r="AS24" s="84"/>
      <c r="AT24" s="233">
        <f t="shared" si="20"/>
        <v>0</v>
      </c>
      <c r="AU24" s="233">
        <f t="shared" si="21"/>
        <v>0</v>
      </c>
      <c r="AV24" s="233">
        <f t="shared" si="22"/>
        <v>0</v>
      </c>
      <c r="AW24" s="224">
        <f t="shared" si="23"/>
        <v>0</v>
      </c>
      <c r="AX24" s="235"/>
      <c r="AY24" s="84"/>
      <c r="AZ24" s="84"/>
      <c r="BA24" s="233">
        <f t="shared" si="24"/>
        <v>0</v>
      </c>
      <c r="BB24" s="233">
        <f t="shared" si="25"/>
        <v>0</v>
      </c>
      <c r="BC24" s="233">
        <f t="shared" si="26"/>
        <v>0</v>
      </c>
      <c r="BD24" s="224">
        <f t="shared" si="27"/>
        <v>0</v>
      </c>
      <c r="BE24" s="235"/>
      <c r="BF24" s="84"/>
      <c r="BG24" s="84"/>
      <c r="BH24" s="233">
        <f t="shared" si="28"/>
        <v>0</v>
      </c>
      <c r="BI24" s="233">
        <f t="shared" si="29"/>
        <v>0</v>
      </c>
      <c r="BJ24" s="233">
        <f t="shared" si="30"/>
        <v>0</v>
      </c>
      <c r="BK24" s="224">
        <f t="shared" si="31"/>
        <v>0</v>
      </c>
      <c r="BL24" s="235"/>
      <c r="BM24" s="84"/>
      <c r="BN24" s="84"/>
      <c r="BO24" s="233">
        <f t="shared" si="32"/>
        <v>0</v>
      </c>
      <c r="BP24" s="233">
        <f t="shared" si="33"/>
        <v>0</v>
      </c>
      <c r="BQ24" s="233">
        <f t="shared" si="34"/>
        <v>0</v>
      </c>
      <c r="BR24" s="224">
        <f t="shared" si="35"/>
        <v>0</v>
      </c>
    </row>
    <row r="25" spans="1:70" x14ac:dyDescent="0.35">
      <c r="A25" s="491" t="s">
        <v>58</v>
      </c>
      <c r="B25" s="83"/>
      <c r="C25" s="234"/>
      <c r="D25" s="83"/>
      <c r="E25" s="230"/>
      <c r="F25" s="230"/>
      <c r="G25" s="231"/>
      <c r="H25" s="235"/>
      <c r="I25" s="84"/>
      <c r="J25" s="84"/>
      <c r="K25" s="233">
        <f t="shared" si="0"/>
        <v>0</v>
      </c>
      <c r="L25" s="233">
        <f t="shared" si="1"/>
        <v>0</v>
      </c>
      <c r="M25" s="233">
        <f t="shared" si="2"/>
        <v>0</v>
      </c>
      <c r="N25" s="224">
        <f t="shared" si="3"/>
        <v>0</v>
      </c>
      <c r="O25" s="235"/>
      <c r="P25" s="84"/>
      <c r="Q25" s="84"/>
      <c r="R25" s="233">
        <f t="shared" si="4"/>
        <v>0</v>
      </c>
      <c r="S25" s="233">
        <f t="shared" si="5"/>
        <v>0</v>
      </c>
      <c r="T25" s="233">
        <f t="shared" si="6"/>
        <v>0</v>
      </c>
      <c r="U25" s="224">
        <f t="shared" si="7"/>
        <v>0</v>
      </c>
      <c r="V25" s="235"/>
      <c r="W25" s="84"/>
      <c r="X25" s="84"/>
      <c r="Y25" s="233">
        <f t="shared" si="8"/>
        <v>0</v>
      </c>
      <c r="Z25" s="233">
        <f t="shared" si="9"/>
        <v>0</v>
      </c>
      <c r="AA25" s="233">
        <f t="shared" si="10"/>
        <v>0</v>
      </c>
      <c r="AB25" s="224">
        <f t="shared" si="11"/>
        <v>0</v>
      </c>
      <c r="AC25" s="235"/>
      <c r="AD25" s="84"/>
      <c r="AE25" s="84"/>
      <c r="AF25" s="233">
        <f t="shared" si="12"/>
        <v>0</v>
      </c>
      <c r="AG25" s="233">
        <f t="shared" si="13"/>
        <v>0</v>
      </c>
      <c r="AH25" s="233">
        <f t="shared" si="14"/>
        <v>0</v>
      </c>
      <c r="AI25" s="224">
        <f t="shared" si="15"/>
        <v>0</v>
      </c>
      <c r="AJ25" s="235"/>
      <c r="AK25" s="84"/>
      <c r="AL25" s="84"/>
      <c r="AM25" s="233">
        <f t="shared" si="16"/>
        <v>0</v>
      </c>
      <c r="AN25" s="233">
        <f t="shared" si="17"/>
        <v>0</v>
      </c>
      <c r="AO25" s="233">
        <f t="shared" si="18"/>
        <v>0</v>
      </c>
      <c r="AP25" s="224">
        <f t="shared" si="19"/>
        <v>0</v>
      </c>
      <c r="AQ25" s="235"/>
      <c r="AR25" s="84"/>
      <c r="AS25" s="84"/>
      <c r="AT25" s="233">
        <f t="shared" si="20"/>
        <v>0</v>
      </c>
      <c r="AU25" s="233">
        <f t="shared" si="21"/>
        <v>0</v>
      </c>
      <c r="AV25" s="233">
        <f t="shared" si="22"/>
        <v>0</v>
      </c>
      <c r="AW25" s="224">
        <f t="shared" si="23"/>
        <v>0</v>
      </c>
      <c r="AX25" s="235"/>
      <c r="AY25" s="84"/>
      <c r="AZ25" s="84"/>
      <c r="BA25" s="233">
        <f t="shared" si="24"/>
        <v>0</v>
      </c>
      <c r="BB25" s="233">
        <f t="shared" si="25"/>
        <v>0</v>
      </c>
      <c r="BC25" s="233">
        <f t="shared" si="26"/>
        <v>0</v>
      </c>
      <c r="BD25" s="224">
        <f t="shared" si="27"/>
        <v>0</v>
      </c>
      <c r="BE25" s="235"/>
      <c r="BF25" s="84"/>
      <c r="BG25" s="84"/>
      <c r="BH25" s="233">
        <f t="shared" si="28"/>
        <v>0</v>
      </c>
      <c r="BI25" s="233">
        <f t="shared" si="29"/>
        <v>0</v>
      </c>
      <c r="BJ25" s="233">
        <f t="shared" si="30"/>
        <v>0</v>
      </c>
      <c r="BK25" s="224">
        <f t="shared" si="31"/>
        <v>0</v>
      </c>
      <c r="BL25" s="235"/>
      <c r="BM25" s="84"/>
      <c r="BN25" s="84"/>
      <c r="BO25" s="233">
        <f t="shared" si="32"/>
        <v>0</v>
      </c>
      <c r="BP25" s="233">
        <f t="shared" si="33"/>
        <v>0</v>
      </c>
      <c r="BQ25" s="233">
        <f t="shared" si="34"/>
        <v>0</v>
      </c>
      <c r="BR25" s="224">
        <f t="shared" si="35"/>
        <v>0</v>
      </c>
    </row>
    <row r="26" spans="1:70" x14ac:dyDescent="0.35">
      <c r="A26" s="491" t="s">
        <v>61</v>
      </c>
      <c r="B26" s="83"/>
      <c r="C26" s="234"/>
      <c r="D26" s="175"/>
      <c r="E26" s="230"/>
      <c r="F26" s="230"/>
      <c r="G26" s="231"/>
      <c r="H26" s="235"/>
      <c r="I26" s="84"/>
      <c r="J26" s="84"/>
      <c r="K26" s="233">
        <f t="shared" si="0"/>
        <v>0</v>
      </c>
      <c r="L26" s="233">
        <f t="shared" si="1"/>
        <v>0</v>
      </c>
      <c r="M26" s="233">
        <f t="shared" si="2"/>
        <v>0</v>
      </c>
      <c r="N26" s="224">
        <f t="shared" si="3"/>
        <v>0</v>
      </c>
      <c r="O26" s="235"/>
      <c r="P26" s="84"/>
      <c r="Q26" s="84"/>
      <c r="R26" s="233">
        <f t="shared" si="4"/>
        <v>0</v>
      </c>
      <c r="S26" s="233">
        <f t="shared" si="5"/>
        <v>0</v>
      </c>
      <c r="T26" s="233">
        <f t="shared" si="6"/>
        <v>0</v>
      </c>
      <c r="U26" s="224">
        <f t="shared" si="7"/>
        <v>0</v>
      </c>
      <c r="V26" s="235"/>
      <c r="W26" s="84"/>
      <c r="X26" s="84"/>
      <c r="Y26" s="233">
        <f t="shared" si="8"/>
        <v>0</v>
      </c>
      <c r="Z26" s="233">
        <f t="shared" si="9"/>
        <v>0</v>
      </c>
      <c r="AA26" s="233">
        <f t="shared" si="10"/>
        <v>0</v>
      </c>
      <c r="AB26" s="224">
        <f t="shared" si="11"/>
        <v>0</v>
      </c>
      <c r="AC26" s="235"/>
      <c r="AD26" s="84"/>
      <c r="AE26" s="84"/>
      <c r="AF26" s="233">
        <f t="shared" si="12"/>
        <v>0</v>
      </c>
      <c r="AG26" s="233">
        <f t="shared" si="13"/>
        <v>0</v>
      </c>
      <c r="AH26" s="233">
        <f t="shared" si="14"/>
        <v>0</v>
      </c>
      <c r="AI26" s="224">
        <f t="shared" si="15"/>
        <v>0</v>
      </c>
      <c r="AJ26" s="235"/>
      <c r="AK26" s="84"/>
      <c r="AL26" s="84"/>
      <c r="AM26" s="233">
        <f t="shared" si="16"/>
        <v>0</v>
      </c>
      <c r="AN26" s="233">
        <f t="shared" si="17"/>
        <v>0</v>
      </c>
      <c r="AO26" s="233">
        <f t="shared" si="18"/>
        <v>0</v>
      </c>
      <c r="AP26" s="224">
        <f t="shared" si="19"/>
        <v>0</v>
      </c>
      <c r="AQ26" s="235"/>
      <c r="AR26" s="84"/>
      <c r="AS26" s="84"/>
      <c r="AT26" s="233">
        <f t="shared" si="20"/>
        <v>0</v>
      </c>
      <c r="AU26" s="233">
        <f t="shared" si="21"/>
        <v>0</v>
      </c>
      <c r="AV26" s="233">
        <f t="shared" si="22"/>
        <v>0</v>
      </c>
      <c r="AW26" s="224">
        <f t="shared" si="23"/>
        <v>0</v>
      </c>
      <c r="AX26" s="235"/>
      <c r="AY26" s="84"/>
      <c r="AZ26" s="84"/>
      <c r="BA26" s="233">
        <f t="shared" si="24"/>
        <v>0</v>
      </c>
      <c r="BB26" s="233">
        <f t="shared" si="25"/>
        <v>0</v>
      </c>
      <c r="BC26" s="233">
        <f t="shared" si="26"/>
        <v>0</v>
      </c>
      <c r="BD26" s="224">
        <f t="shared" si="27"/>
        <v>0</v>
      </c>
      <c r="BE26" s="235"/>
      <c r="BF26" s="84"/>
      <c r="BG26" s="84"/>
      <c r="BH26" s="233">
        <f t="shared" si="28"/>
        <v>0</v>
      </c>
      <c r="BI26" s="233">
        <f t="shared" si="29"/>
        <v>0</v>
      </c>
      <c r="BJ26" s="233">
        <f t="shared" si="30"/>
        <v>0</v>
      </c>
      <c r="BK26" s="224">
        <f t="shared" si="31"/>
        <v>0</v>
      </c>
      <c r="BL26" s="235"/>
      <c r="BM26" s="84"/>
      <c r="BN26" s="84"/>
      <c r="BO26" s="233">
        <f t="shared" si="32"/>
        <v>0</v>
      </c>
      <c r="BP26" s="233">
        <f t="shared" si="33"/>
        <v>0</v>
      </c>
      <c r="BQ26" s="233">
        <f t="shared" si="34"/>
        <v>0</v>
      </c>
      <c r="BR26" s="224">
        <f t="shared" si="35"/>
        <v>0</v>
      </c>
    </row>
    <row r="27" spans="1:70" s="137" customFormat="1" ht="18" customHeight="1" thickBot="1" x14ac:dyDescent="0.4">
      <c r="A27" s="236"/>
      <c r="B27" s="237"/>
      <c r="C27" s="238" t="s">
        <v>166</v>
      </c>
      <c r="D27" s="237"/>
      <c r="E27" s="239"/>
      <c r="F27" s="239"/>
      <c r="G27" s="240"/>
      <c r="H27" s="241">
        <f>SUM(H8:H26)</f>
        <v>50193</v>
      </c>
      <c r="I27" s="242">
        <f>SUM(I8:I26)</f>
        <v>35079</v>
      </c>
      <c r="J27" s="242">
        <f>SUM(J8:J26)</f>
        <v>14519</v>
      </c>
      <c r="K27" s="243">
        <f>ROUND(SUM(K8:K26),2)</f>
        <v>29633</v>
      </c>
      <c r="L27" s="244">
        <f>ROUND(SUM(L8:L26),2)</f>
        <v>28965.3</v>
      </c>
      <c r="M27" s="244">
        <f>ROUND(SUM(M8:M26),2)</f>
        <v>667.7</v>
      </c>
      <c r="N27" s="245">
        <f>ROUND(SUM(N8:N26),2)</f>
        <v>0</v>
      </c>
      <c r="O27" s="241">
        <f>SUM(O8:O26)</f>
        <v>51198</v>
      </c>
      <c r="P27" s="242">
        <f>SUM(P8:P26)</f>
        <v>35781</v>
      </c>
      <c r="Q27" s="242">
        <f>SUM(Q8:Q26)</f>
        <v>14809</v>
      </c>
      <c r="R27" s="243">
        <f>ROUND(SUM(R8:R26),2)</f>
        <v>30226</v>
      </c>
      <c r="S27" s="244">
        <f>ROUND(SUM(S8:S26),2)</f>
        <v>29544.9</v>
      </c>
      <c r="T27" s="244">
        <f>ROUND(SUM(T8:T26),2)</f>
        <v>681.1</v>
      </c>
      <c r="U27" s="245">
        <f>ROUND(SUM(U8:U26),2)</f>
        <v>0</v>
      </c>
      <c r="V27" s="241">
        <f>SUM(V8:V26)</f>
        <v>52221</v>
      </c>
      <c r="W27" s="242">
        <f>SUM(W8:W26)</f>
        <v>36496</v>
      </c>
      <c r="X27" s="242">
        <f>SUM(X8:X26)</f>
        <v>15105</v>
      </c>
      <c r="Y27" s="243">
        <f>ROUND(SUM(Y8:Y26),2)</f>
        <v>30830</v>
      </c>
      <c r="Z27" s="244">
        <f>ROUND(SUM(Z8:Z26),2)</f>
        <v>30135.3</v>
      </c>
      <c r="AA27" s="244">
        <f>ROUND(SUM(AA8:AA26),2)</f>
        <v>694.7</v>
      </c>
      <c r="AB27" s="245">
        <f>ROUND(SUM(AB8:AB26),2)</f>
        <v>0</v>
      </c>
      <c r="AC27" s="241">
        <f>SUM(AC8:AC26)</f>
        <v>53266</v>
      </c>
      <c r="AD27" s="242">
        <f>SUM(AD8:AD26)</f>
        <v>37226</v>
      </c>
      <c r="AE27" s="242">
        <f>SUM(AE8:AE26)</f>
        <v>15407</v>
      </c>
      <c r="AF27" s="243">
        <f>ROUND(SUM(AF8:AF26),2)</f>
        <v>31447</v>
      </c>
      <c r="AG27" s="244">
        <f>ROUND(SUM(AG8:AG26),2)</f>
        <v>30738.400000000001</v>
      </c>
      <c r="AH27" s="244">
        <f>ROUND(SUM(AH8:AH26),2)</f>
        <v>708.6</v>
      </c>
      <c r="AI27" s="245">
        <f>ROUND(SUM(AI8:AI26),2)</f>
        <v>0</v>
      </c>
      <c r="AJ27" s="241">
        <f>SUM(AJ8:AJ26)</f>
        <v>54329</v>
      </c>
      <c r="AK27" s="242">
        <f>SUM(AK8:AK26)</f>
        <v>37970</v>
      </c>
      <c r="AL27" s="242">
        <f>SUM(AL8:AL26)</f>
        <v>16000</v>
      </c>
      <c r="AM27" s="243">
        <f>ROUND(SUM(AM8:AM26),2)</f>
        <v>32359</v>
      </c>
      <c r="AN27" s="244">
        <f>ROUND(SUM(AN8:AN26),2)</f>
        <v>31636.3</v>
      </c>
      <c r="AO27" s="244">
        <f>ROUND(SUM(AO8:AO26),2)</f>
        <v>722.7</v>
      </c>
      <c r="AP27" s="245">
        <f>ROUND(SUM(AP8:AP26),2)</f>
        <v>0</v>
      </c>
      <c r="AQ27" s="241">
        <f>SUM(AQ8:AQ26)</f>
        <v>33007</v>
      </c>
      <c r="AR27" s="242">
        <f>SUM(AR8:AR26)</f>
        <v>0</v>
      </c>
      <c r="AS27" s="242">
        <f>SUM(AS8:AS26)</f>
        <v>0</v>
      </c>
      <c r="AT27" s="243">
        <f>ROUND(SUM(AT8:AT26),2)</f>
        <v>33007</v>
      </c>
      <c r="AU27" s="244">
        <f>ROUND(SUM(AU8:AU26),2)</f>
        <v>32269.8</v>
      </c>
      <c r="AV27" s="244">
        <f>ROUND(SUM(AV8:AV26),2)</f>
        <v>737.2</v>
      </c>
      <c r="AW27" s="245">
        <f>ROUND(SUM(AW8:AW26),2)</f>
        <v>0</v>
      </c>
      <c r="AX27" s="241">
        <f>SUM(AX8:AX26)</f>
        <v>33666</v>
      </c>
      <c r="AY27" s="242">
        <f>SUM(AY8:AY26)</f>
        <v>0</v>
      </c>
      <c r="AZ27" s="242">
        <f>SUM(AZ8:AZ26)</f>
        <v>0</v>
      </c>
      <c r="BA27" s="243">
        <f>ROUND(SUM(BA8:BA26),2)</f>
        <v>33666</v>
      </c>
      <c r="BB27" s="244">
        <f>ROUND(SUM(BB8:BB26),2)</f>
        <v>32914.1</v>
      </c>
      <c r="BC27" s="244">
        <f>ROUND(SUM(BC8:BC26),2)</f>
        <v>751.9</v>
      </c>
      <c r="BD27" s="245">
        <f>ROUND(SUM(BD8:BD26),2)</f>
        <v>0</v>
      </c>
      <c r="BE27" s="241">
        <f>SUM(BE8:BE26)</f>
        <v>34341</v>
      </c>
      <c r="BF27" s="242">
        <f>SUM(BF8:BF26)</f>
        <v>0</v>
      </c>
      <c r="BG27" s="242">
        <f>SUM(BG8:BG26)</f>
        <v>0</v>
      </c>
      <c r="BH27" s="243">
        <f>ROUND(SUM(BH8:BH26),2)</f>
        <v>34341</v>
      </c>
      <c r="BI27" s="244">
        <f>ROUND(SUM(BI8:BI26),2)</f>
        <v>33574</v>
      </c>
      <c r="BJ27" s="244">
        <f>ROUND(SUM(BJ8:BJ26),2)</f>
        <v>767</v>
      </c>
      <c r="BK27" s="245">
        <f>ROUND(SUM(BK8:BK26),2)</f>
        <v>0</v>
      </c>
      <c r="BL27" s="241">
        <f>SUM(BL8:BL26)</f>
        <v>35028</v>
      </c>
      <c r="BM27" s="242">
        <f>SUM(BM8:BM26)</f>
        <v>0</v>
      </c>
      <c r="BN27" s="242">
        <f>SUM(BN8:BN26)</f>
        <v>0</v>
      </c>
      <c r="BO27" s="243">
        <f>ROUND(SUM(BO8:BO26),2)</f>
        <v>35028</v>
      </c>
      <c r="BP27" s="244">
        <f>ROUND(SUM(BP8:BP26),2)</f>
        <v>34245.699999999997</v>
      </c>
      <c r="BQ27" s="244">
        <f>ROUND(SUM(BQ8:BQ26),2)</f>
        <v>782.3</v>
      </c>
      <c r="BR27" s="245">
        <f>ROUND(SUM(BR8:BR26),2)</f>
        <v>0</v>
      </c>
    </row>
    <row r="28" spans="1:70" s="278" customFormat="1" ht="12" customHeight="1" thickBot="1" x14ac:dyDescent="0.4">
      <c r="A28" s="246"/>
      <c r="B28" s="246"/>
      <c r="C28" s="247"/>
      <c r="D28" s="246"/>
      <c r="E28" s="248"/>
      <c r="F28" s="248"/>
      <c r="G28" s="249"/>
      <c r="H28" s="250"/>
      <c r="I28" s="250"/>
      <c r="J28" s="250"/>
      <c r="K28" s="250"/>
      <c r="L28" s="250"/>
      <c r="M28" s="250"/>
      <c r="N28" s="251"/>
      <c r="O28" s="250"/>
      <c r="P28" s="250"/>
      <c r="Q28" s="250"/>
      <c r="R28" s="250"/>
      <c r="S28" s="250"/>
      <c r="T28" s="250"/>
      <c r="U28" s="251"/>
      <c r="V28" s="250"/>
      <c r="W28" s="250"/>
      <c r="X28" s="250"/>
      <c r="Y28" s="250"/>
      <c r="Z28" s="250"/>
      <c r="AA28" s="250"/>
      <c r="AB28" s="251"/>
      <c r="AC28" s="250"/>
      <c r="AD28" s="250"/>
      <c r="AE28" s="250"/>
      <c r="AF28" s="250"/>
      <c r="AG28" s="250"/>
      <c r="AH28" s="250"/>
      <c r="AI28" s="251"/>
      <c r="AJ28" s="250"/>
      <c r="AK28" s="250"/>
      <c r="AL28" s="250"/>
      <c r="AM28" s="250"/>
      <c r="AN28" s="250"/>
      <c r="AO28" s="250"/>
      <c r="AP28" s="251"/>
      <c r="AQ28" s="250"/>
      <c r="AR28" s="250"/>
      <c r="AS28" s="250"/>
      <c r="AT28" s="250"/>
      <c r="AU28" s="250"/>
      <c r="AV28" s="250"/>
      <c r="AW28" s="251"/>
      <c r="AX28" s="250"/>
      <c r="AY28" s="250"/>
      <c r="AZ28" s="250"/>
      <c r="BA28" s="250"/>
      <c r="BB28" s="250"/>
      <c r="BC28" s="250"/>
      <c r="BD28" s="251"/>
      <c r="BE28" s="250"/>
      <c r="BF28" s="250"/>
      <c r="BG28" s="250"/>
      <c r="BH28" s="250"/>
      <c r="BI28" s="250"/>
      <c r="BJ28" s="250"/>
      <c r="BK28" s="251"/>
      <c r="BL28" s="250"/>
      <c r="BM28" s="250"/>
      <c r="BN28" s="250"/>
      <c r="BO28" s="250"/>
      <c r="BP28" s="250"/>
      <c r="BQ28" s="250"/>
      <c r="BR28" s="251"/>
    </row>
    <row r="29" spans="1:70" ht="30.75" customHeight="1" thickBot="1" x14ac:dyDescent="0.5">
      <c r="A29" s="252" t="s">
        <v>84</v>
      </c>
      <c r="B29" s="493"/>
      <c r="C29" s="919" t="s">
        <v>625</v>
      </c>
      <c r="D29" s="920"/>
      <c r="E29" s="920"/>
      <c r="F29" s="920"/>
      <c r="G29" s="921"/>
      <c r="H29" s="500">
        <f>H2</f>
        <v>2012</v>
      </c>
      <c r="I29" s="922" t="str">
        <f>I2</f>
        <v>Nach-Nachkalkulationsjahr</v>
      </c>
      <c r="J29" s="923"/>
      <c r="K29" s="923"/>
      <c r="L29" s="923"/>
      <c r="M29" s="923"/>
      <c r="N29" s="924"/>
      <c r="O29" s="500">
        <f>O2</f>
        <v>2013</v>
      </c>
      <c r="P29" s="922" t="str">
        <f>P2</f>
        <v>Nachkalkulationsjahr</v>
      </c>
      <c r="Q29" s="923"/>
      <c r="R29" s="923"/>
      <c r="S29" s="923"/>
      <c r="T29" s="923"/>
      <c r="U29" s="924"/>
      <c r="V29" s="500">
        <f>V2</f>
        <v>2014</v>
      </c>
      <c r="W29" s="922" t="str">
        <f>W2</f>
        <v>Nachkalkulationsjahr</v>
      </c>
      <c r="X29" s="923"/>
      <c r="Y29" s="923"/>
      <c r="Z29" s="923"/>
      <c r="AA29" s="923"/>
      <c r="AB29" s="924"/>
      <c r="AC29" s="500">
        <f>AC2</f>
        <v>2015</v>
      </c>
      <c r="AD29" s="922" t="str">
        <f>AD2</f>
        <v>Nachkalkulationsjahr</v>
      </c>
      <c r="AE29" s="923"/>
      <c r="AF29" s="923"/>
      <c r="AG29" s="923"/>
      <c r="AH29" s="923"/>
      <c r="AI29" s="924"/>
      <c r="AJ29" s="500">
        <f>AJ2</f>
        <v>2016</v>
      </c>
      <c r="AK29" s="922" t="str">
        <f>AK2</f>
        <v>Nachkalkulationsjahr</v>
      </c>
      <c r="AL29" s="923"/>
      <c r="AM29" s="923"/>
      <c r="AN29" s="923"/>
      <c r="AO29" s="923"/>
      <c r="AP29" s="924"/>
      <c r="AQ29" s="500">
        <f>AQ2</f>
        <v>2017</v>
      </c>
      <c r="AR29" s="922" t="str">
        <f>AR2</f>
        <v>Vorkalkulationsjahr</v>
      </c>
      <c r="AS29" s="923"/>
      <c r="AT29" s="923"/>
      <c r="AU29" s="923"/>
      <c r="AV29" s="923"/>
      <c r="AW29" s="924"/>
      <c r="AX29" s="500">
        <f>AX2</f>
        <v>2018</v>
      </c>
      <c r="AY29" s="922" t="str">
        <f>AY2</f>
        <v>Vorkalkulationsjahr</v>
      </c>
      <c r="AZ29" s="923"/>
      <c r="BA29" s="923"/>
      <c r="BB29" s="923"/>
      <c r="BC29" s="923"/>
      <c r="BD29" s="924"/>
      <c r="BE29" s="500">
        <f>BE2</f>
        <v>2019</v>
      </c>
      <c r="BF29" s="922" t="str">
        <f>BF2</f>
        <v>Vorkalkulationsjahr</v>
      </c>
      <c r="BG29" s="923"/>
      <c r="BH29" s="923"/>
      <c r="BI29" s="923"/>
      <c r="BJ29" s="923"/>
      <c r="BK29" s="924"/>
      <c r="BL29" s="500">
        <f>BL2</f>
        <v>2020</v>
      </c>
      <c r="BM29" s="922" t="str">
        <f>BM2</f>
        <v>Vorkalkulationsjahr</v>
      </c>
      <c r="BN29" s="923"/>
      <c r="BO29" s="923"/>
      <c r="BP29" s="923"/>
      <c r="BQ29" s="923"/>
      <c r="BR29" s="924"/>
    </row>
    <row r="30" spans="1:70" x14ac:dyDescent="0.35">
      <c r="A30" s="491" t="s">
        <v>86</v>
      </c>
      <c r="B30" s="175">
        <v>7000</v>
      </c>
      <c r="C30" s="492" t="s">
        <v>26</v>
      </c>
      <c r="D30" s="175"/>
      <c r="E30" s="230"/>
      <c r="F30" s="230"/>
      <c r="G30" s="231"/>
      <c r="H30" s="232"/>
      <c r="I30" s="87"/>
      <c r="J30" s="87"/>
      <c r="K30" s="233">
        <f>H30-I30+J30</f>
        <v>0</v>
      </c>
      <c r="L30" s="233">
        <f t="shared" ref="L30:L61" si="36">IF(H$2="-","-",IF($E30+$F30+$G30=1,K30*$E30,IF($D30="uns",K30*HLOOKUP(H$2,Verteil_sw,46,FALSE),IF($D30="unm",K30*HLOOKUP(H$2,Verteil_sw,47,FALSE),IF($D30="unr",K30*HLOOKUP(H$2,Verteil_sw,48,FALSE),IF($D30="unk",K30*HLOOKUP(H$2,Verteil_sw,49,FALSE),IF($D30="alz",K30*HLOOKUP(H$2,Verteil_sw,51,FALSE),0)))))))</f>
        <v>0</v>
      </c>
      <c r="M30" s="233">
        <f t="shared" ref="M30:M61" si="37">IF(H$2="-","-",IF($E30+$F30+$G30=1,K30*$F30,IF($D30="uns",K30*HLOOKUP(H$2,Verteil_rwgr,45,FALSE),IF($D30="unm",K30*HLOOKUP(H$2,Verteil_rwgr,46,FALSE),IF($D30="unr",K30*HLOOKUP(H$2,Verteil_rwgr,47,FALSE),IF($D30="unk",K30*HLOOKUP(H$2,Verteil_rwgr,48,FALSE),IF($D30="alz",K30*HLOOKUP(H$2,Verteil_rwgr,50,FALSE),0)))))))</f>
        <v>0</v>
      </c>
      <c r="N30" s="224">
        <f t="shared" ref="N30:N61" si="38">IF(H$2="-","-",IF($E30+$F30+$G30=1,K30*$G30,IF($D30="uns",K30*HLOOKUP(H$2,Verteil_rwst,44,FALSE),IF($D30="unm",K30*HLOOKUP(H$2,Verteil_rwst,45,FALSE),IF($D30="unr",K30*HLOOKUP(H$2,Verteil_rwst,46,FALSE),IF($D30="unk",K30*HLOOKUP(H$2,Verteil_rwst,47,FALSE),IF($D30="alz",K30*HLOOKUP(H$2,Verteil_rwst,49,FALSE),0)))))))</f>
        <v>0</v>
      </c>
      <c r="O30" s="232"/>
      <c r="P30" s="87"/>
      <c r="Q30" s="87"/>
      <c r="R30" s="233">
        <f>O30-P30+Q30</f>
        <v>0</v>
      </c>
      <c r="S30" s="233">
        <f t="shared" ref="S30:S61" si="39">IF(O$2="-","-",IF($E30+$F30+$G30=1,R30*$E30,IF($D30="uns",R30*HLOOKUP(O$2,Verteil_sw,46,FALSE),IF($D30="unm",R30*HLOOKUP(O$2,Verteil_sw,47,FALSE),IF($D30="unr",R30*HLOOKUP(O$2,Verteil_sw,48,FALSE),IF($D30="unk",R30*HLOOKUP(O$2,Verteil_sw,49,FALSE),IF($D30="alz",R30*HLOOKUP(O$2,Verteil_sw,51,FALSE),0)))))))</f>
        <v>0</v>
      </c>
      <c r="T30" s="233">
        <f t="shared" ref="T30:T61" si="40">IF(O$2="-","-",IF($E30+$F30+$G30=1,R30*$F30,IF($D30="uns",R30*HLOOKUP(O$2,Verteil_rwgr,45,FALSE),IF($D30="unm",R30*HLOOKUP(O$2,Verteil_rwgr,46,FALSE),IF($D30="unr",R30*HLOOKUP(O$2,Verteil_rwgr,47,FALSE),IF($D30="unk",R30*HLOOKUP(O$2,Verteil_rwgr,48,FALSE),IF($D30="alz",R30*HLOOKUP(O$2,Verteil_rwgr,50,FALSE),0)))))))</f>
        <v>0</v>
      </c>
      <c r="U30" s="224">
        <f t="shared" ref="U30:U61" si="41">IF(O$2="-","-",IF($E30+$F30+$G30=1,R30*$G30,IF($D30="uns",R30*HLOOKUP(O$2,Verteil_rwst,44,FALSE),IF($D30="unm",R30*HLOOKUP(O$2,Verteil_rwst,45,FALSE),IF($D30="unr",R30*HLOOKUP(O$2,Verteil_rwst,46,FALSE),IF($D30="unk",R30*HLOOKUP(O$2,Verteil_rwst,47,FALSE),IF($D30="alz",R30*HLOOKUP(O$2,Verteil_rwst,49,FALSE),0)))))))</f>
        <v>0</v>
      </c>
      <c r="V30" s="232"/>
      <c r="W30" s="87"/>
      <c r="X30" s="87"/>
      <c r="Y30" s="233">
        <f>V30-W30+X30</f>
        <v>0</v>
      </c>
      <c r="Z30" s="233">
        <f t="shared" ref="Z30:Z61" si="42">IF(V$2="-","-",IF($E30+$F30+$G30=1,Y30*$E30,IF($D30="uns",Y30*HLOOKUP(V$2,Verteil_sw,46,FALSE),IF($D30="unm",Y30*HLOOKUP(V$2,Verteil_sw,47,FALSE),IF($D30="unr",Y30*HLOOKUP(V$2,Verteil_sw,48,FALSE),IF($D30="unk",Y30*HLOOKUP(V$2,Verteil_sw,49,FALSE),IF($D30="alz",Y30*HLOOKUP(V$2,Verteil_sw,51,FALSE),0)))))))</f>
        <v>0</v>
      </c>
      <c r="AA30" s="233">
        <f t="shared" ref="AA30:AA61" si="43">IF(V$2="-","-",IF($E30+$F30+$G30=1,Y30*$F30,IF($D30="uns",Y30*HLOOKUP(V$2,Verteil_rwgr,45,FALSE),IF($D30="unm",Y30*HLOOKUP(V$2,Verteil_rwgr,46,FALSE),IF($D30="unr",Y30*HLOOKUP(V$2,Verteil_rwgr,47,FALSE),IF($D30="unk",Y30*HLOOKUP(V$2,Verteil_rwgr,48,FALSE),IF($D30="alz",Y30*HLOOKUP(V$2,Verteil_rwgr,50,FALSE),0)))))))</f>
        <v>0</v>
      </c>
      <c r="AB30" s="224">
        <f t="shared" ref="AB30:AB61" si="44">IF(V$2="-","-",IF($E30+$F30+$G30=1,Y30*$G30,IF($D30="uns",Y30*HLOOKUP(V$2,Verteil_rwst,44,FALSE),IF($D30="unm",Y30*HLOOKUP(V$2,Verteil_rwst,45,FALSE),IF($D30="unr",Y30*HLOOKUP(V$2,Verteil_rwst,46,FALSE),IF($D30="unk",Y30*HLOOKUP(V$2,Verteil_rwst,47,FALSE),IF($D30="alz",Y30*HLOOKUP(V$2,Verteil_rwst,49,FALSE),0)))))))</f>
        <v>0</v>
      </c>
      <c r="AC30" s="232"/>
      <c r="AD30" s="87"/>
      <c r="AE30" s="87"/>
      <c r="AF30" s="233">
        <f>AC30-AD30+AE30</f>
        <v>0</v>
      </c>
      <c r="AG30" s="233">
        <f t="shared" ref="AG30:AG61" si="45">IF(AC$2="-","-",IF($E30+$F30+$G30=1,AF30*$E30,IF($D30="uns",AF30*HLOOKUP(AC$2,Verteil_sw,46,FALSE),IF($D30="unm",AF30*HLOOKUP(AC$2,Verteil_sw,47,FALSE),IF($D30="unr",AF30*HLOOKUP(AC$2,Verteil_sw,48,FALSE),IF($D30="unk",AF30*HLOOKUP(AC$2,Verteil_sw,49,FALSE),IF($D30="alz",AF30*HLOOKUP(AC$2,Verteil_sw,51,FALSE),0)))))))</f>
        <v>0</v>
      </c>
      <c r="AH30" s="233">
        <f t="shared" ref="AH30:AH61" si="46">IF(AC$2="-","-",IF($E30+$F30+$G30=1,AF30*$F30,IF($D30="uns",AF30*HLOOKUP(AC$2,Verteil_rwgr,45,FALSE),IF($D30="unm",AF30*HLOOKUP(AC$2,Verteil_rwgr,46,FALSE),IF($D30="unr",AF30*HLOOKUP(AC$2,Verteil_rwgr,47,FALSE),IF($D30="unk",AF30*HLOOKUP(AC$2,Verteil_rwgr,48,FALSE),IF($D30="alz",AF30*HLOOKUP(AC$2,Verteil_rwgr,50,FALSE),0)))))))</f>
        <v>0</v>
      </c>
      <c r="AI30" s="224">
        <f t="shared" ref="AI30:AI61" si="47">IF(AC$2="-","-",IF($E30+$F30+$G30=1,AF30*$G30,IF($D30="uns",AF30*HLOOKUP(AC$2,Verteil_rwst,44,FALSE),IF($D30="unm",AF30*HLOOKUP(AC$2,Verteil_rwst,45,FALSE),IF($D30="unr",AF30*HLOOKUP(AC$2,Verteil_rwst,46,FALSE),IF($D30="unk",AF30*HLOOKUP(AC$2,Verteil_rwst,47,FALSE),IF($D30="alz",AF30*HLOOKUP(AC$2,Verteil_rwst,49,FALSE),0)))))))</f>
        <v>0</v>
      </c>
      <c r="AJ30" s="232"/>
      <c r="AK30" s="87"/>
      <c r="AL30" s="87"/>
      <c r="AM30" s="233">
        <f>AJ30-AK30+AL30</f>
        <v>0</v>
      </c>
      <c r="AN30" s="233">
        <f t="shared" ref="AN30:AN61" si="48">IF(AJ$2="-","-",IF($E30+$F30+$G30=1,AM30*$E30,IF($D30="uns",AM30*HLOOKUP(AJ$2,Verteil_sw,46,FALSE),IF($D30="unm",AM30*HLOOKUP(AJ$2,Verteil_sw,47,FALSE),IF($D30="unr",AM30*HLOOKUP(AJ$2,Verteil_sw,48,FALSE),IF($D30="unk",AM30*HLOOKUP(AJ$2,Verteil_sw,49,FALSE),IF($D30="alz",AM30*HLOOKUP(AJ$2,Verteil_sw,51,FALSE),0)))))))</f>
        <v>0</v>
      </c>
      <c r="AO30" s="233">
        <f t="shared" ref="AO30:AO61" si="49">IF(AJ$2="-","-",IF($E30+$F30+$G30=1,AM30*$F30,IF($D30="uns",AM30*HLOOKUP(AJ$2,Verteil_rwgr,45,FALSE),IF($D30="unm",AM30*HLOOKUP(AJ$2,Verteil_rwgr,46,FALSE),IF($D30="unr",AM30*HLOOKUP(AJ$2,Verteil_rwgr,47,FALSE),IF($D30="unk",AM30*HLOOKUP(AJ$2,Verteil_rwgr,48,FALSE),IF($D30="alz",AM30*HLOOKUP(AJ$2,Verteil_rwgr,50,FALSE),0)))))))</f>
        <v>0</v>
      </c>
      <c r="AP30" s="224">
        <f t="shared" ref="AP30:AP61" si="50">IF(AJ$2="-","-",IF($E30+$F30+$G30=1,AM30*$G30,IF($D30="uns",AM30*HLOOKUP(AJ$2,Verteil_rwst,44,FALSE),IF($D30="unm",AM30*HLOOKUP(AJ$2,Verteil_rwst,45,FALSE),IF($D30="unr",AM30*HLOOKUP(AJ$2,Verteil_rwst,46,FALSE),IF($D30="unk",AM30*HLOOKUP(AJ$2,Verteil_rwst,47,FALSE),IF($D30="alz",AM30*HLOOKUP(AJ$2,Verteil_rwst,49,FALSE),0)))))))</f>
        <v>0</v>
      </c>
      <c r="AQ30" s="232"/>
      <c r="AR30" s="87"/>
      <c r="AS30" s="87"/>
      <c r="AT30" s="233">
        <f>AQ30-AR30+AS30</f>
        <v>0</v>
      </c>
      <c r="AU30" s="233">
        <f t="shared" ref="AU30:AU61" si="51">IF(AQ$2="-","-",IF($E30+$F30+$G30=1,AT30*$E30,IF($D30="uns",AT30*HLOOKUP(AQ$2,Verteil_sw,46,FALSE),IF($D30="unm",AT30*HLOOKUP(AQ$2,Verteil_sw,47,FALSE),IF($D30="unr",AT30*HLOOKUP(AQ$2,Verteil_sw,48,FALSE),IF($D30="unk",AT30*HLOOKUP(AQ$2,Verteil_sw,49,FALSE),IF($D30="alz",AT30*HLOOKUP(AQ$2,Verteil_sw,51,FALSE),0)))))))</f>
        <v>0</v>
      </c>
      <c r="AV30" s="233">
        <f t="shared" ref="AV30:AV61" si="52">IF(AQ$2="-","-",IF($E30+$F30+$G30=1,AT30*$F30,IF($D30="uns",AT30*HLOOKUP(AQ$2,Verteil_rwgr,45,FALSE),IF($D30="unm",AT30*HLOOKUP(AQ$2,Verteil_rwgr,46,FALSE),IF($D30="unr",AT30*HLOOKUP(AQ$2,Verteil_rwgr,47,FALSE),IF($D30="unk",AT30*HLOOKUP(AQ$2,Verteil_rwgr,48,FALSE),IF($D30="alz",AT30*HLOOKUP(AQ$2,Verteil_rwgr,50,FALSE),0)))))))</f>
        <v>0</v>
      </c>
      <c r="AW30" s="224">
        <f t="shared" ref="AW30:AW61" si="53">IF(AQ$2="-","-",IF($E30+$F30+$G30=1,AT30*$G30,IF($D30="uns",AT30*HLOOKUP(AQ$2,Verteil_rwst,44,FALSE),IF($D30="unm",AT30*HLOOKUP(AQ$2,Verteil_rwst,45,FALSE),IF($D30="unr",AT30*HLOOKUP(AQ$2,Verteil_rwst,46,FALSE),IF($D30="unk",AT30*HLOOKUP(AQ$2,Verteil_rwst,47,FALSE),IF($D30="alz",AT30*HLOOKUP(AQ$2,Verteil_rwst,49,FALSE),0)))))))</f>
        <v>0</v>
      </c>
      <c r="AX30" s="232"/>
      <c r="AY30" s="87"/>
      <c r="AZ30" s="87"/>
      <c r="BA30" s="233">
        <f>AX30-AY30+AZ30</f>
        <v>0</v>
      </c>
      <c r="BB30" s="233">
        <f t="shared" ref="BB30:BB61" si="54">IF(AX$2="-","-",IF($E30+$F30+$G30=1,BA30*$E30,IF($D30="uns",BA30*HLOOKUP(AX$2,Verteil_sw,46,FALSE),IF($D30="unm",BA30*HLOOKUP(AX$2,Verteil_sw,47,FALSE),IF($D30="unr",BA30*HLOOKUP(AX$2,Verteil_sw,48,FALSE),IF($D30="unk",BA30*HLOOKUP(AX$2,Verteil_sw,49,FALSE),IF($D30="alz",BA30*HLOOKUP(AX$2,Verteil_sw,51,FALSE),0)))))))</f>
        <v>0</v>
      </c>
      <c r="BC30" s="233">
        <f t="shared" ref="BC30:BC61" si="55">IF(AX$2="-","-",IF($E30+$F30+$G30=1,BA30*$F30,IF($D30="uns",BA30*HLOOKUP(AX$2,Verteil_rwgr,45,FALSE),IF($D30="unm",BA30*HLOOKUP(AX$2,Verteil_rwgr,46,FALSE),IF($D30="unr",BA30*HLOOKUP(AX$2,Verteil_rwgr,47,FALSE),IF($D30="unk",BA30*HLOOKUP(AX$2,Verteil_rwgr,48,FALSE),IF($D30="alz",BA30*HLOOKUP(AX$2,Verteil_rwgr,50,FALSE),0)))))))</f>
        <v>0</v>
      </c>
      <c r="BD30" s="224">
        <f t="shared" ref="BD30:BD61" si="56">IF(AX$2="-","-",IF($E30+$F30+$G30=1,BA30*$G30,IF($D30="uns",BA30*HLOOKUP(AX$2,Verteil_rwst,44,FALSE),IF($D30="unm",BA30*HLOOKUP(AX$2,Verteil_rwst,45,FALSE),IF($D30="unr",BA30*HLOOKUP(AX$2,Verteil_rwst,46,FALSE),IF($D30="unk",BA30*HLOOKUP(AX$2,Verteil_rwst,47,FALSE),IF($D30="alz",BA30*HLOOKUP(AX$2,Verteil_rwst,49,FALSE),0)))))))</f>
        <v>0</v>
      </c>
      <c r="BE30" s="232"/>
      <c r="BF30" s="87"/>
      <c r="BG30" s="87"/>
      <c r="BH30" s="233">
        <f>BE30-BF30+BG30</f>
        <v>0</v>
      </c>
      <c r="BI30" s="233">
        <f t="shared" ref="BI30:BI61" si="57">IF(BE$2="-","-",IF($E30+$F30+$G30=1,BH30*$E30,IF($D30="uns",BH30*HLOOKUP(BE$2,Verteil_sw,46,FALSE),IF($D30="unm",BH30*HLOOKUP(BE$2,Verteil_sw,47,FALSE),IF($D30="unr",BH30*HLOOKUP(BE$2,Verteil_sw,48,FALSE),IF($D30="unk",BH30*HLOOKUP(BE$2,Verteil_sw,49,FALSE),IF($D30="alz",BH30*HLOOKUP(BE$2,Verteil_sw,51,FALSE),0)))))))</f>
        <v>0</v>
      </c>
      <c r="BJ30" s="233">
        <f t="shared" ref="BJ30:BJ61" si="58">IF(BE$2="-","-",IF($E30+$F30+$G30=1,BH30*$F30,IF($D30="uns",BH30*HLOOKUP(BE$2,Verteil_rwgr,45,FALSE),IF($D30="unm",BH30*HLOOKUP(BE$2,Verteil_rwgr,46,FALSE),IF($D30="unr",BH30*HLOOKUP(BE$2,Verteil_rwgr,47,FALSE),IF($D30="unk",BH30*HLOOKUP(BE$2,Verteil_rwgr,48,FALSE),IF($D30="alz",BH30*HLOOKUP(BE$2,Verteil_rwgr,50,FALSE),0)))))))</f>
        <v>0</v>
      </c>
      <c r="BK30" s="224">
        <f t="shared" ref="BK30:BK61" si="59">IF(BE$2="-","-",IF($E30+$F30+$G30=1,BH30*$G30,IF($D30="uns",BH30*HLOOKUP(BE$2,Verteil_rwst,44,FALSE),IF($D30="unm",BH30*HLOOKUP(BE$2,Verteil_rwst,45,FALSE),IF($D30="unr",BH30*HLOOKUP(BE$2,Verteil_rwst,46,FALSE),IF($D30="unk",BH30*HLOOKUP(BE$2,Verteil_rwst,47,FALSE),IF($D30="alz",BH30*HLOOKUP(BE$2,Verteil_rwst,49,FALSE),0)))))))</f>
        <v>0</v>
      </c>
      <c r="BL30" s="232"/>
      <c r="BM30" s="87"/>
      <c r="BN30" s="87"/>
      <c r="BO30" s="233">
        <f>BL30-BM30+BN30</f>
        <v>0</v>
      </c>
      <c r="BP30" s="233">
        <f t="shared" ref="BP30:BP61" si="60">IF(BL$2="-","-",IF($E30+$F30+$G30=1,BO30*$E30,IF($D30="uns",BO30*HLOOKUP(BL$2,Verteil_sw,46,FALSE),IF($D30="unm",BO30*HLOOKUP(BL$2,Verteil_sw,47,FALSE),IF($D30="unr",BO30*HLOOKUP(BL$2,Verteil_sw,48,FALSE),IF($D30="unk",BO30*HLOOKUP(BL$2,Verteil_sw,49,FALSE),IF($D30="alz",BO30*HLOOKUP(BL$2,Verteil_sw,51,FALSE),0)))))))</f>
        <v>0</v>
      </c>
      <c r="BQ30" s="233">
        <f t="shared" ref="BQ30:BQ61" si="61">IF(BL$2="-","-",IF($E30+$F30+$G30=1,BO30*$F30,IF($D30="uns",BO30*HLOOKUP(BL$2,Verteil_rwgr,45,FALSE),IF($D30="unm",BO30*HLOOKUP(BL$2,Verteil_rwgr,46,FALSE),IF($D30="unr",BO30*HLOOKUP(BL$2,Verteil_rwgr,47,FALSE),IF($D30="unk",BO30*HLOOKUP(BL$2,Verteil_rwgr,48,FALSE),IF($D30="alz",BO30*HLOOKUP(BL$2,Verteil_rwgr,50,FALSE),0)))))))</f>
        <v>0</v>
      </c>
      <c r="BR30" s="224">
        <f t="shared" ref="BR30:BR61" si="62">IF(BL$2="-","-",IF($E30+$F30+$G30=1,BO30*$G30,IF($D30="uns",BO30*HLOOKUP(BL$2,Verteil_rwst,44,FALSE),IF($D30="unm",BO30*HLOOKUP(BL$2,Verteil_rwst,45,FALSE),IF($D30="unr",BO30*HLOOKUP(BL$2,Verteil_rwst,46,FALSE),IF($D30="unk",BO30*HLOOKUP(BL$2,Verteil_rwst,47,FALSE),IF($D30="alz",BO30*HLOOKUP(BL$2,Verteil_rwst,49,FALSE),0)))))))</f>
        <v>0</v>
      </c>
    </row>
    <row r="31" spans="1:70" x14ac:dyDescent="0.35">
      <c r="A31" s="491" t="s">
        <v>89</v>
      </c>
      <c r="B31" s="83" t="s">
        <v>626</v>
      </c>
      <c r="C31" s="234" t="s">
        <v>627</v>
      </c>
      <c r="D31" s="83" t="s">
        <v>134</v>
      </c>
      <c r="E31" s="230"/>
      <c r="F31" s="230"/>
      <c r="G31" s="231"/>
      <c r="H31" s="235">
        <v>116667</v>
      </c>
      <c r="I31" s="84"/>
      <c r="J31" s="84"/>
      <c r="K31" s="233">
        <f t="shared" ref="K31:K94" si="63">H31-I31+J31</f>
        <v>116667</v>
      </c>
      <c r="L31" s="233">
        <f t="shared" si="36"/>
        <v>105000.3</v>
      </c>
      <c r="M31" s="233">
        <f t="shared" si="37"/>
        <v>5833.35</v>
      </c>
      <c r="N31" s="224">
        <f t="shared" si="38"/>
        <v>5833.35</v>
      </c>
      <c r="O31" s="279">
        <v>119000</v>
      </c>
      <c r="P31" s="84"/>
      <c r="Q31" s="84"/>
      <c r="R31" s="233">
        <f t="shared" ref="R31:R94" si="64">O31-P31+Q31</f>
        <v>119000</v>
      </c>
      <c r="S31" s="233">
        <f t="shared" si="39"/>
        <v>107100</v>
      </c>
      <c r="T31" s="233">
        <f t="shared" si="40"/>
        <v>5950</v>
      </c>
      <c r="U31" s="224">
        <f t="shared" si="41"/>
        <v>5950</v>
      </c>
      <c r="V31" s="279">
        <v>121380</v>
      </c>
      <c r="W31" s="84"/>
      <c r="X31" s="84"/>
      <c r="Y31" s="233">
        <f t="shared" ref="Y31:Y94" si="65">V31-W31+X31</f>
        <v>121380</v>
      </c>
      <c r="Z31" s="233">
        <f t="shared" si="42"/>
        <v>109242</v>
      </c>
      <c r="AA31" s="233">
        <f t="shared" si="43"/>
        <v>6069</v>
      </c>
      <c r="AB31" s="224">
        <f t="shared" si="44"/>
        <v>6069</v>
      </c>
      <c r="AC31" s="279">
        <v>123808</v>
      </c>
      <c r="AD31" s="84"/>
      <c r="AE31" s="84"/>
      <c r="AF31" s="233">
        <f t="shared" ref="AF31:AF94" si="66">AC31-AD31+AE31</f>
        <v>123808</v>
      </c>
      <c r="AG31" s="233">
        <f t="shared" si="45"/>
        <v>111427.2</v>
      </c>
      <c r="AH31" s="233">
        <f t="shared" si="46"/>
        <v>6190.4000000000005</v>
      </c>
      <c r="AI31" s="224">
        <f t="shared" si="47"/>
        <v>6190.4000000000005</v>
      </c>
      <c r="AJ31" s="279">
        <v>126284</v>
      </c>
      <c r="AK31" s="84"/>
      <c r="AL31" s="84"/>
      <c r="AM31" s="233">
        <f t="shared" ref="AM31:AM94" si="67">AJ31-AK31+AL31</f>
        <v>126284</v>
      </c>
      <c r="AN31" s="233">
        <f t="shared" si="48"/>
        <v>113655.6</v>
      </c>
      <c r="AO31" s="233">
        <f t="shared" si="49"/>
        <v>6314.2000000000007</v>
      </c>
      <c r="AP31" s="224">
        <f t="shared" si="50"/>
        <v>6314.2000000000007</v>
      </c>
      <c r="AQ31" s="279">
        <v>128810</v>
      </c>
      <c r="AR31" s="84"/>
      <c r="AS31" s="84"/>
      <c r="AT31" s="233">
        <f t="shared" ref="AT31:AT94" si="68">AQ31-AR31+AS31</f>
        <v>128810</v>
      </c>
      <c r="AU31" s="233">
        <f t="shared" si="51"/>
        <v>115929</v>
      </c>
      <c r="AV31" s="233">
        <f t="shared" si="52"/>
        <v>6440.5</v>
      </c>
      <c r="AW31" s="224">
        <f t="shared" si="53"/>
        <v>6440.5</v>
      </c>
      <c r="AX31" s="279">
        <v>131386</v>
      </c>
      <c r="AY31" s="84"/>
      <c r="AZ31" s="84"/>
      <c r="BA31" s="233">
        <f t="shared" ref="BA31:BA94" si="69">AX31-AY31+AZ31</f>
        <v>131386</v>
      </c>
      <c r="BB31" s="233">
        <f t="shared" si="54"/>
        <v>118247.40000000001</v>
      </c>
      <c r="BC31" s="233">
        <f t="shared" si="55"/>
        <v>6569.3</v>
      </c>
      <c r="BD31" s="224">
        <f t="shared" si="56"/>
        <v>6569.3</v>
      </c>
      <c r="BE31" s="279">
        <v>134014</v>
      </c>
      <c r="BF31" s="84"/>
      <c r="BG31" s="84"/>
      <c r="BH31" s="233">
        <f t="shared" ref="BH31:BH94" si="70">BE31-BF31+BG31</f>
        <v>134014</v>
      </c>
      <c r="BI31" s="233">
        <f t="shared" si="57"/>
        <v>120612.6</v>
      </c>
      <c r="BJ31" s="233">
        <f t="shared" si="58"/>
        <v>6700.7000000000007</v>
      </c>
      <c r="BK31" s="224">
        <f t="shared" si="59"/>
        <v>6700.7000000000007</v>
      </c>
      <c r="BL31" s="279">
        <v>136694</v>
      </c>
      <c r="BM31" s="84"/>
      <c r="BN31" s="84"/>
      <c r="BO31" s="233">
        <f t="shared" ref="BO31:BO94" si="71">BL31-BM31+BN31</f>
        <v>136694</v>
      </c>
      <c r="BP31" s="233">
        <f t="shared" si="60"/>
        <v>123024.6</v>
      </c>
      <c r="BQ31" s="233">
        <f t="shared" si="61"/>
        <v>6834.7000000000007</v>
      </c>
      <c r="BR31" s="224">
        <f t="shared" si="62"/>
        <v>6834.7000000000007</v>
      </c>
    </row>
    <row r="32" spans="1:70" x14ac:dyDescent="0.35">
      <c r="A32" s="491" t="s">
        <v>92</v>
      </c>
      <c r="B32" s="83" t="s">
        <v>628</v>
      </c>
      <c r="C32" s="234" t="s">
        <v>629</v>
      </c>
      <c r="D32" s="83"/>
      <c r="E32" s="230">
        <v>0.8</v>
      </c>
      <c r="F32" s="230">
        <v>0.1</v>
      </c>
      <c r="G32" s="231">
        <v>0.1</v>
      </c>
      <c r="H32" s="235">
        <v>427</v>
      </c>
      <c r="I32" s="84"/>
      <c r="J32" s="84"/>
      <c r="K32" s="233">
        <f t="shared" si="63"/>
        <v>427</v>
      </c>
      <c r="L32" s="233">
        <f t="shared" si="36"/>
        <v>341.6</v>
      </c>
      <c r="M32" s="233">
        <f t="shared" si="37"/>
        <v>42.7</v>
      </c>
      <c r="N32" s="224">
        <f t="shared" si="38"/>
        <v>42.7</v>
      </c>
      <c r="O32" s="279">
        <v>436</v>
      </c>
      <c r="P32" s="84"/>
      <c r="Q32" s="84"/>
      <c r="R32" s="233">
        <f t="shared" si="64"/>
        <v>436</v>
      </c>
      <c r="S32" s="233">
        <f t="shared" si="39"/>
        <v>348.8</v>
      </c>
      <c r="T32" s="233">
        <f t="shared" si="40"/>
        <v>43.6</v>
      </c>
      <c r="U32" s="224">
        <f t="shared" si="41"/>
        <v>43.6</v>
      </c>
      <c r="V32" s="279">
        <v>444</v>
      </c>
      <c r="W32" s="84"/>
      <c r="X32" s="84"/>
      <c r="Y32" s="233">
        <f t="shared" si="65"/>
        <v>444</v>
      </c>
      <c r="Z32" s="233">
        <f t="shared" si="42"/>
        <v>355.20000000000005</v>
      </c>
      <c r="AA32" s="233">
        <f t="shared" si="43"/>
        <v>44.400000000000006</v>
      </c>
      <c r="AB32" s="224">
        <f t="shared" si="44"/>
        <v>44.400000000000006</v>
      </c>
      <c r="AC32" s="279">
        <v>453</v>
      </c>
      <c r="AD32" s="84"/>
      <c r="AE32" s="84"/>
      <c r="AF32" s="233">
        <f t="shared" si="66"/>
        <v>453</v>
      </c>
      <c r="AG32" s="233">
        <f t="shared" si="45"/>
        <v>362.40000000000003</v>
      </c>
      <c r="AH32" s="233">
        <f t="shared" si="46"/>
        <v>45.300000000000004</v>
      </c>
      <c r="AI32" s="224">
        <f t="shared" si="47"/>
        <v>45.300000000000004</v>
      </c>
      <c r="AJ32" s="279">
        <v>462</v>
      </c>
      <c r="AK32" s="84"/>
      <c r="AL32" s="84"/>
      <c r="AM32" s="233">
        <f t="shared" si="67"/>
        <v>462</v>
      </c>
      <c r="AN32" s="233">
        <f t="shared" si="48"/>
        <v>369.6</v>
      </c>
      <c r="AO32" s="233">
        <f t="shared" si="49"/>
        <v>46.2</v>
      </c>
      <c r="AP32" s="224">
        <f t="shared" si="50"/>
        <v>46.2</v>
      </c>
      <c r="AQ32" s="279">
        <v>472</v>
      </c>
      <c r="AR32" s="84"/>
      <c r="AS32" s="84"/>
      <c r="AT32" s="233">
        <f t="shared" si="68"/>
        <v>472</v>
      </c>
      <c r="AU32" s="233">
        <f t="shared" si="51"/>
        <v>377.6</v>
      </c>
      <c r="AV32" s="233">
        <f t="shared" si="52"/>
        <v>47.2</v>
      </c>
      <c r="AW32" s="224">
        <f t="shared" si="53"/>
        <v>47.2</v>
      </c>
      <c r="AX32" s="279">
        <v>481</v>
      </c>
      <c r="AY32" s="84"/>
      <c r="AZ32" s="84"/>
      <c r="BA32" s="233">
        <f t="shared" si="69"/>
        <v>481</v>
      </c>
      <c r="BB32" s="233">
        <f t="shared" si="54"/>
        <v>384.8</v>
      </c>
      <c r="BC32" s="233">
        <f t="shared" si="55"/>
        <v>48.1</v>
      </c>
      <c r="BD32" s="224">
        <f t="shared" si="56"/>
        <v>48.1</v>
      </c>
      <c r="BE32" s="279">
        <v>491</v>
      </c>
      <c r="BF32" s="84"/>
      <c r="BG32" s="84"/>
      <c r="BH32" s="233">
        <f t="shared" si="70"/>
        <v>491</v>
      </c>
      <c r="BI32" s="233">
        <f t="shared" si="57"/>
        <v>392.8</v>
      </c>
      <c r="BJ32" s="233">
        <f t="shared" si="58"/>
        <v>49.1</v>
      </c>
      <c r="BK32" s="224">
        <f t="shared" si="59"/>
        <v>49.1</v>
      </c>
      <c r="BL32" s="279">
        <v>500</v>
      </c>
      <c r="BM32" s="84"/>
      <c r="BN32" s="84"/>
      <c r="BO32" s="233">
        <f t="shared" si="71"/>
        <v>500</v>
      </c>
      <c r="BP32" s="233">
        <f t="shared" si="60"/>
        <v>400</v>
      </c>
      <c r="BQ32" s="233">
        <f t="shared" si="61"/>
        <v>50</v>
      </c>
      <c r="BR32" s="224">
        <f t="shared" si="62"/>
        <v>50</v>
      </c>
    </row>
    <row r="33" spans="1:70" x14ac:dyDescent="0.35">
      <c r="A33" s="491" t="s">
        <v>95</v>
      </c>
      <c r="B33" s="83" t="s">
        <v>630</v>
      </c>
      <c r="C33" s="234" t="s">
        <v>631</v>
      </c>
      <c r="D33" s="83" t="s">
        <v>129</v>
      </c>
      <c r="E33" s="230"/>
      <c r="F33" s="230"/>
      <c r="G33" s="231"/>
      <c r="H33" s="235">
        <v>11049</v>
      </c>
      <c r="I33" s="84"/>
      <c r="J33" s="84"/>
      <c r="K33" s="233">
        <f t="shared" si="63"/>
        <v>11049</v>
      </c>
      <c r="L33" s="233">
        <f t="shared" si="36"/>
        <v>5524.5</v>
      </c>
      <c r="M33" s="233">
        <f t="shared" si="37"/>
        <v>2762.25</v>
      </c>
      <c r="N33" s="224">
        <f t="shared" si="38"/>
        <v>2762.25</v>
      </c>
      <c r="O33" s="279">
        <v>11270</v>
      </c>
      <c r="P33" s="84"/>
      <c r="Q33" s="84"/>
      <c r="R33" s="233">
        <f t="shared" si="64"/>
        <v>11270</v>
      </c>
      <c r="S33" s="233">
        <f t="shared" si="39"/>
        <v>5635</v>
      </c>
      <c r="T33" s="233">
        <f t="shared" si="40"/>
        <v>2817.5</v>
      </c>
      <c r="U33" s="224">
        <f t="shared" si="41"/>
        <v>2817.5</v>
      </c>
      <c r="V33" s="279">
        <v>11495</v>
      </c>
      <c r="W33" s="84"/>
      <c r="X33" s="84"/>
      <c r="Y33" s="233">
        <f t="shared" si="65"/>
        <v>11495</v>
      </c>
      <c r="Z33" s="233">
        <f t="shared" si="42"/>
        <v>5747.5</v>
      </c>
      <c r="AA33" s="233">
        <f t="shared" si="43"/>
        <v>2873.75</v>
      </c>
      <c r="AB33" s="224">
        <f t="shared" si="44"/>
        <v>2873.75</v>
      </c>
      <c r="AC33" s="279">
        <v>11725</v>
      </c>
      <c r="AD33" s="84"/>
      <c r="AE33" s="84"/>
      <c r="AF33" s="233">
        <f t="shared" si="66"/>
        <v>11725</v>
      </c>
      <c r="AG33" s="233">
        <f t="shared" si="45"/>
        <v>5862.5</v>
      </c>
      <c r="AH33" s="233">
        <f t="shared" si="46"/>
        <v>2931.25</v>
      </c>
      <c r="AI33" s="224">
        <f t="shared" si="47"/>
        <v>2931.25</v>
      </c>
      <c r="AJ33" s="279">
        <v>11960</v>
      </c>
      <c r="AK33" s="84"/>
      <c r="AL33" s="84"/>
      <c r="AM33" s="233">
        <f t="shared" si="67"/>
        <v>11960</v>
      </c>
      <c r="AN33" s="233">
        <f t="shared" si="48"/>
        <v>5980</v>
      </c>
      <c r="AO33" s="233">
        <f t="shared" si="49"/>
        <v>2990</v>
      </c>
      <c r="AP33" s="224">
        <f t="shared" si="50"/>
        <v>2990</v>
      </c>
      <c r="AQ33" s="279">
        <v>12199</v>
      </c>
      <c r="AR33" s="84"/>
      <c r="AS33" s="84"/>
      <c r="AT33" s="233">
        <f t="shared" si="68"/>
        <v>12199</v>
      </c>
      <c r="AU33" s="233">
        <f t="shared" si="51"/>
        <v>6099.5</v>
      </c>
      <c r="AV33" s="233">
        <f t="shared" si="52"/>
        <v>3049.75</v>
      </c>
      <c r="AW33" s="224">
        <f t="shared" si="53"/>
        <v>3049.75</v>
      </c>
      <c r="AX33" s="279">
        <v>12443</v>
      </c>
      <c r="AY33" s="84"/>
      <c r="AZ33" s="84"/>
      <c r="BA33" s="233">
        <f t="shared" si="69"/>
        <v>12443</v>
      </c>
      <c r="BB33" s="233">
        <f t="shared" si="54"/>
        <v>6221.5</v>
      </c>
      <c r="BC33" s="233">
        <f t="shared" si="55"/>
        <v>3110.75</v>
      </c>
      <c r="BD33" s="224">
        <f t="shared" si="56"/>
        <v>3110.75</v>
      </c>
      <c r="BE33" s="279">
        <v>12692</v>
      </c>
      <c r="BF33" s="84"/>
      <c r="BG33" s="84"/>
      <c r="BH33" s="233">
        <f t="shared" si="70"/>
        <v>12692</v>
      </c>
      <c r="BI33" s="233">
        <f t="shared" si="57"/>
        <v>6346</v>
      </c>
      <c r="BJ33" s="233">
        <f t="shared" si="58"/>
        <v>3173</v>
      </c>
      <c r="BK33" s="224">
        <f t="shared" si="59"/>
        <v>3173</v>
      </c>
      <c r="BL33" s="279">
        <v>12946</v>
      </c>
      <c r="BM33" s="84"/>
      <c r="BN33" s="84"/>
      <c r="BO33" s="233">
        <f t="shared" si="71"/>
        <v>12946</v>
      </c>
      <c r="BP33" s="233">
        <f t="shared" si="60"/>
        <v>6473</v>
      </c>
      <c r="BQ33" s="233">
        <f t="shared" si="61"/>
        <v>3236.5</v>
      </c>
      <c r="BR33" s="224">
        <f t="shared" si="62"/>
        <v>3236.5</v>
      </c>
    </row>
    <row r="34" spans="1:70" x14ac:dyDescent="0.35">
      <c r="A34" s="491" t="s">
        <v>98</v>
      </c>
      <c r="B34" s="83" t="s">
        <v>632</v>
      </c>
      <c r="C34" s="234" t="s">
        <v>633</v>
      </c>
      <c r="D34" s="83" t="s">
        <v>129</v>
      </c>
      <c r="E34" s="230"/>
      <c r="F34" s="230"/>
      <c r="G34" s="231"/>
      <c r="H34" s="235">
        <v>5000</v>
      </c>
      <c r="I34" s="84"/>
      <c r="J34" s="84"/>
      <c r="K34" s="233">
        <f t="shared" si="63"/>
        <v>5000</v>
      </c>
      <c r="L34" s="233">
        <f t="shared" si="36"/>
        <v>2500</v>
      </c>
      <c r="M34" s="233">
        <f t="shared" si="37"/>
        <v>1250</v>
      </c>
      <c r="N34" s="224">
        <f t="shared" si="38"/>
        <v>1250</v>
      </c>
      <c r="O34" s="279">
        <v>5100</v>
      </c>
      <c r="P34" s="84"/>
      <c r="Q34" s="84"/>
      <c r="R34" s="233">
        <f t="shared" si="64"/>
        <v>5100</v>
      </c>
      <c r="S34" s="233">
        <f t="shared" si="39"/>
        <v>2550</v>
      </c>
      <c r="T34" s="233">
        <f t="shared" si="40"/>
        <v>1275</v>
      </c>
      <c r="U34" s="224">
        <f t="shared" si="41"/>
        <v>1275</v>
      </c>
      <c r="V34" s="279">
        <v>5202</v>
      </c>
      <c r="W34" s="84"/>
      <c r="X34" s="84"/>
      <c r="Y34" s="233">
        <f t="shared" si="65"/>
        <v>5202</v>
      </c>
      <c r="Z34" s="233">
        <f t="shared" si="42"/>
        <v>2601</v>
      </c>
      <c r="AA34" s="233">
        <f t="shared" si="43"/>
        <v>1300.5</v>
      </c>
      <c r="AB34" s="224">
        <f t="shared" si="44"/>
        <v>1300.5</v>
      </c>
      <c r="AC34" s="279">
        <v>5306</v>
      </c>
      <c r="AD34" s="84"/>
      <c r="AE34" s="84"/>
      <c r="AF34" s="233">
        <f t="shared" si="66"/>
        <v>5306</v>
      </c>
      <c r="AG34" s="233">
        <f t="shared" si="45"/>
        <v>2653</v>
      </c>
      <c r="AH34" s="233">
        <f t="shared" si="46"/>
        <v>1326.5</v>
      </c>
      <c r="AI34" s="224">
        <f t="shared" si="47"/>
        <v>1326.5</v>
      </c>
      <c r="AJ34" s="279">
        <v>5412</v>
      </c>
      <c r="AK34" s="84"/>
      <c r="AL34" s="84"/>
      <c r="AM34" s="233">
        <f t="shared" si="67"/>
        <v>5412</v>
      </c>
      <c r="AN34" s="233">
        <f t="shared" si="48"/>
        <v>2706</v>
      </c>
      <c r="AO34" s="233">
        <f t="shared" si="49"/>
        <v>1353</v>
      </c>
      <c r="AP34" s="224">
        <f t="shared" si="50"/>
        <v>1353</v>
      </c>
      <c r="AQ34" s="279">
        <v>5520</v>
      </c>
      <c r="AR34" s="84"/>
      <c r="AS34" s="84"/>
      <c r="AT34" s="233">
        <f t="shared" si="68"/>
        <v>5520</v>
      </c>
      <c r="AU34" s="233">
        <f t="shared" si="51"/>
        <v>2760</v>
      </c>
      <c r="AV34" s="233">
        <f t="shared" si="52"/>
        <v>1380</v>
      </c>
      <c r="AW34" s="224">
        <f t="shared" si="53"/>
        <v>1380</v>
      </c>
      <c r="AX34" s="279">
        <v>5631</v>
      </c>
      <c r="AY34" s="84"/>
      <c r="AZ34" s="84"/>
      <c r="BA34" s="233">
        <f t="shared" si="69"/>
        <v>5631</v>
      </c>
      <c r="BB34" s="233">
        <f t="shared" si="54"/>
        <v>2815.5</v>
      </c>
      <c r="BC34" s="233">
        <f t="shared" si="55"/>
        <v>1407.75</v>
      </c>
      <c r="BD34" s="224">
        <f t="shared" si="56"/>
        <v>1407.75</v>
      </c>
      <c r="BE34" s="279">
        <v>5743</v>
      </c>
      <c r="BF34" s="84"/>
      <c r="BG34" s="84"/>
      <c r="BH34" s="233">
        <f t="shared" si="70"/>
        <v>5743</v>
      </c>
      <c r="BI34" s="233">
        <f t="shared" si="57"/>
        <v>2871.5</v>
      </c>
      <c r="BJ34" s="233">
        <f t="shared" si="58"/>
        <v>1435.75</v>
      </c>
      <c r="BK34" s="224">
        <f t="shared" si="59"/>
        <v>1435.75</v>
      </c>
      <c r="BL34" s="279">
        <v>5858</v>
      </c>
      <c r="BM34" s="84"/>
      <c r="BN34" s="84"/>
      <c r="BO34" s="233">
        <f t="shared" si="71"/>
        <v>5858</v>
      </c>
      <c r="BP34" s="233">
        <f t="shared" si="60"/>
        <v>2929</v>
      </c>
      <c r="BQ34" s="233">
        <f t="shared" si="61"/>
        <v>1464.5</v>
      </c>
      <c r="BR34" s="224">
        <f t="shared" si="62"/>
        <v>1464.5</v>
      </c>
    </row>
    <row r="35" spans="1:70" x14ac:dyDescent="0.35">
      <c r="A35" s="491" t="s">
        <v>101</v>
      </c>
      <c r="B35" s="83" t="s">
        <v>634</v>
      </c>
      <c r="C35" s="234" t="s">
        <v>635</v>
      </c>
      <c r="D35" s="83" t="s">
        <v>129</v>
      </c>
      <c r="E35" s="230"/>
      <c r="F35" s="230"/>
      <c r="G35" s="231"/>
      <c r="H35" s="235">
        <v>5419</v>
      </c>
      <c r="I35" s="84"/>
      <c r="J35" s="84"/>
      <c r="K35" s="233">
        <f t="shared" si="63"/>
        <v>5419</v>
      </c>
      <c r="L35" s="233">
        <f t="shared" si="36"/>
        <v>2709.5</v>
      </c>
      <c r="M35" s="233">
        <f t="shared" si="37"/>
        <v>1354.75</v>
      </c>
      <c r="N35" s="224">
        <f t="shared" si="38"/>
        <v>1354.75</v>
      </c>
      <c r="O35" s="279">
        <v>5527</v>
      </c>
      <c r="P35" s="84"/>
      <c r="Q35" s="84"/>
      <c r="R35" s="233">
        <f t="shared" si="64"/>
        <v>5527</v>
      </c>
      <c r="S35" s="233">
        <f t="shared" si="39"/>
        <v>2763.5</v>
      </c>
      <c r="T35" s="233">
        <f t="shared" si="40"/>
        <v>1381.75</v>
      </c>
      <c r="U35" s="224">
        <f t="shared" si="41"/>
        <v>1381.75</v>
      </c>
      <c r="V35" s="279">
        <v>5638</v>
      </c>
      <c r="W35" s="84"/>
      <c r="X35" s="84"/>
      <c r="Y35" s="233">
        <f t="shared" si="65"/>
        <v>5638</v>
      </c>
      <c r="Z35" s="233">
        <f t="shared" si="42"/>
        <v>2819</v>
      </c>
      <c r="AA35" s="233">
        <f t="shared" si="43"/>
        <v>1409.5</v>
      </c>
      <c r="AB35" s="224">
        <f t="shared" si="44"/>
        <v>1409.5</v>
      </c>
      <c r="AC35" s="279">
        <v>5751</v>
      </c>
      <c r="AD35" s="84"/>
      <c r="AE35" s="84"/>
      <c r="AF35" s="233">
        <f t="shared" si="66"/>
        <v>5751</v>
      </c>
      <c r="AG35" s="233">
        <f t="shared" si="45"/>
        <v>2875.5</v>
      </c>
      <c r="AH35" s="233">
        <f t="shared" si="46"/>
        <v>1437.75</v>
      </c>
      <c r="AI35" s="224">
        <f t="shared" si="47"/>
        <v>1437.75</v>
      </c>
      <c r="AJ35" s="279">
        <v>5866</v>
      </c>
      <c r="AK35" s="84"/>
      <c r="AL35" s="84"/>
      <c r="AM35" s="233">
        <f t="shared" si="67"/>
        <v>5866</v>
      </c>
      <c r="AN35" s="233">
        <f t="shared" si="48"/>
        <v>2933</v>
      </c>
      <c r="AO35" s="233">
        <f t="shared" si="49"/>
        <v>1466.5</v>
      </c>
      <c r="AP35" s="224">
        <f t="shared" si="50"/>
        <v>1466.5</v>
      </c>
      <c r="AQ35" s="279">
        <v>5983</v>
      </c>
      <c r="AR35" s="84"/>
      <c r="AS35" s="84"/>
      <c r="AT35" s="233">
        <f t="shared" si="68"/>
        <v>5983</v>
      </c>
      <c r="AU35" s="233">
        <f t="shared" si="51"/>
        <v>2991.5</v>
      </c>
      <c r="AV35" s="233">
        <f t="shared" si="52"/>
        <v>1495.75</v>
      </c>
      <c r="AW35" s="224">
        <f t="shared" si="53"/>
        <v>1495.75</v>
      </c>
      <c r="AX35" s="279">
        <v>6102</v>
      </c>
      <c r="AY35" s="84"/>
      <c r="AZ35" s="84"/>
      <c r="BA35" s="233">
        <f t="shared" si="69"/>
        <v>6102</v>
      </c>
      <c r="BB35" s="233">
        <f t="shared" si="54"/>
        <v>3051</v>
      </c>
      <c r="BC35" s="233">
        <f t="shared" si="55"/>
        <v>1525.5</v>
      </c>
      <c r="BD35" s="224">
        <f t="shared" si="56"/>
        <v>1525.5</v>
      </c>
      <c r="BE35" s="279">
        <v>6225</v>
      </c>
      <c r="BF35" s="84"/>
      <c r="BG35" s="84"/>
      <c r="BH35" s="233">
        <f t="shared" si="70"/>
        <v>6225</v>
      </c>
      <c r="BI35" s="233">
        <f t="shared" si="57"/>
        <v>3112.5</v>
      </c>
      <c r="BJ35" s="233">
        <f t="shared" si="58"/>
        <v>1556.25</v>
      </c>
      <c r="BK35" s="224">
        <f t="shared" si="59"/>
        <v>1556.25</v>
      </c>
      <c r="BL35" s="279">
        <v>6349</v>
      </c>
      <c r="BM35" s="84"/>
      <c r="BN35" s="84"/>
      <c r="BO35" s="233">
        <f t="shared" si="71"/>
        <v>6349</v>
      </c>
      <c r="BP35" s="233">
        <f t="shared" si="60"/>
        <v>3174.5</v>
      </c>
      <c r="BQ35" s="233">
        <f t="shared" si="61"/>
        <v>1587.25</v>
      </c>
      <c r="BR35" s="224">
        <f t="shared" si="62"/>
        <v>1587.25</v>
      </c>
    </row>
    <row r="36" spans="1:70" x14ac:dyDescent="0.35">
      <c r="A36" s="491" t="s">
        <v>812</v>
      </c>
      <c r="B36" s="83" t="s">
        <v>636</v>
      </c>
      <c r="C36" s="234" t="s">
        <v>637</v>
      </c>
      <c r="D36" s="83" t="s">
        <v>134</v>
      </c>
      <c r="E36" s="230"/>
      <c r="F36" s="230"/>
      <c r="G36" s="231"/>
      <c r="H36" s="235">
        <v>2454</v>
      </c>
      <c r="I36" s="84"/>
      <c r="J36" s="84"/>
      <c r="K36" s="233">
        <f t="shared" si="63"/>
        <v>2454</v>
      </c>
      <c r="L36" s="233">
        <f t="shared" si="36"/>
        <v>2208.6</v>
      </c>
      <c r="M36" s="233">
        <f t="shared" si="37"/>
        <v>122.7</v>
      </c>
      <c r="N36" s="224">
        <f t="shared" si="38"/>
        <v>122.7</v>
      </c>
      <c r="O36" s="279">
        <v>2503</v>
      </c>
      <c r="P36" s="84"/>
      <c r="Q36" s="84"/>
      <c r="R36" s="233">
        <f t="shared" si="64"/>
        <v>2503</v>
      </c>
      <c r="S36" s="233">
        <f t="shared" si="39"/>
        <v>2252.7000000000003</v>
      </c>
      <c r="T36" s="233">
        <f t="shared" si="40"/>
        <v>125.15</v>
      </c>
      <c r="U36" s="224">
        <f t="shared" si="41"/>
        <v>125.15</v>
      </c>
      <c r="V36" s="279">
        <v>2553</v>
      </c>
      <c r="W36" s="84"/>
      <c r="X36" s="84"/>
      <c r="Y36" s="233">
        <f t="shared" si="65"/>
        <v>2553</v>
      </c>
      <c r="Z36" s="233">
        <f t="shared" si="42"/>
        <v>2297.7000000000003</v>
      </c>
      <c r="AA36" s="233">
        <f t="shared" si="43"/>
        <v>127.65</v>
      </c>
      <c r="AB36" s="224">
        <f t="shared" si="44"/>
        <v>127.65</v>
      </c>
      <c r="AC36" s="279">
        <v>2604</v>
      </c>
      <c r="AD36" s="84"/>
      <c r="AE36" s="84"/>
      <c r="AF36" s="233">
        <f t="shared" si="66"/>
        <v>2604</v>
      </c>
      <c r="AG36" s="233">
        <f t="shared" si="45"/>
        <v>2343.6</v>
      </c>
      <c r="AH36" s="233">
        <f t="shared" si="46"/>
        <v>130.20000000000002</v>
      </c>
      <c r="AI36" s="224">
        <f t="shared" si="47"/>
        <v>130.20000000000002</v>
      </c>
      <c r="AJ36" s="279">
        <v>2656</v>
      </c>
      <c r="AK36" s="84"/>
      <c r="AL36" s="84"/>
      <c r="AM36" s="233">
        <f t="shared" si="67"/>
        <v>2656</v>
      </c>
      <c r="AN36" s="233">
        <f t="shared" si="48"/>
        <v>2390.4</v>
      </c>
      <c r="AO36" s="233">
        <f t="shared" si="49"/>
        <v>132.80000000000001</v>
      </c>
      <c r="AP36" s="224">
        <f t="shared" si="50"/>
        <v>132.80000000000001</v>
      </c>
      <c r="AQ36" s="279">
        <v>2709</v>
      </c>
      <c r="AR36" s="84"/>
      <c r="AS36" s="84"/>
      <c r="AT36" s="233">
        <f t="shared" si="68"/>
        <v>2709</v>
      </c>
      <c r="AU36" s="233">
        <f t="shared" si="51"/>
        <v>2438.1</v>
      </c>
      <c r="AV36" s="233">
        <f t="shared" si="52"/>
        <v>135.45000000000002</v>
      </c>
      <c r="AW36" s="224">
        <f t="shared" si="53"/>
        <v>135.45000000000002</v>
      </c>
      <c r="AX36" s="279">
        <v>2764</v>
      </c>
      <c r="AY36" s="84"/>
      <c r="AZ36" s="84"/>
      <c r="BA36" s="233">
        <f t="shared" si="69"/>
        <v>2764</v>
      </c>
      <c r="BB36" s="233">
        <f t="shared" si="54"/>
        <v>2487.6</v>
      </c>
      <c r="BC36" s="233">
        <f t="shared" si="55"/>
        <v>138.20000000000002</v>
      </c>
      <c r="BD36" s="224">
        <f t="shared" si="56"/>
        <v>138.20000000000002</v>
      </c>
      <c r="BE36" s="279">
        <v>2819</v>
      </c>
      <c r="BF36" s="84"/>
      <c r="BG36" s="84"/>
      <c r="BH36" s="233">
        <f t="shared" si="70"/>
        <v>2819</v>
      </c>
      <c r="BI36" s="233">
        <f t="shared" si="57"/>
        <v>2537.1</v>
      </c>
      <c r="BJ36" s="233">
        <f t="shared" si="58"/>
        <v>140.95000000000002</v>
      </c>
      <c r="BK36" s="224">
        <f t="shared" si="59"/>
        <v>140.95000000000002</v>
      </c>
      <c r="BL36" s="279">
        <v>2875</v>
      </c>
      <c r="BM36" s="84"/>
      <c r="BN36" s="84"/>
      <c r="BO36" s="233">
        <f t="shared" si="71"/>
        <v>2875</v>
      </c>
      <c r="BP36" s="233">
        <f t="shared" si="60"/>
        <v>2587.5</v>
      </c>
      <c r="BQ36" s="233">
        <f t="shared" si="61"/>
        <v>143.75</v>
      </c>
      <c r="BR36" s="224">
        <f t="shared" si="62"/>
        <v>143.75</v>
      </c>
    </row>
    <row r="37" spans="1:70" x14ac:dyDescent="0.35">
      <c r="A37" s="491" t="s">
        <v>990</v>
      </c>
      <c r="B37" s="83">
        <v>5020</v>
      </c>
      <c r="C37" s="234" t="s">
        <v>638</v>
      </c>
      <c r="D37" s="83"/>
      <c r="E37" s="230"/>
      <c r="F37" s="230"/>
      <c r="G37" s="231"/>
      <c r="H37" s="235">
        <v>23703</v>
      </c>
      <c r="I37" s="84">
        <v>23703</v>
      </c>
      <c r="J37" s="84"/>
      <c r="K37" s="233">
        <f t="shared" si="63"/>
        <v>0</v>
      </c>
      <c r="L37" s="233">
        <f t="shared" si="36"/>
        <v>0</v>
      </c>
      <c r="M37" s="233">
        <f t="shared" si="37"/>
        <v>0</v>
      </c>
      <c r="N37" s="224">
        <f t="shared" si="38"/>
        <v>0</v>
      </c>
      <c r="O37" s="279">
        <v>24177</v>
      </c>
      <c r="P37" s="84">
        <v>24177</v>
      </c>
      <c r="Q37" s="84"/>
      <c r="R37" s="233">
        <f t="shared" si="64"/>
        <v>0</v>
      </c>
      <c r="S37" s="233">
        <f t="shared" si="39"/>
        <v>0</v>
      </c>
      <c r="T37" s="233">
        <f t="shared" si="40"/>
        <v>0</v>
      </c>
      <c r="U37" s="224">
        <f t="shared" si="41"/>
        <v>0</v>
      </c>
      <c r="V37" s="279">
        <v>24661</v>
      </c>
      <c r="W37" s="84">
        <v>24661</v>
      </c>
      <c r="X37" s="84"/>
      <c r="Y37" s="233">
        <f t="shared" si="65"/>
        <v>0</v>
      </c>
      <c r="Z37" s="233">
        <f t="shared" si="42"/>
        <v>0</v>
      </c>
      <c r="AA37" s="233">
        <f t="shared" si="43"/>
        <v>0</v>
      </c>
      <c r="AB37" s="224">
        <f t="shared" si="44"/>
        <v>0</v>
      </c>
      <c r="AC37" s="279">
        <v>25154</v>
      </c>
      <c r="AD37" s="84">
        <v>25154</v>
      </c>
      <c r="AE37" s="84"/>
      <c r="AF37" s="233">
        <f t="shared" si="66"/>
        <v>0</v>
      </c>
      <c r="AG37" s="233">
        <f t="shared" si="45"/>
        <v>0</v>
      </c>
      <c r="AH37" s="233">
        <f t="shared" si="46"/>
        <v>0</v>
      </c>
      <c r="AI37" s="224">
        <f t="shared" si="47"/>
        <v>0</v>
      </c>
      <c r="AJ37" s="279">
        <v>25657</v>
      </c>
      <c r="AK37" s="84">
        <v>25657</v>
      </c>
      <c r="AL37" s="84"/>
      <c r="AM37" s="233">
        <f t="shared" si="67"/>
        <v>0</v>
      </c>
      <c r="AN37" s="233">
        <f t="shared" si="48"/>
        <v>0</v>
      </c>
      <c r="AO37" s="233">
        <f t="shared" si="49"/>
        <v>0</v>
      </c>
      <c r="AP37" s="224">
        <f t="shared" si="50"/>
        <v>0</v>
      </c>
      <c r="AQ37" s="279"/>
      <c r="AR37" s="84"/>
      <c r="AS37" s="84"/>
      <c r="AT37" s="233">
        <f t="shared" si="68"/>
        <v>0</v>
      </c>
      <c r="AU37" s="233">
        <f t="shared" si="51"/>
        <v>0</v>
      </c>
      <c r="AV37" s="233">
        <f t="shared" si="52"/>
        <v>0</v>
      </c>
      <c r="AW37" s="224">
        <f t="shared" si="53"/>
        <v>0</v>
      </c>
      <c r="AX37" s="279"/>
      <c r="AY37" s="84"/>
      <c r="AZ37" s="84"/>
      <c r="BA37" s="233">
        <f t="shared" si="69"/>
        <v>0</v>
      </c>
      <c r="BB37" s="233">
        <f t="shared" si="54"/>
        <v>0</v>
      </c>
      <c r="BC37" s="233">
        <f t="shared" si="55"/>
        <v>0</v>
      </c>
      <c r="BD37" s="224">
        <f t="shared" si="56"/>
        <v>0</v>
      </c>
      <c r="BE37" s="279"/>
      <c r="BF37" s="84"/>
      <c r="BG37" s="84"/>
      <c r="BH37" s="233">
        <f t="shared" si="70"/>
        <v>0</v>
      </c>
      <c r="BI37" s="233">
        <f t="shared" si="57"/>
        <v>0</v>
      </c>
      <c r="BJ37" s="233">
        <f t="shared" si="58"/>
        <v>0</v>
      </c>
      <c r="BK37" s="224">
        <f t="shared" si="59"/>
        <v>0</v>
      </c>
      <c r="BL37" s="279"/>
      <c r="BM37" s="84"/>
      <c r="BN37" s="84"/>
      <c r="BO37" s="233">
        <f t="shared" si="71"/>
        <v>0</v>
      </c>
      <c r="BP37" s="233">
        <f t="shared" si="60"/>
        <v>0</v>
      </c>
      <c r="BQ37" s="233">
        <f t="shared" si="61"/>
        <v>0</v>
      </c>
      <c r="BR37" s="224">
        <f t="shared" si="62"/>
        <v>0</v>
      </c>
    </row>
    <row r="38" spans="1:70" x14ac:dyDescent="0.35">
      <c r="A38" s="491" t="s">
        <v>991</v>
      </c>
      <c r="B38" s="83" t="s">
        <v>639</v>
      </c>
      <c r="C38" s="234" t="s">
        <v>640</v>
      </c>
      <c r="D38" s="83" t="s">
        <v>129</v>
      </c>
      <c r="E38" s="230"/>
      <c r="F38" s="230"/>
      <c r="G38" s="231"/>
      <c r="H38" s="235">
        <v>22561</v>
      </c>
      <c r="I38" s="84"/>
      <c r="J38" s="84"/>
      <c r="K38" s="233">
        <f t="shared" si="63"/>
        <v>22561</v>
      </c>
      <c r="L38" s="233">
        <f t="shared" si="36"/>
        <v>11280.5</v>
      </c>
      <c r="M38" s="233">
        <f t="shared" si="37"/>
        <v>5640.25</v>
      </c>
      <c r="N38" s="224">
        <f t="shared" si="38"/>
        <v>5640.25</v>
      </c>
      <c r="O38" s="279">
        <v>23012</v>
      </c>
      <c r="P38" s="84"/>
      <c r="Q38" s="84"/>
      <c r="R38" s="233">
        <f t="shared" si="64"/>
        <v>23012</v>
      </c>
      <c r="S38" s="233">
        <f t="shared" si="39"/>
        <v>11506</v>
      </c>
      <c r="T38" s="233">
        <f t="shared" si="40"/>
        <v>5753</v>
      </c>
      <c r="U38" s="224">
        <f t="shared" si="41"/>
        <v>5753</v>
      </c>
      <c r="V38" s="279">
        <v>23472</v>
      </c>
      <c r="W38" s="84"/>
      <c r="X38" s="84"/>
      <c r="Y38" s="233">
        <f t="shared" si="65"/>
        <v>23472</v>
      </c>
      <c r="Z38" s="233">
        <f t="shared" si="42"/>
        <v>11736</v>
      </c>
      <c r="AA38" s="233">
        <f t="shared" si="43"/>
        <v>5868</v>
      </c>
      <c r="AB38" s="224">
        <f t="shared" si="44"/>
        <v>5868</v>
      </c>
      <c r="AC38" s="279">
        <v>23942</v>
      </c>
      <c r="AD38" s="84"/>
      <c r="AE38" s="84"/>
      <c r="AF38" s="233">
        <f t="shared" si="66"/>
        <v>23942</v>
      </c>
      <c r="AG38" s="233">
        <f t="shared" si="45"/>
        <v>11971</v>
      </c>
      <c r="AH38" s="233">
        <f t="shared" si="46"/>
        <v>5985.5</v>
      </c>
      <c r="AI38" s="224">
        <f t="shared" si="47"/>
        <v>5985.5</v>
      </c>
      <c r="AJ38" s="279">
        <v>24421</v>
      </c>
      <c r="AK38" s="84"/>
      <c r="AL38" s="84"/>
      <c r="AM38" s="233">
        <f t="shared" si="67"/>
        <v>24421</v>
      </c>
      <c r="AN38" s="233">
        <f t="shared" si="48"/>
        <v>12210.5</v>
      </c>
      <c r="AO38" s="233">
        <f t="shared" si="49"/>
        <v>6105.25</v>
      </c>
      <c r="AP38" s="224">
        <f t="shared" si="50"/>
        <v>6105.25</v>
      </c>
      <c r="AQ38" s="279">
        <v>24909</v>
      </c>
      <c r="AR38" s="84"/>
      <c r="AS38" s="84"/>
      <c r="AT38" s="233">
        <f t="shared" si="68"/>
        <v>24909</v>
      </c>
      <c r="AU38" s="233">
        <f t="shared" si="51"/>
        <v>12454.5</v>
      </c>
      <c r="AV38" s="233">
        <f t="shared" si="52"/>
        <v>6227.25</v>
      </c>
      <c r="AW38" s="224">
        <f t="shared" si="53"/>
        <v>6227.25</v>
      </c>
      <c r="AX38" s="279">
        <v>25407</v>
      </c>
      <c r="AY38" s="84"/>
      <c r="AZ38" s="84"/>
      <c r="BA38" s="233">
        <f t="shared" si="69"/>
        <v>25407</v>
      </c>
      <c r="BB38" s="233">
        <f t="shared" si="54"/>
        <v>12703.5</v>
      </c>
      <c r="BC38" s="233">
        <f t="shared" si="55"/>
        <v>6351.75</v>
      </c>
      <c r="BD38" s="224">
        <f t="shared" si="56"/>
        <v>6351.75</v>
      </c>
      <c r="BE38" s="279">
        <v>25916</v>
      </c>
      <c r="BF38" s="84"/>
      <c r="BG38" s="84"/>
      <c r="BH38" s="233">
        <f t="shared" si="70"/>
        <v>25916</v>
      </c>
      <c r="BI38" s="233">
        <f t="shared" si="57"/>
        <v>12958</v>
      </c>
      <c r="BJ38" s="233">
        <f t="shared" si="58"/>
        <v>6479</v>
      </c>
      <c r="BK38" s="224">
        <f t="shared" si="59"/>
        <v>6479</v>
      </c>
      <c r="BL38" s="279">
        <v>26434</v>
      </c>
      <c r="BM38" s="84"/>
      <c r="BN38" s="84"/>
      <c r="BO38" s="233">
        <f t="shared" si="71"/>
        <v>26434</v>
      </c>
      <c r="BP38" s="233">
        <f t="shared" si="60"/>
        <v>13217</v>
      </c>
      <c r="BQ38" s="233">
        <f t="shared" si="61"/>
        <v>6608.5</v>
      </c>
      <c r="BR38" s="224">
        <f t="shared" si="62"/>
        <v>6608.5</v>
      </c>
    </row>
    <row r="39" spans="1:70" x14ac:dyDescent="0.35">
      <c r="A39" s="491" t="s">
        <v>992</v>
      </c>
      <c r="B39" s="83" t="s">
        <v>641</v>
      </c>
      <c r="C39" s="234" t="s">
        <v>642</v>
      </c>
      <c r="D39" s="83" t="s">
        <v>129</v>
      </c>
      <c r="E39" s="230"/>
      <c r="F39" s="230"/>
      <c r="G39" s="231"/>
      <c r="H39" s="235">
        <v>2116</v>
      </c>
      <c r="I39" s="84"/>
      <c r="J39" s="84"/>
      <c r="K39" s="233">
        <f t="shared" si="63"/>
        <v>2116</v>
      </c>
      <c r="L39" s="233">
        <f t="shared" si="36"/>
        <v>1058</v>
      </c>
      <c r="M39" s="233">
        <f t="shared" si="37"/>
        <v>529</v>
      </c>
      <c r="N39" s="224">
        <f t="shared" si="38"/>
        <v>529</v>
      </c>
      <c r="O39" s="279">
        <v>2159</v>
      </c>
      <c r="P39" s="84"/>
      <c r="Q39" s="84"/>
      <c r="R39" s="233">
        <f t="shared" si="64"/>
        <v>2159</v>
      </c>
      <c r="S39" s="233">
        <f t="shared" si="39"/>
        <v>1079.5</v>
      </c>
      <c r="T39" s="233">
        <f t="shared" si="40"/>
        <v>539.75</v>
      </c>
      <c r="U39" s="224">
        <f t="shared" si="41"/>
        <v>539.75</v>
      </c>
      <c r="V39" s="279">
        <v>2202</v>
      </c>
      <c r="W39" s="84"/>
      <c r="X39" s="84"/>
      <c r="Y39" s="233">
        <f t="shared" si="65"/>
        <v>2202</v>
      </c>
      <c r="Z39" s="233">
        <f t="shared" si="42"/>
        <v>1101</v>
      </c>
      <c r="AA39" s="233">
        <f t="shared" si="43"/>
        <v>550.5</v>
      </c>
      <c r="AB39" s="224">
        <f t="shared" si="44"/>
        <v>550.5</v>
      </c>
      <c r="AC39" s="279">
        <v>2246</v>
      </c>
      <c r="AD39" s="84"/>
      <c r="AE39" s="84"/>
      <c r="AF39" s="233">
        <f t="shared" si="66"/>
        <v>2246</v>
      </c>
      <c r="AG39" s="233">
        <f t="shared" si="45"/>
        <v>1123</v>
      </c>
      <c r="AH39" s="233">
        <f t="shared" si="46"/>
        <v>561.5</v>
      </c>
      <c r="AI39" s="224">
        <f t="shared" si="47"/>
        <v>561.5</v>
      </c>
      <c r="AJ39" s="279">
        <v>2291</v>
      </c>
      <c r="AK39" s="84"/>
      <c r="AL39" s="84"/>
      <c r="AM39" s="233">
        <f t="shared" si="67"/>
        <v>2291</v>
      </c>
      <c r="AN39" s="233">
        <f t="shared" si="48"/>
        <v>1145.5</v>
      </c>
      <c r="AO39" s="233">
        <f t="shared" si="49"/>
        <v>572.75</v>
      </c>
      <c r="AP39" s="224">
        <f t="shared" si="50"/>
        <v>572.75</v>
      </c>
      <c r="AQ39" s="279">
        <v>2336</v>
      </c>
      <c r="AR39" s="84"/>
      <c r="AS39" s="84"/>
      <c r="AT39" s="233">
        <f t="shared" si="68"/>
        <v>2336</v>
      </c>
      <c r="AU39" s="233">
        <f t="shared" si="51"/>
        <v>1168</v>
      </c>
      <c r="AV39" s="233">
        <f t="shared" si="52"/>
        <v>584</v>
      </c>
      <c r="AW39" s="224">
        <f t="shared" si="53"/>
        <v>584</v>
      </c>
      <c r="AX39" s="279">
        <v>2383</v>
      </c>
      <c r="AY39" s="84"/>
      <c r="AZ39" s="84"/>
      <c r="BA39" s="233">
        <f t="shared" si="69"/>
        <v>2383</v>
      </c>
      <c r="BB39" s="233">
        <f t="shared" si="54"/>
        <v>1191.5</v>
      </c>
      <c r="BC39" s="233">
        <f t="shared" si="55"/>
        <v>595.75</v>
      </c>
      <c r="BD39" s="224">
        <f t="shared" si="56"/>
        <v>595.75</v>
      </c>
      <c r="BE39" s="279">
        <v>2431</v>
      </c>
      <c r="BF39" s="84"/>
      <c r="BG39" s="84"/>
      <c r="BH39" s="233">
        <f t="shared" si="70"/>
        <v>2431</v>
      </c>
      <c r="BI39" s="233">
        <f t="shared" si="57"/>
        <v>1215.5</v>
      </c>
      <c r="BJ39" s="233">
        <f t="shared" si="58"/>
        <v>607.75</v>
      </c>
      <c r="BK39" s="224">
        <f t="shared" si="59"/>
        <v>607.75</v>
      </c>
      <c r="BL39" s="279">
        <v>2480</v>
      </c>
      <c r="BM39" s="84"/>
      <c r="BN39" s="84"/>
      <c r="BO39" s="233">
        <f t="shared" si="71"/>
        <v>2480</v>
      </c>
      <c r="BP39" s="233">
        <f t="shared" si="60"/>
        <v>1240</v>
      </c>
      <c r="BQ39" s="233">
        <f t="shared" si="61"/>
        <v>620</v>
      </c>
      <c r="BR39" s="224">
        <f t="shared" si="62"/>
        <v>620</v>
      </c>
    </row>
    <row r="40" spans="1:70" x14ac:dyDescent="0.35">
      <c r="A40" s="491" t="s">
        <v>993</v>
      </c>
      <c r="B40" s="83" t="s">
        <v>643</v>
      </c>
      <c r="C40" s="234" t="s">
        <v>644</v>
      </c>
      <c r="D40" s="83" t="s">
        <v>129</v>
      </c>
      <c r="E40" s="230"/>
      <c r="F40" s="230"/>
      <c r="G40" s="231"/>
      <c r="H40" s="235">
        <v>8345</v>
      </c>
      <c r="I40" s="84"/>
      <c r="J40" s="84"/>
      <c r="K40" s="233">
        <f t="shared" si="63"/>
        <v>8345</v>
      </c>
      <c r="L40" s="233">
        <f t="shared" si="36"/>
        <v>4172.5</v>
      </c>
      <c r="M40" s="233">
        <f t="shared" si="37"/>
        <v>2086.25</v>
      </c>
      <c r="N40" s="224">
        <f t="shared" si="38"/>
        <v>2086.25</v>
      </c>
      <c r="O40" s="279">
        <v>8512</v>
      </c>
      <c r="P40" s="84"/>
      <c r="Q40" s="84"/>
      <c r="R40" s="233">
        <f t="shared" si="64"/>
        <v>8512</v>
      </c>
      <c r="S40" s="233">
        <f t="shared" si="39"/>
        <v>4256</v>
      </c>
      <c r="T40" s="233">
        <f t="shared" si="40"/>
        <v>2128</v>
      </c>
      <c r="U40" s="224">
        <f t="shared" si="41"/>
        <v>2128</v>
      </c>
      <c r="V40" s="279">
        <v>8682</v>
      </c>
      <c r="W40" s="84"/>
      <c r="X40" s="84"/>
      <c r="Y40" s="233">
        <f t="shared" si="65"/>
        <v>8682</v>
      </c>
      <c r="Z40" s="233">
        <f t="shared" si="42"/>
        <v>4341</v>
      </c>
      <c r="AA40" s="233">
        <f t="shared" si="43"/>
        <v>2170.5</v>
      </c>
      <c r="AB40" s="224">
        <f t="shared" si="44"/>
        <v>2170.5</v>
      </c>
      <c r="AC40" s="279">
        <v>8856</v>
      </c>
      <c r="AD40" s="84"/>
      <c r="AE40" s="84"/>
      <c r="AF40" s="233">
        <f t="shared" si="66"/>
        <v>8856</v>
      </c>
      <c r="AG40" s="233">
        <f t="shared" si="45"/>
        <v>4428</v>
      </c>
      <c r="AH40" s="233">
        <f t="shared" si="46"/>
        <v>2214</v>
      </c>
      <c r="AI40" s="224">
        <f t="shared" si="47"/>
        <v>2214</v>
      </c>
      <c r="AJ40" s="279">
        <v>9033</v>
      </c>
      <c r="AK40" s="84"/>
      <c r="AL40" s="84"/>
      <c r="AM40" s="233">
        <f t="shared" si="67"/>
        <v>9033</v>
      </c>
      <c r="AN40" s="233">
        <f t="shared" si="48"/>
        <v>4516.5</v>
      </c>
      <c r="AO40" s="233">
        <f t="shared" si="49"/>
        <v>2258.25</v>
      </c>
      <c r="AP40" s="224">
        <f t="shared" si="50"/>
        <v>2258.25</v>
      </c>
      <c r="AQ40" s="279">
        <v>9214</v>
      </c>
      <c r="AR40" s="84"/>
      <c r="AS40" s="84"/>
      <c r="AT40" s="233">
        <f t="shared" si="68"/>
        <v>9214</v>
      </c>
      <c r="AU40" s="233">
        <f t="shared" si="51"/>
        <v>4607</v>
      </c>
      <c r="AV40" s="233">
        <f t="shared" si="52"/>
        <v>2303.5</v>
      </c>
      <c r="AW40" s="224">
        <f t="shared" si="53"/>
        <v>2303.5</v>
      </c>
      <c r="AX40" s="279">
        <v>9398</v>
      </c>
      <c r="AY40" s="84"/>
      <c r="AZ40" s="84"/>
      <c r="BA40" s="233">
        <f t="shared" si="69"/>
        <v>9398</v>
      </c>
      <c r="BB40" s="233">
        <f t="shared" si="54"/>
        <v>4699</v>
      </c>
      <c r="BC40" s="233">
        <f t="shared" si="55"/>
        <v>2349.5</v>
      </c>
      <c r="BD40" s="224">
        <f t="shared" si="56"/>
        <v>2349.5</v>
      </c>
      <c r="BE40" s="279">
        <v>9586</v>
      </c>
      <c r="BF40" s="84"/>
      <c r="BG40" s="84"/>
      <c r="BH40" s="233">
        <f t="shared" si="70"/>
        <v>9586</v>
      </c>
      <c r="BI40" s="233">
        <f t="shared" si="57"/>
        <v>4793</v>
      </c>
      <c r="BJ40" s="233">
        <f t="shared" si="58"/>
        <v>2396.5</v>
      </c>
      <c r="BK40" s="224">
        <f t="shared" si="59"/>
        <v>2396.5</v>
      </c>
      <c r="BL40" s="279">
        <v>9778</v>
      </c>
      <c r="BM40" s="84"/>
      <c r="BN40" s="84"/>
      <c r="BO40" s="233">
        <f t="shared" si="71"/>
        <v>9778</v>
      </c>
      <c r="BP40" s="233">
        <f t="shared" si="60"/>
        <v>4889</v>
      </c>
      <c r="BQ40" s="233">
        <f t="shared" si="61"/>
        <v>2444.5</v>
      </c>
      <c r="BR40" s="224">
        <f t="shared" si="62"/>
        <v>2444.5</v>
      </c>
    </row>
    <row r="41" spans="1:70" x14ac:dyDescent="0.35">
      <c r="A41" s="491" t="s">
        <v>994</v>
      </c>
      <c r="B41" s="83" t="s">
        <v>645</v>
      </c>
      <c r="C41" s="234" t="s">
        <v>646</v>
      </c>
      <c r="D41" s="83" t="s">
        <v>126</v>
      </c>
      <c r="E41" s="230"/>
      <c r="F41" s="230"/>
      <c r="G41" s="231"/>
      <c r="H41" s="235">
        <v>46038</v>
      </c>
      <c r="I41" s="84"/>
      <c r="J41" s="84"/>
      <c r="K41" s="233">
        <f t="shared" si="63"/>
        <v>46038</v>
      </c>
      <c r="L41" s="233">
        <f t="shared" si="36"/>
        <v>46038</v>
      </c>
      <c r="M41" s="233">
        <f t="shared" si="37"/>
        <v>0</v>
      </c>
      <c r="N41" s="224">
        <f t="shared" si="38"/>
        <v>0</v>
      </c>
      <c r="O41" s="279">
        <v>46959</v>
      </c>
      <c r="P41" s="84"/>
      <c r="Q41" s="84"/>
      <c r="R41" s="233">
        <f t="shared" si="64"/>
        <v>46959</v>
      </c>
      <c r="S41" s="233">
        <f t="shared" si="39"/>
        <v>46959</v>
      </c>
      <c r="T41" s="233">
        <f t="shared" si="40"/>
        <v>0</v>
      </c>
      <c r="U41" s="224">
        <f t="shared" si="41"/>
        <v>0</v>
      </c>
      <c r="V41" s="279">
        <v>47898</v>
      </c>
      <c r="W41" s="84"/>
      <c r="X41" s="84"/>
      <c r="Y41" s="233">
        <f t="shared" si="65"/>
        <v>47898</v>
      </c>
      <c r="Z41" s="233">
        <f t="shared" si="42"/>
        <v>47898</v>
      </c>
      <c r="AA41" s="233">
        <f t="shared" si="43"/>
        <v>0</v>
      </c>
      <c r="AB41" s="224">
        <f t="shared" si="44"/>
        <v>0</v>
      </c>
      <c r="AC41" s="279">
        <v>48856</v>
      </c>
      <c r="AD41" s="84"/>
      <c r="AE41" s="84"/>
      <c r="AF41" s="233">
        <f t="shared" si="66"/>
        <v>48856</v>
      </c>
      <c r="AG41" s="233">
        <f t="shared" si="45"/>
        <v>48856</v>
      </c>
      <c r="AH41" s="233">
        <f t="shared" si="46"/>
        <v>0</v>
      </c>
      <c r="AI41" s="224">
        <f t="shared" si="47"/>
        <v>0</v>
      </c>
      <c r="AJ41" s="279">
        <v>49833</v>
      </c>
      <c r="AK41" s="84"/>
      <c r="AL41" s="84"/>
      <c r="AM41" s="233">
        <f t="shared" si="67"/>
        <v>49833</v>
      </c>
      <c r="AN41" s="233">
        <f t="shared" si="48"/>
        <v>49833</v>
      </c>
      <c r="AO41" s="233">
        <f t="shared" si="49"/>
        <v>0</v>
      </c>
      <c r="AP41" s="224">
        <f t="shared" si="50"/>
        <v>0</v>
      </c>
      <c r="AQ41" s="279">
        <v>50830</v>
      </c>
      <c r="AR41" s="84"/>
      <c r="AS41" s="84"/>
      <c r="AT41" s="233">
        <f t="shared" si="68"/>
        <v>50830</v>
      </c>
      <c r="AU41" s="233">
        <f t="shared" si="51"/>
        <v>50830</v>
      </c>
      <c r="AV41" s="233">
        <f t="shared" si="52"/>
        <v>0</v>
      </c>
      <c r="AW41" s="224">
        <f t="shared" si="53"/>
        <v>0</v>
      </c>
      <c r="AX41" s="279">
        <v>51846</v>
      </c>
      <c r="AY41" s="84"/>
      <c r="AZ41" s="84"/>
      <c r="BA41" s="233">
        <f t="shared" si="69"/>
        <v>51846</v>
      </c>
      <c r="BB41" s="233">
        <f t="shared" si="54"/>
        <v>51846</v>
      </c>
      <c r="BC41" s="233">
        <f t="shared" si="55"/>
        <v>0</v>
      </c>
      <c r="BD41" s="224">
        <f t="shared" si="56"/>
        <v>0</v>
      </c>
      <c r="BE41" s="279">
        <v>52883</v>
      </c>
      <c r="BF41" s="84"/>
      <c r="BG41" s="84"/>
      <c r="BH41" s="233">
        <f t="shared" si="70"/>
        <v>52883</v>
      </c>
      <c r="BI41" s="233">
        <f t="shared" si="57"/>
        <v>52883</v>
      </c>
      <c r="BJ41" s="233">
        <f t="shared" si="58"/>
        <v>0</v>
      </c>
      <c r="BK41" s="224">
        <f t="shared" si="59"/>
        <v>0</v>
      </c>
      <c r="BL41" s="279">
        <v>53941</v>
      </c>
      <c r="BM41" s="84"/>
      <c r="BN41" s="84"/>
      <c r="BO41" s="233">
        <f t="shared" si="71"/>
        <v>53941</v>
      </c>
      <c r="BP41" s="233">
        <f t="shared" si="60"/>
        <v>53941</v>
      </c>
      <c r="BQ41" s="233">
        <f t="shared" si="61"/>
        <v>0</v>
      </c>
      <c r="BR41" s="224">
        <f t="shared" si="62"/>
        <v>0</v>
      </c>
    </row>
    <row r="42" spans="1:70" x14ac:dyDescent="0.35">
      <c r="A42" s="491" t="s">
        <v>995</v>
      </c>
      <c r="B42" s="83">
        <v>5300</v>
      </c>
      <c r="C42" s="234" t="s">
        <v>647</v>
      </c>
      <c r="D42" s="83" t="s">
        <v>134</v>
      </c>
      <c r="E42" s="230"/>
      <c r="F42" s="230"/>
      <c r="G42" s="231"/>
      <c r="H42" s="235">
        <v>450</v>
      </c>
      <c r="I42" s="84"/>
      <c r="J42" s="84"/>
      <c r="K42" s="233">
        <f t="shared" si="63"/>
        <v>450</v>
      </c>
      <c r="L42" s="233">
        <f t="shared" si="36"/>
        <v>405</v>
      </c>
      <c r="M42" s="233">
        <f t="shared" si="37"/>
        <v>22.5</v>
      </c>
      <c r="N42" s="224">
        <f t="shared" si="38"/>
        <v>22.5</v>
      </c>
      <c r="O42" s="279">
        <v>459</v>
      </c>
      <c r="P42" s="84"/>
      <c r="Q42" s="84"/>
      <c r="R42" s="233">
        <f t="shared" si="64"/>
        <v>459</v>
      </c>
      <c r="S42" s="233">
        <f t="shared" si="39"/>
        <v>413.1</v>
      </c>
      <c r="T42" s="233">
        <f t="shared" si="40"/>
        <v>22.950000000000003</v>
      </c>
      <c r="U42" s="224">
        <f t="shared" si="41"/>
        <v>22.950000000000003</v>
      </c>
      <c r="V42" s="279">
        <v>468</v>
      </c>
      <c r="W42" s="84"/>
      <c r="X42" s="84"/>
      <c r="Y42" s="233">
        <f t="shared" si="65"/>
        <v>468</v>
      </c>
      <c r="Z42" s="233">
        <f t="shared" si="42"/>
        <v>421.2</v>
      </c>
      <c r="AA42" s="233">
        <f t="shared" si="43"/>
        <v>23.400000000000002</v>
      </c>
      <c r="AB42" s="224">
        <f t="shared" si="44"/>
        <v>23.400000000000002</v>
      </c>
      <c r="AC42" s="279">
        <v>478</v>
      </c>
      <c r="AD42" s="84"/>
      <c r="AE42" s="84"/>
      <c r="AF42" s="233">
        <f t="shared" si="66"/>
        <v>478</v>
      </c>
      <c r="AG42" s="233">
        <f t="shared" si="45"/>
        <v>430.2</v>
      </c>
      <c r="AH42" s="233">
        <f t="shared" si="46"/>
        <v>23.900000000000002</v>
      </c>
      <c r="AI42" s="224">
        <f t="shared" si="47"/>
        <v>23.900000000000002</v>
      </c>
      <c r="AJ42" s="279">
        <v>487</v>
      </c>
      <c r="AK42" s="84"/>
      <c r="AL42" s="84"/>
      <c r="AM42" s="233">
        <f t="shared" si="67"/>
        <v>487</v>
      </c>
      <c r="AN42" s="233">
        <f t="shared" si="48"/>
        <v>438.3</v>
      </c>
      <c r="AO42" s="233">
        <f t="shared" si="49"/>
        <v>24.35</v>
      </c>
      <c r="AP42" s="224">
        <f t="shared" si="50"/>
        <v>24.35</v>
      </c>
      <c r="AQ42" s="279">
        <v>497</v>
      </c>
      <c r="AR42" s="84"/>
      <c r="AS42" s="84"/>
      <c r="AT42" s="233">
        <f t="shared" si="68"/>
        <v>497</v>
      </c>
      <c r="AU42" s="233">
        <f t="shared" si="51"/>
        <v>447.3</v>
      </c>
      <c r="AV42" s="233">
        <f t="shared" si="52"/>
        <v>24.85</v>
      </c>
      <c r="AW42" s="224">
        <f t="shared" si="53"/>
        <v>24.85</v>
      </c>
      <c r="AX42" s="279">
        <v>507</v>
      </c>
      <c r="AY42" s="84"/>
      <c r="AZ42" s="84"/>
      <c r="BA42" s="233">
        <f t="shared" si="69"/>
        <v>507</v>
      </c>
      <c r="BB42" s="233">
        <f t="shared" si="54"/>
        <v>456.3</v>
      </c>
      <c r="BC42" s="233">
        <f t="shared" si="55"/>
        <v>25.35</v>
      </c>
      <c r="BD42" s="224">
        <f t="shared" si="56"/>
        <v>25.35</v>
      </c>
      <c r="BE42" s="279">
        <v>517</v>
      </c>
      <c r="BF42" s="84"/>
      <c r="BG42" s="84"/>
      <c r="BH42" s="233">
        <f t="shared" si="70"/>
        <v>517</v>
      </c>
      <c r="BI42" s="233">
        <f t="shared" si="57"/>
        <v>465.3</v>
      </c>
      <c r="BJ42" s="233">
        <f t="shared" si="58"/>
        <v>25.85</v>
      </c>
      <c r="BK42" s="224">
        <f t="shared" si="59"/>
        <v>25.85</v>
      </c>
      <c r="BL42" s="279">
        <v>527</v>
      </c>
      <c r="BM42" s="84"/>
      <c r="BN42" s="84"/>
      <c r="BO42" s="233">
        <f t="shared" si="71"/>
        <v>527</v>
      </c>
      <c r="BP42" s="233">
        <f t="shared" si="60"/>
        <v>474.3</v>
      </c>
      <c r="BQ42" s="233">
        <f t="shared" si="61"/>
        <v>26.35</v>
      </c>
      <c r="BR42" s="224">
        <f t="shared" si="62"/>
        <v>26.35</v>
      </c>
    </row>
    <row r="43" spans="1:70" x14ac:dyDescent="0.35">
      <c r="A43" s="491" t="s">
        <v>996</v>
      </c>
      <c r="B43" s="83">
        <v>5410</v>
      </c>
      <c r="C43" s="234" t="s">
        <v>648</v>
      </c>
      <c r="D43" s="83" t="s">
        <v>134</v>
      </c>
      <c r="E43" s="230"/>
      <c r="F43" s="230"/>
      <c r="G43" s="231"/>
      <c r="H43" s="235">
        <v>8679</v>
      </c>
      <c r="I43" s="84"/>
      <c r="J43" s="84"/>
      <c r="K43" s="233">
        <f t="shared" si="63"/>
        <v>8679</v>
      </c>
      <c r="L43" s="233">
        <f t="shared" si="36"/>
        <v>7811.1</v>
      </c>
      <c r="M43" s="233">
        <f t="shared" si="37"/>
        <v>433.95000000000005</v>
      </c>
      <c r="N43" s="224">
        <f t="shared" si="38"/>
        <v>433.95000000000005</v>
      </c>
      <c r="O43" s="279">
        <v>8853</v>
      </c>
      <c r="P43" s="84"/>
      <c r="Q43" s="84"/>
      <c r="R43" s="233">
        <f t="shared" si="64"/>
        <v>8853</v>
      </c>
      <c r="S43" s="233">
        <f t="shared" si="39"/>
        <v>7967.7</v>
      </c>
      <c r="T43" s="233">
        <f t="shared" si="40"/>
        <v>442.65000000000003</v>
      </c>
      <c r="U43" s="224">
        <f t="shared" si="41"/>
        <v>442.65000000000003</v>
      </c>
      <c r="V43" s="279">
        <v>9030</v>
      </c>
      <c r="W43" s="84"/>
      <c r="X43" s="84"/>
      <c r="Y43" s="233">
        <f t="shared" si="65"/>
        <v>9030</v>
      </c>
      <c r="Z43" s="233">
        <f t="shared" si="42"/>
        <v>8127</v>
      </c>
      <c r="AA43" s="233">
        <f t="shared" si="43"/>
        <v>451.5</v>
      </c>
      <c r="AB43" s="224">
        <f t="shared" si="44"/>
        <v>451.5</v>
      </c>
      <c r="AC43" s="279">
        <v>9211</v>
      </c>
      <c r="AD43" s="84"/>
      <c r="AE43" s="84"/>
      <c r="AF43" s="233">
        <f t="shared" si="66"/>
        <v>9211</v>
      </c>
      <c r="AG43" s="233">
        <f t="shared" si="45"/>
        <v>8289.9</v>
      </c>
      <c r="AH43" s="233">
        <f t="shared" si="46"/>
        <v>460.55</v>
      </c>
      <c r="AI43" s="224">
        <f t="shared" si="47"/>
        <v>460.55</v>
      </c>
      <c r="AJ43" s="279">
        <v>9395</v>
      </c>
      <c r="AK43" s="84"/>
      <c r="AL43" s="84"/>
      <c r="AM43" s="233">
        <f t="shared" si="67"/>
        <v>9395</v>
      </c>
      <c r="AN43" s="233">
        <f t="shared" si="48"/>
        <v>8455.5</v>
      </c>
      <c r="AO43" s="233">
        <f t="shared" si="49"/>
        <v>469.75</v>
      </c>
      <c r="AP43" s="224">
        <f t="shared" si="50"/>
        <v>469.75</v>
      </c>
      <c r="AQ43" s="279">
        <v>124583</v>
      </c>
      <c r="AR43" s="84"/>
      <c r="AS43" s="84"/>
      <c r="AT43" s="233">
        <f t="shared" si="68"/>
        <v>124583</v>
      </c>
      <c r="AU43" s="233">
        <f t="shared" si="51"/>
        <v>112124.7</v>
      </c>
      <c r="AV43" s="233">
        <f t="shared" si="52"/>
        <v>6229.1500000000005</v>
      </c>
      <c r="AW43" s="224">
        <f t="shared" si="53"/>
        <v>6229.1500000000005</v>
      </c>
      <c r="AX43" s="279">
        <v>127074</v>
      </c>
      <c r="AY43" s="84"/>
      <c r="AZ43" s="84"/>
      <c r="BA43" s="233">
        <f t="shared" si="69"/>
        <v>127074</v>
      </c>
      <c r="BB43" s="233">
        <f t="shared" si="54"/>
        <v>114366.6</v>
      </c>
      <c r="BC43" s="233">
        <f t="shared" si="55"/>
        <v>6353.7000000000007</v>
      </c>
      <c r="BD43" s="224">
        <f t="shared" si="56"/>
        <v>6353.7000000000007</v>
      </c>
      <c r="BE43" s="279">
        <v>129616</v>
      </c>
      <c r="BF43" s="84"/>
      <c r="BG43" s="84"/>
      <c r="BH43" s="233">
        <f t="shared" si="70"/>
        <v>129616</v>
      </c>
      <c r="BI43" s="233">
        <f t="shared" si="57"/>
        <v>116654.40000000001</v>
      </c>
      <c r="BJ43" s="233">
        <f t="shared" si="58"/>
        <v>6480.8</v>
      </c>
      <c r="BK43" s="224">
        <f t="shared" si="59"/>
        <v>6480.8</v>
      </c>
      <c r="BL43" s="279">
        <v>132208</v>
      </c>
      <c r="BM43" s="84"/>
      <c r="BN43" s="84"/>
      <c r="BO43" s="233">
        <f t="shared" si="71"/>
        <v>132208</v>
      </c>
      <c r="BP43" s="233">
        <f t="shared" si="60"/>
        <v>118987.2</v>
      </c>
      <c r="BQ43" s="233">
        <f t="shared" si="61"/>
        <v>6610.4000000000005</v>
      </c>
      <c r="BR43" s="224">
        <f t="shared" si="62"/>
        <v>6610.4000000000005</v>
      </c>
    </row>
    <row r="44" spans="1:70" x14ac:dyDescent="0.35">
      <c r="A44" s="491" t="s">
        <v>997</v>
      </c>
      <c r="B44" s="83">
        <v>5420</v>
      </c>
      <c r="C44" s="234" t="s">
        <v>649</v>
      </c>
      <c r="D44" s="83" t="s">
        <v>134</v>
      </c>
      <c r="E44" s="230"/>
      <c r="F44" s="230"/>
      <c r="G44" s="231"/>
      <c r="H44" s="235">
        <v>3516</v>
      </c>
      <c r="I44" s="84"/>
      <c r="J44" s="84"/>
      <c r="K44" s="233">
        <f t="shared" si="63"/>
        <v>3516</v>
      </c>
      <c r="L44" s="233">
        <f t="shared" si="36"/>
        <v>3164.4</v>
      </c>
      <c r="M44" s="233">
        <f t="shared" si="37"/>
        <v>175.8</v>
      </c>
      <c r="N44" s="224">
        <f t="shared" si="38"/>
        <v>175.8</v>
      </c>
      <c r="O44" s="279">
        <v>3586</v>
      </c>
      <c r="P44" s="84"/>
      <c r="Q44" s="84"/>
      <c r="R44" s="233">
        <f t="shared" si="64"/>
        <v>3586</v>
      </c>
      <c r="S44" s="233">
        <f t="shared" si="39"/>
        <v>3227.4</v>
      </c>
      <c r="T44" s="233">
        <f t="shared" si="40"/>
        <v>179.3</v>
      </c>
      <c r="U44" s="224">
        <f t="shared" si="41"/>
        <v>179.3</v>
      </c>
      <c r="V44" s="279">
        <v>3658</v>
      </c>
      <c r="W44" s="84"/>
      <c r="X44" s="84"/>
      <c r="Y44" s="233">
        <f t="shared" si="65"/>
        <v>3658</v>
      </c>
      <c r="Z44" s="233">
        <f t="shared" si="42"/>
        <v>3292.2000000000003</v>
      </c>
      <c r="AA44" s="233">
        <f t="shared" si="43"/>
        <v>182.9</v>
      </c>
      <c r="AB44" s="224">
        <f t="shared" si="44"/>
        <v>182.9</v>
      </c>
      <c r="AC44" s="279">
        <v>3731</v>
      </c>
      <c r="AD44" s="84"/>
      <c r="AE44" s="84"/>
      <c r="AF44" s="233">
        <f t="shared" si="66"/>
        <v>3731</v>
      </c>
      <c r="AG44" s="233">
        <f t="shared" si="45"/>
        <v>3357.9</v>
      </c>
      <c r="AH44" s="233">
        <f t="shared" si="46"/>
        <v>186.55</v>
      </c>
      <c r="AI44" s="224">
        <f t="shared" si="47"/>
        <v>186.55</v>
      </c>
      <c r="AJ44" s="279">
        <v>3806</v>
      </c>
      <c r="AK44" s="84"/>
      <c r="AL44" s="84"/>
      <c r="AM44" s="233">
        <f t="shared" si="67"/>
        <v>3806</v>
      </c>
      <c r="AN44" s="233">
        <f t="shared" si="48"/>
        <v>3425.4</v>
      </c>
      <c r="AO44" s="233">
        <f t="shared" si="49"/>
        <v>190.3</v>
      </c>
      <c r="AP44" s="224">
        <f t="shared" si="50"/>
        <v>190.3</v>
      </c>
      <c r="AQ44" s="279">
        <v>3882</v>
      </c>
      <c r="AR44" s="84"/>
      <c r="AS44" s="84"/>
      <c r="AT44" s="233">
        <f t="shared" si="68"/>
        <v>3882</v>
      </c>
      <c r="AU44" s="233">
        <f t="shared" si="51"/>
        <v>3493.8</v>
      </c>
      <c r="AV44" s="233">
        <f t="shared" si="52"/>
        <v>194.10000000000002</v>
      </c>
      <c r="AW44" s="224">
        <f t="shared" si="53"/>
        <v>194.10000000000002</v>
      </c>
      <c r="AX44" s="279">
        <v>3959</v>
      </c>
      <c r="AY44" s="84"/>
      <c r="AZ44" s="84"/>
      <c r="BA44" s="233">
        <f t="shared" si="69"/>
        <v>3959</v>
      </c>
      <c r="BB44" s="233">
        <f t="shared" si="54"/>
        <v>3563.1</v>
      </c>
      <c r="BC44" s="233">
        <f t="shared" si="55"/>
        <v>197.95000000000002</v>
      </c>
      <c r="BD44" s="224">
        <f t="shared" si="56"/>
        <v>197.95000000000002</v>
      </c>
      <c r="BE44" s="279">
        <v>4038</v>
      </c>
      <c r="BF44" s="84"/>
      <c r="BG44" s="84"/>
      <c r="BH44" s="233">
        <f t="shared" si="70"/>
        <v>4038</v>
      </c>
      <c r="BI44" s="233">
        <f t="shared" si="57"/>
        <v>3634.2000000000003</v>
      </c>
      <c r="BJ44" s="233">
        <f t="shared" si="58"/>
        <v>201.9</v>
      </c>
      <c r="BK44" s="224">
        <f t="shared" si="59"/>
        <v>201.9</v>
      </c>
      <c r="BL44" s="279">
        <v>4119</v>
      </c>
      <c r="BM44" s="84"/>
      <c r="BN44" s="84"/>
      <c r="BO44" s="233">
        <f t="shared" si="71"/>
        <v>4119</v>
      </c>
      <c r="BP44" s="233">
        <f t="shared" si="60"/>
        <v>3707.1</v>
      </c>
      <c r="BQ44" s="233">
        <f t="shared" si="61"/>
        <v>205.95000000000002</v>
      </c>
      <c r="BR44" s="224">
        <f t="shared" si="62"/>
        <v>205.95000000000002</v>
      </c>
    </row>
    <row r="45" spans="1:70" x14ac:dyDescent="0.35">
      <c r="A45" s="491" t="s">
        <v>998</v>
      </c>
      <c r="B45" s="83">
        <v>5430</v>
      </c>
      <c r="C45" s="234" t="s">
        <v>650</v>
      </c>
      <c r="D45" s="83"/>
      <c r="E45" s="230">
        <v>0.85</v>
      </c>
      <c r="F45" s="230">
        <v>7.4999999999999997E-2</v>
      </c>
      <c r="G45" s="231">
        <v>7.4999999999999997E-2</v>
      </c>
      <c r="H45" s="235">
        <v>11243</v>
      </c>
      <c r="I45" s="84"/>
      <c r="J45" s="84"/>
      <c r="K45" s="233">
        <f t="shared" si="63"/>
        <v>11243</v>
      </c>
      <c r="L45" s="233">
        <f t="shared" si="36"/>
        <v>9556.5499999999993</v>
      </c>
      <c r="M45" s="233">
        <f t="shared" si="37"/>
        <v>843.22500000000002</v>
      </c>
      <c r="N45" s="224">
        <f t="shared" si="38"/>
        <v>843.22500000000002</v>
      </c>
      <c r="O45" s="279">
        <v>11468</v>
      </c>
      <c r="P45" s="84"/>
      <c r="Q45" s="84"/>
      <c r="R45" s="233">
        <f t="shared" si="64"/>
        <v>11468</v>
      </c>
      <c r="S45" s="233">
        <f t="shared" si="39"/>
        <v>9747.7999999999993</v>
      </c>
      <c r="T45" s="233">
        <f t="shared" si="40"/>
        <v>860.1</v>
      </c>
      <c r="U45" s="224">
        <f t="shared" si="41"/>
        <v>860.1</v>
      </c>
      <c r="V45" s="279">
        <v>11697</v>
      </c>
      <c r="W45" s="84"/>
      <c r="X45" s="84"/>
      <c r="Y45" s="233">
        <f t="shared" si="65"/>
        <v>11697</v>
      </c>
      <c r="Z45" s="233">
        <f t="shared" si="42"/>
        <v>9942.4499999999989</v>
      </c>
      <c r="AA45" s="233">
        <f t="shared" si="43"/>
        <v>877.27499999999998</v>
      </c>
      <c r="AB45" s="224">
        <f t="shared" si="44"/>
        <v>877.27499999999998</v>
      </c>
      <c r="AC45" s="279">
        <v>11931</v>
      </c>
      <c r="AD45" s="84"/>
      <c r="AE45" s="84"/>
      <c r="AF45" s="233">
        <f t="shared" si="66"/>
        <v>11931</v>
      </c>
      <c r="AG45" s="233">
        <f t="shared" si="45"/>
        <v>10141.35</v>
      </c>
      <c r="AH45" s="233">
        <f t="shared" si="46"/>
        <v>894.82499999999993</v>
      </c>
      <c r="AI45" s="224">
        <f t="shared" si="47"/>
        <v>894.82499999999993</v>
      </c>
      <c r="AJ45" s="279">
        <v>12170</v>
      </c>
      <c r="AK45" s="84"/>
      <c r="AL45" s="84"/>
      <c r="AM45" s="233">
        <f t="shared" si="67"/>
        <v>12170</v>
      </c>
      <c r="AN45" s="233">
        <f t="shared" si="48"/>
        <v>10344.5</v>
      </c>
      <c r="AO45" s="233">
        <f t="shared" si="49"/>
        <v>912.75</v>
      </c>
      <c r="AP45" s="224">
        <f t="shared" si="50"/>
        <v>912.75</v>
      </c>
      <c r="AQ45" s="279">
        <v>12413</v>
      </c>
      <c r="AR45" s="84"/>
      <c r="AS45" s="84"/>
      <c r="AT45" s="233">
        <f t="shared" si="68"/>
        <v>12413</v>
      </c>
      <c r="AU45" s="233">
        <f t="shared" si="51"/>
        <v>10551.05</v>
      </c>
      <c r="AV45" s="233">
        <f t="shared" si="52"/>
        <v>930.97499999999991</v>
      </c>
      <c r="AW45" s="224">
        <f t="shared" si="53"/>
        <v>930.97499999999991</v>
      </c>
      <c r="AX45" s="279">
        <v>12661</v>
      </c>
      <c r="AY45" s="84"/>
      <c r="AZ45" s="84"/>
      <c r="BA45" s="233">
        <f t="shared" si="69"/>
        <v>12661</v>
      </c>
      <c r="BB45" s="233">
        <f t="shared" si="54"/>
        <v>10761.85</v>
      </c>
      <c r="BC45" s="233">
        <f t="shared" si="55"/>
        <v>949.57499999999993</v>
      </c>
      <c r="BD45" s="224">
        <f t="shared" si="56"/>
        <v>949.57499999999993</v>
      </c>
      <c r="BE45" s="279">
        <v>12915</v>
      </c>
      <c r="BF45" s="84"/>
      <c r="BG45" s="84"/>
      <c r="BH45" s="233">
        <f t="shared" si="70"/>
        <v>12915</v>
      </c>
      <c r="BI45" s="233">
        <f t="shared" si="57"/>
        <v>10977.75</v>
      </c>
      <c r="BJ45" s="233">
        <f t="shared" si="58"/>
        <v>968.625</v>
      </c>
      <c r="BK45" s="224">
        <f t="shared" si="59"/>
        <v>968.625</v>
      </c>
      <c r="BL45" s="279">
        <v>13173</v>
      </c>
      <c r="BM45" s="84"/>
      <c r="BN45" s="84"/>
      <c r="BO45" s="233">
        <f t="shared" si="71"/>
        <v>13173</v>
      </c>
      <c r="BP45" s="233">
        <f t="shared" si="60"/>
        <v>11197.05</v>
      </c>
      <c r="BQ45" s="233">
        <f t="shared" si="61"/>
        <v>987.97499999999991</v>
      </c>
      <c r="BR45" s="224">
        <f t="shared" si="62"/>
        <v>987.97499999999991</v>
      </c>
    </row>
    <row r="46" spans="1:70" x14ac:dyDescent="0.35">
      <c r="A46" s="491" t="s">
        <v>999</v>
      </c>
      <c r="B46" s="83">
        <v>5440</v>
      </c>
      <c r="C46" s="234" t="s">
        <v>651</v>
      </c>
      <c r="D46" s="83" t="s">
        <v>134</v>
      </c>
      <c r="E46" s="230"/>
      <c r="F46" s="230"/>
      <c r="G46" s="231"/>
      <c r="H46" s="235">
        <v>5279</v>
      </c>
      <c r="I46" s="84"/>
      <c r="J46" s="84"/>
      <c r="K46" s="233">
        <f t="shared" si="63"/>
        <v>5279</v>
      </c>
      <c r="L46" s="233">
        <f t="shared" si="36"/>
        <v>4751.1000000000004</v>
      </c>
      <c r="M46" s="233">
        <f t="shared" si="37"/>
        <v>263.95</v>
      </c>
      <c r="N46" s="224">
        <f t="shared" si="38"/>
        <v>263.95</v>
      </c>
      <c r="O46" s="279">
        <v>5385</v>
      </c>
      <c r="P46" s="84"/>
      <c r="Q46" s="84"/>
      <c r="R46" s="233">
        <f t="shared" si="64"/>
        <v>5385</v>
      </c>
      <c r="S46" s="233">
        <f t="shared" si="39"/>
        <v>4846.5</v>
      </c>
      <c r="T46" s="233">
        <f t="shared" si="40"/>
        <v>269.25</v>
      </c>
      <c r="U46" s="224">
        <f t="shared" si="41"/>
        <v>269.25</v>
      </c>
      <c r="V46" s="279">
        <v>5492</v>
      </c>
      <c r="W46" s="84"/>
      <c r="X46" s="84"/>
      <c r="Y46" s="233">
        <f t="shared" si="65"/>
        <v>5492</v>
      </c>
      <c r="Z46" s="233">
        <f t="shared" si="42"/>
        <v>4942.8</v>
      </c>
      <c r="AA46" s="233">
        <f t="shared" si="43"/>
        <v>274.60000000000002</v>
      </c>
      <c r="AB46" s="224">
        <f t="shared" si="44"/>
        <v>274.60000000000002</v>
      </c>
      <c r="AC46" s="279">
        <v>5602</v>
      </c>
      <c r="AD46" s="84"/>
      <c r="AE46" s="84"/>
      <c r="AF46" s="233">
        <f t="shared" si="66"/>
        <v>5602</v>
      </c>
      <c r="AG46" s="233">
        <f t="shared" si="45"/>
        <v>5041.8</v>
      </c>
      <c r="AH46" s="233">
        <f t="shared" si="46"/>
        <v>280.10000000000002</v>
      </c>
      <c r="AI46" s="224">
        <f t="shared" si="47"/>
        <v>280.10000000000002</v>
      </c>
      <c r="AJ46" s="279">
        <v>5714</v>
      </c>
      <c r="AK46" s="84"/>
      <c r="AL46" s="84"/>
      <c r="AM46" s="233">
        <f t="shared" si="67"/>
        <v>5714</v>
      </c>
      <c r="AN46" s="233">
        <f t="shared" si="48"/>
        <v>5142.6000000000004</v>
      </c>
      <c r="AO46" s="233">
        <f t="shared" si="49"/>
        <v>285.7</v>
      </c>
      <c r="AP46" s="224">
        <f t="shared" si="50"/>
        <v>285.7</v>
      </c>
      <c r="AQ46" s="279">
        <v>5829</v>
      </c>
      <c r="AR46" s="84"/>
      <c r="AS46" s="84"/>
      <c r="AT46" s="233">
        <f t="shared" si="68"/>
        <v>5829</v>
      </c>
      <c r="AU46" s="233">
        <f t="shared" si="51"/>
        <v>5246.1</v>
      </c>
      <c r="AV46" s="233">
        <f t="shared" si="52"/>
        <v>291.45</v>
      </c>
      <c r="AW46" s="224">
        <f t="shared" si="53"/>
        <v>291.45</v>
      </c>
      <c r="AX46" s="279">
        <v>5945</v>
      </c>
      <c r="AY46" s="84"/>
      <c r="AZ46" s="84"/>
      <c r="BA46" s="233">
        <f t="shared" si="69"/>
        <v>5945</v>
      </c>
      <c r="BB46" s="233">
        <f t="shared" si="54"/>
        <v>5350.5</v>
      </c>
      <c r="BC46" s="233">
        <f t="shared" si="55"/>
        <v>297.25</v>
      </c>
      <c r="BD46" s="224">
        <f t="shared" si="56"/>
        <v>297.25</v>
      </c>
      <c r="BE46" s="279">
        <v>6064</v>
      </c>
      <c r="BF46" s="84"/>
      <c r="BG46" s="84"/>
      <c r="BH46" s="233">
        <f t="shared" si="70"/>
        <v>6064</v>
      </c>
      <c r="BI46" s="233">
        <f t="shared" si="57"/>
        <v>5457.6</v>
      </c>
      <c r="BJ46" s="233">
        <f t="shared" si="58"/>
        <v>303.2</v>
      </c>
      <c r="BK46" s="224">
        <f t="shared" si="59"/>
        <v>303.2</v>
      </c>
      <c r="BL46" s="279">
        <v>6185</v>
      </c>
      <c r="BM46" s="84"/>
      <c r="BN46" s="84"/>
      <c r="BO46" s="233">
        <f t="shared" si="71"/>
        <v>6185</v>
      </c>
      <c r="BP46" s="233">
        <f t="shared" si="60"/>
        <v>5566.5</v>
      </c>
      <c r="BQ46" s="233">
        <f t="shared" si="61"/>
        <v>309.25</v>
      </c>
      <c r="BR46" s="224">
        <f t="shared" si="62"/>
        <v>309.25</v>
      </c>
    </row>
    <row r="47" spans="1:70" x14ac:dyDescent="0.35">
      <c r="A47" s="491" t="s">
        <v>1000</v>
      </c>
      <c r="B47" s="83">
        <v>5500</v>
      </c>
      <c r="C47" s="234" t="s">
        <v>652</v>
      </c>
      <c r="D47" s="83" t="s">
        <v>134</v>
      </c>
      <c r="E47" s="230"/>
      <c r="F47" s="230"/>
      <c r="G47" s="231"/>
      <c r="H47" s="235">
        <v>4499</v>
      </c>
      <c r="I47" s="84"/>
      <c r="J47" s="84"/>
      <c r="K47" s="233">
        <f t="shared" si="63"/>
        <v>4499</v>
      </c>
      <c r="L47" s="233">
        <f t="shared" si="36"/>
        <v>4049.1</v>
      </c>
      <c r="M47" s="233">
        <f t="shared" si="37"/>
        <v>224.95000000000002</v>
      </c>
      <c r="N47" s="224">
        <f t="shared" si="38"/>
        <v>224.95000000000002</v>
      </c>
      <c r="O47" s="279">
        <v>4589</v>
      </c>
      <c r="P47" s="84"/>
      <c r="Q47" s="84"/>
      <c r="R47" s="233">
        <f t="shared" si="64"/>
        <v>4589</v>
      </c>
      <c r="S47" s="233">
        <f t="shared" si="39"/>
        <v>4130.1000000000004</v>
      </c>
      <c r="T47" s="233">
        <f t="shared" si="40"/>
        <v>229.45000000000002</v>
      </c>
      <c r="U47" s="224">
        <f t="shared" si="41"/>
        <v>229.45000000000002</v>
      </c>
      <c r="V47" s="279">
        <v>4681</v>
      </c>
      <c r="W47" s="84"/>
      <c r="X47" s="84"/>
      <c r="Y47" s="233">
        <f t="shared" si="65"/>
        <v>4681</v>
      </c>
      <c r="Z47" s="233">
        <f t="shared" si="42"/>
        <v>4212.9000000000005</v>
      </c>
      <c r="AA47" s="233">
        <f t="shared" si="43"/>
        <v>234.05</v>
      </c>
      <c r="AB47" s="224">
        <f t="shared" si="44"/>
        <v>234.05</v>
      </c>
      <c r="AC47" s="279">
        <v>4774</v>
      </c>
      <c r="AD47" s="84"/>
      <c r="AE47" s="84"/>
      <c r="AF47" s="233">
        <f t="shared" si="66"/>
        <v>4774</v>
      </c>
      <c r="AG47" s="233">
        <f t="shared" si="45"/>
        <v>4296.6000000000004</v>
      </c>
      <c r="AH47" s="233">
        <f t="shared" si="46"/>
        <v>238.70000000000002</v>
      </c>
      <c r="AI47" s="224">
        <f t="shared" si="47"/>
        <v>238.70000000000002</v>
      </c>
      <c r="AJ47" s="279">
        <v>4870</v>
      </c>
      <c r="AK47" s="84"/>
      <c r="AL47" s="84"/>
      <c r="AM47" s="233">
        <f t="shared" si="67"/>
        <v>4870</v>
      </c>
      <c r="AN47" s="233">
        <f t="shared" si="48"/>
        <v>4383</v>
      </c>
      <c r="AO47" s="233">
        <f t="shared" si="49"/>
        <v>243.5</v>
      </c>
      <c r="AP47" s="224">
        <f t="shared" si="50"/>
        <v>243.5</v>
      </c>
      <c r="AQ47" s="279">
        <v>4967</v>
      </c>
      <c r="AR47" s="84"/>
      <c r="AS47" s="84"/>
      <c r="AT47" s="233">
        <f t="shared" si="68"/>
        <v>4967</v>
      </c>
      <c r="AU47" s="233">
        <f t="shared" si="51"/>
        <v>4470.3</v>
      </c>
      <c r="AV47" s="233">
        <f t="shared" si="52"/>
        <v>248.35000000000002</v>
      </c>
      <c r="AW47" s="224">
        <f t="shared" si="53"/>
        <v>248.35000000000002</v>
      </c>
      <c r="AX47" s="279">
        <v>5066</v>
      </c>
      <c r="AY47" s="84"/>
      <c r="AZ47" s="84"/>
      <c r="BA47" s="233">
        <f t="shared" si="69"/>
        <v>5066</v>
      </c>
      <c r="BB47" s="233">
        <f t="shared" si="54"/>
        <v>4559.4000000000005</v>
      </c>
      <c r="BC47" s="233">
        <f t="shared" si="55"/>
        <v>253.3</v>
      </c>
      <c r="BD47" s="224">
        <f t="shared" si="56"/>
        <v>253.3</v>
      </c>
      <c r="BE47" s="279">
        <v>5168</v>
      </c>
      <c r="BF47" s="84"/>
      <c r="BG47" s="84"/>
      <c r="BH47" s="233">
        <f t="shared" si="70"/>
        <v>5168</v>
      </c>
      <c r="BI47" s="233">
        <f t="shared" si="57"/>
        <v>4651.2</v>
      </c>
      <c r="BJ47" s="233">
        <f t="shared" si="58"/>
        <v>258.40000000000003</v>
      </c>
      <c r="BK47" s="224">
        <f t="shared" si="59"/>
        <v>258.40000000000003</v>
      </c>
      <c r="BL47" s="279">
        <v>5271</v>
      </c>
      <c r="BM47" s="84"/>
      <c r="BN47" s="84"/>
      <c r="BO47" s="233">
        <f t="shared" si="71"/>
        <v>5271</v>
      </c>
      <c r="BP47" s="233">
        <f t="shared" si="60"/>
        <v>4743.9000000000005</v>
      </c>
      <c r="BQ47" s="233">
        <f t="shared" si="61"/>
        <v>263.55</v>
      </c>
      <c r="BR47" s="224">
        <f t="shared" si="62"/>
        <v>263.55</v>
      </c>
    </row>
    <row r="48" spans="1:70" x14ac:dyDescent="0.35">
      <c r="A48" s="491" t="s">
        <v>1001</v>
      </c>
      <c r="B48" s="83">
        <v>5600</v>
      </c>
      <c r="C48" s="234" t="s">
        <v>653</v>
      </c>
      <c r="D48" s="83" t="s">
        <v>134</v>
      </c>
      <c r="E48" s="230"/>
      <c r="F48" s="230"/>
      <c r="G48" s="231"/>
      <c r="H48" s="235">
        <v>1865</v>
      </c>
      <c r="I48" s="84"/>
      <c r="J48" s="84"/>
      <c r="K48" s="233">
        <f t="shared" si="63"/>
        <v>1865</v>
      </c>
      <c r="L48" s="233">
        <f t="shared" si="36"/>
        <v>1678.5</v>
      </c>
      <c r="M48" s="233">
        <f t="shared" si="37"/>
        <v>93.25</v>
      </c>
      <c r="N48" s="224">
        <f t="shared" si="38"/>
        <v>93.25</v>
      </c>
      <c r="O48" s="279">
        <v>1902</v>
      </c>
      <c r="P48" s="84"/>
      <c r="Q48" s="84"/>
      <c r="R48" s="233">
        <f t="shared" si="64"/>
        <v>1902</v>
      </c>
      <c r="S48" s="233">
        <f t="shared" si="39"/>
        <v>1711.8</v>
      </c>
      <c r="T48" s="233">
        <f t="shared" si="40"/>
        <v>95.100000000000009</v>
      </c>
      <c r="U48" s="224">
        <f t="shared" si="41"/>
        <v>95.100000000000009</v>
      </c>
      <c r="V48" s="279">
        <v>1940</v>
      </c>
      <c r="W48" s="84"/>
      <c r="X48" s="84"/>
      <c r="Y48" s="233">
        <f t="shared" si="65"/>
        <v>1940</v>
      </c>
      <c r="Z48" s="233">
        <f t="shared" si="42"/>
        <v>1746</v>
      </c>
      <c r="AA48" s="233">
        <f t="shared" si="43"/>
        <v>97</v>
      </c>
      <c r="AB48" s="224">
        <f t="shared" si="44"/>
        <v>97</v>
      </c>
      <c r="AC48" s="279">
        <v>1979</v>
      </c>
      <c r="AD48" s="84"/>
      <c r="AE48" s="84"/>
      <c r="AF48" s="233">
        <f t="shared" si="66"/>
        <v>1979</v>
      </c>
      <c r="AG48" s="233">
        <f t="shared" si="45"/>
        <v>1781.1000000000001</v>
      </c>
      <c r="AH48" s="233">
        <f t="shared" si="46"/>
        <v>98.95</v>
      </c>
      <c r="AI48" s="224">
        <f t="shared" si="47"/>
        <v>98.95</v>
      </c>
      <c r="AJ48" s="279">
        <v>2019</v>
      </c>
      <c r="AK48" s="84"/>
      <c r="AL48" s="84"/>
      <c r="AM48" s="233">
        <f t="shared" si="67"/>
        <v>2019</v>
      </c>
      <c r="AN48" s="233">
        <f t="shared" si="48"/>
        <v>1817.1000000000001</v>
      </c>
      <c r="AO48" s="233">
        <f t="shared" si="49"/>
        <v>100.95</v>
      </c>
      <c r="AP48" s="224">
        <f t="shared" si="50"/>
        <v>100.95</v>
      </c>
      <c r="AQ48" s="279">
        <v>2059</v>
      </c>
      <c r="AR48" s="84"/>
      <c r="AS48" s="84"/>
      <c r="AT48" s="233">
        <f t="shared" si="68"/>
        <v>2059</v>
      </c>
      <c r="AU48" s="233">
        <f t="shared" si="51"/>
        <v>1853.1000000000001</v>
      </c>
      <c r="AV48" s="233">
        <f t="shared" si="52"/>
        <v>102.95</v>
      </c>
      <c r="AW48" s="224">
        <f t="shared" si="53"/>
        <v>102.95</v>
      </c>
      <c r="AX48" s="279">
        <v>2100</v>
      </c>
      <c r="AY48" s="84"/>
      <c r="AZ48" s="84"/>
      <c r="BA48" s="233">
        <f t="shared" si="69"/>
        <v>2100</v>
      </c>
      <c r="BB48" s="233">
        <f t="shared" si="54"/>
        <v>1890</v>
      </c>
      <c r="BC48" s="233">
        <f t="shared" si="55"/>
        <v>105</v>
      </c>
      <c r="BD48" s="224">
        <f t="shared" si="56"/>
        <v>105</v>
      </c>
      <c r="BE48" s="279">
        <v>2142</v>
      </c>
      <c r="BF48" s="84"/>
      <c r="BG48" s="84"/>
      <c r="BH48" s="233">
        <f t="shared" si="70"/>
        <v>2142</v>
      </c>
      <c r="BI48" s="233">
        <f t="shared" si="57"/>
        <v>1927.8</v>
      </c>
      <c r="BJ48" s="233">
        <f t="shared" si="58"/>
        <v>107.10000000000001</v>
      </c>
      <c r="BK48" s="224">
        <f t="shared" si="59"/>
        <v>107.10000000000001</v>
      </c>
      <c r="BL48" s="279">
        <v>2185</v>
      </c>
      <c r="BM48" s="84"/>
      <c r="BN48" s="84"/>
      <c r="BO48" s="233">
        <f t="shared" si="71"/>
        <v>2185</v>
      </c>
      <c r="BP48" s="233">
        <f t="shared" si="60"/>
        <v>1966.5</v>
      </c>
      <c r="BQ48" s="233">
        <f t="shared" si="61"/>
        <v>109.25</v>
      </c>
      <c r="BR48" s="224">
        <f t="shared" si="62"/>
        <v>109.25</v>
      </c>
    </row>
    <row r="49" spans="1:70" x14ac:dyDescent="0.35">
      <c r="A49" s="491" t="s">
        <v>1002</v>
      </c>
      <c r="B49" s="83">
        <v>5620</v>
      </c>
      <c r="C49" s="234" t="s">
        <v>654</v>
      </c>
      <c r="D49" s="83" t="s">
        <v>134</v>
      </c>
      <c r="E49" s="230"/>
      <c r="F49" s="230"/>
      <c r="G49" s="231"/>
      <c r="H49" s="235">
        <v>3184</v>
      </c>
      <c r="I49" s="84"/>
      <c r="J49" s="84"/>
      <c r="K49" s="233">
        <f t="shared" si="63"/>
        <v>3184</v>
      </c>
      <c r="L49" s="233">
        <f t="shared" si="36"/>
        <v>2865.6</v>
      </c>
      <c r="M49" s="233">
        <f t="shared" si="37"/>
        <v>159.20000000000002</v>
      </c>
      <c r="N49" s="224">
        <f t="shared" si="38"/>
        <v>159.20000000000002</v>
      </c>
      <c r="O49" s="279">
        <v>3247</v>
      </c>
      <c r="P49" s="84"/>
      <c r="Q49" s="84"/>
      <c r="R49" s="233">
        <f t="shared" si="64"/>
        <v>3247</v>
      </c>
      <c r="S49" s="233">
        <f t="shared" si="39"/>
        <v>2922.3</v>
      </c>
      <c r="T49" s="233">
        <f t="shared" si="40"/>
        <v>162.35000000000002</v>
      </c>
      <c r="U49" s="224">
        <f t="shared" si="41"/>
        <v>162.35000000000002</v>
      </c>
      <c r="V49" s="279">
        <v>3312</v>
      </c>
      <c r="W49" s="84"/>
      <c r="X49" s="84"/>
      <c r="Y49" s="233">
        <f t="shared" si="65"/>
        <v>3312</v>
      </c>
      <c r="Z49" s="233">
        <f t="shared" si="42"/>
        <v>2980.8</v>
      </c>
      <c r="AA49" s="233">
        <f t="shared" si="43"/>
        <v>165.60000000000002</v>
      </c>
      <c r="AB49" s="224">
        <f t="shared" si="44"/>
        <v>165.60000000000002</v>
      </c>
      <c r="AC49" s="279">
        <v>3378</v>
      </c>
      <c r="AD49" s="84"/>
      <c r="AE49" s="84"/>
      <c r="AF49" s="233">
        <f t="shared" si="66"/>
        <v>3378</v>
      </c>
      <c r="AG49" s="233">
        <f t="shared" si="45"/>
        <v>3040.2000000000003</v>
      </c>
      <c r="AH49" s="233">
        <f t="shared" si="46"/>
        <v>168.9</v>
      </c>
      <c r="AI49" s="224">
        <f t="shared" si="47"/>
        <v>168.9</v>
      </c>
      <c r="AJ49" s="279">
        <v>3446</v>
      </c>
      <c r="AK49" s="84"/>
      <c r="AL49" s="84"/>
      <c r="AM49" s="233">
        <f t="shared" si="67"/>
        <v>3446</v>
      </c>
      <c r="AN49" s="233">
        <f t="shared" si="48"/>
        <v>3101.4</v>
      </c>
      <c r="AO49" s="233">
        <f t="shared" si="49"/>
        <v>172.3</v>
      </c>
      <c r="AP49" s="224">
        <f t="shared" si="50"/>
        <v>172.3</v>
      </c>
      <c r="AQ49" s="279">
        <v>3515</v>
      </c>
      <c r="AR49" s="84"/>
      <c r="AS49" s="84"/>
      <c r="AT49" s="233">
        <f t="shared" si="68"/>
        <v>3515</v>
      </c>
      <c r="AU49" s="233">
        <f t="shared" si="51"/>
        <v>3163.5</v>
      </c>
      <c r="AV49" s="233">
        <f t="shared" si="52"/>
        <v>175.75</v>
      </c>
      <c r="AW49" s="224">
        <f t="shared" si="53"/>
        <v>175.75</v>
      </c>
      <c r="AX49" s="279">
        <v>3585</v>
      </c>
      <c r="AY49" s="84"/>
      <c r="AZ49" s="84"/>
      <c r="BA49" s="233">
        <f t="shared" si="69"/>
        <v>3585</v>
      </c>
      <c r="BB49" s="233">
        <f t="shared" si="54"/>
        <v>3226.5</v>
      </c>
      <c r="BC49" s="233">
        <f t="shared" si="55"/>
        <v>179.25</v>
      </c>
      <c r="BD49" s="224">
        <f t="shared" si="56"/>
        <v>179.25</v>
      </c>
      <c r="BE49" s="279">
        <v>3657</v>
      </c>
      <c r="BF49" s="84"/>
      <c r="BG49" s="84"/>
      <c r="BH49" s="233">
        <f t="shared" si="70"/>
        <v>3657</v>
      </c>
      <c r="BI49" s="233">
        <f t="shared" si="57"/>
        <v>3291.3</v>
      </c>
      <c r="BJ49" s="233">
        <f t="shared" si="58"/>
        <v>182.85000000000002</v>
      </c>
      <c r="BK49" s="224">
        <f t="shared" si="59"/>
        <v>182.85000000000002</v>
      </c>
      <c r="BL49" s="279">
        <v>3730</v>
      </c>
      <c r="BM49" s="84"/>
      <c r="BN49" s="84"/>
      <c r="BO49" s="233">
        <f t="shared" si="71"/>
        <v>3730</v>
      </c>
      <c r="BP49" s="233">
        <f t="shared" si="60"/>
        <v>3357</v>
      </c>
      <c r="BQ49" s="233">
        <f t="shared" si="61"/>
        <v>186.5</v>
      </c>
      <c r="BR49" s="224">
        <f t="shared" si="62"/>
        <v>186.5</v>
      </c>
    </row>
    <row r="50" spans="1:70" x14ac:dyDescent="0.35">
      <c r="A50" s="491" t="s">
        <v>1003</v>
      </c>
      <c r="B50" s="83">
        <v>6000</v>
      </c>
      <c r="C50" s="234" t="s">
        <v>655</v>
      </c>
      <c r="D50" s="83" t="s">
        <v>129</v>
      </c>
      <c r="E50" s="230"/>
      <c r="F50" s="230"/>
      <c r="G50" s="231"/>
      <c r="H50" s="235">
        <v>48418</v>
      </c>
      <c r="I50" s="84"/>
      <c r="J50" s="84"/>
      <c r="K50" s="233">
        <f t="shared" si="63"/>
        <v>48418</v>
      </c>
      <c r="L50" s="233">
        <f t="shared" si="36"/>
        <v>24209</v>
      </c>
      <c r="M50" s="233">
        <f t="shared" si="37"/>
        <v>12104.5</v>
      </c>
      <c r="N50" s="224">
        <f t="shared" si="38"/>
        <v>12104.5</v>
      </c>
      <c r="O50" s="279">
        <v>59386</v>
      </c>
      <c r="P50" s="84"/>
      <c r="Q50" s="84"/>
      <c r="R50" s="233">
        <f t="shared" si="64"/>
        <v>59386</v>
      </c>
      <c r="S50" s="233">
        <f t="shared" si="39"/>
        <v>29693</v>
      </c>
      <c r="T50" s="233">
        <f t="shared" si="40"/>
        <v>14846.5</v>
      </c>
      <c r="U50" s="224">
        <f t="shared" si="41"/>
        <v>14846.5</v>
      </c>
      <c r="V50" s="279">
        <v>60574</v>
      </c>
      <c r="W50" s="84"/>
      <c r="X50" s="84"/>
      <c r="Y50" s="233">
        <f t="shared" si="65"/>
        <v>60574</v>
      </c>
      <c r="Z50" s="233">
        <f t="shared" si="42"/>
        <v>30287</v>
      </c>
      <c r="AA50" s="233">
        <f t="shared" si="43"/>
        <v>15143.5</v>
      </c>
      <c r="AB50" s="224">
        <f t="shared" si="44"/>
        <v>15143.5</v>
      </c>
      <c r="AC50" s="279">
        <v>61786</v>
      </c>
      <c r="AD50" s="84"/>
      <c r="AE50" s="84"/>
      <c r="AF50" s="233">
        <f t="shared" si="66"/>
        <v>61786</v>
      </c>
      <c r="AG50" s="233">
        <f t="shared" si="45"/>
        <v>30893</v>
      </c>
      <c r="AH50" s="233">
        <f t="shared" si="46"/>
        <v>15446.5</v>
      </c>
      <c r="AI50" s="224">
        <f t="shared" si="47"/>
        <v>15446.5</v>
      </c>
      <c r="AJ50" s="279">
        <v>63021</v>
      </c>
      <c r="AK50" s="84"/>
      <c r="AL50" s="84"/>
      <c r="AM50" s="233">
        <f t="shared" si="67"/>
        <v>63021</v>
      </c>
      <c r="AN50" s="233">
        <f t="shared" si="48"/>
        <v>31510.5</v>
      </c>
      <c r="AO50" s="233">
        <f t="shared" si="49"/>
        <v>15755.25</v>
      </c>
      <c r="AP50" s="224">
        <f t="shared" si="50"/>
        <v>15755.25</v>
      </c>
      <c r="AQ50" s="279">
        <v>64282</v>
      </c>
      <c r="AR50" s="84"/>
      <c r="AS50" s="84"/>
      <c r="AT50" s="233">
        <f t="shared" si="68"/>
        <v>64282</v>
      </c>
      <c r="AU50" s="233">
        <f t="shared" si="51"/>
        <v>32141</v>
      </c>
      <c r="AV50" s="233">
        <f t="shared" si="52"/>
        <v>16070.5</v>
      </c>
      <c r="AW50" s="224">
        <f t="shared" si="53"/>
        <v>16070.5</v>
      </c>
      <c r="AX50" s="279">
        <v>65567</v>
      </c>
      <c r="AY50" s="84"/>
      <c r="AZ50" s="84"/>
      <c r="BA50" s="233">
        <f t="shared" si="69"/>
        <v>65567</v>
      </c>
      <c r="BB50" s="233">
        <f t="shared" si="54"/>
        <v>32783.5</v>
      </c>
      <c r="BC50" s="233">
        <f t="shared" si="55"/>
        <v>16391.75</v>
      </c>
      <c r="BD50" s="224">
        <f t="shared" si="56"/>
        <v>16391.75</v>
      </c>
      <c r="BE50" s="279">
        <v>66879</v>
      </c>
      <c r="BF50" s="84"/>
      <c r="BG50" s="84"/>
      <c r="BH50" s="233">
        <f t="shared" si="70"/>
        <v>66879</v>
      </c>
      <c r="BI50" s="233">
        <f t="shared" si="57"/>
        <v>33439.5</v>
      </c>
      <c r="BJ50" s="233">
        <f t="shared" si="58"/>
        <v>16719.75</v>
      </c>
      <c r="BK50" s="224">
        <f t="shared" si="59"/>
        <v>16719.75</v>
      </c>
      <c r="BL50" s="279">
        <v>68216</v>
      </c>
      <c r="BM50" s="84"/>
      <c r="BN50" s="84"/>
      <c r="BO50" s="233">
        <f t="shared" si="71"/>
        <v>68216</v>
      </c>
      <c r="BP50" s="233">
        <f t="shared" si="60"/>
        <v>34108</v>
      </c>
      <c r="BQ50" s="233">
        <f t="shared" si="61"/>
        <v>17054</v>
      </c>
      <c r="BR50" s="224">
        <f t="shared" si="62"/>
        <v>17054</v>
      </c>
    </row>
    <row r="51" spans="1:70" x14ac:dyDescent="0.35">
      <c r="A51" s="491" t="s">
        <v>1004</v>
      </c>
      <c r="B51" s="83">
        <v>6010</v>
      </c>
      <c r="C51" s="234" t="s">
        <v>656</v>
      </c>
      <c r="D51" s="83"/>
      <c r="E51" s="230">
        <v>1</v>
      </c>
      <c r="F51" s="230"/>
      <c r="G51" s="231"/>
      <c r="H51" s="235">
        <v>4587</v>
      </c>
      <c r="I51" s="84"/>
      <c r="J51" s="84"/>
      <c r="K51" s="233">
        <f t="shared" si="63"/>
        <v>4587</v>
      </c>
      <c r="L51" s="233">
        <f t="shared" si="36"/>
        <v>4587</v>
      </c>
      <c r="M51" s="233">
        <f t="shared" si="37"/>
        <v>0</v>
      </c>
      <c r="N51" s="224">
        <f t="shared" si="38"/>
        <v>0</v>
      </c>
      <c r="O51" s="279">
        <v>4679</v>
      </c>
      <c r="P51" s="84"/>
      <c r="Q51" s="84"/>
      <c r="R51" s="233">
        <f t="shared" si="64"/>
        <v>4679</v>
      </c>
      <c r="S51" s="233">
        <f t="shared" si="39"/>
        <v>4679</v>
      </c>
      <c r="T51" s="233">
        <f t="shared" si="40"/>
        <v>0</v>
      </c>
      <c r="U51" s="224">
        <f t="shared" si="41"/>
        <v>0</v>
      </c>
      <c r="V51" s="279">
        <v>4772</v>
      </c>
      <c r="W51" s="84"/>
      <c r="X51" s="84"/>
      <c r="Y51" s="233">
        <f t="shared" si="65"/>
        <v>4772</v>
      </c>
      <c r="Z51" s="233">
        <f t="shared" si="42"/>
        <v>4772</v>
      </c>
      <c r="AA51" s="233">
        <f t="shared" si="43"/>
        <v>0</v>
      </c>
      <c r="AB51" s="224">
        <f t="shared" si="44"/>
        <v>0</v>
      </c>
      <c r="AC51" s="279">
        <v>4868</v>
      </c>
      <c r="AD51" s="84"/>
      <c r="AE51" s="84"/>
      <c r="AF51" s="233">
        <f t="shared" si="66"/>
        <v>4868</v>
      </c>
      <c r="AG51" s="233">
        <f t="shared" si="45"/>
        <v>4868</v>
      </c>
      <c r="AH51" s="233">
        <f t="shared" si="46"/>
        <v>0</v>
      </c>
      <c r="AI51" s="224">
        <f t="shared" si="47"/>
        <v>0</v>
      </c>
      <c r="AJ51" s="279">
        <v>4965</v>
      </c>
      <c r="AK51" s="84"/>
      <c r="AL51" s="84"/>
      <c r="AM51" s="233">
        <f t="shared" si="67"/>
        <v>4965</v>
      </c>
      <c r="AN51" s="233">
        <f t="shared" si="48"/>
        <v>4965</v>
      </c>
      <c r="AO51" s="233">
        <f t="shared" si="49"/>
        <v>0</v>
      </c>
      <c r="AP51" s="224">
        <f t="shared" si="50"/>
        <v>0</v>
      </c>
      <c r="AQ51" s="279">
        <v>5064</v>
      </c>
      <c r="AR51" s="84"/>
      <c r="AS51" s="84"/>
      <c r="AT51" s="233">
        <f t="shared" si="68"/>
        <v>5064</v>
      </c>
      <c r="AU51" s="233">
        <f t="shared" si="51"/>
        <v>5064</v>
      </c>
      <c r="AV51" s="233">
        <f t="shared" si="52"/>
        <v>0</v>
      </c>
      <c r="AW51" s="224">
        <f t="shared" si="53"/>
        <v>0</v>
      </c>
      <c r="AX51" s="279">
        <v>5166</v>
      </c>
      <c r="AY51" s="84"/>
      <c r="AZ51" s="84"/>
      <c r="BA51" s="233">
        <f t="shared" si="69"/>
        <v>5166</v>
      </c>
      <c r="BB51" s="233">
        <f t="shared" si="54"/>
        <v>5166</v>
      </c>
      <c r="BC51" s="233">
        <f t="shared" si="55"/>
        <v>0</v>
      </c>
      <c r="BD51" s="224">
        <f t="shared" si="56"/>
        <v>0</v>
      </c>
      <c r="BE51" s="279">
        <v>5269</v>
      </c>
      <c r="BF51" s="84"/>
      <c r="BG51" s="84"/>
      <c r="BH51" s="233">
        <f t="shared" si="70"/>
        <v>5269</v>
      </c>
      <c r="BI51" s="233">
        <f t="shared" si="57"/>
        <v>5269</v>
      </c>
      <c r="BJ51" s="233">
        <f t="shared" si="58"/>
        <v>0</v>
      </c>
      <c r="BK51" s="224">
        <f t="shared" si="59"/>
        <v>0</v>
      </c>
      <c r="BL51" s="279">
        <v>5374</v>
      </c>
      <c r="BM51" s="84"/>
      <c r="BN51" s="84"/>
      <c r="BO51" s="233">
        <f t="shared" si="71"/>
        <v>5374</v>
      </c>
      <c r="BP51" s="233">
        <f t="shared" si="60"/>
        <v>5374</v>
      </c>
      <c r="BQ51" s="233">
        <f t="shared" si="61"/>
        <v>0</v>
      </c>
      <c r="BR51" s="224">
        <f t="shared" si="62"/>
        <v>0</v>
      </c>
    </row>
    <row r="52" spans="1:70" x14ac:dyDescent="0.35">
      <c r="A52" s="491" t="s">
        <v>1005</v>
      </c>
      <c r="B52" s="83" t="s">
        <v>657</v>
      </c>
      <c r="C52" s="234" t="s">
        <v>658</v>
      </c>
      <c r="D52" s="83"/>
      <c r="E52" s="230">
        <v>1</v>
      </c>
      <c r="F52" s="230"/>
      <c r="G52" s="231"/>
      <c r="H52" s="235">
        <v>35922</v>
      </c>
      <c r="I52" s="84"/>
      <c r="J52" s="84"/>
      <c r="K52" s="233">
        <f t="shared" si="63"/>
        <v>35922</v>
      </c>
      <c r="L52" s="233">
        <f t="shared" si="36"/>
        <v>35922</v>
      </c>
      <c r="M52" s="233">
        <f t="shared" si="37"/>
        <v>0</v>
      </c>
      <c r="N52" s="224">
        <f t="shared" si="38"/>
        <v>0</v>
      </c>
      <c r="O52" s="279">
        <v>36640</v>
      </c>
      <c r="P52" s="84"/>
      <c r="Q52" s="84"/>
      <c r="R52" s="233">
        <f t="shared" si="64"/>
        <v>36640</v>
      </c>
      <c r="S52" s="233">
        <f t="shared" si="39"/>
        <v>36640</v>
      </c>
      <c r="T52" s="233">
        <f t="shared" si="40"/>
        <v>0</v>
      </c>
      <c r="U52" s="224">
        <f t="shared" si="41"/>
        <v>0</v>
      </c>
      <c r="V52" s="279">
        <v>37373</v>
      </c>
      <c r="W52" s="84"/>
      <c r="X52" s="84"/>
      <c r="Y52" s="233">
        <f t="shared" si="65"/>
        <v>37373</v>
      </c>
      <c r="Z52" s="233">
        <f t="shared" si="42"/>
        <v>37373</v>
      </c>
      <c r="AA52" s="233">
        <f t="shared" si="43"/>
        <v>0</v>
      </c>
      <c r="AB52" s="224">
        <f t="shared" si="44"/>
        <v>0</v>
      </c>
      <c r="AC52" s="279">
        <v>38120</v>
      </c>
      <c r="AD52" s="84"/>
      <c r="AE52" s="84"/>
      <c r="AF52" s="233">
        <f t="shared" si="66"/>
        <v>38120</v>
      </c>
      <c r="AG52" s="233">
        <f t="shared" si="45"/>
        <v>38120</v>
      </c>
      <c r="AH52" s="233">
        <f t="shared" si="46"/>
        <v>0</v>
      </c>
      <c r="AI52" s="224">
        <f t="shared" si="47"/>
        <v>0</v>
      </c>
      <c r="AJ52" s="279">
        <v>38883</v>
      </c>
      <c r="AK52" s="84"/>
      <c r="AL52" s="84"/>
      <c r="AM52" s="233">
        <f t="shared" si="67"/>
        <v>38883</v>
      </c>
      <c r="AN52" s="233">
        <f t="shared" si="48"/>
        <v>38883</v>
      </c>
      <c r="AO52" s="233">
        <f t="shared" si="49"/>
        <v>0</v>
      </c>
      <c r="AP52" s="224">
        <f t="shared" si="50"/>
        <v>0</v>
      </c>
      <c r="AQ52" s="279">
        <v>39660</v>
      </c>
      <c r="AR52" s="84"/>
      <c r="AS52" s="84"/>
      <c r="AT52" s="233">
        <f t="shared" si="68"/>
        <v>39660</v>
      </c>
      <c r="AU52" s="233">
        <f t="shared" si="51"/>
        <v>39660</v>
      </c>
      <c r="AV52" s="233">
        <f t="shared" si="52"/>
        <v>0</v>
      </c>
      <c r="AW52" s="224">
        <f t="shared" si="53"/>
        <v>0</v>
      </c>
      <c r="AX52" s="279">
        <v>40454</v>
      </c>
      <c r="AY52" s="84"/>
      <c r="AZ52" s="84"/>
      <c r="BA52" s="233">
        <f t="shared" si="69"/>
        <v>40454</v>
      </c>
      <c r="BB52" s="233">
        <f t="shared" si="54"/>
        <v>40454</v>
      </c>
      <c r="BC52" s="233">
        <f t="shared" si="55"/>
        <v>0</v>
      </c>
      <c r="BD52" s="224">
        <f t="shared" si="56"/>
        <v>0</v>
      </c>
      <c r="BE52" s="279">
        <v>41263</v>
      </c>
      <c r="BF52" s="84"/>
      <c r="BG52" s="84"/>
      <c r="BH52" s="233">
        <f t="shared" si="70"/>
        <v>41263</v>
      </c>
      <c r="BI52" s="233">
        <f t="shared" si="57"/>
        <v>41263</v>
      </c>
      <c r="BJ52" s="233">
        <f t="shared" si="58"/>
        <v>0</v>
      </c>
      <c r="BK52" s="224">
        <f t="shared" si="59"/>
        <v>0</v>
      </c>
      <c r="BL52" s="279">
        <v>42088</v>
      </c>
      <c r="BM52" s="84"/>
      <c r="BN52" s="84"/>
      <c r="BO52" s="233">
        <f t="shared" si="71"/>
        <v>42088</v>
      </c>
      <c r="BP52" s="233">
        <f t="shared" si="60"/>
        <v>42088</v>
      </c>
      <c r="BQ52" s="233">
        <f t="shared" si="61"/>
        <v>0</v>
      </c>
      <c r="BR52" s="224">
        <f t="shared" si="62"/>
        <v>0</v>
      </c>
    </row>
    <row r="53" spans="1:70" x14ac:dyDescent="0.35">
      <c r="A53" s="491" t="s">
        <v>1006</v>
      </c>
      <c r="B53" s="83" t="s">
        <v>659</v>
      </c>
      <c r="C53" s="234" t="s">
        <v>660</v>
      </c>
      <c r="D53" s="83"/>
      <c r="E53" s="230">
        <v>1</v>
      </c>
      <c r="F53" s="230"/>
      <c r="G53" s="231"/>
      <c r="H53" s="235">
        <v>33585</v>
      </c>
      <c r="I53" s="84"/>
      <c r="J53" s="84"/>
      <c r="K53" s="233">
        <f t="shared" si="63"/>
        <v>33585</v>
      </c>
      <c r="L53" s="233">
        <f t="shared" si="36"/>
        <v>33585</v>
      </c>
      <c r="M53" s="233">
        <f t="shared" si="37"/>
        <v>0</v>
      </c>
      <c r="N53" s="224">
        <f t="shared" si="38"/>
        <v>0</v>
      </c>
      <c r="O53" s="279">
        <v>34257</v>
      </c>
      <c r="P53" s="84"/>
      <c r="Q53" s="84"/>
      <c r="R53" s="233">
        <f t="shared" si="64"/>
        <v>34257</v>
      </c>
      <c r="S53" s="233">
        <f t="shared" si="39"/>
        <v>34257</v>
      </c>
      <c r="T53" s="233">
        <f t="shared" si="40"/>
        <v>0</v>
      </c>
      <c r="U53" s="224">
        <f t="shared" si="41"/>
        <v>0</v>
      </c>
      <c r="V53" s="279">
        <v>34942</v>
      </c>
      <c r="W53" s="84"/>
      <c r="X53" s="84"/>
      <c r="Y53" s="233">
        <f t="shared" si="65"/>
        <v>34942</v>
      </c>
      <c r="Z53" s="233">
        <f t="shared" si="42"/>
        <v>34942</v>
      </c>
      <c r="AA53" s="233">
        <f t="shared" si="43"/>
        <v>0</v>
      </c>
      <c r="AB53" s="224">
        <f t="shared" si="44"/>
        <v>0</v>
      </c>
      <c r="AC53" s="279">
        <v>45641</v>
      </c>
      <c r="AD53" s="84"/>
      <c r="AE53" s="84"/>
      <c r="AF53" s="233">
        <f t="shared" si="66"/>
        <v>45641</v>
      </c>
      <c r="AG53" s="233">
        <f t="shared" si="45"/>
        <v>45641</v>
      </c>
      <c r="AH53" s="233">
        <f t="shared" si="46"/>
        <v>0</v>
      </c>
      <c r="AI53" s="224">
        <f t="shared" si="47"/>
        <v>0</v>
      </c>
      <c r="AJ53" s="279">
        <v>66554</v>
      </c>
      <c r="AK53" s="84"/>
      <c r="AL53" s="84"/>
      <c r="AM53" s="233">
        <f t="shared" si="67"/>
        <v>66554</v>
      </c>
      <c r="AN53" s="233">
        <f t="shared" si="48"/>
        <v>66554</v>
      </c>
      <c r="AO53" s="233">
        <f t="shared" si="49"/>
        <v>0</v>
      </c>
      <c r="AP53" s="224">
        <f t="shared" si="50"/>
        <v>0</v>
      </c>
      <c r="AQ53" s="279">
        <v>67885</v>
      </c>
      <c r="AR53" s="84"/>
      <c r="AS53" s="84"/>
      <c r="AT53" s="233">
        <f t="shared" si="68"/>
        <v>67885</v>
      </c>
      <c r="AU53" s="233">
        <f t="shared" si="51"/>
        <v>67885</v>
      </c>
      <c r="AV53" s="233">
        <f t="shared" si="52"/>
        <v>0</v>
      </c>
      <c r="AW53" s="224">
        <f t="shared" si="53"/>
        <v>0</v>
      </c>
      <c r="AX53" s="279">
        <v>69243</v>
      </c>
      <c r="AY53" s="84"/>
      <c r="AZ53" s="84"/>
      <c r="BA53" s="233">
        <f t="shared" si="69"/>
        <v>69243</v>
      </c>
      <c r="BB53" s="233">
        <f t="shared" si="54"/>
        <v>69243</v>
      </c>
      <c r="BC53" s="233">
        <f t="shared" si="55"/>
        <v>0</v>
      </c>
      <c r="BD53" s="224">
        <f t="shared" si="56"/>
        <v>0</v>
      </c>
      <c r="BE53" s="279">
        <v>70627</v>
      </c>
      <c r="BF53" s="84"/>
      <c r="BG53" s="84"/>
      <c r="BH53" s="233">
        <f t="shared" si="70"/>
        <v>70627</v>
      </c>
      <c r="BI53" s="233">
        <f t="shared" si="57"/>
        <v>70627</v>
      </c>
      <c r="BJ53" s="233">
        <f t="shared" si="58"/>
        <v>0</v>
      </c>
      <c r="BK53" s="224">
        <f t="shared" si="59"/>
        <v>0</v>
      </c>
      <c r="BL53" s="279">
        <v>72040</v>
      </c>
      <c r="BM53" s="84"/>
      <c r="BN53" s="84"/>
      <c r="BO53" s="233">
        <f t="shared" si="71"/>
        <v>72040</v>
      </c>
      <c r="BP53" s="233">
        <f t="shared" si="60"/>
        <v>72040</v>
      </c>
      <c r="BQ53" s="233">
        <f t="shared" si="61"/>
        <v>0</v>
      </c>
      <c r="BR53" s="224">
        <f t="shared" si="62"/>
        <v>0</v>
      </c>
    </row>
    <row r="54" spans="1:70" x14ac:dyDescent="0.35">
      <c r="A54" s="491" t="s">
        <v>1007</v>
      </c>
      <c r="B54" s="83" t="s">
        <v>661</v>
      </c>
      <c r="C54" s="234" t="s">
        <v>662</v>
      </c>
      <c r="D54" s="83" t="s">
        <v>134</v>
      </c>
      <c r="E54" s="230"/>
      <c r="F54" s="230"/>
      <c r="G54" s="231"/>
      <c r="H54" s="235">
        <v>22876</v>
      </c>
      <c r="I54" s="84"/>
      <c r="J54" s="84"/>
      <c r="K54" s="233">
        <f t="shared" si="63"/>
        <v>22876</v>
      </c>
      <c r="L54" s="233">
        <f t="shared" si="36"/>
        <v>20588.400000000001</v>
      </c>
      <c r="M54" s="233">
        <f t="shared" si="37"/>
        <v>1143.8</v>
      </c>
      <c r="N54" s="224">
        <f t="shared" si="38"/>
        <v>1143.8</v>
      </c>
      <c r="O54" s="279">
        <v>23334</v>
      </c>
      <c r="P54" s="84"/>
      <c r="Q54" s="84"/>
      <c r="R54" s="233">
        <f t="shared" si="64"/>
        <v>23334</v>
      </c>
      <c r="S54" s="233">
        <f t="shared" si="39"/>
        <v>21000.600000000002</v>
      </c>
      <c r="T54" s="233">
        <f t="shared" si="40"/>
        <v>1166.7</v>
      </c>
      <c r="U54" s="224">
        <f t="shared" si="41"/>
        <v>1166.7</v>
      </c>
      <c r="V54" s="279">
        <v>23800</v>
      </c>
      <c r="W54" s="84"/>
      <c r="X54" s="84"/>
      <c r="Y54" s="233">
        <f t="shared" si="65"/>
        <v>23800</v>
      </c>
      <c r="Z54" s="233">
        <f t="shared" si="42"/>
        <v>21420</v>
      </c>
      <c r="AA54" s="233">
        <f t="shared" si="43"/>
        <v>1190</v>
      </c>
      <c r="AB54" s="224">
        <f t="shared" si="44"/>
        <v>1190</v>
      </c>
      <c r="AC54" s="279">
        <v>24276</v>
      </c>
      <c r="AD54" s="84"/>
      <c r="AE54" s="84"/>
      <c r="AF54" s="233">
        <f t="shared" si="66"/>
        <v>24276</v>
      </c>
      <c r="AG54" s="233">
        <f t="shared" si="45"/>
        <v>21848.400000000001</v>
      </c>
      <c r="AH54" s="233">
        <f t="shared" si="46"/>
        <v>1213.8</v>
      </c>
      <c r="AI54" s="224">
        <f t="shared" si="47"/>
        <v>1213.8</v>
      </c>
      <c r="AJ54" s="279">
        <v>24762</v>
      </c>
      <c r="AK54" s="84"/>
      <c r="AL54" s="84"/>
      <c r="AM54" s="233">
        <f t="shared" si="67"/>
        <v>24762</v>
      </c>
      <c r="AN54" s="233">
        <f t="shared" si="48"/>
        <v>22285.8</v>
      </c>
      <c r="AO54" s="233">
        <f t="shared" si="49"/>
        <v>1238.1000000000001</v>
      </c>
      <c r="AP54" s="224">
        <f t="shared" si="50"/>
        <v>1238.1000000000001</v>
      </c>
      <c r="AQ54" s="279">
        <v>25257</v>
      </c>
      <c r="AR54" s="84"/>
      <c r="AS54" s="84"/>
      <c r="AT54" s="233">
        <f t="shared" si="68"/>
        <v>25257</v>
      </c>
      <c r="AU54" s="233">
        <f t="shared" si="51"/>
        <v>22731.3</v>
      </c>
      <c r="AV54" s="233">
        <f t="shared" si="52"/>
        <v>1262.8500000000001</v>
      </c>
      <c r="AW54" s="224">
        <f t="shared" si="53"/>
        <v>1262.8500000000001</v>
      </c>
      <c r="AX54" s="279">
        <v>25762</v>
      </c>
      <c r="AY54" s="84"/>
      <c r="AZ54" s="84"/>
      <c r="BA54" s="233">
        <f t="shared" si="69"/>
        <v>25762</v>
      </c>
      <c r="BB54" s="233">
        <f t="shared" si="54"/>
        <v>23185.8</v>
      </c>
      <c r="BC54" s="233">
        <f t="shared" si="55"/>
        <v>1288.1000000000001</v>
      </c>
      <c r="BD54" s="224">
        <f t="shared" si="56"/>
        <v>1288.1000000000001</v>
      </c>
      <c r="BE54" s="279">
        <v>26277</v>
      </c>
      <c r="BF54" s="84"/>
      <c r="BG54" s="84"/>
      <c r="BH54" s="233">
        <f t="shared" si="70"/>
        <v>26277</v>
      </c>
      <c r="BI54" s="233">
        <f t="shared" si="57"/>
        <v>23649.3</v>
      </c>
      <c r="BJ54" s="233">
        <f t="shared" si="58"/>
        <v>1313.8500000000001</v>
      </c>
      <c r="BK54" s="224">
        <f t="shared" si="59"/>
        <v>1313.8500000000001</v>
      </c>
      <c r="BL54" s="279">
        <v>26803</v>
      </c>
      <c r="BM54" s="84"/>
      <c r="BN54" s="84"/>
      <c r="BO54" s="233">
        <f t="shared" si="71"/>
        <v>26803</v>
      </c>
      <c r="BP54" s="233">
        <f t="shared" si="60"/>
        <v>24122.7</v>
      </c>
      <c r="BQ54" s="233">
        <f t="shared" si="61"/>
        <v>1340.15</v>
      </c>
      <c r="BR54" s="224">
        <f t="shared" si="62"/>
        <v>1340.15</v>
      </c>
    </row>
    <row r="55" spans="1:70" x14ac:dyDescent="0.35">
      <c r="A55" s="491" t="s">
        <v>1008</v>
      </c>
      <c r="B55" s="83" t="s">
        <v>663</v>
      </c>
      <c r="C55" s="234" t="s">
        <v>664</v>
      </c>
      <c r="D55" s="83" t="s">
        <v>134</v>
      </c>
      <c r="E55" s="230"/>
      <c r="F55" s="230"/>
      <c r="G55" s="231"/>
      <c r="H55" s="235">
        <v>7796</v>
      </c>
      <c r="I55" s="84"/>
      <c r="J55" s="84"/>
      <c r="K55" s="233">
        <f t="shared" si="63"/>
        <v>7796</v>
      </c>
      <c r="L55" s="233">
        <f t="shared" si="36"/>
        <v>7016.4000000000005</v>
      </c>
      <c r="M55" s="233">
        <f t="shared" si="37"/>
        <v>389.8</v>
      </c>
      <c r="N55" s="224">
        <f t="shared" si="38"/>
        <v>389.8</v>
      </c>
      <c r="O55" s="279">
        <v>7952</v>
      </c>
      <c r="P55" s="84"/>
      <c r="Q55" s="84"/>
      <c r="R55" s="233">
        <f t="shared" si="64"/>
        <v>7952</v>
      </c>
      <c r="S55" s="233">
        <f t="shared" si="39"/>
        <v>7156.8</v>
      </c>
      <c r="T55" s="233">
        <f t="shared" si="40"/>
        <v>397.6</v>
      </c>
      <c r="U55" s="224">
        <f t="shared" si="41"/>
        <v>397.6</v>
      </c>
      <c r="V55" s="279">
        <v>8111</v>
      </c>
      <c r="W55" s="84"/>
      <c r="X55" s="84"/>
      <c r="Y55" s="233">
        <f t="shared" si="65"/>
        <v>8111</v>
      </c>
      <c r="Z55" s="233">
        <f t="shared" si="42"/>
        <v>7299.9000000000005</v>
      </c>
      <c r="AA55" s="233">
        <f t="shared" si="43"/>
        <v>405.55</v>
      </c>
      <c r="AB55" s="224">
        <f t="shared" si="44"/>
        <v>405.55</v>
      </c>
      <c r="AC55" s="279">
        <v>8274</v>
      </c>
      <c r="AD55" s="84"/>
      <c r="AE55" s="84"/>
      <c r="AF55" s="233">
        <f t="shared" si="66"/>
        <v>8274</v>
      </c>
      <c r="AG55" s="233">
        <f t="shared" si="45"/>
        <v>7446.6</v>
      </c>
      <c r="AH55" s="233">
        <f t="shared" si="46"/>
        <v>413.70000000000005</v>
      </c>
      <c r="AI55" s="224">
        <f t="shared" si="47"/>
        <v>413.70000000000005</v>
      </c>
      <c r="AJ55" s="279">
        <v>8439</v>
      </c>
      <c r="AK55" s="84"/>
      <c r="AL55" s="84"/>
      <c r="AM55" s="233">
        <f t="shared" si="67"/>
        <v>8439</v>
      </c>
      <c r="AN55" s="233">
        <f t="shared" si="48"/>
        <v>7595.1</v>
      </c>
      <c r="AO55" s="233">
        <f t="shared" si="49"/>
        <v>421.95000000000005</v>
      </c>
      <c r="AP55" s="224">
        <f t="shared" si="50"/>
        <v>421.95000000000005</v>
      </c>
      <c r="AQ55" s="279">
        <v>8608</v>
      </c>
      <c r="AR55" s="84"/>
      <c r="AS55" s="84"/>
      <c r="AT55" s="233">
        <f t="shared" si="68"/>
        <v>8608</v>
      </c>
      <c r="AU55" s="233">
        <f t="shared" si="51"/>
        <v>7747.2</v>
      </c>
      <c r="AV55" s="233">
        <f t="shared" si="52"/>
        <v>430.40000000000003</v>
      </c>
      <c r="AW55" s="224">
        <f t="shared" si="53"/>
        <v>430.40000000000003</v>
      </c>
      <c r="AX55" s="279">
        <v>8780</v>
      </c>
      <c r="AY55" s="84"/>
      <c r="AZ55" s="84"/>
      <c r="BA55" s="233">
        <f t="shared" si="69"/>
        <v>8780</v>
      </c>
      <c r="BB55" s="233">
        <f t="shared" si="54"/>
        <v>7902</v>
      </c>
      <c r="BC55" s="233">
        <f t="shared" si="55"/>
        <v>439</v>
      </c>
      <c r="BD55" s="224">
        <f t="shared" si="56"/>
        <v>439</v>
      </c>
      <c r="BE55" s="279">
        <v>8956</v>
      </c>
      <c r="BF55" s="84"/>
      <c r="BG55" s="84"/>
      <c r="BH55" s="233">
        <f t="shared" si="70"/>
        <v>8956</v>
      </c>
      <c r="BI55" s="233">
        <f t="shared" si="57"/>
        <v>8060.4000000000005</v>
      </c>
      <c r="BJ55" s="233">
        <f t="shared" si="58"/>
        <v>447.8</v>
      </c>
      <c r="BK55" s="224">
        <f t="shared" si="59"/>
        <v>447.8</v>
      </c>
      <c r="BL55" s="279">
        <v>9135</v>
      </c>
      <c r="BM55" s="84"/>
      <c r="BN55" s="84"/>
      <c r="BO55" s="233">
        <f t="shared" si="71"/>
        <v>9135</v>
      </c>
      <c r="BP55" s="233">
        <f t="shared" si="60"/>
        <v>8221.5</v>
      </c>
      <c r="BQ55" s="233">
        <f t="shared" si="61"/>
        <v>456.75</v>
      </c>
      <c r="BR55" s="224">
        <f t="shared" si="62"/>
        <v>456.75</v>
      </c>
    </row>
    <row r="56" spans="1:70" x14ac:dyDescent="0.35">
      <c r="A56" s="491" t="s">
        <v>1009</v>
      </c>
      <c r="B56" s="83">
        <v>6300</v>
      </c>
      <c r="C56" s="234" t="s">
        <v>665</v>
      </c>
      <c r="D56" s="83" t="s">
        <v>129</v>
      </c>
      <c r="E56" s="230"/>
      <c r="F56" s="230"/>
      <c r="G56" s="231"/>
      <c r="H56" s="235">
        <v>13194</v>
      </c>
      <c r="I56" s="84"/>
      <c r="J56" s="84"/>
      <c r="K56" s="233">
        <f t="shared" si="63"/>
        <v>13194</v>
      </c>
      <c r="L56" s="233">
        <f t="shared" si="36"/>
        <v>6597</v>
      </c>
      <c r="M56" s="233">
        <f t="shared" si="37"/>
        <v>3298.5</v>
      </c>
      <c r="N56" s="224">
        <f t="shared" si="38"/>
        <v>3298.5</v>
      </c>
      <c r="O56" s="279">
        <v>13458</v>
      </c>
      <c r="P56" s="84"/>
      <c r="Q56" s="84"/>
      <c r="R56" s="233">
        <f t="shared" si="64"/>
        <v>13458</v>
      </c>
      <c r="S56" s="233">
        <f t="shared" si="39"/>
        <v>6729</v>
      </c>
      <c r="T56" s="233">
        <f t="shared" si="40"/>
        <v>3364.5</v>
      </c>
      <c r="U56" s="224">
        <f t="shared" si="41"/>
        <v>3364.5</v>
      </c>
      <c r="V56" s="279">
        <v>13727</v>
      </c>
      <c r="W56" s="84"/>
      <c r="X56" s="84"/>
      <c r="Y56" s="233">
        <f t="shared" si="65"/>
        <v>13727</v>
      </c>
      <c r="Z56" s="233">
        <f t="shared" si="42"/>
        <v>6863.5</v>
      </c>
      <c r="AA56" s="233">
        <f t="shared" si="43"/>
        <v>3431.75</v>
      </c>
      <c r="AB56" s="224">
        <f t="shared" si="44"/>
        <v>3431.75</v>
      </c>
      <c r="AC56" s="279">
        <v>14001</v>
      </c>
      <c r="AD56" s="84"/>
      <c r="AE56" s="84"/>
      <c r="AF56" s="233">
        <f t="shared" si="66"/>
        <v>14001</v>
      </c>
      <c r="AG56" s="233">
        <f t="shared" si="45"/>
        <v>7000.5</v>
      </c>
      <c r="AH56" s="233">
        <f t="shared" si="46"/>
        <v>3500.25</v>
      </c>
      <c r="AI56" s="224">
        <f t="shared" si="47"/>
        <v>3500.25</v>
      </c>
      <c r="AJ56" s="279">
        <v>14282</v>
      </c>
      <c r="AK56" s="84"/>
      <c r="AL56" s="84"/>
      <c r="AM56" s="233">
        <f t="shared" si="67"/>
        <v>14282</v>
      </c>
      <c r="AN56" s="233">
        <f t="shared" si="48"/>
        <v>7141</v>
      </c>
      <c r="AO56" s="233">
        <f t="shared" si="49"/>
        <v>3570.5</v>
      </c>
      <c r="AP56" s="224">
        <f t="shared" si="50"/>
        <v>3570.5</v>
      </c>
      <c r="AQ56" s="279">
        <v>14567</v>
      </c>
      <c r="AR56" s="84"/>
      <c r="AS56" s="84"/>
      <c r="AT56" s="233">
        <f t="shared" si="68"/>
        <v>14567</v>
      </c>
      <c r="AU56" s="233">
        <f t="shared" si="51"/>
        <v>7283.5</v>
      </c>
      <c r="AV56" s="233">
        <f t="shared" si="52"/>
        <v>3641.75</v>
      </c>
      <c r="AW56" s="224">
        <f t="shared" si="53"/>
        <v>3641.75</v>
      </c>
      <c r="AX56" s="279">
        <v>14858</v>
      </c>
      <c r="AY56" s="84"/>
      <c r="AZ56" s="84"/>
      <c r="BA56" s="233">
        <f t="shared" si="69"/>
        <v>14858</v>
      </c>
      <c r="BB56" s="233">
        <f t="shared" si="54"/>
        <v>7429</v>
      </c>
      <c r="BC56" s="233">
        <f t="shared" si="55"/>
        <v>3714.5</v>
      </c>
      <c r="BD56" s="224">
        <f t="shared" si="56"/>
        <v>3714.5</v>
      </c>
      <c r="BE56" s="279">
        <v>15156</v>
      </c>
      <c r="BF56" s="84"/>
      <c r="BG56" s="84"/>
      <c r="BH56" s="233">
        <f t="shared" si="70"/>
        <v>15156</v>
      </c>
      <c r="BI56" s="233">
        <f t="shared" si="57"/>
        <v>7578</v>
      </c>
      <c r="BJ56" s="233">
        <f t="shared" si="58"/>
        <v>3789</v>
      </c>
      <c r="BK56" s="224">
        <f t="shared" si="59"/>
        <v>3789</v>
      </c>
      <c r="BL56" s="279">
        <v>15459</v>
      </c>
      <c r="BM56" s="84"/>
      <c r="BN56" s="84"/>
      <c r="BO56" s="233">
        <f t="shared" si="71"/>
        <v>15459</v>
      </c>
      <c r="BP56" s="233">
        <f t="shared" si="60"/>
        <v>7729.5</v>
      </c>
      <c r="BQ56" s="233">
        <f t="shared" si="61"/>
        <v>3864.75</v>
      </c>
      <c r="BR56" s="224">
        <f t="shared" si="62"/>
        <v>3864.75</v>
      </c>
    </row>
    <row r="57" spans="1:70" x14ac:dyDescent="0.35">
      <c r="A57" s="491" t="s">
        <v>1010</v>
      </c>
      <c r="B57" s="83">
        <v>6400</v>
      </c>
      <c r="C57" s="234" t="s">
        <v>666</v>
      </c>
      <c r="D57" s="83" t="s">
        <v>134</v>
      </c>
      <c r="E57" s="230"/>
      <c r="F57" s="230"/>
      <c r="G57" s="231"/>
      <c r="H57" s="235">
        <v>2804</v>
      </c>
      <c r="I57" s="84"/>
      <c r="J57" s="84"/>
      <c r="K57" s="233">
        <f t="shared" si="63"/>
        <v>2804</v>
      </c>
      <c r="L57" s="233">
        <f t="shared" si="36"/>
        <v>2523.6</v>
      </c>
      <c r="M57" s="233">
        <f t="shared" si="37"/>
        <v>140.20000000000002</v>
      </c>
      <c r="N57" s="224">
        <f t="shared" si="38"/>
        <v>140.20000000000002</v>
      </c>
      <c r="O57" s="279">
        <v>2860</v>
      </c>
      <c r="P57" s="84"/>
      <c r="Q57" s="84"/>
      <c r="R57" s="233">
        <f t="shared" si="64"/>
        <v>2860</v>
      </c>
      <c r="S57" s="233">
        <f t="shared" si="39"/>
        <v>2574</v>
      </c>
      <c r="T57" s="233">
        <f t="shared" si="40"/>
        <v>143</v>
      </c>
      <c r="U57" s="224">
        <f t="shared" si="41"/>
        <v>143</v>
      </c>
      <c r="V57" s="279">
        <v>2917</v>
      </c>
      <c r="W57" s="84"/>
      <c r="X57" s="84"/>
      <c r="Y57" s="233">
        <f t="shared" si="65"/>
        <v>2917</v>
      </c>
      <c r="Z57" s="233">
        <f t="shared" si="42"/>
        <v>2625.3</v>
      </c>
      <c r="AA57" s="233">
        <f t="shared" si="43"/>
        <v>145.85</v>
      </c>
      <c r="AB57" s="224">
        <f t="shared" si="44"/>
        <v>145.85</v>
      </c>
      <c r="AC57" s="279">
        <v>2976</v>
      </c>
      <c r="AD57" s="84"/>
      <c r="AE57" s="84"/>
      <c r="AF57" s="233">
        <f t="shared" si="66"/>
        <v>2976</v>
      </c>
      <c r="AG57" s="233">
        <f t="shared" si="45"/>
        <v>2678.4</v>
      </c>
      <c r="AH57" s="233">
        <f t="shared" si="46"/>
        <v>148.80000000000001</v>
      </c>
      <c r="AI57" s="224">
        <f t="shared" si="47"/>
        <v>148.80000000000001</v>
      </c>
      <c r="AJ57" s="279">
        <v>3035</v>
      </c>
      <c r="AK57" s="84"/>
      <c r="AL57" s="84"/>
      <c r="AM57" s="233">
        <f t="shared" si="67"/>
        <v>3035</v>
      </c>
      <c r="AN57" s="233">
        <f t="shared" si="48"/>
        <v>2731.5</v>
      </c>
      <c r="AO57" s="233">
        <f t="shared" si="49"/>
        <v>151.75</v>
      </c>
      <c r="AP57" s="224">
        <f t="shared" si="50"/>
        <v>151.75</v>
      </c>
      <c r="AQ57" s="279">
        <v>3096</v>
      </c>
      <c r="AR57" s="84"/>
      <c r="AS57" s="84"/>
      <c r="AT57" s="233">
        <f t="shared" si="68"/>
        <v>3096</v>
      </c>
      <c r="AU57" s="233">
        <f t="shared" si="51"/>
        <v>2786.4</v>
      </c>
      <c r="AV57" s="233">
        <f t="shared" si="52"/>
        <v>154.80000000000001</v>
      </c>
      <c r="AW57" s="224">
        <f t="shared" si="53"/>
        <v>154.80000000000001</v>
      </c>
      <c r="AX57" s="279">
        <v>3158</v>
      </c>
      <c r="AY57" s="84"/>
      <c r="AZ57" s="84"/>
      <c r="BA57" s="233">
        <f t="shared" si="69"/>
        <v>3158</v>
      </c>
      <c r="BB57" s="233">
        <f t="shared" si="54"/>
        <v>2842.2000000000003</v>
      </c>
      <c r="BC57" s="233">
        <f t="shared" si="55"/>
        <v>157.9</v>
      </c>
      <c r="BD57" s="224">
        <f t="shared" si="56"/>
        <v>157.9</v>
      </c>
      <c r="BE57" s="279">
        <v>3221</v>
      </c>
      <c r="BF57" s="84"/>
      <c r="BG57" s="84"/>
      <c r="BH57" s="233">
        <f t="shared" si="70"/>
        <v>3221</v>
      </c>
      <c r="BI57" s="233">
        <f t="shared" si="57"/>
        <v>2898.9</v>
      </c>
      <c r="BJ57" s="233">
        <f t="shared" si="58"/>
        <v>161.05000000000001</v>
      </c>
      <c r="BK57" s="224">
        <f t="shared" si="59"/>
        <v>161.05000000000001</v>
      </c>
      <c r="BL57" s="279">
        <v>3286</v>
      </c>
      <c r="BM57" s="84"/>
      <c r="BN57" s="84"/>
      <c r="BO57" s="233">
        <f t="shared" si="71"/>
        <v>3286</v>
      </c>
      <c r="BP57" s="233">
        <f t="shared" si="60"/>
        <v>2957.4</v>
      </c>
      <c r="BQ57" s="233">
        <f t="shared" si="61"/>
        <v>164.3</v>
      </c>
      <c r="BR57" s="224">
        <f t="shared" si="62"/>
        <v>164.3</v>
      </c>
    </row>
    <row r="58" spans="1:70" x14ac:dyDescent="0.35">
      <c r="A58" s="491" t="s">
        <v>1011</v>
      </c>
      <c r="B58" s="83">
        <v>6410</v>
      </c>
      <c r="C58" s="234" t="s">
        <v>667</v>
      </c>
      <c r="D58" s="83"/>
      <c r="E58" s="230">
        <v>1</v>
      </c>
      <c r="F58" s="230"/>
      <c r="G58" s="231"/>
      <c r="H58" s="235">
        <v>90000</v>
      </c>
      <c r="I58" s="84">
        <v>30031</v>
      </c>
      <c r="J58" s="84">
        <v>30000</v>
      </c>
      <c r="K58" s="233">
        <f t="shared" si="63"/>
        <v>89969</v>
      </c>
      <c r="L58" s="233">
        <f t="shared" si="36"/>
        <v>89969</v>
      </c>
      <c r="M58" s="233">
        <f t="shared" si="37"/>
        <v>0</v>
      </c>
      <c r="N58" s="224">
        <f t="shared" si="38"/>
        <v>0</v>
      </c>
      <c r="O58" s="279">
        <v>102000</v>
      </c>
      <c r="P58" s="84">
        <v>50432</v>
      </c>
      <c r="Q58" s="84">
        <v>37000</v>
      </c>
      <c r="R58" s="233">
        <f t="shared" si="64"/>
        <v>88568</v>
      </c>
      <c r="S58" s="233">
        <f t="shared" si="39"/>
        <v>88568</v>
      </c>
      <c r="T58" s="233">
        <f t="shared" si="40"/>
        <v>0</v>
      </c>
      <c r="U58" s="224">
        <f t="shared" si="41"/>
        <v>0</v>
      </c>
      <c r="V58" s="279">
        <v>116000</v>
      </c>
      <c r="W58" s="84">
        <v>57840</v>
      </c>
      <c r="X58" s="84">
        <v>37000</v>
      </c>
      <c r="Y58" s="233">
        <f t="shared" si="65"/>
        <v>95160</v>
      </c>
      <c r="Z58" s="233">
        <f t="shared" si="42"/>
        <v>95160</v>
      </c>
      <c r="AA58" s="233">
        <f t="shared" si="43"/>
        <v>0</v>
      </c>
      <c r="AB58" s="224">
        <f t="shared" si="44"/>
        <v>0</v>
      </c>
      <c r="AC58" s="279">
        <v>98160</v>
      </c>
      <c r="AD58" s="84">
        <v>58257</v>
      </c>
      <c r="AE58" s="84">
        <v>59000</v>
      </c>
      <c r="AF58" s="233">
        <f t="shared" si="66"/>
        <v>98903</v>
      </c>
      <c r="AG58" s="233">
        <f t="shared" si="45"/>
        <v>98903</v>
      </c>
      <c r="AH58" s="233">
        <f t="shared" si="46"/>
        <v>0</v>
      </c>
      <c r="AI58" s="224">
        <f t="shared" si="47"/>
        <v>0</v>
      </c>
      <c r="AJ58" s="279">
        <v>100903</v>
      </c>
      <c r="AK58" s="84">
        <v>80682</v>
      </c>
      <c r="AL58" s="84">
        <v>79000</v>
      </c>
      <c r="AM58" s="233">
        <f t="shared" si="67"/>
        <v>99221</v>
      </c>
      <c r="AN58" s="233">
        <f t="shared" si="48"/>
        <v>99221</v>
      </c>
      <c r="AO58" s="233">
        <f t="shared" si="49"/>
        <v>0</v>
      </c>
      <c r="AP58" s="224">
        <f t="shared" si="50"/>
        <v>0</v>
      </c>
      <c r="AQ58" s="279">
        <v>101205</v>
      </c>
      <c r="AR58" s="84"/>
      <c r="AS58" s="84"/>
      <c r="AT58" s="233">
        <f t="shared" si="68"/>
        <v>101205</v>
      </c>
      <c r="AU58" s="233">
        <f t="shared" si="51"/>
        <v>101205</v>
      </c>
      <c r="AV58" s="233">
        <f t="shared" si="52"/>
        <v>0</v>
      </c>
      <c r="AW58" s="224">
        <f t="shared" si="53"/>
        <v>0</v>
      </c>
      <c r="AX58" s="279">
        <v>103229</v>
      </c>
      <c r="AY58" s="84"/>
      <c r="AZ58" s="84"/>
      <c r="BA58" s="233">
        <f t="shared" si="69"/>
        <v>103229</v>
      </c>
      <c r="BB58" s="233">
        <f t="shared" si="54"/>
        <v>103229</v>
      </c>
      <c r="BC58" s="233">
        <f t="shared" si="55"/>
        <v>0</v>
      </c>
      <c r="BD58" s="224">
        <f t="shared" si="56"/>
        <v>0</v>
      </c>
      <c r="BE58" s="279">
        <v>105294</v>
      </c>
      <c r="BF58" s="84"/>
      <c r="BG58" s="84"/>
      <c r="BH58" s="233">
        <f t="shared" si="70"/>
        <v>105294</v>
      </c>
      <c r="BI58" s="233">
        <f t="shared" si="57"/>
        <v>105294</v>
      </c>
      <c r="BJ58" s="233">
        <f t="shared" si="58"/>
        <v>0</v>
      </c>
      <c r="BK58" s="224">
        <f t="shared" si="59"/>
        <v>0</v>
      </c>
      <c r="BL58" s="279">
        <v>107399</v>
      </c>
      <c r="BM58" s="84"/>
      <c r="BN58" s="84"/>
      <c r="BO58" s="233">
        <f t="shared" si="71"/>
        <v>107399</v>
      </c>
      <c r="BP58" s="233">
        <f t="shared" si="60"/>
        <v>107399</v>
      </c>
      <c r="BQ58" s="233">
        <f t="shared" si="61"/>
        <v>0</v>
      </c>
      <c r="BR58" s="224">
        <f t="shared" si="62"/>
        <v>0</v>
      </c>
    </row>
    <row r="59" spans="1:70" x14ac:dyDescent="0.35">
      <c r="A59" s="491" t="s">
        <v>1012</v>
      </c>
      <c r="B59" s="83">
        <v>6500</v>
      </c>
      <c r="C59" s="234" t="s">
        <v>668</v>
      </c>
      <c r="D59" s="83" t="s">
        <v>134</v>
      </c>
      <c r="E59" s="230"/>
      <c r="F59" s="230"/>
      <c r="G59" s="231"/>
      <c r="H59" s="235">
        <v>747</v>
      </c>
      <c r="I59" s="84"/>
      <c r="J59" s="84"/>
      <c r="K59" s="233">
        <f t="shared" si="63"/>
        <v>747</v>
      </c>
      <c r="L59" s="233">
        <f t="shared" si="36"/>
        <v>672.30000000000007</v>
      </c>
      <c r="M59" s="233">
        <f t="shared" si="37"/>
        <v>37.35</v>
      </c>
      <c r="N59" s="224">
        <f t="shared" si="38"/>
        <v>37.35</v>
      </c>
      <c r="O59" s="279">
        <v>762</v>
      </c>
      <c r="P59" s="84"/>
      <c r="Q59" s="84"/>
      <c r="R59" s="233">
        <f t="shared" si="64"/>
        <v>762</v>
      </c>
      <c r="S59" s="233">
        <f t="shared" si="39"/>
        <v>685.80000000000007</v>
      </c>
      <c r="T59" s="233">
        <f t="shared" si="40"/>
        <v>38.1</v>
      </c>
      <c r="U59" s="224">
        <f t="shared" si="41"/>
        <v>38.1</v>
      </c>
      <c r="V59" s="279">
        <v>777</v>
      </c>
      <c r="W59" s="84"/>
      <c r="X59" s="84"/>
      <c r="Y59" s="233">
        <f t="shared" si="65"/>
        <v>777</v>
      </c>
      <c r="Z59" s="233">
        <f t="shared" si="42"/>
        <v>699.30000000000007</v>
      </c>
      <c r="AA59" s="233">
        <f t="shared" si="43"/>
        <v>38.85</v>
      </c>
      <c r="AB59" s="224">
        <f t="shared" si="44"/>
        <v>38.85</v>
      </c>
      <c r="AC59" s="279">
        <v>793</v>
      </c>
      <c r="AD59" s="84"/>
      <c r="AE59" s="84"/>
      <c r="AF59" s="233">
        <f t="shared" si="66"/>
        <v>793</v>
      </c>
      <c r="AG59" s="233">
        <f t="shared" si="45"/>
        <v>713.7</v>
      </c>
      <c r="AH59" s="233">
        <f t="shared" si="46"/>
        <v>39.650000000000006</v>
      </c>
      <c r="AI59" s="224">
        <f t="shared" si="47"/>
        <v>39.650000000000006</v>
      </c>
      <c r="AJ59" s="279">
        <v>808</v>
      </c>
      <c r="AK59" s="84"/>
      <c r="AL59" s="84"/>
      <c r="AM59" s="233">
        <f t="shared" si="67"/>
        <v>808</v>
      </c>
      <c r="AN59" s="233">
        <f t="shared" si="48"/>
        <v>727.2</v>
      </c>
      <c r="AO59" s="233">
        <f t="shared" si="49"/>
        <v>40.400000000000006</v>
      </c>
      <c r="AP59" s="224">
        <f t="shared" si="50"/>
        <v>40.400000000000006</v>
      </c>
      <c r="AQ59" s="279">
        <v>825</v>
      </c>
      <c r="AR59" s="84"/>
      <c r="AS59" s="84"/>
      <c r="AT59" s="233">
        <f t="shared" si="68"/>
        <v>825</v>
      </c>
      <c r="AU59" s="233">
        <f t="shared" si="51"/>
        <v>742.5</v>
      </c>
      <c r="AV59" s="233">
        <f t="shared" si="52"/>
        <v>41.25</v>
      </c>
      <c r="AW59" s="224">
        <f t="shared" si="53"/>
        <v>41.25</v>
      </c>
      <c r="AX59" s="279">
        <v>841</v>
      </c>
      <c r="AY59" s="84"/>
      <c r="AZ59" s="84"/>
      <c r="BA59" s="233">
        <f t="shared" si="69"/>
        <v>841</v>
      </c>
      <c r="BB59" s="233">
        <f t="shared" si="54"/>
        <v>756.9</v>
      </c>
      <c r="BC59" s="233">
        <f t="shared" si="55"/>
        <v>42.050000000000004</v>
      </c>
      <c r="BD59" s="224">
        <f t="shared" si="56"/>
        <v>42.050000000000004</v>
      </c>
      <c r="BE59" s="279">
        <v>858</v>
      </c>
      <c r="BF59" s="84"/>
      <c r="BG59" s="84"/>
      <c r="BH59" s="233">
        <f t="shared" si="70"/>
        <v>858</v>
      </c>
      <c r="BI59" s="233">
        <f t="shared" si="57"/>
        <v>772.2</v>
      </c>
      <c r="BJ59" s="233">
        <f t="shared" si="58"/>
        <v>42.900000000000006</v>
      </c>
      <c r="BK59" s="224">
        <f t="shared" si="59"/>
        <v>42.900000000000006</v>
      </c>
      <c r="BL59" s="279">
        <v>875</v>
      </c>
      <c r="BM59" s="84"/>
      <c r="BN59" s="84"/>
      <c r="BO59" s="233">
        <f t="shared" si="71"/>
        <v>875</v>
      </c>
      <c r="BP59" s="233">
        <f t="shared" si="60"/>
        <v>787.5</v>
      </c>
      <c r="BQ59" s="233">
        <f t="shared" si="61"/>
        <v>43.75</v>
      </c>
      <c r="BR59" s="224">
        <f t="shared" si="62"/>
        <v>43.75</v>
      </c>
    </row>
    <row r="60" spans="1:70" x14ac:dyDescent="0.35">
      <c r="A60" s="491" t="s">
        <v>1013</v>
      </c>
      <c r="B60" s="83">
        <v>6520</v>
      </c>
      <c r="C60" s="234" t="s">
        <v>669</v>
      </c>
      <c r="D60" s="83" t="s">
        <v>134</v>
      </c>
      <c r="E60" s="230"/>
      <c r="F60" s="230"/>
      <c r="G60" s="231"/>
      <c r="H60" s="235">
        <v>5221</v>
      </c>
      <c r="I60" s="84"/>
      <c r="J60" s="84"/>
      <c r="K60" s="233">
        <f t="shared" si="63"/>
        <v>5221</v>
      </c>
      <c r="L60" s="233">
        <f t="shared" si="36"/>
        <v>4698.9000000000005</v>
      </c>
      <c r="M60" s="233">
        <f t="shared" si="37"/>
        <v>261.05</v>
      </c>
      <c r="N60" s="224">
        <f t="shared" si="38"/>
        <v>261.05</v>
      </c>
      <c r="O60" s="279">
        <v>5325</v>
      </c>
      <c r="P60" s="84"/>
      <c r="Q60" s="84"/>
      <c r="R60" s="233">
        <f t="shared" si="64"/>
        <v>5325</v>
      </c>
      <c r="S60" s="233">
        <f t="shared" si="39"/>
        <v>4792.5</v>
      </c>
      <c r="T60" s="233">
        <f t="shared" si="40"/>
        <v>266.25</v>
      </c>
      <c r="U60" s="224">
        <f t="shared" si="41"/>
        <v>266.25</v>
      </c>
      <c r="V60" s="279">
        <v>5431</v>
      </c>
      <c r="W60" s="84"/>
      <c r="X60" s="84"/>
      <c r="Y60" s="233">
        <f t="shared" si="65"/>
        <v>5431</v>
      </c>
      <c r="Z60" s="233">
        <f t="shared" si="42"/>
        <v>4887.9000000000005</v>
      </c>
      <c r="AA60" s="233">
        <f t="shared" si="43"/>
        <v>271.55</v>
      </c>
      <c r="AB60" s="224">
        <f t="shared" si="44"/>
        <v>271.55</v>
      </c>
      <c r="AC60" s="279">
        <v>5540</v>
      </c>
      <c r="AD60" s="84"/>
      <c r="AE60" s="84"/>
      <c r="AF60" s="233">
        <f t="shared" si="66"/>
        <v>5540</v>
      </c>
      <c r="AG60" s="233">
        <f t="shared" si="45"/>
        <v>4986</v>
      </c>
      <c r="AH60" s="233">
        <f t="shared" si="46"/>
        <v>277</v>
      </c>
      <c r="AI60" s="224">
        <f t="shared" si="47"/>
        <v>277</v>
      </c>
      <c r="AJ60" s="279">
        <v>5651</v>
      </c>
      <c r="AK60" s="84"/>
      <c r="AL60" s="84"/>
      <c r="AM60" s="233">
        <f t="shared" si="67"/>
        <v>5651</v>
      </c>
      <c r="AN60" s="233">
        <f t="shared" si="48"/>
        <v>5085.9000000000005</v>
      </c>
      <c r="AO60" s="233">
        <f t="shared" si="49"/>
        <v>282.55</v>
      </c>
      <c r="AP60" s="224">
        <f t="shared" si="50"/>
        <v>282.55</v>
      </c>
      <c r="AQ60" s="279">
        <v>5764</v>
      </c>
      <c r="AR60" s="84"/>
      <c r="AS60" s="84"/>
      <c r="AT60" s="233">
        <f t="shared" si="68"/>
        <v>5764</v>
      </c>
      <c r="AU60" s="233">
        <f t="shared" si="51"/>
        <v>5187.6000000000004</v>
      </c>
      <c r="AV60" s="233">
        <f t="shared" si="52"/>
        <v>288.2</v>
      </c>
      <c r="AW60" s="224">
        <f t="shared" si="53"/>
        <v>288.2</v>
      </c>
      <c r="AX60" s="279">
        <v>5879</v>
      </c>
      <c r="AY60" s="84"/>
      <c r="AZ60" s="84"/>
      <c r="BA60" s="233">
        <f t="shared" si="69"/>
        <v>5879</v>
      </c>
      <c r="BB60" s="233">
        <f t="shared" si="54"/>
        <v>5291.1</v>
      </c>
      <c r="BC60" s="233">
        <f t="shared" si="55"/>
        <v>293.95</v>
      </c>
      <c r="BD60" s="224">
        <f t="shared" si="56"/>
        <v>293.95</v>
      </c>
      <c r="BE60" s="279">
        <v>5997</v>
      </c>
      <c r="BF60" s="84"/>
      <c r="BG60" s="84"/>
      <c r="BH60" s="233">
        <f t="shared" si="70"/>
        <v>5997</v>
      </c>
      <c r="BI60" s="233">
        <f t="shared" si="57"/>
        <v>5397.3</v>
      </c>
      <c r="BJ60" s="233">
        <f t="shared" si="58"/>
        <v>299.85000000000002</v>
      </c>
      <c r="BK60" s="224">
        <f t="shared" si="59"/>
        <v>299.85000000000002</v>
      </c>
      <c r="BL60" s="279">
        <v>6117</v>
      </c>
      <c r="BM60" s="84"/>
      <c r="BN60" s="84"/>
      <c r="BO60" s="233">
        <f t="shared" si="71"/>
        <v>6117</v>
      </c>
      <c r="BP60" s="233">
        <f t="shared" si="60"/>
        <v>5505.3</v>
      </c>
      <c r="BQ60" s="233">
        <f t="shared" si="61"/>
        <v>305.85000000000002</v>
      </c>
      <c r="BR60" s="224">
        <f t="shared" si="62"/>
        <v>305.85000000000002</v>
      </c>
    </row>
    <row r="61" spans="1:70" x14ac:dyDescent="0.35">
      <c r="A61" s="491" t="s">
        <v>1014</v>
      </c>
      <c r="B61" s="83">
        <v>6540</v>
      </c>
      <c r="C61" s="234" t="s">
        <v>670</v>
      </c>
      <c r="D61" s="83" t="s">
        <v>134</v>
      </c>
      <c r="E61" s="230"/>
      <c r="F61" s="230"/>
      <c r="G61" s="231"/>
      <c r="H61" s="235">
        <v>668</v>
      </c>
      <c r="I61" s="84"/>
      <c r="J61" s="84"/>
      <c r="K61" s="233">
        <f t="shared" si="63"/>
        <v>668</v>
      </c>
      <c r="L61" s="233">
        <f t="shared" si="36"/>
        <v>601.20000000000005</v>
      </c>
      <c r="M61" s="233">
        <f t="shared" si="37"/>
        <v>33.4</v>
      </c>
      <c r="N61" s="224">
        <f t="shared" si="38"/>
        <v>33.4</v>
      </c>
      <c r="O61" s="279">
        <v>681</v>
      </c>
      <c r="P61" s="84"/>
      <c r="Q61" s="84"/>
      <c r="R61" s="233">
        <f t="shared" si="64"/>
        <v>681</v>
      </c>
      <c r="S61" s="233">
        <f t="shared" si="39"/>
        <v>612.9</v>
      </c>
      <c r="T61" s="233">
        <f t="shared" si="40"/>
        <v>34.050000000000004</v>
      </c>
      <c r="U61" s="224">
        <f t="shared" si="41"/>
        <v>34.050000000000004</v>
      </c>
      <c r="V61" s="279">
        <v>695</v>
      </c>
      <c r="W61" s="84"/>
      <c r="X61" s="84"/>
      <c r="Y61" s="233">
        <f t="shared" si="65"/>
        <v>695</v>
      </c>
      <c r="Z61" s="233">
        <f t="shared" si="42"/>
        <v>625.5</v>
      </c>
      <c r="AA61" s="233">
        <f t="shared" si="43"/>
        <v>34.75</v>
      </c>
      <c r="AB61" s="224">
        <f t="shared" si="44"/>
        <v>34.75</v>
      </c>
      <c r="AC61" s="279">
        <v>709</v>
      </c>
      <c r="AD61" s="84"/>
      <c r="AE61" s="84"/>
      <c r="AF61" s="233">
        <f t="shared" si="66"/>
        <v>709</v>
      </c>
      <c r="AG61" s="233">
        <f t="shared" si="45"/>
        <v>638.1</v>
      </c>
      <c r="AH61" s="233">
        <f t="shared" si="46"/>
        <v>35.450000000000003</v>
      </c>
      <c r="AI61" s="224">
        <f t="shared" si="47"/>
        <v>35.450000000000003</v>
      </c>
      <c r="AJ61" s="279">
        <v>723</v>
      </c>
      <c r="AK61" s="84"/>
      <c r="AL61" s="84"/>
      <c r="AM61" s="233">
        <f t="shared" si="67"/>
        <v>723</v>
      </c>
      <c r="AN61" s="233">
        <f t="shared" si="48"/>
        <v>650.70000000000005</v>
      </c>
      <c r="AO61" s="233">
        <f t="shared" si="49"/>
        <v>36.15</v>
      </c>
      <c r="AP61" s="224">
        <f t="shared" si="50"/>
        <v>36.15</v>
      </c>
      <c r="AQ61" s="279">
        <v>738</v>
      </c>
      <c r="AR61" s="84"/>
      <c r="AS61" s="84"/>
      <c r="AT61" s="233">
        <f t="shared" si="68"/>
        <v>738</v>
      </c>
      <c r="AU61" s="233">
        <f t="shared" si="51"/>
        <v>664.2</v>
      </c>
      <c r="AV61" s="233">
        <f t="shared" si="52"/>
        <v>36.9</v>
      </c>
      <c r="AW61" s="224">
        <f t="shared" si="53"/>
        <v>36.9</v>
      </c>
      <c r="AX61" s="279">
        <v>752</v>
      </c>
      <c r="AY61" s="84"/>
      <c r="AZ61" s="84"/>
      <c r="BA61" s="233">
        <f t="shared" si="69"/>
        <v>752</v>
      </c>
      <c r="BB61" s="233">
        <f t="shared" si="54"/>
        <v>676.80000000000007</v>
      </c>
      <c r="BC61" s="233">
        <f t="shared" si="55"/>
        <v>37.6</v>
      </c>
      <c r="BD61" s="224">
        <f t="shared" si="56"/>
        <v>37.6</v>
      </c>
      <c r="BE61" s="279">
        <v>767</v>
      </c>
      <c r="BF61" s="84"/>
      <c r="BG61" s="84"/>
      <c r="BH61" s="233">
        <f t="shared" si="70"/>
        <v>767</v>
      </c>
      <c r="BI61" s="233">
        <f t="shared" si="57"/>
        <v>690.30000000000007</v>
      </c>
      <c r="BJ61" s="233">
        <f t="shared" si="58"/>
        <v>38.35</v>
      </c>
      <c r="BK61" s="224">
        <f t="shared" si="59"/>
        <v>38.35</v>
      </c>
      <c r="BL61" s="279">
        <v>783</v>
      </c>
      <c r="BM61" s="84"/>
      <c r="BN61" s="84"/>
      <c r="BO61" s="233">
        <f t="shared" si="71"/>
        <v>783</v>
      </c>
      <c r="BP61" s="233">
        <f t="shared" si="60"/>
        <v>704.7</v>
      </c>
      <c r="BQ61" s="233">
        <f t="shared" si="61"/>
        <v>39.150000000000006</v>
      </c>
      <c r="BR61" s="224">
        <f t="shared" si="62"/>
        <v>39.150000000000006</v>
      </c>
    </row>
    <row r="62" spans="1:70" x14ac:dyDescent="0.35">
      <c r="A62" s="491" t="s">
        <v>1015</v>
      </c>
      <c r="B62" s="83">
        <v>6550</v>
      </c>
      <c r="C62" s="234" t="s">
        <v>671</v>
      </c>
      <c r="D62" s="83"/>
      <c r="E62" s="230">
        <v>0.75</v>
      </c>
      <c r="F62" s="230">
        <v>0.125</v>
      </c>
      <c r="G62" s="231">
        <v>0.125</v>
      </c>
      <c r="H62" s="235">
        <v>6067</v>
      </c>
      <c r="I62" s="84"/>
      <c r="J62" s="84">
        <v>2000</v>
      </c>
      <c r="K62" s="233">
        <f t="shared" si="63"/>
        <v>8067</v>
      </c>
      <c r="L62" s="233">
        <f t="shared" ref="L62:L93" si="72">IF(H$2="-","-",IF($E62+$F62+$G62=1,K62*$E62,IF($D62="uns",K62*HLOOKUP(H$2,Verteil_sw,46,FALSE),IF($D62="unm",K62*HLOOKUP(H$2,Verteil_sw,47,FALSE),IF($D62="unr",K62*HLOOKUP(H$2,Verteil_sw,48,FALSE),IF($D62="unk",K62*HLOOKUP(H$2,Verteil_sw,49,FALSE),IF($D62="alz",K62*HLOOKUP(H$2,Verteil_sw,51,FALSE),0)))))))</f>
        <v>6050.25</v>
      </c>
      <c r="M62" s="233">
        <f t="shared" ref="M62:M93" si="73">IF(H$2="-","-",IF($E62+$F62+$G62=1,K62*$F62,IF($D62="uns",K62*HLOOKUP(H$2,Verteil_rwgr,45,FALSE),IF($D62="unm",K62*HLOOKUP(H$2,Verteil_rwgr,46,FALSE),IF($D62="unr",K62*HLOOKUP(H$2,Verteil_rwgr,47,FALSE),IF($D62="unk",K62*HLOOKUP(H$2,Verteil_rwgr,48,FALSE),IF($D62="alz",K62*HLOOKUP(H$2,Verteil_rwgr,50,FALSE),0)))))))</f>
        <v>1008.375</v>
      </c>
      <c r="N62" s="224">
        <f t="shared" ref="N62:N93" si="74">IF(H$2="-","-",IF($E62+$F62+$G62=1,K62*$G62,IF($D62="uns",K62*HLOOKUP(H$2,Verteil_rwst,44,FALSE),IF($D62="unm",K62*HLOOKUP(H$2,Verteil_rwst,45,FALSE),IF($D62="unr",K62*HLOOKUP(H$2,Verteil_rwst,46,FALSE),IF($D62="unk",K62*HLOOKUP(H$2,Verteil_rwst,47,FALSE),IF($D62="alz",K62*HLOOKUP(H$2,Verteil_rwst,49,FALSE),0)))))))</f>
        <v>1008.375</v>
      </c>
      <c r="O62" s="279">
        <v>6188</v>
      </c>
      <c r="P62" s="84"/>
      <c r="Q62" s="84">
        <v>2000</v>
      </c>
      <c r="R62" s="233">
        <f t="shared" si="64"/>
        <v>8188</v>
      </c>
      <c r="S62" s="233">
        <f t="shared" ref="S62:S93" si="75">IF(O$2="-","-",IF($E62+$F62+$G62=1,R62*$E62,IF($D62="uns",R62*HLOOKUP(O$2,Verteil_sw,46,FALSE),IF($D62="unm",R62*HLOOKUP(O$2,Verteil_sw,47,FALSE),IF($D62="unr",R62*HLOOKUP(O$2,Verteil_sw,48,FALSE),IF($D62="unk",R62*HLOOKUP(O$2,Verteil_sw,49,FALSE),IF($D62="alz",R62*HLOOKUP(O$2,Verteil_sw,51,FALSE),0)))))))</f>
        <v>6141</v>
      </c>
      <c r="T62" s="233">
        <f t="shared" ref="T62:T93" si="76">IF(O$2="-","-",IF($E62+$F62+$G62=1,R62*$F62,IF($D62="uns",R62*HLOOKUP(O$2,Verteil_rwgr,45,FALSE),IF($D62="unm",R62*HLOOKUP(O$2,Verteil_rwgr,46,FALSE),IF($D62="unr",R62*HLOOKUP(O$2,Verteil_rwgr,47,FALSE),IF($D62="unk",R62*HLOOKUP(O$2,Verteil_rwgr,48,FALSE),IF($D62="alz",R62*HLOOKUP(O$2,Verteil_rwgr,50,FALSE),0)))))))</f>
        <v>1023.5</v>
      </c>
      <c r="U62" s="224">
        <f t="shared" ref="U62:U93" si="77">IF(O$2="-","-",IF($E62+$F62+$G62=1,R62*$G62,IF($D62="uns",R62*HLOOKUP(O$2,Verteil_rwst,44,FALSE),IF($D62="unm",R62*HLOOKUP(O$2,Verteil_rwst,45,FALSE),IF($D62="unr",R62*HLOOKUP(O$2,Verteil_rwst,46,FALSE),IF($D62="unk",R62*HLOOKUP(O$2,Verteil_rwst,47,FALSE),IF($D62="alz",R62*HLOOKUP(O$2,Verteil_rwst,49,FALSE),0)))))))</f>
        <v>1023.5</v>
      </c>
      <c r="V62" s="279">
        <v>6312</v>
      </c>
      <c r="W62" s="84"/>
      <c r="X62" s="84">
        <v>2000</v>
      </c>
      <c r="Y62" s="233">
        <f t="shared" si="65"/>
        <v>8312</v>
      </c>
      <c r="Z62" s="233">
        <f t="shared" ref="Z62:Z93" si="78">IF(V$2="-","-",IF($E62+$F62+$G62=1,Y62*$E62,IF($D62="uns",Y62*HLOOKUP(V$2,Verteil_sw,46,FALSE),IF($D62="unm",Y62*HLOOKUP(V$2,Verteil_sw,47,FALSE),IF($D62="unr",Y62*HLOOKUP(V$2,Verteil_sw,48,FALSE),IF($D62="unk",Y62*HLOOKUP(V$2,Verteil_sw,49,FALSE),IF($D62="alz",Y62*HLOOKUP(V$2,Verteil_sw,51,FALSE),0)))))))</f>
        <v>6234</v>
      </c>
      <c r="AA62" s="233">
        <f t="shared" ref="AA62:AA93" si="79">IF(V$2="-","-",IF($E62+$F62+$G62=1,Y62*$F62,IF($D62="uns",Y62*HLOOKUP(V$2,Verteil_rwgr,45,FALSE),IF($D62="unm",Y62*HLOOKUP(V$2,Verteil_rwgr,46,FALSE),IF($D62="unr",Y62*HLOOKUP(V$2,Verteil_rwgr,47,FALSE),IF($D62="unk",Y62*HLOOKUP(V$2,Verteil_rwgr,48,FALSE),IF($D62="alz",Y62*HLOOKUP(V$2,Verteil_rwgr,50,FALSE),0)))))))</f>
        <v>1039</v>
      </c>
      <c r="AB62" s="224">
        <f t="shared" ref="AB62:AB93" si="80">IF(V$2="-","-",IF($E62+$F62+$G62=1,Y62*$G62,IF($D62="uns",Y62*HLOOKUP(V$2,Verteil_rwst,44,FALSE),IF($D62="unm",Y62*HLOOKUP(V$2,Verteil_rwst,45,FALSE),IF($D62="unr",Y62*HLOOKUP(V$2,Verteil_rwst,46,FALSE),IF($D62="unk",Y62*HLOOKUP(V$2,Verteil_rwst,47,FALSE),IF($D62="alz",Y62*HLOOKUP(V$2,Verteil_rwst,49,FALSE),0)))))))</f>
        <v>1039</v>
      </c>
      <c r="AC62" s="279">
        <v>6438</v>
      </c>
      <c r="AD62" s="84"/>
      <c r="AE62" s="84">
        <v>2000</v>
      </c>
      <c r="AF62" s="233">
        <f t="shared" si="66"/>
        <v>8438</v>
      </c>
      <c r="AG62" s="233">
        <f t="shared" ref="AG62:AG93" si="81">IF(AC$2="-","-",IF($E62+$F62+$G62=1,AF62*$E62,IF($D62="uns",AF62*HLOOKUP(AC$2,Verteil_sw,46,FALSE),IF($D62="unm",AF62*HLOOKUP(AC$2,Verteil_sw,47,FALSE),IF($D62="unr",AF62*HLOOKUP(AC$2,Verteil_sw,48,FALSE),IF($D62="unk",AF62*HLOOKUP(AC$2,Verteil_sw,49,FALSE),IF($D62="alz",AF62*HLOOKUP(AC$2,Verteil_sw,51,FALSE),0)))))))</f>
        <v>6328.5</v>
      </c>
      <c r="AH62" s="233">
        <f t="shared" ref="AH62:AH93" si="82">IF(AC$2="-","-",IF($E62+$F62+$G62=1,AF62*$F62,IF($D62="uns",AF62*HLOOKUP(AC$2,Verteil_rwgr,45,FALSE),IF($D62="unm",AF62*HLOOKUP(AC$2,Verteil_rwgr,46,FALSE),IF($D62="unr",AF62*HLOOKUP(AC$2,Verteil_rwgr,47,FALSE),IF($D62="unk",AF62*HLOOKUP(AC$2,Verteil_rwgr,48,FALSE),IF($D62="alz",AF62*HLOOKUP(AC$2,Verteil_rwgr,50,FALSE),0)))))))</f>
        <v>1054.75</v>
      </c>
      <c r="AI62" s="224">
        <f t="shared" ref="AI62:AI93" si="83">IF(AC$2="-","-",IF($E62+$F62+$G62=1,AF62*$G62,IF($D62="uns",AF62*HLOOKUP(AC$2,Verteil_rwst,44,FALSE),IF($D62="unm",AF62*HLOOKUP(AC$2,Verteil_rwst,45,FALSE),IF($D62="unr",AF62*HLOOKUP(AC$2,Verteil_rwst,46,FALSE),IF($D62="unk",AF62*HLOOKUP(AC$2,Verteil_rwst,47,FALSE),IF($D62="alz",AF62*HLOOKUP(AC$2,Verteil_rwst,49,FALSE),0)))))))</f>
        <v>1054.75</v>
      </c>
      <c r="AJ62" s="279">
        <v>6567</v>
      </c>
      <c r="AK62" s="84"/>
      <c r="AL62" s="84">
        <v>2000</v>
      </c>
      <c r="AM62" s="233">
        <f t="shared" si="67"/>
        <v>8567</v>
      </c>
      <c r="AN62" s="233">
        <f t="shared" ref="AN62:AN93" si="84">IF(AJ$2="-","-",IF($E62+$F62+$G62=1,AM62*$E62,IF($D62="uns",AM62*HLOOKUP(AJ$2,Verteil_sw,46,FALSE),IF($D62="unm",AM62*HLOOKUP(AJ$2,Verteil_sw,47,FALSE),IF($D62="unr",AM62*HLOOKUP(AJ$2,Verteil_sw,48,FALSE),IF($D62="unk",AM62*HLOOKUP(AJ$2,Verteil_sw,49,FALSE),IF($D62="alz",AM62*HLOOKUP(AJ$2,Verteil_sw,51,FALSE),0)))))))</f>
        <v>6425.25</v>
      </c>
      <c r="AO62" s="233">
        <f t="shared" ref="AO62:AO93" si="85">IF(AJ$2="-","-",IF($E62+$F62+$G62=1,AM62*$F62,IF($D62="uns",AM62*HLOOKUP(AJ$2,Verteil_rwgr,45,FALSE),IF($D62="unm",AM62*HLOOKUP(AJ$2,Verteil_rwgr,46,FALSE),IF($D62="unr",AM62*HLOOKUP(AJ$2,Verteil_rwgr,47,FALSE),IF($D62="unk",AM62*HLOOKUP(AJ$2,Verteil_rwgr,48,FALSE),IF($D62="alz",AM62*HLOOKUP(AJ$2,Verteil_rwgr,50,FALSE),0)))))))</f>
        <v>1070.875</v>
      </c>
      <c r="AP62" s="224">
        <f t="shared" ref="AP62:AP93" si="86">IF(AJ$2="-","-",IF($E62+$F62+$G62=1,AM62*$G62,IF($D62="uns",AM62*HLOOKUP(AJ$2,Verteil_rwst,44,FALSE),IF($D62="unm",AM62*HLOOKUP(AJ$2,Verteil_rwst,45,FALSE),IF($D62="unr",AM62*HLOOKUP(AJ$2,Verteil_rwst,46,FALSE),IF($D62="unk",AM62*HLOOKUP(AJ$2,Verteil_rwst,47,FALSE),IF($D62="alz",AM62*HLOOKUP(AJ$2,Verteil_rwst,49,FALSE),0)))))))</f>
        <v>1070.875</v>
      </c>
      <c r="AQ62" s="279">
        <v>8738</v>
      </c>
      <c r="AR62" s="84"/>
      <c r="AS62" s="84"/>
      <c r="AT62" s="233">
        <f t="shared" si="68"/>
        <v>8738</v>
      </c>
      <c r="AU62" s="233">
        <f t="shared" ref="AU62:AU93" si="87">IF(AQ$2="-","-",IF($E62+$F62+$G62=1,AT62*$E62,IF($D62="uns",AT62*HLOOKUP(AQ$2,Verteil_sw,46,FALSE),IF($D62="unm",AT62*HLOOKUP(AQ$2,Verteil_sw,47,FALSE),IF($D62="unr",AT62*HLOOKUP(AQ$2,Verteil_sw,48,FALSE),IF($D62="unk",AT62*HLOOKUP(AQ$2,Verteil_sw,49,FALSE),IF($D62="alz",AT62*HLOOKUP(AQ$2,Verteil_sw,51,FALSE),0)))))))</f>
        <v>6553.5</v>
      </c>
      <c r="AV62" s="233">
        <f t="shared" ref="AV62:AV93" si="88">IF(AQ$2="-","-",IF($E62+$F62+$G62=1,AT62*$F62,IF($D62="uns",AT62*HLOOKUP(AQ$2,Verteil_rwgr,45,FALSE),IF($D62="unm",AT62*HLOOKUP(AQ$2,Verteil_rwgr,46,FALSE),IF($D62="unr",AT62*HLOOKUP(AQ$2,Verteil_rwgr,47,FALSE),IF($D62="unk",AT62*HLOOKUP(AQ$2,Verteil_rwgr,48,FALSE),IF($D62="alz",AT62*HLOOKUP(AQ$2,Verteil_rwgr,50,FALSE),0)))))))</f>
        <v>1092.25</v>
      </c>
      <c r="AW62" s="224">
        <f t="shared" ref="AW62:AW93" si="89">IF(AQ$2="-","-",IF($E62+$F62+$G62=1,AT62*$G62,IF($D62="uns",AT62*HLOOKUP(AQ$2,Verteil_rwst,44,FALSE),IF($D62="unm",AT62*HLOOKUP(AQ$2,Verteil_rwst,45,FALSE),IF($D62="unr",AT62*HLOOKUP(AQ$2,Verteil_rwst,46,FALSE),IF($D62="unk",AT62*HLOOKUP(AQ$2,Verteil_rwst,47,FALSE),IF($D62="alz",AT62*HLOOKUP(AQ$2,Verteil_rwst,49,FALSE),0)))))))</f>
        <v>1092.25</v>
      </c>
      <c r="AX62" s="279">
        <v>8913</v>
      </c>
      <c r="AY62" s="84"/>
      <c r="AZ62" s="84"/>
      <c r="BA62" s="233">
        <f t="shared" si="69"/>
        <v>8913</v>
      </c>
      <c r="BB62" s="233">
        <f t="shared" ref="BB62:BB93" si="90">IF(AX$2="-","-",IF($E62+$F62+$G62=1,BA62*$E62,IF($D62="uns",BA62*HLOOKUP(AX$2,Verteil_sw,46,FALSE),IF($D62="unm",BA62*HLOOKUP(AX$2,Verteil_sw,47,FALSE),IF($D62="unr",BA62*HLOOKUP(AX$2,Verteil_sw,48,FALSE),IF($D62="unk",BA62*HLOOKUP(AX$2,Verteil_sw,49,FALSE),IF($D62="alz",BA62*HLOOKUP(AX$2,Verteil_sw,51,FALSE),0)))))))</f>
        <v>6684.75</v>
      </c>
      <c r="BC62" s="233">
        <f t="shared" ref="BC62:BC93" si="91">IF(AX$2="-","-",IF($E62+$F62+$G62=1,BA62*$F62,IF($D62="uns",BA62*HLOOKUP(AX$2,Verteil_rwgr,45,FALSE),IF($D62="unm",BA62*HLOOKUP(AX$2,Verteil_rwgr,46,FALSE),IF($D62="unr",BA62*HLOOKUP(AX$2,Verteil_rwgr,47,FALSE),IF($D62="unk",BA62*HLOOKUP(AX$2,Verteil_rwgr,48,FALSE),IF($D62="alz",BA62*HLOOKUP(AX$2,Verteil_rwgr,50,FALSE),0)))))))</f>
        <v>1114.125</v>
      </c>
      <c r="BD62" s="224">
        <f t="shared" ref="BD62:BD93" si="92">IF(AX$2="-","-",IF($E62+$F62+$G62=1,BA62*$G62,IF($D62="uns",BA62*HLOOKUP(AX$2,Verteil_rwst,44,FALSE),IF($D62="unm",BA62*HLOOKUP(AX$2,Verteil_rwst,45,FALSE),IF($D62="unr",BA62*HLOOKUP(AX$2,Verteil_rwst,46,FALSE),IF($D62="unk",BA62*HLOOKUP(AX$2,Verteil_rwst,47,FALSE),IF($D62="alz",BA62*HLOOKUP(AX$2,Verteil_rwst,49,FALSE),0)))))))</f>
        <v>1114.125</v>
      </c>
      <c r="BE62" s="279">
        <v>9091</v>
      </c>
      <c r="BF62" s="84"/>
      <c r="BG62" s="84"/>
      <c r="BH62" s="233">
        <f t="shared" si="70"/>
        <v>9091</v>
      </c>
      <c r="BI62" s="233">
        <f t="shared" ref="BI62:BI93" si="93">IF(BE$2="-","-",IF($E62+$F62+$G62=1,BH62*$E62,IF($D62="uns",BH62*HLOOKUP(BE$2,Verteil_sw,46,FALSE),IF($D62="unm",BH62*HLOOKUP(BE$2,Verteil_sw,47,FALSE),IF($D62="unr",BH62*HLOOKUP(BE$2,Verteil_sw,48,FALSE),IF($D62="unk",BH62*HLOOKUP(BE$2,Verteil_sw,49,FALSE),IF($D62="alz",BH62*HLOOKUP(BE$2,Verteil_sw,51,FALSE),0)))))))</f>
        <v>6818.25</v>
      </c>
      <c r="BJ62" s="233">
        <f t="shared" ref="BJ62:BJ93" si="94">IF(BE$2="-","-",IF($E62+$F62+$G62=1,BH62*$F62,IF($D62="uns",BH62*HLOOKUP(BE$2,Verteil_rwgr,45,FALSE),IF($D62="unm",BH62*HLOOKUP(BE$2,Verteil_rwgr,46,FALSE),IF($D62="unr",BH62*HLOOKUP(BE$2,Verteil_rwgr,47,FALSE),IF($D62="unk",BH62*HLOOKUP(BE$2,Verteil_rwgr,48,FALSE),IF($D62="alz",BH62*HLOOKUP(BE$2,Verteil_rwgr,50,FALSE),0)))))))</f>
        <v>1136.375</v>
      </c>
      <c r="BK62" s="224">
        <f t="shared" ref="BK62:BK93" si="95">IF(BE$2="-","-",IF($E62+$F62+$G62=1,BH62*$G62,IF($D62="uns",BH62*HLOOKUP(BE$2,Verteil_rwst,44,FALSE),IF($D62="unm",BH62*HLOOKUP(BE$2,Verteil_rwst,45,FALSE),IF($D62="unr",BH62*HLOOKUP(BE$2,Verteil_rwst,46,FALSE),IF($D62="unk",BH62*HLOOKUP(BE$2,Verteil_rwst,47,FALSE),IF($D62="alz",BH62*HLOOKUP(BE$2,Verteil_rwst,49,FALSE),0)))))))</f>
        <v>1136.375</v>
      </c>
      <c r="BL62" s="279">
        <v>9273</v>
      </c>
      <c r="BM62" s="84"/>
      <c r="BN62" s="84"/>
      <c r="BO62" s="233">
        <f t="shared" si="71"/>
        <v>9273</v>
      </c>
      <c r="BP62" s="233">
        <f t="shared" ref="BP62:BP93" si="96">IF(BL$2="-","-",IF($E62+$F62+$G62=1,BO62*$E62,IF($D62="uns",BO62*HLOOKUP(BL$2,Verteil_sw,46,FALSE),IF($D62="unm",BO62*HLOOKUP(BL$2,Verteil_sw,47,FALSE),IF($D62="unr",BO62*HLOOKUP(BL$2,Verteil_sw,48,FALSE),IF($D62="unk",BO62*HLOOKUP(BL$2,Verteil_sw,49,FALSE),IF($D62="alz",BO62*HLOOKUP(BL$2,Verteil_sw,51,FALSE),0)))))))</f>
        <v>6954.75</v>
      </c>
      <c r="BQ62" s="233">
        <f t="shared" ref="BQ62:BQ93" si="97">IF(BL$2="-","-",IF($E62+$F62+$G62=1,BO62*$F62,IF($D62="uns",BO62*HLOOKUP(BL$2,Verteil_rwgr,45,FALSE),IF($D62="unm",BO62*HLOOKUP(BL$2,Verteil_rwgr,46,FALSE),IF($D62="unr",BO62*HLOOKUP(BL$2,Verteil_rwgr,47,FALSE),IF($D62="unk",BO62*HLOOKUP(BL$2,Verteil_rwgr,48,FALSE),IF($D62="alz",BO62*HLOOKUP(BL$2,Verteil_rwgr,50,FALSE),0)))))))</f>
        <v>1159.125</v>
      </c>
      <c r="BR62" s="224">
        <f t="shared" ref="BR62:BR93" si="98">IF(BL$2="-","-",IF($E62+$F62+$G62=1,BO62*$G62,IF($D62="uns",BO62*HLOOKUP(BL$2,Verteil_rwst,44,FALSE),IF($D62="unm",BO62*HLOOKUP(BL$2,Verteil_rwst,45,FALSE),IF($D62="unr",BO62*HLOOKUP(BL$2,Verteil_rwst,46,FALSE),IF($D62="unk",BO62*HLOOKUP(BL$2,Verteil_rwst,47,FALSE),IF($D62="alz",BO62*HLOOKUP(BL$2,Verteil_rwst,49,FALSE),0)))))))</f>
        <v>1159.125</v>
      </c>
    </row>
    <row r="63" spans="1:70" x14ac:dyDescent="0.35">
      <c r="A63" s="491" t="s">
        <v>1016</v>
      </c>
      <c r="B63" s="83">
        <v>6610</v>
      </c>
      <c r="C63" s="234" t="s">
        <v>672</v>
      </c>
      <c r="D63" s="83" t="s">
        <v>134</v>
      </c>
      <c r="E63" s="230"/>
      <c r="F63" s="230"/>
      <c r="G63" s="231"/>
      <c r="H63" s="235">
        <v>350</v>
      </c>
      <c r="I63" s="84"/>
      <c r="J63" s="84"/>
      <c r="K63" s="233">
        <f t="shared" si="63"/>
        <v>350</v>
      </c>
      <c r="L63" s="233">
        <f t="shared" si="72"/>
        <v>315</v>
      </c>
      <c r="M63" s="233">
        <f t="shared" si="73"/>
        <v>17.5</v>
      </c>
      <c r="N63" s="224">
        <f t="shared" si="74"/>
        <v>17.5</v>
      </c>
      <c r="O63" s="279">
        <v>357</v>
      </c>
      <c r="P63" s="84"/>
      <c r="Q63" s="84"/>
      <c r="R63" s="233">
        <f t="shared" si="64"/>
        <v>357</v>
      </c>
      <c r="S63" s="233">
        <f t="shared" si="75"/>
        <v>321.3</v>
      </c>
      <c r="T63" s="233">
        <f t="shared" si="76"/>
        <v>17.850000000000001</v>
      </c>
      <c r="U63" s="224">
        <f t="shared" si="77"/>
        <v>17.850000000000001</v>
      </c>
      <c r="V63" s="279">
        <v>364</v>
      </c>
      <c r="W63" s="84"/>
      <c r="X63" s="84"/>
      <c r="Y63" s="233">
        <f t="shared" si="65"/>
        <v>364</v>
      </c>
      <c r="Z63" s="233">
        <f t="shared" si="78"/>
        <v>327.60000000000002</v>
      </c>
      <c r="AA63" s="233">
        <f t="shared" si="79"/>
        <v>18.2</v>
      </c>
      <c r="AB63" s="224">
        <f t="shared" si="80"/>
        <v>18.2</v>
      </c>
      <c r="AC63" s="279">
        <v>371</v>
      </c>
      <c r="AD63" s="84"/>
      <c r="AE63" s="84"/>
      <c r="AF63" s="233">
        <f t="shared" si="66"/>
        <v>371</v>
      </c>
      <c r="AG63" s="233">
        <f t="shared" si="81"/>
        <v>333.90000000000003</v>
      </c>
      <c r="AH63" s="233">
        <f t="shared" si="82"/>
        <v>18.55</v>
      </c>
      <c r="AI63" s="224">
        <f t="shared" si="83"/>
        <v>18.55</v>
      </c>
      <c r="AJ63" s="279">
        <v>379</v>
      </c>
      <c r="AK63" s="84"/>
      <c r="AL63" s="84"/>
      <c r="AM63" s="233">
        <f t="shared" si="67"/>
        <v>379</v>
      </c>
      <c r="AN63" s="233">
        <f t="shared" si="84"/>
        <v>341.1</v>
      </c>
      <c r="AO63" s="233">
        <f t="shared" si="85"/>
        <v>18.95</v>
      </c>
      <c r="AP63" s="224">
        <f t="shared" si="86"/>
        <v>18.95</v>
      </c>
      <c r="AQ63" s="279">
        <v>386</v>
      </c>
      <c r="AR63" s="84"/>
      <c r="AS63" s="84"/>
      <c r="AT63" s="233">
        <f t="shared" si="68"/>
        <v>386</v>
      </c>
      <c r="AU63" s="233">
        <f t="shared" si="87"/>
        <v>347.40000000000003</v>
      </c>
      <c r="AV63" s="233">
        <f t="shared" si="88"/>
        <v>19.3</v>
      </c>
      <c r="AW63" s="224">
        <f t="shared" si="89"/>
        <v>19.3</v>
      </c>
      <c r="AX63" s="279">
        <v>394</v>
      </c>
      <c r="AY63" s="84"/>
      <c r="AZ63" s="84"/>
      <c r="BA63" s="233">
        <f t="shared" si="69"/>
        <v>394</v>
      </c>
      <c r="BB63" s="233">
        <f t="shared" si="90"/>
        <v>354.6</v>
      </c>
      <c r="BC63" s="233">
        <f t="shared" si="91"/>
        <v>19.700000000000003</v>
      </c>
      <c r="BD63" s="224">
        <f t="shared" si="92"/>
        <v>19.700000000000003</v>
      </c>
      <c r="BE63" s="279">
        <v>402</v>
      </c>
      <c r="BF63" s="84"/>
      <c r="BG63" s="84"/>
      <c r="BH63" s="233">
        <f t="shared" si="70"/>
        <v>402</v>
      </c>
      <c r="BI63" s="233">
        <f t="shared" si="93"/>
        <v>361.8</v>
      </c>
      <c r="BJ63" s="233">
        <f t="shared" si="94"/>
        <v>20.100000000000001</v>
      </c>
      <c r="BK63" s="224">
        <f t="shared" si="95"/>
        <v>20.100000000000001</v>
      </c>
      <c r="BL63" s="279">
        <v>410</v>
      </c>
      <c r="BM63" s="84"/>
      <c r="BN63" s="84"/>
      <c r="BO63" s="233">
        <f t="shared" si="71"/>
        <v>410</v>
      </c>
      <c r="BP63" s="233">
        <f t="shared" si="96"/>
        <v>369</v>
      </c>
      <c r="BQ63" s="233">
        <f t="shared" si="97"/>
        <v>20.5</v>
      </c>
      <c r="BR63" s="224">
        <f t="shared" si="98"/>
        <v>20.5</v>
      </c>
    </row>
    <row r="64" spans="1:70" x14ac:dyDescent="0.35">
      <c r="A64" s="491" t="s">
        <v>1017</v>
      </c>
      <c r="B64" s="83">
        <v>679</v>
      </c>
      <c r="C64" s="234" t="s">
        <v>673</v>
      </c>
      <c r="D64" s="83"/>
      <c r="E64" s="230">
        <v>0.8</v>
      </c>
      <c r="F64" s="230">
        <v>0.1</v>
      </c>
      <c r="G64" s="231">
        <v>0.1</v>
      </c>
      <c r="H64" s="235">
        <v>71938</v>
      </c>
      <c r="I64" s="84"/>
      <c r="J64" s="84"/>
      <c r="K64" s="233">
        <f t="shared" si="63"/>
        <v>71938</v>
      </c>
      <c r="L64" s="233">
        <f t="shared" si="72"/>
        <v>57550.400000000001</v>
      </c>
      <c r="M64" s="233">
        <f t="shared" si="73"/>
        <v>7193.8</v>
      </c>
      <c r="N64" s="224">
        <f t="shared" si="74"/>
        <v>7193.8</v>
      </c>
      <c r="O64" s="279">
        <v>73376</v>
      </c>
      <c r="P64" s="84"/>
      <c r="Q64" s="84"/>
      <c r="R64" s="233">
        <f t="shared" si="64"/>
        <v>73376</v>
      </c>
      <c r="S64" s="233">
        <f t="shared" si="75"/>
        <v>58700.800000000003</v>
      </c>
      <c r="T64" s="233">
        <f t="shared" si="76"/>
        <v>7337.6</v>
      </c>
      <c r="U64" s="224">
        <f t="shared" si="77"/>
        <v>7337.6</v>
      </c>
      <c r="V64" s="279">
        <v>74844</v>
      </c>
      <c r="W64" s="84"/>
      <c r="X64" s="84"/>
      <c r="Y64" s="233">
        <f t="shared" si="65"/>
        <v>74844</v>
      </c>
      <c r="Z64" s="233">
        <f t="shared" si="78"/>
        <v>59875.200000000004</v>
      </c>
      <c r="AA64" s="233">
        <f t="shared" si="79"/>
        <v>7484.4000000000005</v>
      </c>
      <c r="AB64" s="224">
        <f t="shared" si="80"/>
        <v>7484.4000000000005</v>
      </c>
      <c r="AC64" s="279">
        <v>76341</v>
      </c>
      <c r="AD64" s="84"/>
      <c r="AE64" s="84"/>
      <c r="AF64" s="233">
        <f t="shared" si="66"/>
        <v>76341</v>
      </c>
      <c r="AG64" s="233">
        <f t="shared" si="81"/>
        <v>61072.800000000003</v>
      </c>
      <c r="AH64" s="233">
        <f t="shared" si="82"/>
        <v>7634.1</v>
      </c>
      <c r="AI64" s="224">
        <f t="shared" si="83"/>
        <v>7634.1</v>
      </c>
      <c r="AJ64" s="279">
        <v>77867</v>
      </c>
      <c r="AK64" s="84"/>
      <c r="AL64" s="84"/>
      <c r="AM64" s="233">
        <f t="shared" si="67"/>
        <v>77867</v>
      </c>
      <c r="AN64" s="233">
        <f t="shared" si="84"/>
        <v>62293.600000000006</v>
      </c>
      <c r="AO64" s="233">
        <f t="shared" si="85"/>
        <v>7786.7000000000007</v>
      </c>
      <c r="AP64" s="224">
        <f t="shared" si="86"/>
        <v>7786.7000000000007</v>
      </c>
      <c r="AQ64" s="279">
        <v>79425</v>
      </c>
      <c r="AR64" s="84"/>
      <c r="AS64" s="84"/>
      <c r="AT64" s="233">
        <f t="shared" si="68"/>
        <v>79425</v>
      </c>
      <c r="AU64" s="233">
        <f t="shared" si="87"/>
        <v>63540</v>
      </c>
      <c r="AV64" s="233">
        <f t="shared" si="88"/>
        <v>7942.5</v>
      </c>
      <c r="AW64" s="224">
        <f t="shared" si="89"/>
        <v>7942.5</v>
      </c>
      <c r="AX64" s="279">
        <v>81013</v>
      </c>
      <c r="AY64" s="84"/>
      <c r="AZ64" s="84"/>
      <c r="BA64" s="233">
        <f t="shared" si="69"/>
        <v>81013</v>
      </c>
      <c r="BB64" s="233">
        <f t="shared" si="90"/>
        <v>64810.400000000001</v>
      </c>
      <c r="BC64" s="233">
        <f t="shared" si="91"/>
        <v>8101.3</v>
      </c>
      <c r="BD64" s="224">
        <f t="shared" si="92"/>
        <v>8101.3</v>
      </c>
      <c r="BE64" s="279">
        <v>82634</v>
      </c>
      <c r="BF64" s="84"/>
      <c r="BG64" s="84"/>
      <c r="BH64" s="233">
        <f t="shared" si="70"/>
        <v>82634</v>
      </c>
      <c r="BI64" s="233">
        <f t="shared" si="93"/>
        <v>66107.199999999997</v>
      </c>
      <c r="BJ64" s="233">
        <f t="shared" si="94"/>
        <v>8263.4</v>
      </c>
      <c r="BK64" s="224">
        <f t="shared" si="95"/>
        <v>8263.4</v>
      </c>
      <c r="BL64" s="279">
        <v>84286</v>
      </c>
      <c r="BM64" s="84"/>
      <c r="BN64" s="84"/>
      <c r="BO64" s="233">
        <f t="shared" si="71"/>
        <v>84286</v>
      </c>
      <c r="BP64" s="233">
        <f t="shared" si="96"/>
        <v>67428.800000000003</v>
      </c>
      <c r="BQ64" s="233">
        <f t="shared" si="97"/>
        <v>8428.6</v>
      </c>
      <c r="BR64" s="224">
        <f t="shared" si="98"/>
        <v>8428.6</v>
      </c>
    </row>
    <row r="65" spans="1:70" x14ac:dyDescent="0.35">
      <c r="A65" s="491" t="s">
        <v>1018</v>
      </c>
      <c r="B65" s="83"/>
      <c r="C65" s="234"/>
      <c r="D65" s="83"/>
      <c r="E65" s="230"/>
      <c r="F65" s="230"/>
      <c r="G65" s="231"/>
      <c r="H65" s="235"/>
      <c r="I65" s="84"/>
      <c r="J65" s="84"/>
      <c r="K65" s="233">
        <f t="shared" si="63"/>
        <v>0</v>
      </c>
      <c r="L65" s="233">
        <f t="shared" si="72"/>
        <v>0</v>
      </c>
      <c r="M65" s="233">
        <f t="shared" si="73"/>
        <v>0</v>
      </c>
      <c r="N65" s="224">
        <f t="shared" si="74"/>
        <v>0</v>
      </c>
      <c r="O65" s="279"/>
      <c r="P65" s="84"/>
      <c r="Q65" s="84"/>
      <c r="R65" s="233">
        <f t="shared" si="64"/>
        <v>0</v>
      </c>
      <c r="S65" s="233">
        <f t="shared" si="75"/>
        <v>0</v>
      </c>
      <c r="T65" s="233">
        <f t="shared" si="76"/>
        <v>0</v>
      </c>
      <c r="U65" s="224">
        <f t="shared" si="77"/>
        <v>0</v>
      </c>
      <c r="V65" s="279"/>
      <c r="W65" s="84"/>
      <c r="X65" s="84"/>
      <c r="Y65" s="233">
        <f t="shared" si="65"/>
        <v>0</v>
      </c>
      <c r="Z65" s="233">
        <f t="shared" si="78"/>
        <v>0</v>
      </c>
      <c r="AA65" s="233">
        <f t="shared" si="79"/>
        <v>0</v>
      </c>
      <c r="AB65" s="224">
        <f t="shared" si="80"/>
        <v>0</v>
      </c>
      <c r="AC65" s="279"/>
      <c r="AD65" s="84"/>
      <c r="AE65" s="84"/>
      <c r="AF65" s="233">
        <f t="shared" si="66"/>
        <v>0</v>
      </c>
      <c r="AG65" s="233">
        <f t="shared" si="81"/>
        <v>0</v>
      </c>
      <c r="AH65" s="233">
        <f t="shared" si="82"/>
        <v>0</v>
      </c>
      <c r="AI65" s="224">
        <f t="shared" si="83"/>
        <v>0</v>
      </c>
      <c r="AJ65" s="279"/>
      <c r="AK65" s="84"/>
      <c r="AL65" s="84"/>
      <c r="AM65" s="233">
        <f t="shared" si="67"/>
        <v>0</v>
      </c>
      <c r="AN65" s="233">
        <f t="shared" si="84"/>
        <v>0</v>
      </c>
      <c r="AO65" s="233">
        <f t="shared" si="85"/>
        <v>0</v>
      </c>
      <c r="AP65" s="224">
        <f t="shared" si="86"/>
        <v>0</v>
      </c>
      <c r="AQ65" s="279"/>
      <c r="AR65" s="84"/>
      <c r="AS65" s="84"/>
      <c r="AT65" s="233">
        <f t="shared" si="68"/>
        <v>0</v>
      </c>
      <c r="AU65" s="233">
        <f t="shared" si="87"/>
        <v>0</v>
      </c>
      <c r="AV65" s="233">
        <f t="shared" si="88"/>
        <v>0</v>
      </c>
      <c r="AW65" s="224">
        <f t="shared" si="89"/>
        <v>0</v>
      </c>
      <c r="AX65" s="279"/>
      <c r="AY65" s="84"/>
      <c r="AZ65" s="84"/>
      <c r="BA65" s="233">
        <f t="shared" si="69"/>
        <v>0</v>
      </c>
      <c r="BB65" s="233">
        <f t="shared" si="90"/>
        <v>0</v>
      </c>
      <c r="BC65" s="233">
        <f t="shared" si="91"/>
        <v>0</v>
      </c>
      <c r="BD65" s="224">
        <f t="shared" si="92"/>
        <v>0</v>
      </c>
      <c r="BE65" s="279"/>
      <c r="BF65" s="84"/>
      <c r="BG65" s="84"/>
      <c r="BH65" s="233">
        <f t="shared" si="70"/>
        <v>0</v>
      </c>
      <c r="BI65" s="233">
        <f t="shared" si="93"/>
        <v>0</v>
      </c>
      <c r="BJ65" s="233">
        <f t="shared" si="94"/>
        <v>0</v>
      </c>
      <c r="BK65" s="224">
        <f t="shared" si="95"/>
        <v>0</v>
      </c>
      <c r="BL65" s="279"/>
      <c r="BM65" s="84"/>
      <c r="BN65" s="84"/>
      <c r="BO65" s="233">
        <f t="shared" si="71"/>
        <v>0</v>
      </c>
      <c r="BP65" s="233">
        <f t="shared" si="96"/>
        <v>0</v>
      </c>
      <c r="BQ65" s="233">
        <f t="shared" si="97"/>
        <v>0</v>
      </c>
      <c r="BR65" s="224">
        <f t="shared" si="98"/>
        <v>0</v>
      </c>
    </row>
    <row r="66" spans="1:70" x14ac:dyDescent="0.35">
      <c r="A66" s="491" t="s">
        <v>1019</v>
      </c>
      <c r="B66" s="175">
        <v>7001</v>
      </c>
      <c r="C66" s="492" t="s">
        <v>674</v>
      </c>
      <c r="D66" s="83"/>
      <c r="E66" s="230"/>
      <c r="F66" s="230"/>
      <c r="G66" s="231"/>
      <c r="H66" s="235"/>
      <c r="I66" s="84"/>
      <c r="J66" s="84"/>
      <c r="K66" s="233">
        <f t="shared" si="63"/>
        <v>0</v>
      </c>
      <c r="L66" s="233">
        <f t="shared" si="72"/>
        <v>0</v>
      </c>
      <c r="M66" s="233">
        <f t="shared" si="73"/>
        <v>0</v>
      </c>
      <c r="N66" s="224">
        <f t="shared" si="74"/>
        <v>0</v>
      </c>
      <c r="O66" s="279"/>
      <c r="P66" s="84"/>
      <c r="Q66" s="84"/>
      <c r="R66" s="233">
        <f t="shared" si="64"/>
        <v>0</v>
      </c>
      <c r="S66" s="233">
        <f t="shared" si="75"/>
        <v>0</v>
      </c>
      <c r="T66" s="233">
        <f t="shared" si="76"/>
        <v>0</v>
      </c>
      <c r="U66" s="224">
        <f t="shared" si="77"/>
        <v>0</v>
      </c>
      <c r="V66" s="279"/>
      <c r="W66" s="84"/>
      <c r="X66" s="84"/>
      <c r="Y66" s="233">
        <f t="shared" si="65"/>
        <v>0</v>
      </c>
      <c r="Z66" s="233">
        <f t="shared" si="78"/>
        <v>0</v>
      </c>
      <c r="AA66" s="233">
        <f t="shared" si="79"/>
        <v>0</v>
      </c>
      <c r="AB66" s="224">
        <f t="shared" si="80"/>
        <v>0</v>
      </c>
      <c r="AC66" s="279"/>
      <c r="AD66" s="84"/>
      <c r="AE66" s="84"/>
      <c r="AF66" s="233">
        <f t="shared" si="66"/>
        <v>0</v>
      </c>
      <c r="AG66" s="233">
        <f t="shared" si="81"/>
        <v>0</v>
      </c>
      <c r="AH66" s="233">
        <f t="shared" si="82"/>
        <v>0</v>
      </c>
      <c r="AI66" s="224">
        <f t="shared" si="83"/>
        <v>0</v>
      </c>
      <c r="AJ66" s="279"/>
      <c r="AK66" s="84"/>
      <c r="AL66" s="84"/>
      <c r="AM66" s="233">
        <f t="shared" si="67"/>
        <v>0</v>
      </c>
      <c r="AN66" s="233">
        <f t="shared" si="84"/>
        <v>0</v>
      </c>
      <c r="AO66" s="233">
        <f t="shared" si="85"/>
        <v>0</v>
      </c>
      <c r="AP66" s="224">
        <f t="shared" si="86"/>
        <v>0</v>
      </c>
      <c r="AQ66" s="279"/>
      <c r="AR66" s="84"/>
      <c r="AS66" s="84"/>
      <c r="AT66" s="233">
        <f t="shared" si="68"/>
        <v>0</v>
      </c>
      <c r="AU66" s="233">
        <f t="shared" si="87"/>
        <v>0</v>
      </c>
      <c r="AV66" s="233">
        <f t="shared" si="88"/>
        <v>0</v>
      </c>
      <c r="AW66" s="224">
        <f t="shared" si="89"/>
        <v>0</v>
      </c>
      <c r="AX66" s="279"/>
      <c r="AY66" s="84"/>
      <c r="AZ66" s="84"/>
      <c r="BA66" s="233">
        <f t="shared" si="69"/>
        <v>0</v>
      </c>
      <c r="BB66" s="233">
        <f t="shared" si="90"/>
        <v>0</v>
      </c>
      <c r="BC66" s="233">
        <f t="shared" si="91"/>
        <v>0</v>
      </c>
      <c r="BD66" s="224">
        <f t="shared" si="92"/>
        <v>0</v>
      </c>
      <c r="BE66" s="279"/>
      <c r="BF66" s="84"/>
      <c r="BG66" s="84"/>
      <c r="BH66" s="233">
        <f t="shared" si="70"/>
        <v>0</v>
      </c>
      <c r="BI66" s="233">
        <f t="shared" si="93"/>
        <v>0</v>
      </c>
      <c r="BJ66" s="233">
        <f t="shared" si="94"/>
        <v>0</v>
      </c>
      <c r="BK66" s="224">
        <f t="shared" si="95"/>
        <v>0</v>
      </c>
      <c r="BL66" s="279"/>
      <c r="BM66" s="84"/>
      <c r="BN66" s="84"/>
      <c r="BO66" s="233">
        <f t="shared" si="71"/>
        <v>0</v>
      </c>
      <c r="BP66" s="233">
        <f t="shared" si="96"/>
        <v>0</v>
      </c>
      <c r="BQ66" s="233">
        <f t="shared" si="97"/>
        <v>0</v>
      </c>
      <c r="BR66" s="224">
        <f t="shared" si="98"/>
        <v>0</v>
      </c>
    </row>
    <row r="67" spans="1:70" x14ac:dyDescent="0.35">
      <c r="A67" s="491" t="s">
        <v>1020</v>
      </c>
      <c r="B67" s="83" t="s">
        <v>675</v>
      </c>
      <c r="C67" s="234" t="s">
        <v>676</v>
      </c>
      <c r="D67" s="83" t="s">
        <v>129</v>
      </c>
      <c r="E67" s="230"/>
      <c r="F67" s="230"/>
      <c r="G67" s="231"/>
      <c r="H67" s="235">
        <v>10456</v>
      </c>
      <c r="I67" s="84"/>
      <c r="J67" s="84"/>
      <c r="K67" s="233">
        <f t="shared" si="63"/>
        <v>10456</v>
      </c>
      <c r="L67" s="233">
        <f t="shared" si="72"/>
        <v>5228</v>
      </c>
      <c r="M67" s="233">
        <f t="shared" si="73"/>
        <v>2614</v>
      </c>
      <c r="N67" s="224">
        <f t="shared" si="74"/>
        <v>2614</v>
      </c>
      <c r="O67" s="279">
        <v>10665</v>
      </c>
      <c r="P67" s="84"/>
      <c r="Q67" s="84"/>
      <c r="R67" s="233">
        <f t="shared" si="64"/>
        <v>10665</v>
      </c>
      <c r="S67" s="233">
        <f t="shared" si="75"/>
        <v>5332.5</v>
      </c>
      <c r="T67" s="233">
        <f t="shared" si="76"/>
        <v>2666.25</v>
      </c>
      <c r="U67" s="224">
        <f t="shared" si="77"/>
        <v>2666.25</v>
      </c>
      <c r="V67" s="279">
        <v>10878</v>
      </c>
      <c r="W67" s="84"/>
      <c r="X67" s="84"/>
      <c r="Y67" s="233">
        <f t="shared" si="65"/>
        <v>10878</v>
      </c>
      <c r="Z67" s="233">
        <f t="shared" si="78"/>
        <v>5439</v>
      </c>
      <c r="AA67" s="233">
        <f t="shared" si="79"/>
        <v>2719.5</v>
      </c>
      <c r="AB67" s="224">
        <f t="shared" si="80"/>
        <v>2719.5</v>
      </c>
      <c r="AC67" s="279">
        <v>11096</v>
      </c>
      <c r="AD67" s="84"/>
      <c r="AE67" s="84"/>
      <c r="AF67" s="233">
        <f t="shared" si="66"/>
        <v>11096</v>
      </c>
      <c r="AG67" s="233">
        <f t="shared" si="81"/>
        <v>5548</v>
      </c>
      <c r="AH67" s="233">
        <f t="shared" si="82"/>
        <v>2774</v>
      </c>
      <c r="AI67" s="224">
        <f t="shared" si="83"/>
        <v>2774</v>
      </c>
      <c r="AJ67" s="279">
        <v>11318</v>
      </c>
      <c r="AK67" s="84"/>
      <c r="AL67" s="84"/>
      <c r="AM67" s="233">
        <f t="shared" si="67"/>
        <v>11318</v>
      </c>
      <c r="AN67" s="233">
        <f t="shared" si="84"/>
        <v>5659</v>
      </c>
      <c r="AO67" s="233">
        <f t="shared" si="85"/>
        <v>2829.5</v>
      </c>
      <c r="AP67" s="224">
        <f t="shared" si="86"/>
        <v>2829.5</v>
      </c>
      <c r="AQ67" s="279">
        <v>11544</v>
      </c>
      <c r="AR67" s="84"/>
      <c r="AS67" s="84"/>
      <c r="AT67" s="233">
        <f t="shared" si="68"/>
        <v>11544</v>
      </c>
      <c r="AU67" s="233">
        <f t="shared" si="87"/>
        <v>5772</v>
      </c>
      <c r="AV67" s="233">
        <f t="shared" si="88"/>
        <v>2886</v>
      </c>
      <c r="AW67" s="224">
        <f t="shared" si="89"/>
        <v>2886</v>
      </c>
      <c r="AX67" s="279">
        <v>11775</v>
      </c>
      <c r="AY67" s="84"/>
      <c r="AZ67" s="84"/>
      <c r="BA67" s="233">
        <f t="shared" si="69"/>
        <v>11775</v>
      </c>
      <c r="BB67" s="233">
        <f t="shared" si="90"/>
        <v>5887.5</v>
      </c>
      <c r="BC67" s="233">
        <f t="shared" si="91"/>
        <v>2943.75</v>
      </c>
      <c r="BD67" s="224">
        <f t="shared" si="92"/>
        <v>2943.75</v>
      </c>
      <c r="BE67" s="279">
        <v>12001</v>
      </c>
      <c r="BF67" s="84"/>
      <c r="BG67" s="84"/>
      <c r="BH67" s="233">
        <f t="shared" si="70"/>
        <v>12001</v>
      </c>
      <c r="BI67" s="233">
        <f t="shared" si="93"/>
        <v>6000.5</v>
      </c>
      <c r="BJ67" s="233">
        <f t="shared" si="94"/>
        <v>3000.25</v>
      </c>
      <c r="BK67" s="224">
        <f t="shared" si="95"/>
        <v>3000.25</v>
      </c>
      <c r="BL67" s="279">
        <v>12251</v>
      </c>
      <c r="BM67" s="84"/>
      <c r="BN67" s="84"/>
      <c r="BO67" s="233">
        <f t="shared" si="71"/>
        <v>12251</v>
      </c>
      <c r="BP67" s="233">
        <f t="shared" si="96"/>
        <v>6125.5</v>
      </c>
      <c r="BQ67" s="233">
        <f t="shared" si="97"/>
        <v>3062.75</v>
      </c>
      <c r="BR67" s="224">
        <f t="shared" si="98"/>
        <v>3062.75</v>
      </c>
    </row>
    <row r="68" spans="1:70" x14ac:dyDescent="0.35">
      <c r="A68" s="491" t="s">
        <v>1021</v>
      </c>
      <c r="B68" s="83">
        <v>5051</v>
      </c>
      <c r="C68" s="234" t="s">
        <v>677</v>
      </c>
      <c r="D68" s="83" t="s">
        <v>129</v>
      </c>
      <c r="E68" s="230"/>
      <c r="F68" s="230"/>
      <c r="G68" s="231"/>
      <c r="H68" s="235">
        <v>70000</v>
      </c>
      <c r="I68" s="84"/>
      <c r="J68" s="84"/>
      <c r="K68" s="233">
        <f t="shared" si="63"/>
        <v>70000</v>
      </c>
      <c r="L68" s="233">
        <f t="shared" si="72"/>
        <v>35000</v>
      </c>
      <c r="M68" s="233">
        <f t="shared" si="73"/>
        <v>17500</v>
      </c>
      <c r="N68" s="224">
        <f t="shared" si="74"/>
        <v>17500</v>
      </c>
      <c r="O68" s="279">
        <v>71400</v>
      </c>
      <c r="P68" s="84"/>
      <c r="Q68" s="84"/>
      <c r="R68" s="233">
        <f t="shared" si="64"/>
        <v>71400</v>
      </c>
      <c r="S68" s="233">
        <f t="shared" si="75"/>
        <v>35700</v>
      </c>
      <c r="T68" s="233">
        <f t="shared" si="76"/>
        <v>17850</v>
      </c>
      <c r="U68" s="224">
        <f t="shared" si="77"/>
        <v>17850</v>
      </c>
      <c r="V68" s="279">
        <v>72828</v>
      </c>
      <c r="W68" s="84"/>
      <c r="X68" s="84"/>
      <c r="Y68" s="233">
        <f t="shared" si="65"/>
        <v>72828</v>
      </c>
      <c r="Z68" s="233">
        <f t="shared" si="78"/>
        <v>36414</v>
      </c>
      <c r="AA68" s="233">
        <f t="shared" si="79"/>
        <v>18207</v>
      </c>
      <c r="AB68" s="224">
        <f t="shared" si="80"/>
        <v>18207</v>
      </c>
      <c r="AC68" s="279">
        <v>74285</v>
      </c>
      <c r="AD68" s="84"/>
      <c r="AE68" s="84"/>
      <c r="AF68" s="233">
        <f t="shared" si="66"/>
        <v>74285</v>
      </c>
      <c r="AG68" s="233">
        <f t="shared" si="81"/>
        <v>37142.5</v>
      </c>
      <c r="AH68" s="233">
        <f t="shared" si="82"/>
        <v>18571.25</v>
      </c>
      <c r="AI68" s="224">
        <f t="shared" si="83"/>
        <v>18571.25</v>
      </c>
      <c r="AJ68" s="279">
        <v>105770</v>
      </c>
      <c r="AK68" s="84"/>
      <c r="AL68" s="84"/>
      <c r="AM68" s="233">
        <f t="shared" si="67"/>
        <v>105770</v>
      </c>
      <c r="AN68" s="233">
        <f t="shared" si="84"/>
        <v>52885</v>
      </c>
      <c r="AO68" s="233">
        <f t="shared" si="85"/>
        <v>26442.5</v>
      </c>
      <c r="AP68" s="224">
        <f t="shared" si="86"/>
        <v>26442.5</v>
      </c>
      <c r="AQ68" s="279">
        <v>107886</v>
      </c>
      <c r="AR68" s="84"/>
      <c r="AS68" s="84"/>
      <c r="AT68" s="233">
        <f t="shared" si="68"/>
        <v>107886</v>
      </c>
      <c r="AU68" s="233">
        <f t="shared" si="87"/>
        <v>53943</v>
      </c>
      <c r="AV68" s="233">
        <f t="shared" si="88"/>
        <v>26971.5</v>
      </c>
      <c r="AW68" s="224">
        <f t="shared" si="89"/>
        <v>26971.5</v>
      </c>
      <c r="AX68" s="279">
        <v>110043</v>
      </c>
      <c r="AY68" s="84"/>
      <c r="AZ68" s="84"/>
      <c r="BA68" s="233">
        <f t="shared" si="69"/>
        <v>110043</v>
      </c>
      <c r="BB68" s="233">
        <f t="shared" si="90"/>
        <v>55021.5</v>
      </c>
      <c r="BC68" s="233">
        <f t="shared" si="91"/>
        <v>27510.75</v>
      </c>
      <c r="BD68" s="224">
        <f t="shared" si="92"/>
        <v>27510.75</v>
      </c>
      <c r="BE68" s="279">
        <v>112244</v>
      </c>
      <c r="BF68" s="84"/>
      <c r="BG68" s="84"/>
      <c r="BH68" s="233">
        <f t="shared" si="70"/>
        <v>112244</v>
      </c>
      <c r="BI68" s="233">
        <f t="shared" si="93"/>
        <v>56122</v>
      </c>
      <c r="BJ68" s="233">
        <f t="shared" si="94"/>
        <v>28061</v>
      </c>
      <c r="BK68" s="224">
        <f t="shared" si="95"/>
        <v>28061</v>
      </c>
      <c r="BL68" s="279">
        <v>114489</v>
      </c>
      <c r="BM68" s="84"/>
      <c r="BN68" s="84"/>
      <c r="BO68" s="233">
        <f t="shared" si="71"/>
        <v>114489</v>
      </c>
      <c r="BP68" s="233">
        <f t="shared" si="96"/>
        <v>57244.5</v>
      </c>
      <c r="BQ68" s="233">
        <f t="shared" si="97"/>
        <v>28622.25</v>
      </c>
      <c r="BR68" s="224">
        <f t="shared" si="98"/>
        <v>28622.25</v>
      </c>
    </row>
    <row r="69" spans="1:70" x14ac:dyDescent="0.35">
      <c r="A69" s="491" t="s">
        <v>1022</v>
      </c>
      <c r="B69" s="83">
        <v>52</v>
      </c>
      <c r="C69" s="234" t="s">
        <v>678</v>
      </c>
      <c r="D69" s="83" t="s">
        <v>129</v>
      </c>
      <c r="E69" s="230"/>
      <c r="F69" s="230"/>
      <c r="G69" s="231"/>
      <c r="H69" s="235">
        <v>589</v>
      </c>
      <c r="I69" s="84"/>
      <c r="J69" s="84"/>
      <c r="K69" s="233">
        <f t="shared" si="63"/>
        <v>589</v>
      </c>
      <c r="L69" s="233">
        <f t="shared" si="72"/>
        <v>294.5</v>
      </c>
      <c r="M69" s="233">
        <f t="shared" si="73"/>
        <v>147.25</v>
      </c>
      <c r="N69" s="224">
        <f t="shared" si="74"/>
        <v>147.25</v>
      </c>
      <c r="O69" s="279">
        <v>601</v>
      </c>
      <c r="P69" s="84"/>
      <c r="Q69" s="84"/>
      <c r="R69" s="233">
        <f t="shared" si="64"/>
        <v>601</v>
      </c>
      <c r="S69" s="233">
        <f t="shared" si="75"/>
        <v>300.5</v>
      </c>
      <c r="T69" s="233">
        <f t="shared" si="76"/>
        <v>150.25</v>
      </c>
      <c r="U69" s="224">
        <f t="shared" si="77"/>
        <v>150.25</v>
      </c>
      <c r="V69" s="279">
        <v>613</v>
      </c>
      <c r="W69" s="84"/>
      <c r="X69" s="84"/>
      <c r="Y69" s="233">
        <f t="shared" si="65"/>
        <v>613</v>
      </c>
      <c r="Z69" s="233">
        <f t="shared" si="78"/>
        <v>306.5</v>
      </c>
      <c r="AA69" s="233">
        <f t="shared" si="79"/>
        <v>153.25</v>
      </c>
      <c r="AB69" s="224">
        <f t="shared" si="80"/>
        <v>153.25</v>
      </c>
      <c r="AC69" s="279">
        <v>625</v>
      </c>
      <c r="AD69" s="84"/>
      <c r="AE69" s="84"/>
      <c r="AF69" s="233">
        <f t="shared" si="66"/>
        <v>625</v>
      </c>
      <c r="AG69" s="233">
        <f t="shared" si="81"/>
        <v>312.5</v>
      </c>
      <c r="AH69" s="233">
        <f t="shared" si="82"/>
        <v>156.25</v>
      </c>
      <c r="AI69" s="224">
        <f t="shared" si="83"/>
        <v>156.25</v>
      </c>
      <c r="AJ69" s="279">
        <v>638</v>
      </c>
      <c r="AK69" s="84"/>
      <c r="AL69" s="84"/>
      <c r="AM69" s="233">
        <f t="shared" si="67"/>
        <v>638</v>
      </c>
      <c r="AN69" s="233">
        <f t="shared" si="84"/>
        <v>319</v>
      </c>
      <c r="AO69" s="233">
        <f t="shared" si="85"/>
        <v>159.5</v>
      </c>
      <c r="AP69" s="224">
        <f t="shared" si="86"/>
        <v>159.5</v>
      </c>
      <c r="AQ69" s="279">
        <v>650</v>
      </c>
      <c r="AR69" s="84"/>
      <c r="AS69" s="84"/>
      <c r="AT69" s="233">
        <f t="shared" si="68"/>
        <v>650</v>
      </c>
      <c r="AU69" s="233">
        <f t="shared" si="87"/>
        <v>325</v>
      </c>
      <c r="AV69" s="233">
        <f t="shared" si="88"/>
        <v>162.5</v>
      </c>
      <c r="AW69" s="224">
        <f t="shared" si="89"/>
        <v>162.5</v>
      </c>
      <c r="AX69" s="279">
        <v>663</v>
      </c>
      <c r="AY69" s="84"/>
      <c r="AZ69" s="84"/>
      <c r="BA69" s="233">
        <f t="shared" si="69"/>
        <v>663</v>
      </c>
      <c r="BB69" s="233">
        <f t="shared" si="90"/>
        <v>331.5</v>
      </c>
      <c r="BC69" s="233">
        <f t="shared" si="91"/>
        <v>165.75</v>
      </c>
      <c r="BD69" s="224">
        <f t="shared" si="92"/>
        <v>165.75</v>
      </c>
      <c r="BE69" s="279">
        <v>677</v>
      </c>
      <c r="BF69" s="84"/>
      <c r="BG69" s="84"/>
      <c r="BH69" s="233">
        <f t="shared" si="70"/>
        <v>677</v>
      </c>
      <c r="BI69" s="233">
        <f t="shared" si="93"/>
        <v>338.5</v>
      </c>
      <c r="BJ69" s="233">
        <f t="shared" si="94"/>
        <v>169.25</v>
      </c>
      <c r="BK69" s="224">
        <f t="shared" si="95"/>
        <v>169.25</v>
      </c>
      <c r="BL69" s="279">
        <v>690</v>
      </c>
      <c r="BM69" s="84"/>
      <c r="BN69" s="84"/>
      <c r="BO69" s="233">
        <f t="shared" si="71"/>
        <v>690</v>
      </c>
      <c r="BP69" s="233">
        <f t="shared" si="96"/>
        <v>345</v>
      </c>
      <c r="BQ69" s="233">
        <f t="shared" si="97"/>
        <v>172.5</v>
      </c>
      <c r="BR69" s="224">
        <f t="shared" si="98"/>
        <v>172.5</v>
      </c>
    </row>
    <row r="70" spans="1:70" x14ac:dyDescent="0.35">
      <c r="A70" s="491" t="s">
        <v>1023</v>
      </c>
      <c r="B70" s="83" t="s">
        <v>679</v>
      </c>
      <c r="C70" s="234" t="s">
        <v>680</v>
      </c>
      <c r="D70" s="83" t="s">
        <v>129</v>
      </c>
      <c r="E70" s="230"/>
      <c r="F70" s="230"/>
      <c r="G70" s="231"/>
      <c r="H70" s="235">
        <v>2004</v>
      </c>
      <c r="I70" s="84"/>
      <c r="J70" s="84"/>
      <c r="K70" s="233">
        <f t="shared" si="63"/>
        <v>2004</v>
      </c>
      <c r="L70" s="233">
        <f t="shared" si="72"/>
        <v>1002</v>
      </c>
      <c r="M70" s="233">
        <f t="shared" si="73"/>
        <v>501</v>
      </c>
      <c r="N70" s="224">
        <f t="shared" si="74"/>
        <v>501</v>
      </c>
      <c r="O70" s="279">
        <v>2044</v>
      </c>
      <c r="P70" s="84"/>
      <c r="Q70" s="84"/>
      <c r="R70" s="233">
        <f t="shared" si="64"/>
        <v>2044</v>
      </c>
      <c r="S70" s="233">
        <f t="shared" si="75"/>
        <v>1022</v>
      </c>
      <c r="T70" s="233">
        <f t="shared" si="76"/>
        <v>511</v>
      </c>
      <c r="U70" s="224">
        <f t="shared" si="77"/>
        <v>511</v>
      </c>
      <c r="V70" s="279">
        <v>2085</v>
      </c>
      <c r="W70" s="84"/>
      <c r="X70" s="84"/>
      <c r="Y70" s="233">
        <f t="shared" si="65"/>
        <v>2085</v>
      </c>
      <c r="Z70" s="233">
        <f t="shared" si="78"/>
        <v>1042.5</v>
      </c>
      <c r="AA70" s="233">
        <f t="shared" si="79"/>
        <v>521.25</v>
      </c>
      <c r="AB70" s="224">
        <f t="shared" si="80"/>
        <v>521.25</v>
      </c>
      <c r="AC70" s="279">
        <v>2127</v>
      </c>
      <c r="AD70" s="84"/>
      <c r="AE70" s="84"/>
      <c r="AF70" s="233">
        <f t="shared" si="66"/>
        <v>2127</v>
      </c>
      <c r="AG70" s="233">
        <f t="shared" si="81"/>
        <v>1063.5</v>
      </c>
      <c r="AH70" s="233">
        <f t="shared" si="82"/>
        <v>531.75</v>
      </c>
      <c r="AI70" s="224">
        <f t="shared" si="83"/>
        <v>531.75</v>
      </c>
      <c r="AJ70" s="279">
        <v>2169</v>
      </c>
      <c r="AK70" s="84"/>
      <c r="AL70" s="84"/>
      <c r="AM70" s="233">
        <f t="shared" si="67"/>
        <v>2169</v>
      </c>
      <c r="AN70" s="233">
        <f t="shared" si="84"/>
        <v>1084.5</v>
      </c>
      <c r="AO70" s="233">
        <f t="shared" si="85"/>
        <v>542.25</v>
      </c>
      <c r="AP70" s="224">
        <f t="shared" si="86"/>
        <v>542.25</v>
      </c>
      <c r="AQ70" s="279">
        <v>2213</v>
      </c>
      <c r="AR70" s="84"/>
      <c r="AS70" s="84"/>
      <c r="AT70" s="233">
        <f t="shared" si="68"/>
        <v>2213</v>
      </c>
      <c r="AU70" s="233">
        <f t="shared" si="87"/>
        <v>1106.5</v>
      </c>
      <c r="AV70" s="233">
        <f t="shared" si="88"/>
        <v>553.25</v>
      </c>
      <c r="AW70" s="224">
        <f t="shared" si="89"/>
        <v>553.25</v>
      </c>
      <c r="AX70" s="279">
        <v>2257</v>
      </c>
      <c r="AY70" s="84"/>
      <c r="AZ70" s="84"/>
      <c r="BA70" s="233">
        <f t="shared" si="69"/>
        <v>2257</v>
      </c>
      <c r="BB70" s="233">
        <f t="shared" si="90"/>
        <v>1128.5</v>
      </c>
      <c r="BC70" s="233">
        <f t="shared" si="91"/>
        <v>564.25</v>
      </c>
      <c r="BD70" s="224">
        <f t="shared" si="92"/>
        <v>564.25</v>
      </c>
      <c r="BE70" s="279">
        <v>2302</v>
      </c>
      <c r="BF70" s="84"/>
      <c r="BG70" s="84"/>
      <c r="BH70" s="233">
        <f t="shared" si="70"/>
        <v>2302</v>
      </c>
      <c r="BI70" s="233">
        <f t="shared" si="93"/>
        <v>1151</v>
      </c>
      <c r="BJ70" s="233">
        <f t="shared" si="94"/>
        <v>575.5</v>
      </c>
      <c r="BK70" s="224">
        <f t="shared" si="95"/>
        <v>575.5</v>
      </c>
      <c r="BL70" s="279">
        <v>2348</v>
      </c>
      <c r="BM70" s="84"/>
      <c r="BN70" s="84"/>
      <c r="BO70" s="233">
        <f t="shared" si="71"/>
        <v>2348</v>
      </c>
      <c r="BP70" s="233">
        <f t="shared" si="96"/>
        <v>1174</v>
      </c>
      <c r="BQ70" s="233">
        <f t="shared" si="97"/>
        <v>587</v>
      </c>
      <c r="BR70" s="224">
        <f t="shared" si="98"/>
        <v>587</v>
      </c>
    </row>
    <row r="71" spans="1:70" x14ac:dyDescent="0.35">
      <c r="A71" s="491" t="s">
        <v>1024</v>
      </c>
      <c r="B71" s="83" t="s">
        <v>681</v>
      </c>
      <c r="C71" s="234" t="s">
        <v>682</v>
      </c>
      <c r="D71" s="83" t="s">
        <v>129</v>
      </c>
      <c r="E71" s="230"/>
      <c r="F71" s="230"/>
      <c r="G71" s="231"/>
      <c r="H71" s="235">
        <v>11340</v>
      </c>
      <c r="I71" s="84"/>
      <c r="J71" s="84"/>
      <c r="K71" s="233">
        <f t="shared" si="63"/>
        <v>11340</v>
      </c>
      <c r="L71" s="233">
        <f t="shared" si="72"/>
        <v>5670</v>
      </c>
      <c r="M71" s="233">
        <f t="shared" si="73"/>
        <v>2835</v>
      </c>
      <c r="N71" s="224">
        <f t="shared" si="74"/>
        <v>2835</v>
      </c>
      <c r="O71" s="279">
        <v>11567</v>
      </c>
      <c r="P71" s="84"/>
      <c r="Q71" s="84"/>
      <c r="R71" s="233">
        <f t="shared" si="64"/>
        <v>11567</v>
      </c>
      <c r="S71" s="233">
        <f t="shared" si="75"/>
        <v>5783.5</v>
      </c>
      <c r="T71" s="233">
        <f t="shared" si="76"/>
        <v>2891.75</v>
      </c>
      <c r="U71" s="224">
        <f t="shared" si="77"/>
        <v>2891.75</v>
      </c>
      <c r="V71" s="279">
        <v>11798</v>
      </c>
      <c r="W71" s="84"/>
      <c r="X71" s="84"/>
      <c r="Y71" s="233">
        <f t="shared" si="65"/>
        <v>11798</v>
      </c>
      <c r="Z71" s="233">
        <f t="shared" si="78"/>
        <v>5899</v>
      </c>
      <c r="AA71" s="233">
        <f t="shared" si="79"/>
        <v>2949.5</v>
      </c>
      <c r="AB71" s="224">
        <f t="shared" si="80"/>
        <v>2949.5</v>
      </c>
      <c r="AC71" s="279">
        <v>12034</v>
      </c>
      <c r="AD71" s="84"/>
      <c r="AE71" s="84"/>
      <c r="AF71" s="233">
        <f t="shared" si="66"/>
        <v>12034</v>
      </c>
      <c r="AG71" s="233">
        <f t="shared" si="81"/>
        <v>6017</v>
      </c>
      <c r="AH71" s="233">
        <f t="shared" si="82"/>
        <v>3008.5</v>
      </c>
      <c r="AI71" s="224">
        <f t="shared" si="83"/>
        <v>3008.5</v>
      </c>
      <c r="AJ71" s="279">
        <v>12275</v>
      </c>
      <c r="AK71" s="84"/>
      <c r="AL71" s="84"/>
      <c r="AM71" s="233">
        <f t="shared" si="67"/>
        <v>12275</v>
      </c>
      <c r="AN71" s="233">
        <f t="shared" si="84"/>
        <v>6137.5</v>
      </c>
      <c r="AO71" s="233">
        <f t="shared" si="85"/>
        <v>3068.75</v>
      </c>
      <c r="AP71" s="224">
        <f t="shared" si="86"/>
        <v>3068.75</v>
      </c>
      <c r="AQ71" s="279">
        <v>12520</v>
      </c>
      <c r="AR71" s="84"/>
      <c r="AS71" s="84"/>
      <c r="AT71" s="233">
        <f t="shared" si="68"/>
        <v>12520</v>
      </c>
      <c r="AU71" s="233">
        <f t="shared" si="87"/>
        <v>6260</v>
      </c>
      <c r="AV71" s="233">
        <f t="shared" si="88"/>
        <v>3130</v>
      </c>
      <c r="AW71" s="224">
        <f t="shared" si="89"/>
        <v>3130</v>
      </c>
      <c r="AX71" s="279">
        <v>12771</v>
      </c>
      <c r="AY71" s="84"/>
      <c r="AZ71" s="84"/>
      <c r="BA71" s="233">
        <f t="shared" si="69"/>
        <v>12771</v>
      </c>
      <c r="BB71" s="233">
        <f t="shared" si="90"/>
        <v>6385.5</v>
      </c>
      <c r="BC71" s="233">
        <f t="shared" si="91"/>
        <v>3192.75</v>
      </c>
      <c r="BD71" s="224">
        <f t="shared" si="92"/>
        <v>3192.75</v>
      </c>
      <c r="BE71" s="279">
        <v>13026</v>
      </c>
      <c r="BF71" s="84"/>
      <c r="BG71" s="84"/>
      <c r="BH71" s="233">
        <f t="shared" si="70"/>
        <v>13026</v>
      </c>
      <c r="BI71" s="233">
        <f t="shared" si="93"/>
        <v>6513</v>
      </c>
      <c r="BJ71" s="233">
        <f t="shared" si="94"/>
        <v>3256.5</v>
      </c>
      <c r="BK71" s="224">
        <f t="shared" si="95"/>
        <v>3256.5</v>
      </c>
      <c r="BL71" s="279">
        <v>13287</v>
      </c>
      <c r="BM71" s="84"/>
      <c r="BN71" s="84"/>
      <c r="BO71" s="233">
        <f t="shared" si="71"/>
        <v>13287</v>
      </c>
      <c r="BP71" s="233">
        <f t="shared" si="96"/>
        <v>6643.5</v>
      </c>
      <c r="BQ71" s="233">
        <f t="shared" si="97"/>
        <v>3321.75</v>
      </c>
      <c r="BR71" s="224">
        <f t="shared" si="98"/>
        <v>3321.75</v>
      </c>
    </row>
    <row r="72" spans="1:70" x14ac:dyDescent="0.35">
      <c r="A72" s="491" t="s">
        <v>1025</v>
      </c>
      <c r="B72" s="83"/>
      <c r="C72" s="234"/>
      <c r="D72" s="83"/>
      <c r="E72" s="230"/>
      <c r="F72" s="230"/>
      <c r="G72" s="231"/>
      <c r="H72" s="235"/>
      <c r="I72" s="84"/>
      <c r="J72" s="84"/>
      <c r="K72" s="233">
        <f t="shared" si="63"/>
        <v>0</v>
      </c>
      <c r="L72" s="233">
        <f t="shared" si="72"/>
        <v>0</v>
      </c>
      <c r="M72" s="233">
        <f t="shared" si="73"/>
        <v>0</v>
      </c>
      <c r="N72" s="224">
        <f t="shared" si="74"/>
        <v>0</v>
      </c>
      <c r="O72" s="279"/>
      <c r="P72" s="84"/>
      <c r="Q72" s="84"/>
      <c r="R72" s="233">
        <f t="shared" si="64"/>
        <v>0</v>
      </c>
      <c r="S72" s="233">
        <f t="shared" si="75"/>
        <v>0</v>
      </c>
      <c r="T72" s="233">
        <f t="shared" si="76"/>
        <v>0</v>
      </c>
      <c r="U72" s="224">
        <f t="shared" si="77"/>
        <v>0</v>
      </c>
      <c r="V72" s="279"/>
      <c r="W72" s="84"/>
      <c r="X72" s="84"/>
      <c r="Y72" s="233">
        <f t="shared" si="65"/>
        <v>0</v>
      </c>
      <c r="Z72" s="233">
        <f t="shared" si="78"/>
        <v>0</v>
      </c>
      <c r="AA72" s="233">
        <f t="shared" si="79"/>
        <v>0</v>
      </c>
      <c r="AB72" s="224">
        <f t="shared" si="80"/>
        <v>0</v>
      </c>
      <c r="AC72" s="279"/>
      <c r="AD72" s="84"/>
      <c r="AE72" s="84"/>
      <c r="AF72" s="233">
        <f t="shared" si="66"/>
        <v>0</v>
      </c>
      <c r="AG72" s="233">
        <f t="shared" si="81"/>
        <v>0</v>
      </c>
      <c r="AH72" s="233">
        <f t="shared" si="82"/>
        <v>0</v>
      </c>
      <c r="AI72" s="224">
        <f t="shared" si="83"/>
        <v>0</v>
      </c>
      <c r="AJ72" s="279"/>
      <c r="AK72" s="84"/>
      <c r="AL72" s="84"/>
      <c r="AM72" s="233">
        <f t="shared" si="67"/>
        <v>0</v>
      </c>
      <c r="AN72" s="233">
        <f t="shared" si="84"/>
        <v>0</v>
      </c>
      <c r="AO72" s="233">
        <f t="shared" si="85"/>
        <v>0</v>
      </c>
      <c r="AP72" s="224">
        <f t="shared" si="86"/>
        <v>0</v>
      </c>
      <c r="AQ72" s="279"/>
      <c r="AR72" s="84"/>
      <c r="AS72" s="84"/>
      <c r="AT72" s="233">
        <f t="shared" si="68"/>
        <v>0</v>
      </c>
      <c r="AU72" s="233">
        <f t="shared" si="87"/>
        <v>0</v>
      </c>
      <c r="AV72" s="233">
        <f t="shared" si="88"/>
        <v>0</v>
      </c>
      <c r="AW72" s="224">
        <f t="shared" si="89"/>
        <v>0</v>
      </c>
      <c r="AX72" s="279"/>
      <c r="AY72" s="84"/>
      <c r="AZ72" s="84"/>
      <c r="BA72" s="233">
        <f t="shared" si="69"/>
        <v>0</v>
      </c>
      <c r="BB72" s="233">
        <f t="shared" si="90"/>
        <v>0</v>
      </c>
      <c r="BC72" s="233">
        <f t="shared" si="91"/>
        <v>0</v>
      </c>
      <c r="BD72" s="224">
        <f t="shared" si="92"/>
        <v>0</v>
      </c>
      <c r="BE72" s="279"/>
      <c r="BF72" s="84"/>
      <c r="BG72" s="84"/>
      <c r="BH72" s="233">
        <f t="shared" si="70"/>
        <v>0</v>
      </c>
      <c r="BI72" s="233">
        <f t="shared" si="93"/>
        <v>0</v>
      </c>
      <c r="BJ72" s="233">
        <f t="shared" si="94"/>
        <v>0</v>
      </c>
      <c r="BK72" s="224">
        <f t="shared" si="95"/>
        <v>0</v>
      </c>
      <c r="BL72" s="279"/>
      <c r="BM72" s="84"/>
      <c r="BN72" s="84"/>
      <c r="BO72" s="233">
        <f t="shared" si="71"/>
        <v>0</v>
      </c>
      <c r="BP72" s="233">
        <f t="shared" si="96"/>
        <v>0</v>
      </c>
      <c r="BQ72" s="233">
        <f t="shared" si="97"/>
        <v>0</v>
      </c>
      <c r="BR72" s="224">
        <f t="shared" si="98"/>
        <v>0</v>
      </c>
    </row>
    <row r="73" spans="1:70" x14ac:dyDescent="0.35">
      <c r="A73" s="491" t="s">
        <v>1026</v>
      </c>
      <c r="B73" s="175">
        <v>7002</v>
      </c>
      <c r="C73" s="492" t="s">
        <v>683</v>
      </c>
      <c r="D73" s="83"/>
      <c r="E73" s="230"/>
      <c r="F73" s="230"/>
      <c r="G73" s="231"/>
      <c r="H73" s="235"/>
      <c r="I73" s="84"/>
      <c r="J73" s="84"/>
      <c r="K73" s="233">
        <f t="shared" si="63"/>
        <v>0</v>
      </c>
      <c r="L73" s="233">
        <f t="shared" si="72"/>
        <v>0</v>
      </c>
      <c r="M73" s="233">
        <f t="shared" si="73"/>
        <v>0</v>
      </c>
      <c r="N73" s="224">
        <f t="shared" si="74"/>
        <v>0</v>
      </c>
      <c r="O73" s="279"/>
      <c r="P73" s="84"/>
      <c r="Q73" s="84"/>
      <c r="R73" s="233">
        <f t="shared" si="64"/>
        <v>0</v>
      </c>
      <c r="S73" s="233">
        <f t="shared" si="75"/>
        <v>0</v>
      </c>
      <c r="T73" s="233">
        <f t="shared" si="76"/>
        <v>0</v>
      </c>
      <c r="U73" s="224">
        <f t="shared" si="77"/>
        <v>0</v>
      </c>
      <c r="V73" s="279"/>
      <c r="W73" s="84"/>
      <c r="X73" s="84"/>
      <c r="Y73" s="233">
        <f t="shared" si="65"/>
        <v>0</v>
      </c>
      <c r="Z73" s="233">
        <f t="shared" si="78"/>
        <v>0</v>
      </c>
      <c r="AA73" s="233">
        <f t="shared" si="79"/>
        <v>0</v>
      </c>
      <c r="AB73" s="224">
        <f t="shared" si="80"/>
        <v>0</v>
      </c>
      <c r="AC73" s="279"/>
      <c r="AD73" s="84"/>
      <c r="AE73" s="84"/>
      <c r="AF73" s="233">
        <f t="shared" si="66"/>
        <v>0</v>
      </c>
      <c r="AG73" s="233">
        <f t="shared" si="81"/>
        <v>0</v>
      </c>
      <c r="AH73" s="233">
        <f t="shared" si="82"/>
        <v>0</v>
      </c>
      <c r="AI73" s="224">
        <f t="shared" si="83"/>
        <v>0</v>
      </c>
      <c r="AJ73" s="279"/>
      <c r="AK73" s="84"/>
      <c r="AL73" s="84"/>
      <c r="AM73" s="233">
        <f t="shared" si="67"/>
        <v>0</v>
      </c>
      <c r="AN73" s="233">
        <f t="shared" si="84"/>
        <v>0</v>
      </c>
      <c r="AO73" s="233">
        <f t="shared" si="85"/>
        <v>0</v>
      </c>
      <c r="AP73" s="224">
        <f t="shared" si="86"/>
        <v>0</v>
      </c>
      <c r="AQ73" s="279"/>
      <c r="AR73" s="84"/>
      <c r="AS73" s="84"/>
      <c r="AT73" s="233">
        <f t="shared" si="68"/>
        <v>0</v>
      </c>
      <c r="AU73" s="233">
        <f t="shared" si="87"/>
        <v>0</v>
      </c>
      <c r="AV73" s="233">
        <f t="shared" si="88"/>
        <v>0</v>
      </c>
      <c r="AW73" s="224">
        <f t="shared" si="89"/>
        <v>0</v>
      </c>
      <c r="AX73" s="279"/>
      <c r="AY73" s="84"/>
      <c r="AZ73" s="84"/>
      <c r="BA73" s="233">
        <f t="shared" si="69"/>
        <v>0</v>
      </c>
      <c r="BB73" s="233">
        <f t="shared" si="90"/>
        <v>0</v>
      </c>
      <c r="BC73" s="233">
        <f t="shared" si="91"/>
        <v>0</v>
      </c>
      <c r="BD73" s="224">
        <f t="shared" si="92"/>
        <v>0</v>
      </c>
      <c r="BE73" s="279"/>
      <c r="BF73" s="84"/>
      <c r="BG73" s="84"/>
      <c r="BH73" s="233">
        <f t="shared" si="70"/>
        <v>0</v>
      </c>
      <c r="BI73" s="233">
        <f t="shared" si="93"/>
        <v>0</v>
      </c>
      <c r="BJ73" s="233">
        <f t="shared" si="94"/>
        <v>0</v>
      </c>
      <c r="BK73" s="224">
        <f t="shared" si="95"/>
        <v>0</v>
      </c>
      <c r="BL73" s="279"/>
      <c r="BM73" s="84"/>
      <c r="BN73" s="84"/>
      <c r="BO73" s="233">
        <f t="shared" si="71"/>
        <v>0</v>
      </c>
      <c r="BP73" s="233">
        <f t="shared" si="96"/>
        <v>0</v>
      </c>
      <c r="BQ73" s="233">
        <f t="shared" si="97"/>
        <v>0</v>
      </c>
      <c r="BR73" s="224">
        <f t="shared" si="98"/>
        <v>0</v>
      </c>
    </row>
    <row r="74" spans="1:70" x14ac:dyDescent="0.35">
      <c r="A74" s="491" t="s">
        <v>1027</v>
      </c>
      <c r="B74" s="83" t="s">
        <v>675</v>
      </c>
      <c r="C74" s="234" t="s">
        <v>684</v>
      </c>
      <c r="D74" s="83" t="s">
        <v>132</v>
      </c>
      <c r="E74" s="230"/>
      <c r="F74" s="230"/>
      <c r="G74" s="231"/>
      <c r="H74" s="235">
        <v>4532</v>
      </c>
      <c r="I74" s="84"/>
      <c r="J74" s="84"/>
      <c r="K74" s="233">
        <f t="shared" si="63"/>
        <v>4532</v>
      </c>
      <c r="L74" s="233">
        <f t="shared" si="72"/>
        <v>0</v>
      </c>
      <c r="M74" s="233">
        <f t="shared" si="73"/>
        <v>2266</v>
      </c>
      <c r="N74" s="224">
        <f t="shared" si="74"/>
        <v>2266</v>
      </c>
      <c r="O74" s="279">
        <v>4623</v>
      </c>
      <c r="P74" s="84"/>
      <c r="Q74" s="84"/>
      <c r="R74" s="233">
        <f t="shared" si="64"/>
        <v>4623</v>
      </c>
      <c r="S74" s="233">
        <f t="shared" si="75"/>
        <v>0</v>
      </c>
      <c r="T74" s="233">
        <f t="shared" si="76"/>
        <v>2311.5</v>
      </c>
      <c r="U74" s="224">
        <f t="shared" si="77"/>
        <v>2311.5</v>
      </c>
      <c r="V74" s="279">
        <v>4715</v>
      </c>
      <c r="W74" s="84"/>
      <c r="X74" s="84"/>
      <c r="Y74" s="233">
        <f t="shared" si="65"/>
        <v>4715</v>
      </c>
      <c r="Z74" s="233">
        <f t="shared" si="78"/>
        <v>0</v>
      </c>
      <c r="AA74" s="233">
        <f t="shared" si="79"/>
        <v>2357.5</v>
      </c>
      <c r="AB74" s="224">
        <f t="shared" si="80"/>
        <v>2357.5</v>
      </c>
      <c r="AC74" s="279">
        <v>4809</v>
      </c>
      <c r="AD74" s="84"/>
      <c r="AE74" s="84"/>
      <c r="AF74" s="233">
        <f t="shared" si="66"/>
        <v>4809</v>
      </c>
      <c r="AG74" s="233">
        <f t="shared" si="81"/>
        <v>0</v>
      </c>
      <c r="AH74" s="233">
        <f t="shared" si="82"/>
        <v>2404.5</v>
      </c>
      <c r="AI74" s="224">
        <f t="shared" si="83"/>
        <v>2404.5</v>
      </c>
      <c r="AJ74" s="279">
        <v>4906</v>
      </c>
      <c r="AK74" s="84"/>
      <c r="AL74" s="84"/>
      <c r="AM74" s="233">
        <f t="shared" si="67"/>
        <v>4906</v>
      </c>
      <c r="AN74" s="233">
        <f t="shared" si="84"/>
        <v>0</v>
      </c>
      <c r="AO74" s="233">
        <f t="shared" si="85"/>
        <v>2453</v>
      </c>
      <c r="AP74" s="224">
        <f t="shared" si="86"/>
        <v>2453</v>
      </c>
      <c r="AQ74" s="279">
        <v>5004</v>
      </c>
      <c r="AR74" s="84"/>
      <c r="AS74" s="84"/>
      <c r="AT74" s="233">
        <f t="shared" si="68"/>
        <v>5004</v>
      </c>
      <c r="AU74" s="233">
        <f t="shared" si="87"/>
        <v>0</v>
      </c>
      <c r="AV74" s="233">
        <f t="shared" si="88"/>
        <v>2502</v>
      </c>
      <c r="AW74" s="224">
        <f t="shared" si="89"/>
        <v>2502</v>
      </c>
      <c r="AX74" s="279">
        <v>5104</v>
      </c>
      <c r="AY74" s="84"/>
      <c r="AZ74" s="84"/>
      <c r="BA74" s="233">
        <f t="shared" si="69"/>
        <v>5104</v>
      </c>
      <c r="BB74" s="233">
        <f t="shared" si="90"/>
        <v>0</v>
      </c>
      <c r="BC74" s="233">
        <f t="shared" si="91"/>
        <v>2552</v>
      </c>
      <c r="BD74" s="224">
        <f t="shared" si="92"/>
        <v>2552</v>
      </c>
      <c r="BE74" s="279">
        <v>5206</v>
      </c>
      <c r="BF74" s="84"/>
      <c r="BG74" s="84"/>
      <c r="BH74" s="233">
        <f t="shared" si="70"/>
        <v>5206</v>
      </c>
      <c r="BI74" s="233">
        <f t="shared" si="93"/>
        <v>0</v>
      </c>
      <c r="BJ74" s="233">
        <f t="shared" si="94"/>
        <v>2603</v>
      </c>
      <c r="BK74" s="224">
        <f t="shared" si="95"/>
        <v>2603</v>
      </c>
      <c r="BL74" s="279">
        <v>5310</v>
      </c>
      <c r="BM74" s="84"/>
      <c r="BN74" s="84"/>
      <c r="BO74" s="233">
        <f t="shared" si="71"/>
        <v>5310</v>
      </c>
      <c r="BP74" s="233">
        <f t="shared" si="96"/>
        <v>0</v>
      </c>
      <c r="BQ74" s="233">
        <f t="shared" si="97"/>
        <v>2655</v>
      </c>
      <c r="BR74" s="224">
        <f t="shared" si="98"/>
        <v>2655</v>
      </c>
    </row>
    <row r="75" spans="1:70" x14ac:dyDescent="0.35">
      <c r="A75" s="491" t="s">
        <v>1028</v>
      </c>
      <c r="B75" s="83">
        <v>5051</v>
      </c>
      <c r="C75" s="234" t="s">
        <v>685</v>
      </c>
      <c r="D75" s="83" t="s">
        <v>132</v>
      </c>
      <c r="E75" s="230"/>
      <c r="F75" s="230"/>
      <c r="G75" s="231"/>
      <c r="H75" s="235">
        <v>604</v>
      </c>
      <c r="I75" s="84"/>
      <c r="J75" s="84"/>
      <c r="K75" s="233">
        <f t="shared" si="63"/>
        <v>604</v>
      </c>
      <c r="L75" s="233">
        <f t="shared" si="72"/>
        <v>0</v>
      </c>
      <c r="M75" s="233">
        <f t="shared" si="73"/>
        <v>302</v>
      </c>
      <c r="N75" s="224">
        <f t="shared" si="74"/>
        <v>302</v>
      </c>
      <c r="O75" s="279">
        <v>616</v>
      </c>
      <c r="P75" s="84"/>
      <c r="Q75" s="84"/>
      <c r="R75" s="233">
        <f t="shared" si="64"/>
        <v>616</v>
      </c>
      <c r="S75" s="233">
        <f t="shared" si="75"/>
        <v>0</v>
      </c>
      <c r="T75" s="233">
        <f t="shared" si="76"/>
        <v>308</v>
      </c>
      <c r="U75" s="224">
        <f t="shared" si="77"/>
        <v>308</v>
      </c>
      <c r="V75" s="279">
        <v>628</v>
      </c>
      <c r="W75" s="84"/>
      <c r="X75" s="84"/>
      <c r="Y75" s="233">
        <f t="shared" si="65"/>
        <v>628</v>
      </c>
      <c r="Z75" s="233">
        <f t="shared" si="78"/>
        <v>0</v>
      </c>
      <c r="AA75" s="233">
        <f t="shared" si="79"/>
        <v>314</v>
      </c>
      <c r="AB75" s="224">
        <f t="shared" si="80"/>
        <v>314</v>
      </c>
      <c r="AC75" s="279">
        <v>641</v>
      </c>
      <c r="AD75" s="84"/>
      <c r="AE75" s="84"/>
      <c r="AF75" s="233">
        <f t="shared" si="66"/>
        <v>641</v>
      </c>
      <c r="AG75" s="233">
        <f t="shared" si="81"/>
        <v>0</v>
      </c>
      <c r="AH75" s="233">
        <f t="shared" si="82"/>
        <v>320.5</v>
      </c>
      <c r="AI75" s="224">
        <f t="shared" si="83"/>
        <v>320.5</v>
      </c>
      <c r="AJ75" s="279">
        <v>654</v>
      </c>
      <c r="AK75" s="84"/>
      <c r="AL75" s="84"/>
      <c r="AM75" s="233">
        <f t="shared" si="67"/>
        <v>654</v>
      </c>
      <c r="AN75" s="233">
        <f t="shared" si="84"/>
        <v>0</v>
      </c>
      <c r="AO75" s="233">
        <f t="shared" si="85"/>
        <v>327</v>
      </c>
      <c r="AP75" s="224">
        <f t="shared" si="86"/>
        <v>327</v>
      </c>
      <c r="AQ75" s="279">
        <v>667</v>
      </c>
      <c r="AR75" s="84"/>
      <c r="AS75" s="84"/>
      <c r="AT75" s="233">
        <f t="shared" si="68"/>
        <v>667</v>
      </c>
      <c r="AU75" s="233">
        <f t="shared" si="87"/>
        <v>0</v>
      </c>
      <c r="AV75" s="233">
        <f t="shared" si="88"/>
        <v>333.5</v>
      </c>
      <c r="AW75" s="224">
        <f t="shared" si="89"/>
        <v>333.5</v>
      </c>
      <c r="AX75" s="279">
        <v>680</v>
      </c>
      <c r="AY75" s="84"/>
      <c r="AZ75" s="84"/>
      <c r="BA75" s="233">
        <f t="shared" si="69"/>
        <v>680</v>
      </c>
      <c r="BB75" s="233">
        <f t="shared" si="90"/>
        <v>0</v>
      </c>
      <c r="BC75" s="233">
        <f t="shared" si="91"/>
        <v>340</v>
      </c>
      <c r="BD75" s="224">
        <f t="shared" si="92"/>
        <v>340</v>
      </c>
      <c r="BE75" s="279">
        <v>694</v>
      </c>
      <c r="BF75" s="84"/>
      <c r="BG75" s="84"/>
      <c r="BH75" s="233">
        <f t="shared" si="70"/>
        <v>694</v>
      </c>
      <c r="BI75" s="233">
        <f t="shared" si="93"/>
        <v>0</v>
      </c>
      <c r="BJ75" s="233">
        <f t="shared" si="94"/>
        <v>347</v>
      </c>
      <c r="BK75" s="224">
        <f t="shared" si="95"/>
        <v>347</v>
      </c>
      <c r="BL75" s="279">
        <v>708</v>
      </c>
      <c r="BM75" s="84"/>
      <c r="BN75" s="84"/>
      <c r="BO75" s="233">
        <f t="shared" si="71"/>
        <v>708</v>
      </c>
      <c r="BP75" s="233">
        <f t="shared" si="96"/>
        <v>0</v>
      </c>
      <c r="BQ75" s="233">
        <f t="shared" si="97"/>
        <v>354</v>
      </c>
      <c r="BR75" s="224">
        <f t="shared" si="98"/>
        <v>354</v>
      </c>
    </row>
    <row r="76" spans="1:70" x14ac:dyDescent="0.35">
      <c r="A76" s="491" t="s">
        <v>1029</v>
      </c>
      <c r="B76" s="83">
        <v>52</v>
      </c>
      <c r="C76" s="234" t="s">
        <v>686</v>
      </c>
      <c r="D76" s="83" t="s">
        <v>132</v>
      </c>
      <c r="E76" s="230"/>
      <c r="F76" s="230"/>
      <c r="G76" s="231"/>
      <c r="H76" s="235">
        <v>106</v>
      </c>
      <c r="I76" s="84"/>
      <c r="J76" s="84"/>
      <c r="K76" s="233">
        <f t="shared" si="63"/>
        <v>106</v>
      </c>
      <c r="L76" s="233">
        <f t="shared" si="72"/>
        <v>0</v>
      </c>
      <c r="M76" s="233">
        <f t="shared" si="73"/>
        <v>53</v>
      </c>
      <c r="N76" s="224">
        <f t="shared" si="74"/>
        <v>53</v>
      </c>
      <c r="O76" s="279">
        <v>108</v>
      </c>
      <c r="P76" s="84"/>
      <c r="Q76" s="84"/>
      <c r="R76" s="233">
        <f t="shared" si="64"/>
        <v>108</v>
      </c>
      <c r="S76" s="233">
        <f t="shared" si="75"/>
        <v>0</v>
      </c>
      <c r="T76" s="233">
        <f t="shared" si="76"/>
        <v>54</v>
      </c>
      <c r="U76" s="224">
        <f t="shared" si="77"/>
        <v>54</v>
      </c>
      <c r="V76" s="279">
        <v>110</v>
      </c>
      <c r="W76" s="84"/>
      <c r="X76" s="84"/>
      <c r="Y76" s="233">
        <f t="shared" si="65"/>
        <v>110</v>
      </c>
      <c r="Z76" s="233">
        <f t="shared" si="78"/>
        <v>0</v>
      </c>
      <c r="AA76" s="233">
        <f t="shared" si="79"/>
        <v>55</v>
      </c>
      <c r="AB76" s="224">
        <f t="shared" si="80"/>
        <v>55</v>
      </c>
      <c r="AC76" s="279">
        <v>112</v>
      </c>
      <c r="AD76" s="84"/>
      <c r="AE76" s="84"/>
      <c r="AF76" s="233">
        <f t="shared" si="66"/>
        <v>112</v>
      </c>
      <c r="AG76" s="233">
        <f t="shared" si="81"/>
        <v>0</v>
      </c>
      <c r="AH76" s="233">
        <f t="shared" si="82"/>
        <v>56</v>
      </c>
      <c r="AI76" s="224">
        <f t="shared" si="83"/>
        <v>56</v>
      </c>
      <c r="AJ76" s="279">
        <v>115</v>
      </c>
      <c r="AK76" s="84"/>
      <c r="AL76" s="84"/>
      <c r="AM76" s="233">
        <f t="shared" si="67"/>
        <v>115</v>
      </c>
      <c r="AN76" s="233">
        <f t="shared" si="84"/>
        <v>0</v>
      </c>
      <c r="AO76" s="233">
        <f t="shared" si="85"/>
        <v>57.5</v>
      </c>
      <c r="AP76" s="224">
        <f t="shared" si="86"/>
        <v>57.5</v>
      </c>
      <c r="AQ76" s="279">
        <v>117</v>
      </c>
      <c r="AR76" s="84"/>
      <c r="AS76" s="84"/>
      <c r="AT76" s="233">
        <f t="shared" si="68"/>
        <v>117</v>
      </c>
      <c r="AU76" s="233">
        <f t="shared" si="87"/>
        <v>0</v>
      </c>
      <c r="AV76" s="233">
        <f t="shared" si="88"/>
        <v>58.5</v>
      </c>
      <c r="AW76" s="224">
        <f t="shared" si="89"/>
        <v>58.5</v>
      </c>
      <c r="AX76" s="279">
        <v>119</v>
      </c>
      <c r="AY76" s="84"/>
      <c r="AZ76" s="84"/>
      <c r="BA76" s="233">
        <f t="shared" si="69"/>
        <v>119</v>
      </c>
      <c r="BB76" s="233">
        <f t="shared" si="90"/>
        <v>0</v>
      </c>
      <c r="BC76" s="233">
        <f t="shared" si="91"/>
        <v>59.5</v>
      </c>
      <c r="BD76" s="224">
        <f t="shared" si="92"/>
        <v>59.5</v>
      </c>
      <c r="BE76" s="279">
        <v>122</v>
      </c>
      <c r="BF76" s="84"/>
      <c r="BG76" s="84"/>
      <c r="BH76" s="233">
        <f t="shared" si="70"/>
        <v>122</v>
      </c>
      <c r="BI76" s="233">
        <f t="shared" si="93"/>
        <v>0</v>
      </c>
      <c r="BJ76" s="233">
        <f t="shared" si="94"/>
        <v>61</v>
      </c>
      <c r="BK76" s="224">
        <f t="shared" si="95"/>
        <v>61</v>
      </c>
      <c r="BL76" s="279">
        <v>124</v>
      </c>
      <c r="BM76" s="84"/>
      <c r="BN76" s="84"/>
      <c r="BO76" s="233">
        <f t="shared" si="71"/>
        <v>124</v>
      </c>
      <c r="BP76" s="233">
        <f t="shared" si="96"/>
        <v>0</v>
      </c>
      <c r="BQ76" s="233">
        <f t="shared" si="97"/>
        <v>62</v>
      </c>
      <c r="BR76" s="224">
        <f t="shared" si="98"/>
        <v>62</v>
      </c>
    </row>
    <row r="77" spans="1:70" x14ac:dyDescent="0.35">
      <c r="A77" s="491" t="s">
        <v>1030</v>
      </c>
      <c r="B77" s="83" t="s">
        <v>679</v>
      </c>
      <c r="C77" s="234" t="s">
        <v>680</v>
      </c>
      <c r="D77" s="83" t="s">
        <v>132</v>
      </c>
      <c r="E77" s="230"/>
      <c r="F77" s="230"/>
      <c r="G77" s="231"/>
      <c r="H77" s="235">
        <v>1500</v>
      </c>
      <c r="I77" s="84"/>
      <c r="J77" s="84"/>
      <c r="K77" s="233">
        <f t="shared" si="63"/>
        <v>1500</v>
      </c>
      <c r="L77" s="233">
        <f t="shared" si="72"/>
        <v>0</v>
      </c>
      <c r="M77" s="233">
        <f t="shared" si="73"/>
        <v>750</v>
      </c>
      <c r="N77" s="224">
        <f t="shared" si="74"/>
        <v>750</v>
      </c>
      <c r="O77" s="279">
        <v>1530</v>
      </c>
      <c r="P77" s="84"/>
      <c r="Q77" s="84"/>
      <c r="R77" s="233">
        <f t="shared" si="64"/>
        <v>1530</v>
      </c>
      <c r="S77" s="233">
        <f t="shared" si="75"/>
        <v>0</v>
      </c>
      <c r="T77" s="233">
        <f t="shared" si="76"/>
        <v>765</v>
      </c>
      <c r="U77" s="224">
        <f t="shared" si="77"/>
        <v>765</v>
      </c>
      <c r="V77" s="279">
        <v>1561</v>
      </c>
      <c r="W77" s="84"/>
      <c r="X77" s="84"/>
      <c r="Y77" s="233">
        <f t="shared" si="65"/>
        <v>1561</v>
      </c>
      <c r="Z77" s="233">
        <f t="shared" si="78"/>
        <v>0</v>
      </c>
      <c r="AA77" s="233">
        <f t="shared" si="79"/>
        <v>780.5</v>
      </c>
      <c r="AB77" s="224">
        <f t="shared" si="80"/>
        <v>780.5</v>
      </c>
      <c r="AC77" s="279">
        <v>1592</v>
      </c>
      <c r="AD77" s="84"/>
      <c r="AE77" s="84"/>
      <c r="AF77" s="233">
        <f t="shared" si="66"/>
        <v>1592</v>
      </c>
      <c r="AG77" s="233">
        <f t="shared" si="81"/>
        <v>0</v>
      </c>
      <c r="AH77" s="233">
        <f t="shared" si="82"/>
        <v>796</v>
      </c>
      <c r="AI77" s="224">
        <f t="shared" si="83"/>
        <v>796</v>
      </c>
      <c r="AJ77" s="279">
        <v>1624</v>
      </c>
      <c r="AK77" s="84"/>
      <c r="AL77" s="84"/>
      <c r="AM77" s="233">
        <f t="shared" si="67"/>
        <v>1624</v>
      </c>
      <c r="AN77" s="233">
        <f t="shared" si="84"/>
        <v>0</v>
      </c>
      <c r="AO77" s="233">
        <f t="shared" si="85"/>
        <v>812</v>
      </c>
      <c r="AP77" s="224">
        <f t="shared" si="86"/>
        <v>812</v>
      </c>
      <c r="AQ77" s="279">
        <v>1656</v>
      </c>
      <c r="AR77" s="84"/>
      <c r="AS77" s="84"/>
      <c r="AT77" s="233">
        <f t="shared" si="68"/>
        <v>1656</v>
      </c>
      <c r="AU77" s="233">
        <f t="shared" si="87"/>
        <v>0</v>
      </c>
      <c r="AV77" s="233">
        <f t="shared" si="88"/>
        <v>828</v>
      </c>
      <c r="AW77" s="224">
        <f t="shared" si="89"/>
        <v>828</v>
      </c>
      <c r="AX77" s="279">
        <v>1689</v>
      </c>
      <c r="AY77" s="84"/>
      <c r="AZ77" s="84"/>
      <c r="BA77" s="233">
        <f t="shared" si="69"/>
        <v>1689</v>
      </c>
      <c r="BB77" s="233">
        <f t="shared" si="90"/>
        <v>0</v>
      </c>
      <c r="BC77" s="233">
        <f t="shared" si="91"/>
        <v>844.5</v>
      </c>
      <c r="BD77" s="224">
        <f t="shared" si="92"/>
        <v>844.5</v>
      </c>
      <c r="BE77" s="279">
        <v>1723</v>
      </c>
      <c r="BF77" s="84"/>
      <c r="BG77" s="84"/>
      <c r="BH77" s="233">
        <f t="shared" si="70"/>
        <v>1723</v>
      </c>
      <c r="BI77" s="233">
        <f t="shared" si="93"/>
        <v>0</v>
      </c>
      <c r="BJ77" s="233">
        <f t="shared" si="94"/>
        <v>861.5</v>
      </c>
      <c r="BK77" s="224">
        <f t="shared" si="95"/>
        <v>861.5</v>
      </c>
      <c r="BL77" s="279">
        <v>1757</v>
      </c>
      <c r="BM77" s="84"/>
      <c r="BN77" s="84"/>
      <c r="BO77" s="233">
        <f t="shared" si="71"/>
        <v>1757</v>
      </c>
      <c r="BP77" s="233">
        <f t="shared" si="96"/>
        <v>0</v>
      </c>
      <c r="BQ77" s="233">
        <f t="shared" si="97"/>
        <v>878.5</v>
      </c>
      <c r="BR77" s="224">
        <f t="shared" si="98"/>
        <v>878.5</v>
      </c>
    </row>
    <row r="78" spans="1:70" x14ac:dyDescent="0.35">
      <c r="A78" s="491" t="s">
        <v>1031</v>
      </c>
      <c r="B78" s="83" t="s">
        <v>681</v>
      </c>
      <c r="C78" s="234" t="s">
        <v>682</v>
      </c>
      <c r="D78" s="83" t="s">
        <v>132</v>
      </c>
      <c r="E78" s="230"/>
      <c r="F78" s="230"/>
      <c r="G78" s="231"/>
      <c r="H78" s="235">
        <v>1000</v>
      </c>
      <c r="I78" s="84"/>
      <c r="J78" s="84"/>
      <c r="K78" s="233">
        <f t="shared" si="63"/>
        <v>1000</v>
      </c>
      <c r="L78" s="233">
        <f t="shared" si="72"/>
        <v>0</v>
      </c>
      <c r="M78" s="233">
        <f t="shared" si="73"/>
        <v>500</v>
      </c>
      <c r="N78" s="224">
        <f t="shared" si="74"/>
        <v>500</v>
      </c>
      <c r="O78" s="279">
        <v>1020</v>
      </c>
      <c r="P78" s="84"/>
      <c r="Q78" s="84"/>
      <c r="R78" s="233">
        <f t="shared" si="64"/>
        <v>1020</v>
      </c>
      <c r="S78" s="233">
        <f t="shared" si="75"/>
        <v>0</v>
      </c>
      <c r="T78" s="233">
        <f t="shared" si="76"/>
        <v>510</v>
      </c>
      <c r="U78" s="224">
        <f t="shared" si="77"/>
        <v>510</v>
      </c>
      <c r="V78" s="279">
        <v>1040</v>
      </c>
      <c r="W78" s="84"/>
      <c r="X78" s="84"/>
      <c r="Y78" s="233">
        <f t="shared" si="65"/>
        <v>1040</v>
      </c>
      <c r="Z78" s="233">
        <f t="shared" si="78"/>
        <v>0</v>
      </c>
      <c r="AA78" s="233">
        <f t="shared" si="79"/>
        <v>520</v>
      </c>
      <c r="AB78" s="224">
        <f t="shared" si="80"/>
        <v>520</v>
      </c>
      <c r="AC78" s="279">
        <v>1061</v>
      </c>
      <c r="AD78" s="84"/>
      <c r="AE78" s="84"/>
      <c r="AF78" s="233">
        <f t="shared" si="66"/>
        <v>1061</v>
      </c>
      <c r="AG78" s="233">
        <f t="shared" si="81"/>
        <v>0</v>
      </c>
      <c r="AH78" s="233">
        <f t="shared" si="82"/>
        <v>530.5</v>
      </c>
      <c r="AI78" s="224">
        <f t="shared" si="83"/>
        <v>530.5</v>
      </c>
      <c r="AJ78" s="279">
        <v>1082</v>
      </c>
      <c r="AK78" s="84"/>
      <c r="AL78" s="84"/>
      <c r="AM78" s="233">
        <f t="shared" si="67"/>
        <v>1082</v>
      </c>
      <c r="AN78" s="233">
        <f t="shared" si="84"/>
        <v>0</v>
      </c>
      <c r="AO78" s="233">
        <f t="shared" si="85"/>
        <v>541</v>
      </c>
      <c r="AP78" s="224">
        <f t="shared" si="86"/>
        <v>541</v>
      </c>
      <c r="AQ78" s="279">
        <v>1104</v>
      </c>
      <c r="AR78" s="84"/>
      <c r="AS78" s="84"/>
      <c r="AT78" s="233">
        <f t="shared" si="68"/>
        <v>1104</v>
      </c>
      <c r="AU78" s="233">
        <f t="shared" si="87"/>
        <v>0</v>
      </c>
      <c r="AV78" s="233">
        <f t="shared" si="88"/>
        <v>552</v>
      </c>
      <c r="AW78" s="224">
        <f t="shared" si="89"/>
        <v>552</v>
      </c>
      <c r="AX78" s="279">
        <v>1126</v>
      </c>
      <c r="AY78" s="84"/>
      <c r="AZ78" s="84"/>
      <c r="BA78" s="233">
        <f t="shared" si="69"/>
        <v>1126</v>
      </c>
      <c r="BB78" s="233">
        <f t="shared" si="90"/>
        <v>0</v>
      </c>
      <c r="BC78" s="233">
        <f t="shared" si="91"/>
        <v>563</v>
      </c>
      <c r="BD78" s="224">
        <f t="shared" si="92"/>
        <v>563</v>
      </c>
      <c r="BE78" s="279">
        <v>1149</v>
      </c>
      <c r="BF78" s="84"/>
      <c r="BG78" s="84"/>
      <c r="BH78" s="233">
        <f t="shared" si="70"/>
        <v>1149</v>
      </c>
      <c r="BI78" s="233">
        <f t="shared" si="93"/>
        <v>0</v>
      </c>
      <c r="BJ78" s="233">
        <f t="shared" si="94"/>
        <v>574.5</v>
      </c>
      <c r="BK78" s="224">
        <f t="shared" si="95"/>
        <v>574.5</v>
      </c>
      <c r="BL78" s="279">
        <v>1172</v>
      </c>
      <c r="BM78" s="84"/>
      <c r="BN78" s="84"/>
      <c r="BO78" s="233">
        <f t="shared" si="71"/>
        <v>1172</v>
      </c>
      <c r="BP78" s="233">
        <f t="shared" si="96"/>
        <v>0</v>
      </c>
      <c r="BQ78" s="233">
        <f t="shared" si="97"/>
        <v>586</v>
      </c>
      <c r="BR78" s="224">
        <f t="shared" si="98"/>
        <v>586</v>
      </c>
    </row>
    <row r="79" spans="1:70" x14ac:dyDescent="0.35">
      <c r="A79" s="491" t="s">
        <v>1032</v>
      </c>
      <c r="B79" s="83"/>
      <c r="C79" s="234"/>
      <c r="D79" s="83"/>
      <c r="E79" s="230"/>
      <c r="F79" s="230"/>
      <c r="G79" s="231"/>
      <c r="H79" s="235"/>
      <c r="I79" s="84"/>
      <c r="J79" s="84"/>
      <c r="K79" s="233">
        <f t="shared" si="63"/>
        <v>0</v>
      </c>
      <c r="L79" s="233">
        <f t="shared" si="72"/>
        <v>0</v>
      </c>
      <c r="M79" s="233">
        <f t="shared" si="73"/>
        <v>0</v>
      </c>
      <c r="N79" s="224">
        <f t="shared" si="74"/>
        <v>0</v>
      </c>
      <c r="O79" s="279"/>
      <c r="P79" s="84"/>
      <c r="Q79" s="84"/>
      <c r="R79" s="233">
        <f t="shared" si="64"/>
        <v>0</v>
      </c>
      <c r="S79" s="233">
        <f t="shared" si="75"/>
        <v>0</v>
      </c>
      <c r="T79" s="233">
        <f t="shared" si="76"/>
        <v>0</v>
      </c>
      <c r="U79" s="224">
        <f t="shared" si="77"/>
        <v>0</v>
      </c>
      <c r="V79" s="279"/>
      <c r="W79" s="84"/>
      <c r="X79" s="84"/>
      <c r="Y79" s="233">
        <f t="shared" si="65"/>
        <v>0</v>
      </c>
      <c r="Z79" s="233">
        <f t="shared" si="78"/>
        <v>0</v>
      </c>
      <c r="AA79" s="233">
        <f t="shared" si="79"/>
        <v>0</v>
      </c>
      <c r="AB79" s="224">
        <f t="shared" si="80"/>
        <v>0</v>
      </c>
      <c r="AC79" s="279"/>
      <c r="AD79" s="84"/>
      <c r="AE79" s="84"/>
      <c r="AF79" s="233">
        <f t="shared" si="66"/>
        <v>0</v>
      </c>
      <c r="AG79" s="233">
        <f t="shared" si="81"/>
        <v>0</v>
      </c>
      <c r="AH79" s="233">
        <f t="shared" si="82"/>
        <v>0</v>
      </c>
      <c r="AI79" s="224">
        <f t="shared" si="83"/>
        <v>0</v>
      </c>
      <c r="AJ79" s="279"/>
      <c r="AK79" s="84"/>
      <c r="AL79" s="84"/>
      <c r="AM79" s="233">
        <f t="shared" si="67"/>
        <v>0</v>
      </c>
      <c r="AN79" s="233">
        <f t="shared" si="84"/>
        <v>0</v>
      </c>
      <c r="AO79" s="233">
        <f t="shared" si="85"/>
        <v>0</v>
      </c>
      <c r="AP79" s="224">
        <f t="shared" si="86"/>
        <v>0</v>
      </c>
      <c r="AQ79" s="279"/>
      <c r="AR79" s="84"/>
      <c r="AS79" s="84"/>
      <c r="AT79" s="233">
        <f t="shared" si="68"/>
        <v>0</v>
      </c>
      <c r="AU79" s="233">
        <f t="shared" si="87"/>
        <v>0</v>
      </c>
      <c r="AV79" s="233">
        <f t="shared" si="88"/>
        <v>0</v>
      </c>
      <c r="AW79" s="224">
        <f t="shared" si="89"/>
        <v>0</v>
      </c>
      <c r="AX79" s="279"/>
      <c r="AY79" s="84"/>
      <c r="AZ79" s="84"/>
      <c r="BA79" s="233">
        <f t="shared" si="69"/>
        <v>0</v>
      </c>
      <c r="BB79" s="233">
        <f t="shared" si="90"/>
        <v>0</v>
      </c>
      <c r="BC79" s="233">
        <f t="shared" si="91"/>
        <v>0</v>
      </c>
      <c r="BD79" s="224">
        <f t="shared" si="92"/>
        <v>0</v>
      </c>
      <c r="BE79" s="279"/>
      <c r="BF79" s="84"/>
      <c r="BG79" s="84"/>
      <c r="BH79" s="233">
        <f t="shared" si="70"/>
        <v>0</v>
      </c>
      <c r="BI79" s="233">
        <f t="shared" si="93"/>
        <v>0</v>
      </c>
      <c r="BJ79" s="233">
        <f t="shared" si="94"/>
        <v>0</v>
      </c>
      <c r="BK79" s="224">
        <f t="shared" si="95"/>
        <v>0</v>
      </c>
      <c r="BL79" s="279"/>
      <c r="BM79" s="84"/>
      <c r="BN79" s="84"/>
      <c r="BO79" s="233">
        <f t="shared" si="71"/>
        <v>0</v>
      </c>
      <c r="BP79" s="233">
        <f t="shared" si="96"/>
        <v>0</v>
      </c>
      <c r="BQ79" s="233">
        <f t="shared" si="97"/>
        <v>0</v>
      </c>
      <c r="BR79" s="224">
        <f t="shared" si="98"/>
        <v>0</v>
      </c>
    </row>
    <row r="80" spans="1:70" x14ac:dyDescent="0.35">
      <c r="A80" s="491" t="s">
        <v>1033</v>
      </c>
      <c r="B80" s="175">
        <v>7002</v>
      </c>
      <c r="C80" s="492" t="s">
        <v>687</v>
      </c>
      <c r="D80" s="83"/>
      <c r="E80" s="230"/>
      <c r="F80" s="230"/>
      <c r="G80" s="231"/>
      <c r="H80" s="235"/>
      <c r="I80" s="84"/>
      <c r="J80" s="84"/>
      <c r="K80" s="233">
        <f t="shared" si="63"/>
        <v>0</v>
      </c>
      <c r="L80" s="233">
        <f t="shared" si="72"/>
        <v>0</v>
      </c>
      <c r="M80" s="233">
        <f t="shared" si="73"/>
        <v>0</v>
      </c>
      <c r="N80" s="224">
        <f t="shared" si="74"/>
        <v>0</v>
      </c>
      <c r="O80" s="279"/>
      <c r="P80" s="84"/>
      <c r="Q80" s="84"/>
      <c r="R80" s="233">
        <f t="shared" si="64"/>
        <v>0</v>
      </c>
      <c r="S80" s="233">
        <f t="shared" si="75"/>
        <v>0</v>
      </c>
      <c r="T80" s="233">
        <f t="shared" si="76"/>
        <v>0</v>
      </c>
      <c r="U80" s="224">
        <f t="shared" si="77"/>
        <v>0</v>
      </c>
      <c r="V80" s="279"/>
      <c r="W80" s="84"/>
      <c r="X80" s="84"/>
      <c r="Y80" s="233">
        <f t="shared" si="65"/>
        <v>0</v>
      </c>
      <c r="Z80" s="233">
        <f t="shared" si="78"/>
        <v>0</v>
      </c>
      <c r="AA80" s="233">
        <f t="shared" si="79"/>
        <v>0</v>
      </c>
      <c r="AB80" s="224">
        <f t="shared" si="80"/>
        <v>0</v>
      </c>
      <c r="AC80" s="279"/>
      <c r="AD80" s="84"/>
      <c r="AE80" s="84"/>
      <c r="AF80" s="233">
        <f t="shared" si="66"/>
        <v>0</v>
      </c>
      <c r="AG80" s="233">
        <f t="shared" si="81"/>
        <v>0</v>
      </c>
      <c r="AH80" s="233">
        <f t="shared" si="82"/>
        <v>0</v>
      </c>
      <c r="AI80" s="224">
        <f t="shared" si="83"/>
        <v>0</v>
      </c>
      <c r="AJ80" s="279"/>
      <c r="AK80" s="84"/>
      <c r="AL80" s="84"/>
      <c r="AM80" s="233">
        <f t="shared" si="67"/>
        <v>0</v>
      </c>
      <c r="AN80" s="233">
        <f t="shared" si="84"/>
        <v>0</v>
      </c>
      <c r="AO80" s="233">
        <f t="shared" si="85"/>
        <v>0</v>
      </c>
      <c r="AP80" s="224">
        <f t="shared" si="86"/>
        <v>0</v>
      </c>
      <c r="AQ80" s="279"/>
      <c r="AR80" s="84"/>
      <c r="AS80" s="84"/>
      <c r="AT80" s="233">
        <f t="shared" si="68"/>
        <v>0</v>
      </c>
      <c r="AU80" s="233">
        <f t="shared" si="87"/>
        <v>0</v>
      </c>
      <c r="AV80" s="233">
        <f t="shared" si="88"/>
        <v>0</v>
      </c>
      <c r="AW80" s="224">
        <f t="shared" si="89"/>
        <v>0</v>
      </c>
      <c r="AX80" s="279"/>
      <c r="AY80" s="84"/>
      <c r="AZ80" s="84"/>
      <c r="BA80" s="233">
        <f t="shared" si="69"/>
        <v>0</v>
      </c>
      <c r="BB80" s="233">
        <f t="shared" si="90"/>
        <v>0</v>
      </c>
      <c r="BC80" s="233">
        <f t="shared" si="91"/>
        <v>0</v>
      </c>
      <c r="BD80" s="224">
        <f t="shared" si="92"/>
        <v>0</v>
      </c>
      <c r="BE80" s="279"/>
      <c r="BF80" s="84"/>
      <c r="BG80" s="84"/>
      <c r="BH80" s="233">
        <f t="shared" si="70"/>
        <v>0</v>
      </c>
      <c r="BI80" s="233">
        <f t="shared" si="93"/>
        <v>0</v>
      </c>
      <c r="BJ80" s="233">
        <f t="shared" si="94"/>
        <v>0</v>
      </c>
      <c r="BK80" s="224">
        <f t="shared" si="95"/>
        <v>0</v>
      </c>
      <c r="BL80" s="279"/>
      <c r="BM80" s="84"/>
      <c r="BN80" s="84"/>
      <c r="BO80" s="233">
        <f t="shared" si="71"/>
        <v>0</v>
      </c>
      <c r="BP80" s="233">
        <f t="shared" si="96"/>
        <v>0</v>
      </c>
      <c r="BQ80" s="233">
        <f t="shared" si="97"/>
        <v>0</v>
      </c>
      <c r="BR80" s="224">
        <f t="shared" si="98"/>
        <v>0</v>
      </c>
    </row>
    <row r="81" spans="1:70" x14ac:dyDescent="0.35">
      <c r="A81" s="491" t="s">
        <v>1034</v>
      </c>
      <c r="B81" s="83" t="s">
        <v>675</v>
      </c>
      <c r="C81" s="234" t="s">
        <v>688</v>
      </c>
      <c r="D81" s="83" t="s">
        <v>126</v>
      </c>
      <c r="E81" s="230"/>
      <c r="F81" s="230"/>
      <c r="G81" s="231"/>
      <c r="H81" s="235">
        <v>5003</v>
      </c>
      <c r="I81" s="84"/>
      <c r="J81" s="84"/>
      <c r="K81" s="233">
        <f t="shared" si="63"/>
        <v>5003</v>
      </c>
      <c r="L81" s="233">
        <f t="shared" si="72"/>
        <v>5003</v>
      </c>
      <c r="M81" s="233">
        <f t="shared" si="73"/>
        <v>0</v>
      </c>
      <c r="N81" s="224">
        <f t="shared" si="74"/>
        <v>0</v>
      </c>
      <c r="O81" s="279">
        <v>5103</v>
      </c>
      <c r="P81" s="84"/>
      <c r="Q81" s="84"/>
      <c r="R81" s="233">
        <f t="shared" si="64"/>
        <v>5103</v>
      </c>
      <c r="S81" s="233">
        <f t="shared" si="75"/>
        <v>5103</v>
      </c>
      <c r="T81" s="233">
        <f t="shared" si="76"/>
        <v>0</v>
      </c>
      <c r="U81" s="224">
        <f t="shared" si="77"/>
        <v>0</v>
      </c>
      <c r="V81" s="279">
        <v>5205</v>
      </c>
      <c r="W81" s="84"/>
      <c r="X81" s="84"/>
      <c r="Y81" s="233">
        <f t="shared" si="65"/>
        <v>5205</v>
      </c>
      <c r="Z81" s="233">
        <f t="shared" si="78"/>
        <v>5205</v>
      </c>
      <c r="AA81" s="233">
        <f t="shared" si="79"/>
        <v>0</v>
      </c>
      <c r="AB81" s="224">
        <f t="shared" si="80"/>
        <v>0</v>
      </c>
      <c r="AC81" s="279">
        <v>5309</v>
      </c>
      <c r="AD81" s="84"/>
      <c r="AE81" s="84"/>
      <c r="AF81" s="233">
        <f t="shared" si="66"/>
        <v>5309</v>
      </c>
      <c r="AG81" s="233">
        <f t="shared" si="81"/>
        <v>5309</v>
      </c>
      <c r="AH81" s="233">
        <f t="shared" si="82"/>
        <v>0</v>
      </c>
      <c r="AI81" s="224">
        <f t="shared" si="83"/>
        <v>0</v>
      </c>
      <c r="AJ81" s="279">
        <v>5415</v>
      </c>
      <c r="AK81" s="84"/>
      <c r="AL81" s="84"/>
      <c r="AM81" s="233">
        <f t="shared" si="67"/>
        <v>5415</v>
      </c>
      <c r="AN81" s="233">
        <f t="shared" si="84"/>
        <v>5415</v>
      </c>
      <c r="AO81" s="233">
        <f t="shared" si="85"/>
        <v>0</v>
      </c>
      <c r="AP81" s="224">
        <f t="shared" si="86"/>
        <v>0</v>
      </c>
      <c r="AQ81" s="279">
        <v>5524</v>
      </c>
      <c r="AR81" s="84"/>
      <c r="AS81" s="84"/>
      <c r="AT81" s="233">
        <f t="shared" si="68"/>
        <v>5524</v>
      </c>
      <c r="AU81" s="233">
        <f t="shared" si="87"/>
        <v>5524</v>
      </c>
      <c r="AV81" s="233">
        <f t="shared" si="88"/>
        <v>0</v>
      </c>
      <c r="AW81" s="224">
        <f t="shared" si="89"/>
        <v>0</v>
      </c>
      <c r="AX81" s="279">
        <v>5634</v>
      </c>
      <c r="AY81" s="84"/>
      <c r="AZ81" s="84"/>
      <c r="BA81" s="233">
        <f t="shared" si="69"/>
        <v>5634</v>
      </c>
      <c r="BB81" s="233">
        <f t="shared" si="90"/>
        <v>5634</v>
      </c>
      <c r="BC81" s="233">
        <f t="shared" si="91"/>
        <v>0</v>
      </c>
      <c r="BD81" s="224">
        <f t="shared" si="92"/>
        <v>0</v>
      </c>
      <c r="BE81" s="279">
        <v>5747</v>
      </c>
      <c r="BF81" s="84"/>
      <c r="BG81" s="84"/>
      <c r="BH81" s="233">
        <f t="shared" si="70"/>
        <v>5747</v>
      </c>
      <c r="BI81" s="233">
        <f t="shared" si="93"/>
        <v>5747</v>
      </c>
      <c r="BJ81" s="233">
        <f t="shared" si="94"/>
        <v>0</v>
      </c>
      <c r="BK81" s="224">
        <f t="shared" si="95"/>
        <v>0</v>
      </c>
      <c r="BL81" s="279">
        <v>5862</v>
      </c>
      <c r="BM81" s="84"/>
      <c r="BN81" s="84"/>
      <c r="BO81" s="233">
        <f t="shared" si="71"/>
        <v>5862</v>
      </c>
      <c r="BP81" s="233">
        <f t="shared" si="96"/>
        <v>5862</v>
      </c>
      <c r="BQ81" s="233">
        <f t="shared" si="97"/>
        <v>0</v>
      </c>
      <c r="BR81" s="224">
        <f t="shared" si="98"/>
        <v>0</v>
      </c>
    </row>
    <row r="82" spans="1:70" x14ac:dyDescent="0.35">
      <c r="A82" s="491" t="s">
        <v>1035</v>
      </c>
      <c r="B82" s="83">
        <v>5051</v>
      </c>
      <c r="C82" s="234" t="s">
        <v>689</v>
      </c>
      <c r="D82" s="83" t="s">
        <v>126</v>
      </c>
      <c r="E82" s="230"/>
      <c r="F82" s="230"/>
      <c r="G82" s="231"/>
      <c r="H82" s="235">
        <v>300</v>
      </c>
      <c r="I82" s="84"/>
      <c r="J82" s="84"/>
      <c r="K82" s="233">
        <f t="shared" si="63"/>
        <v>300</v>
      </c>
      <c r="L82" s="233">
        <f t="shared" si="72"/>
        <v>300</v>
      </c>
      <c r="M82" s="233">
        <f t="shared" si="73"/>
        <v>0</v>
      </c>
      <c r="N82" s="224">
        <f t="shared" si="74"/>
        <v>0</v>
      </c>
      <c r="O82" s="279">
        <v>306</v>
      </c>
      <c r="P82" s="84"/>
      <c r="Q82" s="84"/>
      <c r="R82" s="233">
        <f t="shared" si="64"/>
        <v>306</v>
      </c>
      <c r="S82" s="233">
        <f t="shared" si="75"/>
        <v>306</v>
      </c>
      <c r="T82" s="233">
        <f t="shared" si="76"/>
        <v>0</v>
      </c>
      <c r="U82" s="224">
        <f t="shared" si="77"/>
        <v>0</v>
      </c>
      <c r="V82" s="279">
        <v>312</v>
      </c>
      <c r="W82" s="84"/>
      <c r="X82" s="84"/>
      <c r="Y82" s="233">
        <f t="shared" si="65"/>
        <v>312</v>
      </c>
      <c r="Z82" s="233">
        <f t="shared" si="78"/>
        <v>312</v>
      </c>
      <c r="AA82" s="233">
        <f t="shared" si="79"/>
        <v>0</v>
      </c>
      <c r="AB82" s="224">
        <f t="shared" si="80"/>
        <v>0</v>
      </c>
      <c r="AC82" s="279">
        <v>318</v>
      </c>
      <c r="AD82" s="84"/>
      <c r="AE82" s="84"/>
      <c r="AF82" s="233">
        <f t="shared" si="66"/>
        <v>318</v>
      </c>
      <c r="AG82" s="233">
        <f t="shared" si="81"/>
        <v>318</v>
      </c>
      <c r="AH82" s="233">
        <f t="shared" si="82"/>
        <v>0</v>
      </c>
      <c r="AI82" s="224">
        <f t="shared" si="83"/>
        <v>0</v>
      </c>
      <c r="AJ82" s="279">
        <v>325</v>
      </c>
      <c r="AK82" s="84"/>
      <c r="AL82" s="84"/>
      <c r="AM82" s="233">
        <f t="shared" si="67"/>
        <v>325</v>
      </c>
      <c r="AN82" s="233">
        <f t="shared" si="84"/>
        <v>325</v>
      </c>
      <c r="AO82" s="233">
        <f t="shared" si="85"/>
        <v>0</v>
      </c>
      <c r="AP82" s="224">
        <f t="shared" si="86"/>
        <v>0</v>
      </c>
      <c r="AQ82" s="279">
        <v>331</v>
      </c>
      <c r="AR82" s="84"/>
      <c r="AS82" s="84"/>
      <c r="AT82" s="233">
        <f t="shared" si="68"/>
        <v>331</v>
      </c>
      <c r="AU82" s="233">
        <f t="shared" si="87"/>
        <v>331</v>
      </c>
      <c r="AV82" s="233">
        <f t="shared" si="88"/>
        <v>0</v>
      </c>
      <c r="AW82" s="224">
        <f t="shared" si="89"/>
        <v>0</v>
      </c>
      <c r="AX82" s="279">
        <v>338</v>
      </c>
      <c r="AY82" s="84"/>
      <c r="AZ82" s="84"/>
      <c r="BA82" s="233">
        <f t="shared" si="69"/>
        <v>338</v>
      </c>
      <c r="BB82" s="233">
        <f t="shared" si="90"/>
        <v>338</v>
      </c>
      <c r="BC82" s="233">
        <f t="shared" si="91"/>
        <v>0</v>
      </c>
      <c r="BD82" s="224">
        <f t="shared" si="92"/>
        <v>0</v>
      </c>
      <c r="BE82" s="279">
        <v>345</v>
      </c>
      <c r="BF82" s="84"/>
      <c r="BG82" s="84"/>
      <c r="BH82" s="233">
        <f t="shared" si="70"/>
        <v>345</v>
      </c>
      <c r="BI82" s="233">
        <f t="shared" si="93"/>
        <v>345</v>
      </c>
      <c r="BJ82" s="233">
        <f t="shared" si="94"/>
        <v>0</v>
      </c>
      <c r="BK82" s="224">
        <f t="shared" si="95"/>
        <v>0</v>
      </c>
      <c r="BL82" s="279">
        <v>351</v>
      </c>
      <c r="BM82" s="84"/>
      <c r="BN82" s="84"/>
      <c r="BO82" s="233">
        <f t="shared" si="71"/>
        <v>351</v>
      </c>
      <c r="BP82" s="233">
        <f t="shared" si="96"/>
        <v>351</v>
      </c>
      <c r="BQ82" s="233">
        <f t="shared" si="97"/>
        <v>0</v>
      </c>
      <c r="BR82" s="224">
        <f t="shared" si="98"/>
        <v>0</v>
      </c>
    </row>
    <row r="83" spans="1:70" x14ac:dyDescent="0.35">
      <c r="A83" s="491" t="s">
        <v>1036</v>
      </c>
      <c r="B83" s="83">
        <v>52</v>
      </c>
      <c r="C83" s="234" t="s">
        <v>690</v>
      </c>
      <c r="D83" s="83" t="s">
        <v>126</v>
      </c>
      <c r="E83" s="230"/>
      <c r="F83" s="230"/>
      <c r="G83" s="231"/>
      <c r="H83" s="235">
        <v>250</v>
      </c>
      <c r="I83" s="84"/>
      <c r="J83" s="84"/>
      <c r="K83" s="233">
        <f t="shared" si="63"/>
        <v>250</v>
      </c>
      <c r="L83" s="233">
        <f t="shared" si="72"/>
        <v>250</v>
      </c>
      <c r="M83" s="233">
        <f t="shared" si="73"/>
        <v>0</v>
      </c>
      <c r="N83" s="224">
        <f t="shared" si="74"/>
        <v>0</v>
      </c>
      <c r="O83" s="279">
        <v>255</v>
      </c>
      <c r="P83" s="84"/>
      <c r="Q83" s="84"/>
      <c r="R83" s="233">
        <f t="shared" si="64"/>
        <v>255</v>
      </c>
      <c r="S83" s="233">
        <f t="shared" si="75"/>
        <v>255</v>
      </c>
      <c r="T83" s="233">
        <f t="shared" si="76"/>
        <v>0</v>
      </c>
      <c r="U83" s="224">
        <f t="shared" si="77"/>
        <v>0</v>
      </c>
      <c r="V83" s="279">
        <v>260</v>
      </c>
      <c r="W83" s="84"/>
      <c r="X83" s="84"/>
      <c r="Y83" s="233">
        <f t="shared" si="65"/>
        <v>260</v>
      </c>
      <c r="Z83" s="233">
        <f t="shared" si="78"/>
        <v>260</v>
      </c>
      <c r="AA83" s="233">
        <f t="shared" si="79"/>
        <v>0</v>
      </c>
      <c r="AB83" s="224">
        <f t="shared" si="80"/>
        <v>0</v>
      </c>
      <c r="AC83" s="279">
        <v>265</v>
      </c>
      <c r="AD83" s="84"/>
      <c r="AE83" s="84"/>
      <c r="AF83" s="233">
        <f t="shared" si="66"/>
        <v>265</v>
      </c>
      <c r="AG83" s="233">
        <f t="shared" si="81"/>
        <v>265</v>
      </c>
      <c r="AH83" s="233">
        <f t="shared" si="82"/>
        <v>0</v>
      </c>
      <c r="AI83" s="224">
        <f t="shared" si="83"/>
        <v>0</v>
      </c>
      <c r="AJ83" s="279">
        <v>271</v>
      </c>
      <c r="AK83" s="84"/>
      <c r="AL83" s="84"/>
      <c r="AM83" s="233">
        <f t="shared" si="67"/>
        <v>271</v>
      </c>
      <c r="AN83" s="233">
        <f t="shared" si="84"/>
        <v>271</v>
      </c>
      <c r="AO83" s="233">
        <f t="shared" si="85"/>
        <v>0</v>
      </c>
      <c r="AP83" s="224">
        <f t="shared" si="86"/>
        <v>0</v>
      </c>
      <c r="AQ83" s="279">
        <v>276</v>
      </c>
      <c r="AR83" s="84"/>
      <c r="AS83" s="84"/>
      <c r="AT83" s="233">
        <f t="shared" si="68"/>
        <v>276</v>
      </c>
      <c r="AU83" s="233">
        <f t="shared" si="87"/>
        <v>276</v>
      </c>
      <c r="AV83" s="233">
        <f t="shared" si="88"/>
        <v>0</v>
      </c>
      <c r="AW83" s="224">
        <f t="shared" si="89"/>
        <v>0</v>
      </c>
      <c r="AX83" s="279">
        <v>282</v>
      </c>
      <c r="AY83" s="84"/>
      <c r="AZ83" s="84"/>
      <c r="BA83" s="233">
        <f t="shared" si="69"/>
        <v>282</v>
      </c>
      <c r="BB83" s="233">
        <f t="shared" si="90"/>
        <v>282</v>
      </c>
      <c r="BC83" s="233">
        <f t="shared" si="91"/>
        <v>0</v>
      </c>
      <c r="BD83" s="224">
        <f t="shared" si="92"/>
        <v>0</v>
      </c>
      <c r="BE83" s="279">
        <v>287</v>
      </c>
      <c r="BF83" s="84"/>
      <c r="BG83" s="84"/>
      <c r="BH83" s="233">
        <f t="shared" si="70"/>
        <v>287</v>
      </c>
      <c r="BI83" s="233">
        <f t="shared" si="93"/>
        <v>287</v>
      </c>
      <c r="BJ83" s="233">
        <f t="shared" si="94"/>
        <v>0</v>
      </c>
      <c r="BK83" s="224">
        <f t="shared" si="95"/>
        <v>0</v>
      </c>
      <c r="BL83" s="279">
        <v>293</v>
      </c>
      <c r="BM83" s="84"/>
      <c r="BN83" s="84"/>
      <c r="BO83" s="233">
        <f t="shared" si="71"/>
        <v>293</v>
      </c>
      <c r="BP83" s="233">
        <f t="shared" si="96"/>
        <v>293</v>
      </c>
      <c r="BQ83" s="233">
        <f t="shared" si="97"/>
        <v>0</v>
      </c>
      <c r="BR83" s="224">
        <f t="shared" si="98"/>
        <v>0</v>
      </c>
    </row>
    <row r="84" spans="1:70" x14ac:dyDescent="0.35">
      <c r="A84" s="491" t="s">
        <v>1037</v>
      </c>
      <c r="B84" s="83" t="s">
        <v>679</v>
      </c>
      <c r="C84" s="234" t="s">
        <v>680</v>
      </c>
      <c r="D84" s="83" t="s">
        <v>126</v>
      </c>
      <c r="E84" s="230"/>
      <c r="F84" s="230"/>
      <c r="G84" s="231"/>
      <c r="H84" s="235">
        <v>1700</v>
      </c>
      <c r="I84" s="84"/>
      <c r="J84" s="84"/>
      <c r="K84" s="233">
        <f t="shared" si="63"/>
        <v>1700</v>
      </c>
      <c r="L84" s="233">
        <f t="shared" si="72"/>
        <v>1700</v>
      </c>
      <c r="M84" s="233">
        <f t="shared" si="73"/>
        <v>0</v>
      </c>
      <c r="N84" s="224">
        <f t="shared" si="74"/>
        <v>0</v>
      </c>
      <c r="O84" s="279">
        <v>1734</v>
      </c>
      <c r="P84" s="84"/>
      <c r="Q84" s="84"/>
      <c r="R84" s="233">
        <f t="shared" si="64"/>
        <v>1734</v>
      </c>
      <c r="S84" s="233">
        <f t="shared" si="75"/>
        <v>1734</v>
      </c>
      <c r="T84" s="233">
        <f t="shared" si="76"/>
        <v>0</v>
      </c>
      <c r="U84" s="224">
        <f t="shared" si="77"/>
        <v>0</v>
      </c>
      <c r="V84" s="279">
        <v>1769</v>
      </c>
      <c r="W84" s="84"/>
      <c r="X84" s="84"/>
      <c r="Y84" s="233">
        <f t="shared" si="65"/>
        <v>1769</v>
      </c>
      <c r="Z84" s="233">
        <f t="shared" si="78"/>
        <v>1769</v>
      </c>
      <c r="AA84" s="233">
        <f t="shared" si="79"/>
        <v>0</v>
      </c>
      <c r="AB84" s="224">
        <f t="shared" si="80"/>
        <v>0</v>
      </c>
      <c r="AC84" s="279">
        <v>1804</v>
      </c>
      <c r="AD84" s="84"/>
      <c r="AE84" s="84"/>
      <c r="AF84" s="233">
        <f t="shared" si="66"/>
        <v>1804</v>
      </c>
      <c r="AG84" s="233">
        <f t="shared" si="81"/>
        <v>1804</v>
      </c>
      <c r="AH84" s="233">
        <f t="shared" si="82"/>
        <v>0</v>
      </c>
      <c r="AI84" s="224">
        <f t="shared" si="83"/>
        <v>0</v>
      </c>
      <c r="AJ84" s="279">
        <v>1840</v>
      </c>
      <c r="AK84" s="84"/>
      <c r="AL84" s="84"/>
      <c r="AM84" s="233">
        <f t="shared" si="67"/>
        <v>1840</v>
      </c>
      <c r="AN84" s="233">
        <f t="shared" si="84"/>
        <v>1840</v>
      </c>
      <c r="AO84" s="233">
        <f t="shared" si="85"/>
        <v>0</v>
      </c>
      <c r="AP84" s="224">
        <f t="shared" si="86"/>
        <v>0</v>
      </c>
      <c r="AQ84" s="279">
        <v>1877</v>
      </c>
      <c r="AR84" s="84"/>
      <c r="AS84" s="84"/>
      <c r="AT84" s="233">
        <f t="shared" si="68"/>
        <v>1877</v>
      </c>
      <c r="AU84" s="233">
        <f t="shared" si="87"/>
        <v>1877</v>
      </c>
      <c r="AV84" s="233">
        <f t="shared" si="88"/>
        <v>0</v>
      </c>
      <c r="AW84" s="224">
        <f t="shared" si="89"/>
        <v>0</v>
      </c>
      <c r="AX84" s="279">
        <v>1914</v>
      </c>
      <c r="AY84" s="84"/>
      <c r="AZ84" s="84"/>
      <c r="BA84" s="233">
        <f t="shared" si="69"/>
        <v>1914</v>
      </c>
      <c r="BB84" s="233">
        <f t="shared" si="90"/>
        <v>1914</v>
      </c>
      <c r="BC84" s="233">
        <f t="shared" si="91"/>
        <v>0</v>
      </c>
      <c r="BD84" s="224">
        <f t="shared" si="92"/>
        <v>0</v>
      </c>
      <c r="BE84" s="279">
        <v>1953</v>
      </c>
      <c r="BF84" s="84"/>
      <c r="BG84" s="84"/>
      <c r="BH84" s="233">
        <f t="shared" si="70"/>
        <v>1953</v>
      </c>
      <c r="BI84" s="233">
        <f t="shared" si="93"/>
        <v>1953</v>
      </c>
      <c r="BJ84" s="233">
        <f t="shared" si="94"/>
        <v>0</v>
      </c>
      <c r="BK84" s="224">
        <f t="shared" si="95"/>
        <v>0</v>
      </c>
      <c r="BL84" s="279">
        <v>1992</v>
      </c>
      <c r="BM84" s="84"/>
      <c r="BN84" s="84"/>
      <c r="BO84" s="233">
        <f t="shared" si="71"/>
        <v>1992</v>
      </c>
      <c r="BP84" s="233">
        <f t="shared" si="96"/>
        <v>1992</v>
      </c>
      <c r="BQ84" s="233">
        <f t="shared" si="97"/>
        <v>0</v>
      </c>
      <c r="BR84" s="224">
        <f t="shared" si="98"/>
        <v>0</v>
      </c>
    </row>
    <row r="85" spans="1:70" x14ac:dyDescent="0.35">
      <c r="A85" s="491" t="s">
        <v>1038</v>
      </c>
      <c r="B85" s="83" t="s">
        <v>681</v>
      </c>
      <c r="C85" s="234" t="s">
        <v>682</v>
      </c>
      <c r="D85" s="83" t="s">
        <v>126</v>
      </c>
      <c r="E85" s="230"/>
      <c r="F85" s="230"/>
      <c r="G85" s="231"/>
      <c r="H85" s="235">
        <v>800</v>
      </c>
      <c r="I85" s="84"/>
      <c r="J85" s="84"/>
      <c r="K85" s="233">
        <f t="shared" si="63"/>
        <v>800</v>
      </c>
      <c r="L85" s="233">
        <f t="shared" si="72"/>
        <v>800</v>
      </c>
      <c r="M85" s="233">
        <f t="shared" si="73"/>
        <v>0</v>
      </c>
      <c r="N85" s="224">
        <f t="shared" si="74"/>
        <v>0</v>
      </c>
      <c r="O85" s="279">
        <v>816</v>
      </c>
      <c r="P85" s="84"/>
      <c r="Q85" s="84"/>
      <c r="R85" s="233">
        <f t="shared" si="64"/>
        <v>816</v>
      </c>
      <c r="S85" s="233">
        <f t="shared" si="75"/>
        <v>816</v>
      </c>
      <c r="T85" s="233">
        <f t="shared" si="76"/>
        <v>0</v>
      </c>
      <c r="U85" s="224">
        <f t="shared" si="77"/>
        <v>0</v>
      </c>
      <c r="V85" s="279">
        <v>832</v>
      </c>
      <c r="W85" s="84"/>
      <c r="X85" s="84"/>
      <c r="Y85" s="233">
        <f t="shared" si="65"/>
        <v>832</v>
      </c>
      <c r="Z85" s="233">
        <f t="shared" si="78"/>
        <v>832</v>
      </c>
      <c r="AA85" s="233">
        <f t="shared" si="79"/>
        <v>0</v>
      </c>
      <c r="AB85" s="224">
        <f t="shared" si="80"/>
        <v>0</v>
      </c>
      <c r="AC85" s="279">
        <v>849</v>
      </c>
      <c r="AD85" s="84"/>
      <c r="AE85" s="84"/>
      <c r="AF85" s="233">
        <f t="shared" si="66"/>
        <v>849</v>
      </c>
      <c r="AG85" s="233">
        <f t="shared" si="81"/>
        <v>849</v>
      </c>
      <c r="AH85" s="233">
        <f t="shared" si="82"/>
        <v>0</v>
      </c>
      <c r="AI85" s="224">
        <f t="shared" si="83"/>
        <v>0</v>
      </c>
      <c r="AJ85" s="279">
        <v>866</v>
      </c>
      <c r="AK85" s="84"/>
      <c r="AL85" s="84"/>
      <c r="AM85" s="233">
        <f t="shared" si="67"/>
        <v>866</v>
      </c>
      <c r="AN85" s="233">
        <f t="shared" si="84"/>
        <v>866</v>
      </c>
      <c r="AO85" s="233">
        <f t="shared" si="85"/>
        <v>0</v>
      </c>
      <c r="AP85" s="224">
        <f t="shared" si="86"/>
        <v>0</v>
      </c>
      <c r="AQ85" s="279">
        <v>883</v>
      </c>
      <c r="AR85" s="84"/>
      <c r="AS85" s="84"/>
      <c r="AT85" s="233">
        <f t="shared" si="68"/>
        <v>883</v>
      </c>
      <c r="AU85" s="233">
        <f t="shared" si="87"/>
        <v>883</v>
      </c>
      <c r="AV85" s="233">
        <f t="shared" si="88"/>
        <v>0</v>
      </c>
      <c r="AW85" s="224">
        <f t="shared" si="89"/>
        <v>0</v>
      </c>
      <c r="AX85" s="279">
        <v>901</v>
      </c>
      <c r="AY85" s="84"/>
      <c r="AZ85" s="84"/>
      <c r="BA85" s="233">
        <f t="shared" si="69"/>
        <v>901</v>
      </c>
      <c r="BB85" s="233">
        <f t="shared" si="90"/>
        <v>901</v>
      </c>
      <c r="BC85" s="233">
        <f t="shared" si="91"/>
        <v>0</v>
      </c>
      <c r="BD85" s="224">
        <f t="shared" si="92"/>
        <v>0</v>
      </c>
      <c r="BE85" s="279">
        <v>919</v>
      </c>
      <c r="BF85" s="84"/>
      <c r="BG85" s="84"/>
      <c r="BH85" s="233">
        <f t="shared" si="70"/>
        <v>919</v>
      </c>
      <c r="BI85" s="233">
        <f t="shared" si="93"/>
        <v>919</v>
      </c>
      <c r="BJ85" s="233">
        <f t="shared" si="94"/>
        <v>0</v>
      </c>
      <c r="BK85" s="224">
        <f t="shared" si="95"/>
        <v>0</v>
      </c>
      <c r="BL85" s="279">
        <v>937</v>
      </c>
      <c r="BM85" s="84"/>
      <c r="BN85" s="84"/>
      <c r="BO85" s="233">
        <f t="shared" si="71"/>
        <v>937</v>
      </c>
      <c r="BP85" s="233">
        <f t="shared" si="96"/>
        <v>937</v>
      </c>
      <c r="BQ85" s="233">
        <f t="shared" si="97"/>
        <v>0</v>
      </c>
      <c r="BR85" s="224">
        <f t="shared" si="98"/>
        <v>0</v>
      </c>
    </row>
    <row r="86" spans="1:70" x14ac:dyDescent="0.35">
      <c r="A86" s="491" t="s">
        <v>1039</v>
      </c>
      <c r="B86" s="83"/>
      <c r="C86" s="234"/>
      <c r="D86" s="83"/>
      <c r="E86" s="230"/>
      <c r="F86" s="230"/>
      <c r="G86" s="231"/>
      <c r="H86" s="235"/>
      <c r="I86" s="84"/>
      <c r="J86" s="84"/>
      <c r="K86" s="233">
        <f t="shared" si="63"/>
        <v>0</v>
      </c>
      <c r="L86" s="233">
        <f t="shared" si="72"/>
        <v>0</v>
      </c>
      <c r="M86" s="233">
        <f t="shared" si="73"/>
        <v>0</v>
      </c>
      <c r="N86" s="224">
        <f t="shared" si="74"/>
        <v>0</v>
      </c>
      <c r="O86" s="279"/>
      <c r="P86" s="84"/>
      <c r="Q86" s="84"/>
      <c r="R86" s="233">
        <f t="shared" si="64"/>
        <v>0</v>
      </c>
      <c r="S86" s="233">
        <f t="shared" si="75"/>
        <v>0</v>
      </c>
      <c r="T86" s="233">
        <f t="shared" si="76"/>
        <v>0</v>
      </c>
      <c r="U86" s="224">
        <f t="shared" si="77"/>
        <v>0</v>
      </c>
      <c r="V86" s="279"/>
      <c r="W86" s="84"/>
      <c r="X86" s="84"/>
      <c r="Y86" s="233">
        <f t="shared" si="65"/>
        <v>0</v>
      </c>
      <c r="Z86" s="233">
        <f t="shared" si="78"/>
        <v>0</v>
      </c>
      <c r="AA86" s="233">
        <f t="shared" si="79"/>
        <v>0</v>
      </c>
      <c r="AB86" s="224">
        <f t="shared" si="80"/>
        <v>0</v>
      </c>
      <c r="AC86" s="279"/>
      <c r="AD86" s="84"/>
      <c r="AE86" s="84"/>
      <c r="AF86" s="233">
        <f t="shared" si="66"/>
        <v>0</v>
      </c>
      <c r="AG86" s="233">
        <f t="shared" si="81"/>
        <v>0</v>
      </c>
      <c r="AH86" s="233">
        <f t="shared" si="82"/>
        <v>0</v>
      </c>
      <c r="AI86" s="224">
        <f t="shared" si="83"/>
        <v>0</v>
      </c>
      <c r="AJ86" s="279"/>
      <c r="AK86" s="84"/>
      <c r="AL86" s="84"/>
      <c r="AM86" s="233">
        <f t="shared" si="67"/>
        <v>0</v>
      </c>
      <c r="AN86" s="233">
        <f t="shared" si="84"/>
        <v>0</v>
      </c>
      <c r="AO86" s="233">
        <f t="shared" si="85"/>
        <v>0</v>
      </c>
      <c r="AP86" s="224">
        <f t="shared" si="86"/>
        <v>0</v>
      </c>
      <c r="AQ86" s="279"/>
      <c r="AR86" s="84"/>
      <c r="AS86" s="84"/>
      <c r="AT86" s="233">
        <f t="shared" si="68"/>
        <v>0</v>
      </c>
      <c r="AU86" s="233">
        <f t="shared" si="87"/>
        <v>0</v>
      </c>
      <c r="AV86" s="233">
        <f t="shared" si="88"/>
        <v>0</v>
      </c>
      <c r="AW86" s="224">
        <f t="shared" si="89"/>
        <v>0</v>
      </c>
      <c r="AX86" s="279"/>
      <c r="AY86" s="84"/>
      <c r="AZ86" s="84"/>
      <c r="BA86" s="233">
        <f t="shared" si="69"/>
        <v>0</v>
      </c>
      <c r="BB86" s="233">
        <f t="shared" si="90"/>
        <v>0</v>
      </c>
      <c r="BC86" s="233">
        <f t="shared" si="91"/>
        <v>0</v>
      </c>
      <c r="BD86" s="224">
        <f t="shared" si="92"/>
        <v>0</v>
      </c>
      <c r="BE86" s="279"/>
      <c r="BF86" s="84"/>
      <c r="BG86" s="84"/>
      <c r="BH86" s="233">
        <f t="shared" si="70"/>
        <v>0</v>
      </c>
      <c r="BI86" s="233">
        <f t="shared" si="93"/>
        <v>0</v>
      </c>
      <c r="BJ86" s="233">
        <f t="shared" si="94"/>
        <v>0</v>
      </c>
      <c r="BK86" s="224">
        <f t="shared" si="95"/>
        <v>0</v>
      </c>
      <c r="BL86" s="279"/>
      <c r="BM86" s="84"/>
      <c r="BN86" s="84"/>
      <c r="BO86" s="233">
        <f t="shared" si="71"/>
        <v>0</v>
      </c>
      <c r="BP86" s="233">
        <f t="shared" si="96"/>
        <v>0</v>
      </c>
      <c r="BQ86" s="233">
        <f t="shared" si="97"/>
        <v>0</v>
      </c>
      <c r="BR86" s="224">
        <f t="shared" si="98"/>
        <v>0</v>
      </c>
    </row>
    <row r="87" spans="1:70" x14ac:dyDescent="0.35">
      <c r="A87" s="491" t="s">
        <v>1040</v>
      </c>
      <c r="B87" s="83"/>
      <c r="C87" s="234"/>
      <c r="D87" s="83"/>
      <c r="E87" s="230"/>
      <c r="F87" s="230"/>
      <c r="G87" s="231"/>
      <c r="H87" s="235"/>
      <c r="I87" s="84"/>
      <c r="J87" s="84"/>
      <c r="K87" s="233">
        <f t="shared" si="63"/>
        <v>0</v>
      </c>
      <c r="L87" s="233">
        <f t="shared" si="72"/>
        <v>0</v>
      </c>
      <c r="M87" s="233">
        <f t="shared" si="73"/>
        <v>0</v>
      </c>
      <c r="N87" s="224">
        <f t="shared" si="74"/>
        <v>0</v>
      </c>
      <c r="O87" s="235"/>
      <c r="P87" s="84"/>
      <c r="Q87" s="84"/>
      <c r="R87" s="233">
        <f t="shared" si="64"/>
        <v>0</v>
      </c>
      <c r="S87" s="233">
        <f t="shared" si="75"/>
        <v>0</v>
      </c>
      <c r="T87" s="233">
        <f t="shared" si="76"/>
        <v>0</v>
      </c>
      <c r="U87" s="224">
        <f t="shared" si="77"/>
        <v>0</v>
      </c>
      <c r="V87" s="279"/>
      <c r="W87" s="84"/>
      <c r="X87" s="84"/>
      <c r="Y87" s="233">
        <f t="shared" si="65"/>
        <v>0</v>
      </c>
      <c r="Z87" s="233">
        <f t="shared" si="78"/>
        <v>0</v>
      </c>
      <c r="AA87" s="233">
        <f t="shared" si="79"/>
        <v>0</v>
      </c>
      <c r="AB87" s="224">
        <f t="shared" si="80"/>
        <v>0</v>
      </c>
      <c r="AC87" s="235"/>
      <c r="AD87" s="84"/>
      <c r="AE87" s="84"/>
      <c r="AF87" s="233">
        <f t="shared" si="66"/>
        <v>0</v>
      </c>
      <c r="AG87" s="233">
        <f t="shared" si="81"/>
        <v>0</v>
      </c>
      <c r="AH87" s="233">
        <f t="shared" si="82"/>
        <v>0</v>
      </c>
      <c r="AI87" s="224">
        <f t="shared" si="83"/>
        <v>0</v>
      </c>
      <c r="AJ87" s="235"/>
      <c r="AK87" s="84"/>
      <c r="AL87" s="84"/>
      <c r="AM87" s="233">
        <f t="shared" si="67"/>
        <v>0</v>
      </c>
      <c r="AN87" s="233">
        <f t="shared" si="84"/>
        <v>0</v>
      </c>
      <c r="AO87" s="233">
        <f t="shared" si="85"/>
        <v>0</v>
      </c>
      <c r="AP87" s="224">
        <f t="shared" si="86"/>
        <v>0</v>
      </c>
      <c r="AQ87" s="279"/>
      <c r="AR87" s="84"/>
      <c r="AS87" s="84"/>
      <c r="AT87" s="233">
        <f t="shared" si="68"/>
        <v>0</v>
      </c>
      <c r="AU87" s="233">
        <f t="shared" si="87"/>
        <v>0</v>
      </c>
      <c r="AV87" s="233">
        <f t="shared" si="88"/>
        <v>0</v>
      </c>
      <c r="AW87" s="224">
        <f t="shared" si="89"/>
        <v>0</v>
      </c>
      <c r="AX87" s="279"/>
      <c r="AY87" s="84"/>
      <c r="AZ87" s="84"/>
      <c r="BA87" s="233">
        <f t="shared" si="69"/>
        <v>0</v>
      </c>
      <c r="BB87" s="233">
        <f t="shared" si="90"/>
        <v>0</v>
      </c>
      <c r="BC87" s="233">
        <f t="shared" si="91"/>
        <v>0</v>
      </c>
      <c r="BD87" s="224">
        <f t="shared" si="92"/>
        <v>0</v>
      </c>
      <c r="BE87" s="279"/>
      <c r="BF87" s="84"/>
      <c r="BG87" s="84"/>
      <c r="BH87" s="233">
        <f t="shared" si="70"/>
        <v>0</v>
      </c>
      <c r="BI87" s="233">
        <f t="shared" si="93"/>
        <v>0</v>
      </c>
      <c r="BJ87" s="233">
        <f t="shared" si="94"/>
        <v>0</v>
      </c>
      <c r="BK87" s="224">
        <f t="shared" si="95"/>
        <v>0</v>
      </c>
      <c r="BL87" s="235"/>
      <c r="BM87" s="84"/>
      <c r="BN87" s="84"/>
      <c r="BO87" s="233">
        <f t="shared" si="71"/>
        <v>0</v>
      </c>
      <c r="BP87" s="233">
        <f t="shared" si="96"/>
        <v>0</v>
      </c>
      <c r="BQ87" s="233">
        <f t="shared" si="97"/>
        <v>0</v>
      </c>
      <c r="BR87" s="224">
        <f t="shared" si="98"/>
        <v>0</v>
      </c>
    </row>
    <row r="88" spans="1:70" x14ac:dyDescent="0.35">
      <c r="A88" s="491" t="s">
        <v>1041</v>
      </c>
      <c r="B88" s="83"/>
      <c r="C88" s="234"/>
      <c r="D88" s="83"/>
      <c r="E88" s="230"/>
      <c r="F88" s="230"/>
      <c r="G88" s="231"/>
      <c r="H88" s="235"/>
      <c r="I88" s="84"/>
      <c r="J88" s="84"/>
      <c r="K88" s="233">
        <f t="shared" si="63"/>
        <v>0</v>
      </c>
      <c r="L88" s="233">
        <f t="shared" si="72"/>
        <v>0</v>
      </c>
      <c r="M88" s="233">
        <f t="shared" si="73"/>
        <v>0</v>
      </c>
      <c r="N88" s="224">
        <f t="shared" si="74"/>
        <v>0</v>
      </c>
      <c r="O88" s="235"/>
      <c r="P88" s="84"/>
      <c r="Q88" s="84"/>
      <c r="R88" s="233">
        <f t="shared" si="64"/>
        <v>0</v>
      </c>
      <c r="S88" s="233">
        <f t="shared" si="75"/>
        <v>0</v>
      </c>
      <c r="T88" s="233">
        <f t="shared" si="76"/>
        <v>0</v>
      </c>
      <c r="U88" s="224">
        <f t="shared" si="77"/>
        <v>0</v>
      </c>
      <c r="V88" s="235"/>
      <c r="W88" s="84"/>
      <c r="X88" s="84"/>
      <c r="Y88" s="233">
        <f t="shared" si="65"/>
        <v>0</v>
      </c>
      <c r="Z88" s="233">
        <f t="shared" si="78"/>
        <v>0</v>
      </c>
      <c r="AA88" s="233">
        <f t="shared" si="79"/>
        <v>0</v>
      </c>
      <c r="AB88" s="224">
        <f t="shared" si="80"/>
        <v>0</v>
      </c>
      <c r="AC88" s="235"/>
      <c r="AD88" s="84"/>
      <c r="AE88" s="84"/>
      <c r="AF88" s="233">
        <f t="shared" si="66"/>
        <v>0</v>
      </c>
      <c r="AG88" s="233">
        <f t="shared" si="81"/>
        <v>0</v>
      </c>
      <c r="AH88" s="233">
        <f t="shared" si="82"/>
        <v>0</v>
      </c>
      <c r="AI88" s="224">
        <f t="shared" si="83"/>
        <v>0</v>
      </c>
      <c r="AJ88" s="235"/>
      <c r="AK88" s="84"/>
      <c r="AL88" s="84"/>
      <c r="AM88" s="233">
        <f t="shared" si="67"/>
        <v>0</v>
      </c>
      <c r="AN88" s="233">
        <f t="shared" si="84"/>
        <v>0</v>
      </c>
      <c r="AO88" s="233">
        <f t="shared" si="85"/>
        <v>0</v>
      </c>
      <c r="AP88" s="224">
        <f t="shared" si="86"/>
        <v>0</v>
      </c>
      <c r="AQ88" s="279"/>
      <c r="AR88" s="84"/>
      <c r="AS88" s="84"/>
      <c r="AT88" s="233">
        <f t="shared" si="68"/>
        <v>0</v>
      </c>
      <c r="AU88" s="233">
        <f t="shared" si="87"/>
        <v>0</v>
      </c>
      <c r="AV88" s="233">
        <f t="shared" si="88"/>
        <v>0</v>
      </c>
      <c r="AW88" s="224">
        <f t="shared" si="89"/>
        <v>0</v>
      </c>
      <c r="AX88" s="235"/>
      <c r="AY88" s="84"/>
      <c r="AZ88" s="84"/>
      <c r="BA88" s="233">
        <f t="shared" si="69"/>
        <v>0</v>
      </c>
      <c r="BB88" s="233">
        <f t="shared" si="90"/>
        <v>0</v>
      </c>
      <c r="BC88" s="233">
        <f t="shared" si="91"/>
        <v>0</v>
      </c>
      <c r="BD88" s="224">
        <f t="shared" si="92"/>
        <v>0</v>
      </c>
      <c r="BE88" s="235"/>
      <c r="BF88" s="84"/>
      <c r="BG88" s="84"/>
      <c r="BH88" s="233">
        <f t="shared" si="70"/>
        <v>0</v>
      </c>
      <c r="BI88" s="233">
        <f t="shared" si="93"/>
        <v>0</v>
      </c>
      <c r="BJ88" s="233">
        <f t="shared" si="94"/>
        <v>0</v>
      </c>
      <c r="BK88" s="224">
        <f t="shared" si="95"/>
        <v>0</v>
      </c>
      <c r="BL88" s="235"/>
      <c r="BM88" s="84"/>
      <c r="BN88" s="84"/>
      <c r="BO88" s="233">
        <f t="shared" si="71"/>
        <v>0</v>
      </c>
      <c r="BP88" s="233">
        <f t="shared" si="96"/>
        <v>0</v>
      </c>
      <c r="BQ88" s="233">
        <f t="shared" si="97"/>
        <v>0</v>
      </c>
      <c r="BR88" s="224">
        <f t="shared" si="98"/>
        <v>0</v>
      </c>
    </row>
    <row r="89" spans="1:70" x14ac:dyDescent="0.35">
      <c r="A89" s="491" t="s">
        <v>1042</v>
      </c>
      <c r="B89" s="83"/>
      <c r="C89" s="234"/>
      <c r="D89" s="83"/>
      <c r="E89" s="230"/>
      <c r="F89" s="230"/>
      <c r="G89" s="231"/>
      <c r="H89" s="235"/>
      <c r="I89" s="84"/>
      <c r="J89" s="84"/>
      <c r="K89" s="233">
        <f t="shared" si="63"/>
        <v>0</v>
      </c>
      <c r="L89" s="233">
        <f t="shared" si="72"/>
        <v>0</v>
      </c>
      <c r="M89" s="233">
        <f t="shared" si="73"/>
        <v>0</v>
      </c>
      <c r="N89" s="224">
        <f t="shared" si="74"/>
        <v>0</v>
      </c>
      <c r="O89" s="235"/>
      <c r="P89" s="84"/>
      <c r="Q89" s="84"/>
      <c r="R89" s="233">
        <f t="shared" si="64"/>
        <v>0</v>
      </c>
      <c r="S89" s="233">
        <f t="shared" si="75"/>
        <v>0</v>
      </c>
      <c r="T89" s="233">
        <f t="shared" si="76"/>
        <v>0</v>
      </c>
      <c r="U89" s="224">
        <f t="shared" si="77"/>
        <v>0</v>
      </c>
      <c r="V89" s="235"/>
      <c r="W89" s="84"/>
      <c r="X89" s="84"/>
      <c r="Y89" s="233">
        <f t="shared" si="65"/>
        <v>0</v>
      </c>
      <c r="Z89" s="233">
        <f t="shared" si="78"/>
        <v>0</v>
      </c>
      <c r="AA89" s="233">
        <f t="shared" si="79"/>
        <v>0</v>
      </c>
      <c r="AB89" s="224">
        <f t="shared" si="80"/>
        <v>0</v>
      </c>
      <c r="AC89" s="235"/>
      <c r="AD89" s="84"/>
      <c r="AE89" s="84"/>
      <c r="AF89" s="233">
        <f t="shared" si="66"/>
        <v>0</v>
      </c>
      <c r="AG89" s="233">
        <f t="shared" si="81"/>
        <v>0</v>
      </c>
      <c r="AH89" s="233">
        <f t="shared" si="82"/>
        <v>0</v>
      </c>
      <c r="AI89" s="224">
        <f t="shared" si="83"/>
        <v>0</v>
      </c>
      <c r="AJ89" s="235"/>
      <c r="AK89" s="84"/>
      <c r="AL89" s="84"/>
      <c r="AM89" s="233">
        <f t="shared" si="67"/>
        <v>0</v>
      </c>
      <c r="AN89" s="233">
        <f t="shared" si="84"/>
        <v>0</v>
      </c>
      <c r="AO89" s="233">
        <f t="shared" si="85"/>
        <v>0</v>
      </c>
      <c r="AP89" s="224">
        <f t="shared" si="86"/>
        <v>0</v>
      </c>
      <c r="AQ89" s="235"/>
      <c r="AR89" s="84"/>
      <c r="AS89" s="84"/>
      <c r="AT89" s="233">
        <f t="shared" si="68"/>
        <v>0</v>
      </c>
      <c r="AU89" s="233">
        <f t="shared" si="87"/>
        <v>0</v>
      </c>
      <c r="AV89" s="233">
        <f t="shared" si="88"/>
        <v>0</v>
      </c>
      <c r="AW89" s="224">
        <f t="shared" si="89"/>
        <v>0</v>
      </c>
      <c r="AX89" s="235"/>
      <c r="AY89" s="84"/>
      <c r="AZ89" s="84"/>
      <c r="BA89" s="233">
        <f t="shared" si="69"/>
        <v>0</v>
      </c>
      <c r="BB89" s="233">
        <f t="shared" si="90"/>
        <v>0</v>
      </c>
      <c r="BC89" s="233">
        <f t="shared" si="91"/>
        <v>0</v>
      </c>
      <c r="BD89" s="224">
        <f t="shared" si="92"/>
        <v>0</v>
      </c>
      <c r="BE89" s="235"/>
      <c r="BF89" s="84"/>
      <c r="BG89" s="84"/>
      <c r="BH89" s="233">
        <f t="shared" si="70"/>
        <v>0</v>
      </c>
      <c r="BI89" s="233">
        <f t="shared" si="93"/>
        <v>0</v>
      </c>
      <c r="BJ89" s="233">
        <f t="shared" si="94"/>
        <v>0</v>
      </c>
      <c r="BK89" s="224">
        <f t="shared" si="95"/>
        <v>0</v>
      </c>
      <c r="BL89" s="235"/>
      <c r="BM89" s="84"/>
      <c r="BN89" s="84"/>
      <c r="BO89" s="233">
        <f t="shared" si="71"/>
        <v>0</v>
      </c>
      <c r="BP89" s="233">
        <f t="shared" si="96"/>
        <v>0</v>
      </c>
      <c r="BQ89" s="233">
        <f t="shared" si="97"/>
        <v>0</v>
      </c>
      <c r="BR89" s="224">
        <f t="shared" si="98"/>
        <v>0</v>
      </c>
    </row>
    <row r="90" spans="1:70" x14ac:dyDescent="0.35">
      <c r="A90" s="491" t="s">
        <v>1043</v>
      </c>
      <c r="B90" s="83"/>
      <c r="C90" s="234"/>
      <c r="D90" s="83"/>
      <c r="E90" s="230"/>
      <c r="F90" s="230"/>
      <c r="G90" s="231"/>
      <c r="H90" s="235"/>
      <c r="I90" s="84"/>
      <c r="J90" s="84"/>
      <c r="K90" s="233">
        <f t="shared" si="63"/>
        <v>0</v>
      </c>
      <c r="L90" s="233">
        <f t="shared" si="72"/>
        <v>0</v>
      </c>
      <c r="M90" s="233">
        <f t="shared" si="73"/>
        <v>0</v>
      </c>
      <c r="N90" s="224">
        <f t="shared" si="74"/>
        <v>0</v>
      </c>
      <c r="O90" s="235"/>
      <c r="P90" s="84"/>
      <c r="Q90" s="84"/>
      <c r="R90" s="233">
        <f t="shared" si="64"/>
        <v>0</v>
      </c>
      <c r="S90" s="233">
        <f t="shared" si="75"/>
        <v>0</v>
      </c>
      <c r="T90" s="233">
        <f t="shared" si="76"/>
        <v>0</v>
      </c>
      <c r="U90" s="224">
        <f t="shared" si="77"/>
        <v>0</v>
      </c>
      <c r="V90" s="235"/>
      <c r="W90" s="84"/>
      <c r="X90" s="84"/>
      <c r="Y90" s="233">
        <f t="shared" si="65"/>
        <v>0</v>
      </c>
      <c r="Z90" s="233">
        <f t="shared" si="78"/>
        <v>0</v>
      </c>
      <c r="AA90" s="233">
        <f t="shared" si="79"/>
        <v>0</v>
      </c>
      <c r="AB90" s="224">
        <f t="shared" si="80"/>
        <v>0</v>
      </c>
      <c r="AC90" s="235"/>
      <c r="AD90" s="84"/>
      <c r="AE90" s="84"/>
      <c r="AF90" s="233">
        <f t="shared" si="66"/>
        <v>0</v>
      </c>
      <c r="AG90" s="233">
        <f t="shared" si="81"/>
        <v>0</v>
      </c>
      <c r="AH90" s="233">
        <f t="shared" si="82"/>
        <v>0</v>
      </c>
      <c r="AI90" s="224">
        <f t="shared" si="83"/>
        <v>0</v>
      </c>
      <c r="AJ90" s="235"/>
      <c r="AK90" s="84"/>
      <c r="AL90" s="84"/>
      <c r="AM90" s="233">
        <f t="shared" si="67"/>
        <v>0</v>
      </c>
      <c r="AN90" s="233">
        <f t="shared" si="84"/>
        <v>0</v>
      </c>
      <c r="AO90" s="233">
        <f t="shared" si="85"/>
        <v>0</v>
      </c>
      <c r="AP90" s="224">
        <f t="shared" si="86"/>
        <v>0</v>
      </c>
      <c r="AQ90" s="235"/>
      <c r="AR90" s="84"/>
      <c r="AS90" s="84"/>
      <c r="AT90" s="233">
        <f t="shared" si="68"/>
        <v>0</v>
      </c>
      <c r="AU90" s="233">
        <f t="shared" si="87"/>
        <v>0</v>
      </c>
      <c r="AV90" s="233">
        <f t="shared" si="88"/>
        <v>0</v>
      </c>
      <c r="AW90" s="224">
        <f t="shared" si="89"/>
        <v>0</v>
      </c>
      <c r="AX90" s="235"/>
      <c r="AY90" s="84"/>
      <c r="AZ90" s="84"/>
      <c r="BA90" s="233">
        <f t="shared" si="69"/>
        <v>0</v>
      </c>
      <c r="BB90" s="233">
        <f t="shared" si="90"/>
        <v>0</v>
      </c>
      <c r="BC90" s="233">
        <f t="shared" si="91"/>
        <v>0</v>
      </c>
      <c r="BD90" s="224">
        <f t="shared" si="92"/>
        <v>0</v>
      </c>
      <c r="BE90" s="235"/>
      <c r="BF90" s="84"/>
      <c r="BG90" s="84"/>
      <c r="BH90" s="233">
        <f t="shared" si="70"/>
        <v>0</v>
      </c>
      <c r="BI90" s="233">
        <f t="shared" si="93"/>
        <v>0</v>
      </c>
      <c r="BJ90" s="233">
        <f t="shared" si="94"/>
        <v>0</v>
      </c>
      <c r="BK90" s="224">
        <f t="shared" si="95"/>
        <v>0</v>
      </c>
      <c r="BL90" s="235"/>
      <c r="BM90" s="84"/>
      <c r="BN90" s="84"/>
      <c r="BO90" s="233">
        <f t="shared" si="71"/>
        <v>0</v>
      </c>
      <c r="BP90" s="233">
        <f t="shared" si="96"/>
        <v>0</v>
      </c>
      <c r="BQ90" s="233">
        <f t="shared" si="97"/>
        <v>0</v>
      </c>
      <c r="BR90" s="224">
        <f t="shared" si="98"/>
        <v>0</v>
      </c>
    </row>
    <row r="91" spans="1:70" x14ac:dyDescent="0.35">
      <c r="A91" s="491" t="s">
        <v>1044</v>
      </c>
      <c r="B91" s="83"/>
      <c r="C91" s="234"/>
      <c r="D91" s="83"/>
      <c r="E91" s="230"/>
      <c r="F91" s="230"/>
      <c r="G91" s="231"/>
      <c r="H91" s="235"/>
      <c r="I91" s="84"/>
      <c r="J91" s="84"/>
      <c r="K91" s="233">
        <f t="shared" si="63"/>
        <v>0</v>
      </c>
      <c r="L91" s="233">
        <f t="shared" si="72"/>
        <v>0</v>
      </c>
      <c r="M91" s="233">
        <f t="shared" si="73"/>
        <v>0</v>
      </c>
      <c r="N91" s="224">
        <f t="shared" si="74"/>
        <v>0</v>
      </c>
      <c r="O91" s="235"/>
      <c r="P91" s="84"/>
      <c r="Q91" s="84"/>
      <c r="R91" s="233">
        <f t="shared" si="64"/>
        <v>0</v>
      </c>
      <c r="S91" s="233">
        <f t="shared" si="75"/>
        <v>0</v>
      </c>
      <c r="T91" s="233">
        <f t="shared" si="76"/>
        <v>0</v>
      </c>
      <c r="U91" s="224">
        <f t="shared" si="77"/>
        <v>0</v>
      </c>
      <c r="V91" s="235"/>
      <c r="W91" s="84"/>
      <c r="X91" s="84"/>
      <c r="Y91" s="233">
        <f t="shared" si="65"/>
        <v>0</v>
      </c>
      <c r="Z91" s="233">
        <f t="shared" si="78"/>
        <v>0</v>
      </c>
      <c r="AA91" s="233">
        <f t="shared" si="79"/>
        <v>0</v>
      </c>
      <c r="AB91" s="224">
        <f t="shared" si="80"/>
        <v>0</v>
      </c>
      <c r="AC91" s="235"/>
      <c r="AD91" s="84"/>
      <c r="AE91" s="84"/>
      <c r="AF91" s="233">
        <f t="shared" si="66"/>
        <v>0</v>
      </c>
      <c r="AG91" s="233">
        <f t="shared" si="81"/>
        <v>0</v>
      </c>
      <c r="AH91" s="233">
        <f t="shared" si="82"/>
        <v>0</v>
      </c>
      <c r="AI91" s="224">
        <f t="shared" si="83"/>
        <v>0</v>
      </c>
      <c r="AJ91" s="235"/>
      <c r="AK91" s="84"/>
      <c r="AL91" s="84"/>
      <c r="AM91" s="233">
        <f t="shared" si="67"/>
        <v>0</v>
      </c>
      <c r="AN91" s="233">
        <f t="shared" si="84"/>
        <v>0</v>
      </c>
      <c r="AO91" s="233">
        <f t="shared" si="85"/>
        <v>0</v>
      </c>
      <c r="AP91" s="224">
        <f t="shared" si="86"/>
        <v>0</v>
      </c>
      <c r="AQ91" s="235"/>
      <c r="AR91" s="84"/>
      <c r="AS91" s="84"/>
      <c r="AT91" s="233">
        <f t="shared" si="68"/>
        <v>0</v>
      </c>
      <c r="AU91" s="233">
        <f t="shared" si="87"/>
        <v>0</v>
      </c>
      <c r="AV91" s="233">
        <f t="shared" si="88"/>
        <v>0</v>
      </c>
      <c r="AW91" s="224">
        <f t="shared" si="89"/>
        <v>0</v>
      </c>
      <c r="AX91" s="235"/>
      <c r="AY91" s="84"/>
      <c r="AZ91" s="84"/>
      <c r="BA91" s="233">
        <f t="shared" si="69"/>
        <v>0</v>
      </c>
      <c r="BB91" s="233">
        <f t="shared" si="90"/>
        <v>0</v>
      </c>
      <c r="BC91" s="233">
        <f t="shared" si="91"/>
        <v>0</v>
      </c>
      <c r="BD91" s="224">
        <f t="shared" si="92"/>
        <v>0</v>
      </c>
      <c r="BE91" s="235"/>
      <c r="BF91" s="84"/>
      <c r="BG91" s="84"/>
      <c r="BH91" s="233">
        <f t="shared" si="70"/>
        <v>0</v>
      </c>
      <c r="BI91" s="233">
        <f t="shared" si="93"/>
        <v>0</v>
      </c>
      <c r="BJ91" s="233">
        <f t="shared" si="94"/>
        <v>0</v>
      </c>
      <c r="BK91" s="224">
        <f t="shared" si="95"/>
        <v>0</v>
      </c>
      <c r="BL91" s="235"/>
      <c r="BM91" s="84"/>
      <c r="BN91" s="84"/>
      <c r="BO91" s="233">
        <f t="shared" si="71"/>
        <v>0</v>
      </c>
      <c r="BP91" s="233">
        <f t="shared" si="96"/>
        <v>0</v>
      </c>
      <c r="BQ91" s="233">
        <f t="shared" si="97"/>
        <v>0</v>
      </c>
      <c r="BR91" s="224">
        <f t="shared" si="98"/>
        <v>0</v>
      </c>
    </row>
    <row r="92" spans="1:70" x14ac:dyDescent="0.35">
      <c r="A92" s="491" t="s">
        <v>1045</v>
      </c>
      <c r="B92" s="83"/>
      <c r="C92" s="234"/>
      <c r="D92" s="83"/>
      <c r="E92" s="230"/>
      <c r="F92" s="230"/>
      <c r="G92" s="231"/>
      <c r="H92" s="235"/>
      <c r="I92" s="84"/>
      <c r="J92" s="84"/>
      <c r="K92" s="233">
        <f t="shared" si="63"/>
        <v>0</v>
      </c>
      <c r="L92" s="233">
        <f t="shared" si="72"/>
        <v>0</v>
      </c>
      <c r="M92" s="233">
        <f t="shared" si="73"/>
        <v>0</v>
      </c>
      <c r="N92" s="224">
        <f t="shared" si="74"/>
        <v>0</v>
      </c>
      <c r="O92" s="235"/>
      <c r="P92" s="84"/>
      <c r="Q92" s="84"/>
      <c r="R92" s="233">
        <f t="shared" si="64"/>
        <v>0</v>
      </c>
      <c r="S92" s="233">
        <f t="shared" si="75"/>
        <v>0</v>
      </c>
      <c r="T92" s="233">
        <f t="shared" si="76"/>
        <v>0</v>
      </c>
      <c r="U92" s="224">
        <f t="shared" si="77"/>
        <v>0</v>
      </c>
      <c r="V92" s="235"/>
      <c r="W92" s="84"/>
      <c r="X92" s="84"/>
      <c r="Y92" s="233">
        <f t="shared" si="65"/>
        <v>0</v>
      </c>
      <c r="Z92" s="233">
        <f t="shared" si="78"/>
        <v>0</v>
      </c>
      <c r="AA92" s="233">
        <f t="shared" si="79"/>
        <v>0</v>
      </c>
      <c r="AB92" s="224">
        <f t="shared" si="80"/>
        <v>0</v>
      </c>
      <c r="AC92" s="235"/>
      <c r="AD92" s="84"/>
      <c r="AE92" s="84"/>
      <c r="AF92" s="233">
        <f t="shared" si="66"/>
        <v>0</v>
      </c>
      <c r="AG92" s="233">
        <f t="shared" si="81"/>
        <v>0</v>
      </c>
      <c r="AH92" s="233">
        <f t="shared" si="82"/>
        <v>0</v>
      </c>
      <c r="AI92" s="224">
        <f t="shared" si="83"/>
        <v>0</v>
      </c>
      <c r="AJ92" s="235"/>
      <c r="AK92" s="84"/>
      <c r="AL92" s="84"/>
      <c r="AM92" s="233">
        <f t="shared" si="67"/>
        <v>0</v>
      </c>
      <c r="AN92" s="233">
        <f t="shared" si="84"/>
        <v>0</v>
      </c>
      <c r="AO92" s="233">
        <f t="shared" si="85"/>
        <v>0</v>
      </c>
      <c r="AP92" s="224">
        <f t="shared" si="86"/>
        <v>0</v>
      </c>
      <c r="AQ92" s="235"/>
      <c r="AR92" s="84"/>
      <c r="AS92" s="84"/>
      <c r="AT92" s="233">
        <f t="shared" si="68"/>
        <v>0</v>
      </c>
      <c r="AU92" s="233">
        <f t="shared" si="87"/>
        <v>0</v>
      </c>
      <c r="AV92" s="233">
        <f t="shared" si="88"/>
        <v>0</v>
      </c>
      <c r="AW92" s="224">
        <f t="shared" si="89"/>
        <v>0</v>
      </c>
      <c r="AX92" s="235"/>
      <c r="AY92" s="84"/>
      <c r="AZ92" s="84"/>
      <c r="BA92" s="233">
        <f t="shared" si="69"/>
        <v>0</v>
      </c>
      <c r="BB92" s="233">
        <f t="shared" si="90"/>
        <v>0</v>
      </c>
      <c r="BC92" s="233">
        <f t="shared" si="91"/>
        <v>0</v>
      </c>
      <c r="BD92" s="224">
        <f t="shared" si="92"/>
        <v>0</v>
      </c>
      <c r="BE92" s="235"/>
      <c r="BF92" s="84"/>
      <c r="BG92" s="84"/>
      <c r="BH92" s="233">
        <f t="shared" si="70"/>
        <v>0</v>
      </c>
      <c r="BI92" s="233">
        <f t="shared" si="93"/>
        <v>0</v>
      </c>
      <c r="BJ92" s="233">
        <f t="shared" si="94"/>
        <v>0</v>
      </c>
      <c r="BK92" s="224">
        <f t="shared" si="95"/>
        <v>0</v>
      </c>
      <c r="BL92" s="235"/>
      <c r="BM92" s="84"/>
      <c r="BN92" s="84"/>
      <c r="BO92" s="233">
        <f t="shared" si="71"/>
        <v>0</v>
      </c>
      <c r="BP92" s="233">
        <f t="shared" si="96"/>
        <v>0</v>
      </c>
      <c r="BQ92" s="233">
        <f t="shared" si="97"/>
        <v>0</v>
      </c>
      <c r="BR92" s="224">
        <f t="shared" si="98"/>
        <v>0</v>
      </c>
    </row>
    <row r="93" spans="1:70" x14ac:dyDescent="0.35">
      <c r="A93" s="491" t="s">
        <v>1046</v>
      </c>
      <c r="B93" s="83"/>
      <c r="C93" s="234"/>
      <c r="D93" s="83"/>
      <c r="E93" s="230"/>
      <c r="F93" s="230"/>
      <c r="G93" s="231"/>
      <c r="H93" s="235"/>
      <c r="I93" s="84"/>
      <c r="J93" s="84"/>
      <c r="K93" s="233">
        <f t="shared" si="63"/>
        <v>0</v>
      </c>
      <c r="L93" s="233">
        <f t="shared" si="72"/>
        <v>0</v>
      </c>
      <c r="M93" s="233">
        <f t="shared" si="73"/>
        <v>0</v>
      </c>
      <c r="N93" s="224">
        <f t="shared" si="74"/>
        <v>0</v>
      </c>
      <c r="O93" s="235"/>
      <c r="P93" s="84"/>
      <c r="Q93" s="84"/>
      <c r="R93" s="233">
        <f t="shared" si="64"/>
        <v>0</v>
      </c>
      <c r="S93" s="233">
        <f t="shared" si="75"/>
        <v>0</v>
      </c>
      <c r="T93" s="233">
        <f t="shared" si="76"/>
        <v>0</v>
      </c>
      <c r="U93" s="224">
        <f t="shared" si="77"/>
        <v>0</v>
      </c>
      <c r="V93" s="235"/>
      <c r="W93" s="84"/>
      <c r="X93" s="84"/>
      <c r="Y93" s="233">
        <f t="shared" si="65"/>
        <v>0</v>
      </c>
      <c r="Z93" s="233">
        <f t="shared" si="78"/>
        <v>0</v>
      </c>
      <c r="AA93" s="233">
        <f t="shared" si="79"/>
        <v>0</v>
      </c>
      <c r="AB93" s="224">
        <f t="shared" si="80"/>
        <v>0</v>
      </c>
      <c r="AC93" s="235"/>
      <c r="AD93" s="84"/>
      <c r="AE93" s="84"/>
      <c r="AF93" s="233">
        <f t="shared" si="66"/>
        <v>0</v>
      </c>
      <c r="AG93" s="233">
        <f t="shared" si="81"/>
        <v>0</v>
      </c>
      <c r="AH93" s="233">
        <f t="shared" si="82"/>
        <v>0</v>
      </c>
      <c r="AI93" s="224">
        <f t="shared" si="83"/>
        <v>0</v>
      </c>
      <c r="AJ93" s="235"/>
      <c r="AK93" s="84"/>
      <c r="AL93" s="84"/>
      <c r="AM93" s="233">
        <f t="shared" si="67"/>
        <v>0</v>
      </c>
      <c r="AN93" s="233">
        <f t="shared" si="84"/>
        <v>0</v>
      </c>
      <c r="AO93" s="233">
        <f t="shared" si="85"/>
        <v>0</v>
      </c>
      <c r="AP93" s="224">
        <f t="shared" si="86"/>
        <v>0</v>
      </c>
      <c r="AQ93" s="235"/>
      <c r="AR93" s="84"/>
      <c r="AS93" s="84"/>
      <c r="AT93" s="233">
        <f t="shared" si="68"/>
        <v>0</v>
      </c>
      <c r="AU93" s="233">
        <f t="shared" si="87"/>
        <v>0</v>
      </c>
      <c r="AV93" s="233">
        <f t="shared" si="88"/>
        <v>0</v>
      </c>
      <c r="AW93" s="224">
        <f t="shared" si="89"/>
        <v>0</v>
      </c>
      <c r="AX93" s="235"/>
      <c r="AY93" s="84"/>
      <c r="AZ93" s="84"/>
      <c r="BA93" s="233">
        <f t="shared" si="69"/>
        <v>0</v>
      </c>
      <c r="BB93" s="233">
        <f t="shared" si="90"/>
        <v>0</v>
      </c>
      <c r="BC93" s="233">
        <f t="shared" si="91"/>
        <v>0</v>
      </c>
      <c r="BD93" s="224">
        <f t="shared" si="92"/>
        <v>0</v>
      </c>
      <c r="BE93" s="235"/>
      <c r="BF93" s="84"/>
      <c r="BG93" s="84"/>
      <c r="BH93" s="233">
        <f t="shared" si="70"/>
        <v>0</v>
      </c>
      <c r="BI93" s="233">
        <f t="shared" si="93"/>
        <v>0</v>
      </c>
      <c r="BJ93" s="233">
        <f t="shared" si="94"/>
        <v>0</v>
      </c>
      <c r="BK93" s="224">
        <f t="shared" si="95"/>
        <v>0</v>
      </c>
      <c r="BL93" s="235"/>
      <c r="BM93" s="84"/>
      <c r="BN93" s="84"/>
      <c r="BO93" s="233">
        <f t="shared" si="71"/>
        <v>0</v>
      </c>
      <c r="BP93" s="233">
        <f t="shared" si="96"/>
        <v>0</v>
      </c>
      <c r="BQ93" s="233">
        <f t="shared" si="97"/>
        <v>0</v>
      </c>
      <c r="BR93" s="224">
        <f t="shared" si="98"/>
        <v>0</v>
      </c>
    </row>
    <row r="94" spans="1:70" x14ac:dyDescent="0.35">
      <c r="A94" s="491" t="s">
        <v>1047</v>
      </c>
      <c r="B94" s="83"/>
      <c r="C94" s="234"/>
      <c r="D94" s="83"/>
      <c r="E94" s="230"/>
      <c r="F94" s="230"/>
      <c r="G94" s="231"/>
      <c r="H94" s="235"/>
      <c r="I94" s="84"/>
      <c r="J94" s="84"/>
      <c r="K94" s="233">
        <f t="shared" si="63"/>
        <v>0</v>
      </c>
      <c r="L94" s="233">
        <f t="shared" ref="L94:L100" si="99">IF(H$2="-","-",IF($E94+$F94+$G94=1,K94*$E94,IF($D94="uns",K94*HLOOKUP(H$2,Verteil_sw,46,FALSE),IF($D94="unm",K94*HLOOKUP(H$2,Verteil_sw,47,FALSE),IF($D94="unr",K94*HLOOKUP(H$2,Verteil_sw,48,FALSE),IF($D94="unk",K94*HLOOKUP(H$2,Verteil_sw,49,FALSE),IF($D94="alz",K94*HLOOKUP(H$2,Verteil_sw,51,FALSE),0)))))))</f>
        <v>0</v>
      </c>
      <c r="M94" s="233">
        <f t="shared" ref="M94:M100" si="100">IF(H$2="-","-",IF($E94+$F94+$G94=1,K94*$F94,IF($D94="uns",K94*HLOOKUP(H$2,Verteil_rwgr,45,FALSE),IF($D94="unm",K94*HLOOKUP(H$2,Verteil_rwgr,46,FALSE),IF($D94="unr",K94*HLOOKUP(H$2,Verteil_rwgr,47,FALSE),IF($D94="unk",K94*HLOOKUP(H$2,Verteil_rwgr,48,FALSE),IF($D94="alz",K94*HLOOKUP(H$2,Verteil_rwgr,50,FALSE),0)))))))</f>
        <v>0</v>
      </c>
      <c r="N94" s="224">
        <f t="shared" ref="N94:N100" si="101">IF(H$2="-","-",IF($E94+$F94+$G94=1,K94*$G94,IF($D94="uns",K94*HLOOKUP(H$2,Verteil_rwst,44,FALSE),IF($D94="unm",K94*HLOOKUP(H$2,Verteil_rwst,45,FALSE),IF($D94="unr",K94*HLOOKUP(H$2,Verteil_rwst,46,FALSE),IF($D94="unk",K94*HLOOKUP(H$2,Verteil_rwst,47,FALSE),IF($D94="alz",K94*HLOOKUP(H$2,Verteil_rwst,49,FALSE),0)))))))</f>
        <v>0</v>
      </c>
      <c r="O94" s="235"/>
      <c r="P94" s="84"/>
      <c r="Q94" s="84"/>
      <c r="R94" s="233">
        <f t="shared" si="64"/>
        <v>0</v>
      </c>
      <c r="S94" s="233">
        <f t="shared" ref="S94:S100" si="102">IF(O$2="-","-",IF($E94+$F94+$G94=1,R94*$E94,IF($D94="uns",R94*HLOOKUP(O$2,Verteil_sw,46,FALSE),IF($D94="unm",R94*HLOOKUP(O$2,Verteil_sw,47,FALSE),IF($D94="unr",R94*HLOOKUP(O$2,Verteil_sw,48,FALSE),IF($D94="unk",R94*HLOOKUP(O$2,Verteil_sw,49,FALSE),IF($D94="alz",R94*HLOOKUP(O$2,Verteil_sw,51,FALSE),0)))))))</f>
        <v>0</v>
      </c>
      <c r="T94" s="233">
        <f t="shared" ref="T94:T100" si="103">IF(O$2="-","-",IF($E94+$F94+$G94=1,R94*$F94,IF($D94="uns",R94*HLOOKUP(O$2,Verteil_rwgr,45,FALSE),IF($D94="unm",R94*HLOOKUP(O$2,Verteil_rwgr,46,FALSE),IF($D94="unr",R94*HLOOKUP(O$2,Verteil_rwgr,47,FALSE),IF($D94="unk",R94*HLOOKUP(O$2,Verteil_rwgr,48,FALSE),IF($D94="alz",R94*HLOOKUP(O$2,Verteil_rwgr,50,FALSE),0)))))))</f>
        <v>0</v>
      </c>
      <c r="U94" s="224">
        <f t="shared" ref="U94:U100" si="104">IF(O$2="-","-",IF($E94+$F94+$G94=1,R94*$G94,IF($D94="uns",R94*HLOOKUP(O$2,Verteil_rwst,44,FALSE),IF($D94="unm",R94*HLOOKUP(O$2,Verteil_rwst,45,FALSE),IF($D94="unr",R94*HLOOKUP(O$2,Verteil_rwst,46,FALSE),IF($D94="unk",R94*HLOOKUP(O$2,Verteil_rwst,47,FALSE),IF($D94="alz",R94*HLOOKUP(O$2,Verteil_rwst,49,FALSE),0)))))))</f>
        <v>0</v>
      </c>
      <c r="V94" s="235"/>
      <c r="W94" s="84"/>
      <c r="X94" s="84"/>
      <c r="Y94" s="233">
        <f t="shared" si="65"/>
        <v>0</v>
      </c>
      <c r="Z94" s="233">
        <f t="shared" ref="Z94:Z100" si="105">IF(V$2="-","-",IF($E94+$F94+$G94=1,Y94*$E94,IF($D94="uns",Y94*HLOOKUP(V$2,Verteil_sw,46,FALSE),IF($D94="unm",Y94*HLOOKUP(V$2,Verteil_sw,47,FALSE),IF($D94="unr",Y94*HLOOKUP(V$2,Verteil_sw,48,FALSE),IF($D94="unk",Y94*HLOOKUP(V$2,Verteil_sw,49,FALSE),IF($D94="alz",Y94*HLOOKUP(V$2,Verteil_sw,51,FALSE),0)))))))</f>
        <v>0</v>
      </c>
      <c r="AA94" s="233">
        <f t="shared" ref="AA94:AA100" si="106">IF(V$2="-","-",IF($E94+$F94+$G94=1,Y94*$F94,IF($D94="uns",Y94*HLOOKUP(V$2,Verteil_rwgr,45,FALSE),IF($D94="unm",Y94*HLOOKUP(V$2,Verteil_rwgr,46,FALSE),IF($D94="unr",Y94*HLOOKUP(V$2,Verteil_rwgr,47,FALSE),IF($D94="unk",Y94*HLOOKUP(V$2,Verteil_rwgr,48,FALSE),IF($D94="alz",Y94*HLOOKUP(V$2,Verteil_rwgr,50,FALSE),0)))))))</f>
        <v>0</v>
      </c>
      <c r="AB94" s="224">
        <f t="shared" ref="AB94:AB100" si="107">IF(V$2="-","-",IF($E94+$F94+$G94=1,Y94*$G94,IF($D94="uns",Y94*HLOOKUP(V$2,Verteil_rwst,44,FALSE),IF($D94="unm",Y94*HLOOKUP(V$2,Verteil_rwst,45,FALSE),IF($D94="unr",Y94*HLOOKUP(V$2,Verteil_rwst,46,FALSE),IF($D94="unk",Y94*HLOOKUP(V$2,Verteil_rwst,47,FALSE),IF($D94="alz",Y94*HLOOKUP(V$2,Verteil_rwst,49,FALSE),0)))))))</f>
        <v>0</v>
      </c>
      <c r="AC94" s="235"/>
      <c r="AD94" s="84"/>
      <c r="AE94" s="84"/>
      <c r="AF94" s="233">
        <f t="shared" si="66"/>
        <v>0</v>
      </c>
      <c r="AG94" s="233">
        <f t="shared" ref="AG94:AG100" si="108">IF(AC$2="-","-",IF($E94+$F94+$G94=1,AF94*$E94,IF($D94="uns",AF94*HLOOKUP(AC$2,Verteil_sw,46,FALSE),IF($D94="unm",AF94*HLOOKUP(AC$2,Verteil_sw,47,FALSE),IF($D94="unr",AF94*HLOOKUP(AC$2,Verteil_sw,48,FALSE),IF($D94="unk",AF94*HLOOKUP(AC$2,Verteil_sw,49,FALSE),IF($D94="alz",AF94*HLOOKUP(AC$2,Verteil_sw,51,FALSE),0)))))))</f>
        <v>0</v>
      </c>
      <c r="AH94" s="233">
        <f t="shared" ref="AH94:AH100" si="109">IF(AC$2="-","-",IF($E94+$F94+$G94=1,AF94*$F94,IF($D94="uns",AF94*HLOOKUP(AC$2,Verteil_rwgr,45,FALSE),IF($D94="unm",AF94*HLOOKUP(AC$2,Verteil_rwgr,46,FALSE),IF($D94="unr",AF94*HLOOKUP(AC$2,Verteil_rwgr,47,FALSE),IF($D94="unk",AF94*HLOOKUP(AC$2,Verteil_rwgr,48,FALSE),IF($D94="alz",AF94*HLOOKUP(AC$2,Verteil_rwgr,50,FALSE),0)))))))</f>
        <v>0</v>
      </c>
      <c r="AI94" s="224">
        <f t="shared" ref="AI94:AI100" si="110">IF(AC$2="-","-",IF($E94+$F94+$G94=1,AF94*$G94,IF($D94="uns",AF94*HLOOKUP(AC$2,Verteil_rwst,44,FALSE),IF($D94="unm",AF94*HLOOKUP(AC$2,Verteil_rwst,45,FALSE),IF($D94="unr",AF94*HLOOKUP(AC$2,Verteil_rwst,46,FALSE),IF($D94="unk",AF94*HLOOKUP(AC$2,Verteil_rwst,47,FALSE),IF($D94="alz",AF94*HLOOKUP(AC$2,Verteil_rwst,49,FALSE),0)))))))</f>
        <v>0</v>
      </c>
      <c r="AJ94" s="235"/>
      <c r="AK94" s="84"/>
      <c r="AL94" s="84"/>
      <c r="AM94" s="233">
        <f t="shared" si="67"/>
        <v>0</v>
      </c>
      <c r="AN94" s="233">
        <f t="shared" ref="AN94:AN100" si="111">IF(AJ$2="-","-",IF($E94+$F94+$G94=1,AM94*$E94,IF($D94="uns",AM94*HLOOKUP(AJ$2,Verteil_sw,46,FALSE),IF($D94="unm",AM94*HLOOKUP(AJ$2,Verteil_sw,47,FALSE),IF($D94="unr",AM94*HLOOKUP(AJ$2,Verteil_sw,48,FALSE),IF($D94="unk",AM94*HLOOKUP(AJ$2,Verteil_sw,49,FALSE),IF($D94="alz",AM94*HLOOKUP(AJ$2,Verteil_sw,51,FALSE),0)))))))</f>
        <v>0</v>
      </c>
      <c r="AO94" s="233">
        <f t="shared" ref="AO94:AO100" si="112">IF(AJ$2="-","-",IF($E94+$F94+$G94=1,AM94*$F94,IF($D94="uns",AM94*HLOOKUP(AJ$2,Verteil_rwgr,45,FALSE),IF($D94="unm",AM94*HLOOKUP(AJ$2,Verteil_rwgr,46,FALSE),IF($D94="unr",AM94*HLOOKUP(AJ$2,Verteil_rwgr,47,FALSE),IF($D94="unk",AM94*HLOOKUP(AJ$2,Verteil_rwgr,48,FALSE),IF($D94="alz",AM94*HLOOKUP(AJ$2,Verteil_rwgr,50,FALSE),0)))))))</f>
        <v>0</v>
      </c>
      <c r="AP94" s="224">
        <f t="shared" ref="AP94:AP100" si="113">IF(AJ$2="-","-",IF($E94+$F94+$G94=1,AM94*$G94,IF($D94="uns",AM94*HLOOKUP(AJ$2,Verteil_rwst,44,FALSE),IF($D94="unm",AM94*HLOOKUP(AJ$2,Verteil_rwst,45,FALSE),IF($D94="unr",AM94*HLOOKUP(AJ$2,Verteil_rwst,46,FALSE),IF($D94="unk",AM94*HLOOKUP(AJ$2,Verteil_rwst,47,FALSE),IF($D94="alz",AM94*HLOOKUP(AJ$2,Verteil_rwst,49,FALSE),0)))))))</f>
        <v>0</v>
      </c>
      <c r="AQ94" s="235"/>
      <c r="AR94" s="84"/>
      <c r="AS94" s="84"/>
      <c r="AT94" s="233">
        <f t="shared" si="68"/>
        <v>0</v>
      </c>
      <c r="AU94" s="233">
        <f t="shared" ref="AU94:AU100" si="114">IF(AQ$2="-","-",IF($E94+$F94+$G94=1,AT94*$E94,IF($D94="uns",AT94*HLOOKUP(AQ$2,Verteil_sw,46,FALSE),IF($D94="unm",AT94*HLOOKUP(AQ$2,Verteil_sw,47,FALSE),IF($D94="unr",AT94*HLOOKUP(AQ$2,Verteil_sw,48,FALSE),IF($D94="unk",AT94*HLOOKUP(AQ$2,Verteil_sw,49,FALSE),IF($D94="alz",AT94*HLOOKUP(AQ$2,Verteil_sw,51,FALSE),0)))))))</f>
        <v>0</v>
      </c>
      <c r="AV94" s="233">
        <f t="shared" ref="AV94:AV100" si="115">IF(AQ$2="-","-",IF($E94+$F94+$G94=1,AT94*$F94,IF($D94="uns",AT94*HLOOKUP(AQ$2,Verteil_rwgr,45,FALSE),IF($D94="unm",AT94*HLOOKUP(AQ$2,Verteil_rwgr,46,FALSE),IF($D94="unr",AT94*HLOOKUP(AQ$2,Verteil_rwgr,47,FALSE),IF($D94="unk",AT94*HLOOKUP(AQ$2,Verteil_rwgr,48,FALSE),IF($D94="alz",AT94*HLOOKUP(AQ$2,Verteil_rwgr,50,FALSE),0)))))))</f>
        <v>0</v>
      </c>
      <c r="AW94" s="224">
        <f t="shared" ref="AW94:AW100" si="116">IF(AQ$2="-","-",IF($E94+$F94+$G94=1,AT94*$G94,IF($D94="uns",AT94*HLOOKUP(AQ$2,Verteil_rwst,44,FALSE),IF($D94="unm",AT94*HLOOKUP(AQ$2,Verteil_rwst,45,FALSE),IF($D94="unr",AT94*HLOOKUP(AQ$2,Verteil_rwst,46,FALSE),IF($D94="unk",AT94*HLOOKUP(AQ$2,Verteil_rwst,47,FALSE),IF($D94="alz",AT94*HLOOKUP(AQ$2,Verteil_rwst,49,FALSE),0)))))))</f>
        <v>0</v>
      </c>
      <c r="AX94" s="235"/>
      <c r="AY94" s="84"/>
      <c r="AZ94" s="84"/>
      <c r="BA94" s="233">
        <f t="shared" si="69"/>
        <v>0</v>
      </c>
      <c r="BB94" s="233">
        <f t="shared" ref="BB94:BB100" si="117">IF(AX$2="-","-",IF($E94+$F94+$G94=1,BA94*$E94,IF($D94="uns",BA94*HLOOKUP(AX$2,Verteil_sw,46,FALSE),IF($D94="unm",BA94*HLOOKUP(AX$2,Verteil_sw,47,FALSE),IF($D94="unr",BA94*HLOOKUP(AX$2,Verteil_sw,48,FALSE),IF($D94="unk",BA94*HLOOKUP(AX$2,Verteil_sw,49,FALSE),IF($D94="alz",BA94*HLOOKUP(AX$2,Verteil_sw,51,FALSE),0)))))))</f>
        <v>0</v>
      </c>
      <c r="BC94" s="233">
        <f t="shared" ref="BC94:BC100" si="118">IF(AX$2="-","-",IF($E94+$F94+$G94=1,BA94*$F94,IF($D94="uns",BA94*HLOOKUP(AX$2,Verteil_rwgr,45,FALSE),IF($D94="unm",BA94*HLOOKUP(AX$2,Verteil_rwgr,46,FALSE),IF($D94="unr",BA94*HLOOKUP(AX$2,Verteil_rwgr,47,FALSE),IF($D94="unk",BA94*HLOOKUP(AX$2,Verteil_rwgr,48,FALSE),IF($D94="alz",BA94*HLOOKUP(AX$2,Verteil_rwgr,50,FALSE),0)))))))</f>
        <v>0</v>
      </c>
      <c r="BD94" s="224">
        <f t="shared" ref="BD94:BD100" si="119">IF(AX$2="-","-",IF($E94+$F94+$G94=1,BA94*$G94,IF($D94="uns",BA94*HLOOKUP(AX$2,Verteil_rwst,44,FALSE),IF($D94="unm",BA94*HLOOKUP(AX$2,Verteil_rwst,45,FALSE),IF($D94="unr",BA94*HLOOKUP(AX$2,Verteil_rwst,46,FALSE),IF($D94="unk",BA94*HLOOKUP(AX$2,Verteil_rwst,47,FALSE),IF($D94="alz",BA94*HLOOKUP(AX$2,Verteil_rwst,49,FALSE),0)))))))</f>
        <v>0</v>
      </c>
      <c r="BE94" s="235"/>
      <c r="BF94" s="84"/>
      <c r="BG94" s="84"/>
      <c r="BH94" s="233">
        <f t="shared" si="70"/>
        <v>0</v>
      </c>
      <c r="BI94" s="233">
        <f t="shared" ref="BI94:BI100" si="120">IF(BE$2="-","-",IF($E94+$F94+$G94=1,BH94*$E94,IF($D94="uns",BH94*HLOOKUP(BE$2,Verteil_sw,46,FALSE),IF($D94="unm",BH94*HLOOKUP(BE$2,Verteil_sw,47,FALSE),IF($D94="unr",BH94*HLOOKUP(BE$2,Verteil_sw,48,FALSE),IF($D94="unk",BH94*HLOOKUP(BE$2,Verteil_sw,49,FALSE),IF($D94="alz",BH94*HLOOKUP(BE$2,Verteil_sw,51,FALSE),0)))))))</f>
        <v>0</v>
      </c>
      <c r="BJ94" s="233">
        <f t="shared" ref="BJ94:BJ100" si="121">IF(BE$2="-","-",IF($E94+$F94+$G94=1,BH94*$F94,IF($D94="uns",BH94*HLOOKUP(BE$2,Verteil_rwgr,45,FALSE),IF($D94="unm",BH94*HLOOKUP(BE$2,Verteil_rwgr,46,FALSE),IF($D94="unr",BH94*HLOOKUP(BE$2,Verteil_rwgr,47,FALSE),IF($D94="unk",BH94*HLOOKUP(BE$2,Verteil_rwgr,48,FALSE),IF($D94="alz",BH94*HLOOKUP(BE$2,Verteil_rwgr,50,FALSE),0)))))))</f>
        <v>0</v>
      </c>
      <c r="BK94" s="224">
        <f t="shared" ref="BK94:BK100" si="122">IF(BE$2="-","-",IF($E94+$F94+$G94=1,BH94*$G94,IF($D94="uns",BH94*HLOOKUP(BE$2,Verteil_rwst,44,FALSE),IF($D94="unm",BH94*HLOOKUP(BE$2,Verteil_rwst,45,FALSE),IF($D94="unr",BH94*HLOOKUP(BE$2,Verteil_rwst,46,FALSE),IF($D94="unk",BH94*HLOOKUP(BE$2,Verteil_rwst,47,FALSE),IF($D94="alz",BH94*HLOOKUP(BE$2,Verteil_rwst,49,FALSE),0)))))))</f>
        <v>0</v>
      </c>
      <c r="BL94" s="235"/>
      <c r="BM94" s="84"/>
      <c r="BN94" s="84"/>
      <c r="BO94" s="233">
        <f t="shared" si="71"/>
        <v>0</v>
      </c>
      <c r="BP94" s="233">
        <f t="shared" ref="BP94:BP100" si="123">IF(BL$2="-","-",IF($E94+$F94+$G94=1,BO94*$E94,IF($D94="uns",BO94*HLOOKUP(BL$2,Verteil_sw,46,FALSE),IF($D94="unm",BO94*HLOOKUP(BL$2,Verteil_sw,47,FALSE),IF($D94="unr",BO94*HLOOKUP(BL$2,Verteil_sw,48,FALSE),IF($D94="unk",BO94*HLOOKUP(BL$2,Verteil_sw,49,FALSE),IF($D94="alz",BO94*HLOOKUP(BL$2,Verteil_sw,51,FALSE),0)))))))</f>
        <v>0</v>
      </c>
      <c r="BQ94" s="233">
        <f t="shared" ref="BQ94:BQ100" si="124">IF(BL$2="-","-",IF($E94+$F94+$G94=1,BO94*$F94,IF($D94="uns",BO94*HLOOKUP(BL$2,Verteil_rwgr,45,FALSE),IF($D94="unm",BO94*HLOOKUP(BL$2,Verteil_rwgr,46,FALSE),IF($D94="unr",BO94*HLOOKUP(BL$2,Verteil_rwgr,47,FALSE),IF($D94="unk",BO94*HLOOKUP(BL$2,Verteil_rwgr,48,FALSE),IF($D94="alz",BO94*HLOOKUP(BL$2,Verteil_rwgr,50,FALSE),0)))))))</f>
        <v>0</v>
      </c>
      <c r="BR94" s="224">
        <f t="shared" ref="BR94:BR100" si="125">IF(BL$2="-","-",IF($E94+$F94+$G94=1,BO94*$G94,IF($D94="uns",BO94*HLOOKUP(BL$2,Verteil_rwst,44,FALSE),IF($D94="unm",BO94*HLOOKUP(BL$2,Verteil_rwst,45,FALSE),IF($D94="unr",BO94*HLOOKUP(BL$2,Verteil_rwst,46,FALSE),IF($D94="unk",BO94*HLOOKUP(BL$2,Verteil_rwst,47,FALSE),IF($D94="alz",BO94*HLOOKUP(BL$2,Verteil_rwst,49,FALSE),0)))))))</f>
        <v>0</v>
      </c>
    </row>
    <row r="95" spans="1:70" x14ac:dyDescent="0.35">
      <c r="A95" s="491" t="s">
        <v>1048</v>
      </c>
      <c r="B95" s="83"/>
      <c r="C95" s="234"/>
      <c r="D95" s="83"/>
      <c r="E95" s="230"/>
      <c r="F95" s="230"/>
      <c r="G95" s="231"/>
      <c r="H95" s="235"/>
      <c r="I95" s="84"/>
      <c r="J95" s="84"/>
      <c r="K95" s="233">
        <f t="shared" ref="K95:K100" si="126">H95-I95+J95</f>
        <v>0</v>
      </c>
      <c r="L95" s="233">
        <f t="shared" si="99"/>
        <v>0</v>
      </c>
      <c r="M95" s="233">
        <f t="shared" si="100"/>
        <v>0</v>
      </c>
      <c r="N95" s="224">
        <f t="shared" si="101"/>
        <v>0</v>
      </c>
      <c r="O95" s="235"/>
      <c r="P95" s="84"/>
      <c r="Q95" s="84"/>
      <c r="R95" s="233">
        <f t="shared" ref="R95:R100" si="127">O95-P95+Q95</f>
        <v>0</v>
      </c>
      <c r="S95" s="233">
        <f t="shared" si="102"/>
        <v>0</v>
      </c>
      <c r="T95" s="233">
        <f t="shared" si="103"/>
        <v>0</v>
      </c>
      <c r="U95" s="224">
        <f t="shared" si="104"/>
        <v>0</v>
      </c>
      <c r="V95" s="235"/>
      <c r="W95" s="84"/>
      <c r="X95" s="84"/>
      <c r="Y95" s="233">
        <f t="shared" ref="Y95:Y100" si="128">V95-W95+X95</f>
        <v>0</v>
      </c>
      <c r="Z95" s="233">
        <f t="shared" si="105"/>
        <v>0</v>
      </c>
      <c r="AA95" s="233">
        <f t="shared" si="106"/>
        <v>0</v>
      </c>
      <c r="AB95" s="224">
        <f t="shared" si="107"/>
        <v>0</v>
      </c>
      <c r="AC95" s="235"/>
      <c r="AD95" s="84"/>
      <c r="AE95" s="84"/>
      <c r="AF95" s="233">
        <f t="shared" ref="AF95:AF100" si="129">AC95-AD95+AE95</f>
        <v>0</v>
      </c>
      <c r="AG95" s="233">
        <f t="shared" si="108"/>
        <v>0</v>
      </c>
      <c r="AH95" s="233">
        <f t="shared" si="109"/>
        <v>0</v>
      </c>
      <c r="AI95" s="224">
        <f t="shared" si="110"/>
        <v>0</v>
      </c>
      <c r="AJ95" s="235"/>
      <c r="AK95" s="84"/>
      <c r="AL95" s="84"/>
      <c r="AM95" s="233">
        <f t="shared" ref="AM95:AM100" si="130">AJ95-AK95+AL95</f>
        <v>0</v>
      </c>
      <c r="AN95" s="233">
        <f t="shared" si="111"/>
        <v>0</v>
      </c>
      <c r="AO95" s="233">
        <f t="shared" si="112"/>
        <v>0</v>
      </c>
      <c r="AP95" s="224">
        <f t="shared" si="113"/>
        <v>0</v>
      </c>
      <c r="AQ95" s="235"/>
      <c r="AR95" s="84"/>
      <c r="AS95" s="84"/>
      <c r="AT95" s="233">
        <f t="shared" ref="AT95:AT100" si="131">AQ95-AR95+AS95</f>
        <v>0</v>
      </c>
      <c r="AU95" s="233">
        <f t="shared" si="114"/>
        <v>0</v>
      </c>
      <c r="AV95" s="233">
        <f t="shared" si="115"/>
        <v>0</v>
      </c>
      <c r="AW95" s="224">
        <f t="shared" si="116"/>
        <v>0</v>
      </c>
      <c r="AX95" s="235"/>
      <c r="AY95" s="84"/>
      <c r="AZ95" s="84"/>
      <c r="BA95" s="233">
        <f t="shared" ref="BA95:BA100" si="132">AX95-AY95+AZ95</f>
        <v>0</v>
      </c>
      <c r="BB95" s="233">
        <f t="shared" si="117"/>
        <v>0</v>
      </c>
      <c r="BC95" s="233">
        <f t="shared" si="118"/>
        <v>0</v>
      </c>
      <c r="BD95" s="224">
        <f t="shared" si="119"/>
        <v>0</v>
      </c>
      <c r="BE95" s="235"/>
      <c r="BF95" s="84"/>
      <c r="BG95" s="84"/>
      <c r="BH95" s="233">
        <f t="shared" ref="BH95:BH100" si="133">BE95-BF95+BG95</f>
        <v>0</v>
      </c>
      <c r="BI95" s="233">
        <f t="shared" si="120"/>
        <v>0</v>
      </c>
      <c r="BJ95" s="233">
        <f t="shared" si="121"/>
        <v>0</v>
      </c>
      <c r="BK95" s="224">
        <f t="shared" si="122"/>
        <v>0</v>
      </c>
      <c r="BL95" s="235"/>
      <c r="BM95" s="84"/>
      <c r="BN95" s="84"/>
      <c r="BO95" s="233">
        <f t="shared" ref="BO95:BO100" si="134">BL95-BM95+BN95</f>
        <v>0</v>
      </c>
      <c r="BP95" s="233">
        <f t="shared" si="123"/>
        <v>0</v>
      </c>
      <c r="BQ95" s="233">
        <f t="shared" si="124"/>
        <v>0</v>
      </c>
      <c r="BR95" s="224">
        <f t="shared" si="125"/>
        <v>0</v>
      </c>
    </row>
    <row r="96" spans="1:70" x14ac:dyDescent="0.35">
      <c r="A96" s="491" t="s">
        <v>1049</v>
      </c>
      <c r="B96" s="83"/>
      <c r="C96" s="234"/>
      <c r="D96" s="83"/>
      <c r="E96" s="230"/>
      <c r="F96" s="230"/>
      <c r="G96" s="231"/>
      <c r="H96" s="235"/>
      <c r="I96" s="84"/>
      <c r="J96" s="84"/>
      <c r="K96" s="233">
        <f t="shared" si="126"/>
        <v>0</v>
      </c>
      <c r="L96" s="233">
        <f t="shared" si="99"/>
        <v>0</v>
      </c>
      <c r="M96" s="233">
        <f t="shared" si="100"/>
        <v>0</v>
      </c>
      <c r="N96" s="224">
        <f t="shared" si="101"/>
        <v>0</v>
      </c>
      <c r="O96" s="235"/>
      <c r="P96" s="84"/>
      <c r="Q96" s="84"/>
      <c r="R96" s="233">
        <f t="shared" si="127"/>
        <v>0</v>
      </c>
      <c r="S96" s="233">
        <f t="shared" si="102"/>
        <v>0</v>
      </c>
      <c r="T96" s="233">
        <f t="shared" si="103"/>
        <v>0</v>
      </c>
      <c r="U96" s="224">
        <f t="shared" si="104"/>
        <v>0</v>
      </c>
      <c r="V96" s="235"/>
      <c r="W96" s="84"/>
      <c r="X96" s="84"/>
      <c r="Y96" s="233">
        <f t="shared" si="128"/>
        <v>0</v>
      </c>
      <c r="Z96" s="233">
        <f t="shared" si="105"/>
        <v>0</v>
      </c>
      <c r="AA96" s="233">
        <f t="shared" si="106"/>
        <v>0</v>
      </c>
      <c r="AB96" s="224">
        <f t="shared" si="107"/>
        <v>0</v>
      </c>
      <c r="AC96" s="235"/>
      <c r="AD96" s="84"/>
      <c r="AE96" s="84"/>
      <c r="AF96" s="233">
        <f t="shared" si="129"/>
        <v>0</v>
      </c>
      <c r="AG96" s="233">
        <f t="shared" si="108"/>
        <v>0</v>
      </c>
      <c r="AH96" s="233">
        <f t="shared" si="109"/>
        <v>0</v>
      </c>
      <c r="AI96" s="224">
        <f t="shared" si="110"/>
        <v>0</v>
      </c>
      <c r="AJ96" s="235"/>
      <c r="AK96" s="84"/>
      <c r="AL96" s="84"/>
      <c r="AM96" s="233">
        <f t="shared" si="130"/>
        <v>0</v>
      </c>
      <c r="AN96" s="233">
        <f t="shared" si="111"/>
        <v>0</v>
      </c>
      <c r="AO96" s="233">
        <f t="shared" si="112"/>
        <v>0</v>
      </c>
      <c r="AP96" s="224">
        <f t="shared" si="113"/>
        <v>0</v>
      </c>
      <c r="AQ96" s="235"/>
      <c r="AR96" s="84"/>
      <c r="AS96" s="84"/>
      <c r="AT96" s="233">
        <f t="shared" si="131"/>
        <v>0</v>
      </c>
      <c r="AU96" s="233">
        <f t="shared" si="114"/>
        <v>0</v>
      </c>
      <c r="AV96" s="233">
        <f t="shared" si="115"/>
        <v>0</v>
      </c>
      <c r="AW96" s="224">
        <f t="shared" si="116"/>
        <v>0</v>
      </c>
      <c r="AX96" s="235"/>
      <c r="AY96" s="84"/>
      <c r="AZ96" s="84"/>
      <c r="BA96" s="233">
        <f t="shared" si="132"/>
        <v>0</v>
      </c>
      <c r="BB96" s="233">
        <f t="shared" si="117"/>
        <v>0</v>
      </c>
      <c r="BC96" s="233">
        <f t="shared" si="118"/>
        <v>0</v>
      </c>
      <c r="BD96" s="224">
        <f t="shared" si="119"/>
        <v>0</v>
      </c>
      <c r="BE96" s="235"/>
      <c r="BF96" s="84"/>
      <c r="BG96" s="84"/>
      <c r="BH96" s="233">
        <f t="shared" si="133"/>
        <v>0</v>
      </c>
      <c r="BI96" s="233">
        <f t="shared" si="120"/>
        <v>0</v>
      </c>
      <c r="BJ96" s="233">
        <f t="shared" si="121"/>
        <v>0</v>
      </c>
      <c r="BK96" s="224">
        <f t="shared" si="122"/>
        <v>0</v>
      </c>
      <c r="BL96" s="235"/>
      <c r="BM96" s="84"/>
      <c r="BN96" s="84"/>
      <c r="BO96" s="233">
        <f t="shared" si="134"/>
        <v>0</v>
      </c>
      <c r="BP96" s="233">
        <f t="shared" si="123"/>
        <v>0</v>
      </c>
      <c r="BQ96" s="233">
        <f t="shared" si="124"/>
        <v>0</v>
      </c>
      <c r="BR96" s="224">
        <f t="shared" si="125"/>
        <v>0</v>
      </c>
    </row>
    <row r="97" spans="1:70" x14ac:dyDescent="0.35">
      <c r="A97" s="491" t="s">
        <v>1050</v>
      </c>
      <c r="B97" s="83"/>
      <c r="C97" s="234"/>
      <c r="D97" s="83"/>
      <c r="E97" s="230"/>
      <c r="F97" s="230"/>
      <c r="G97" s="231"/>
      <c r="H97" s="235"/>
      <c r="I97" s="84"/>
      <c r="J97" s="84"/>
      <c r="K97" s="233">
        <f t="shared" si="126"/>
        <v>0</v>
      </c>
      <c r="L97" s="233">
        <f t="shared" si="99"/>
        <v>0</v>
      </c>
      <c r="M97" s="233">
        <f t="shared" si="100"/>
        <v>0</v>
      </c>
      <c r="N97" s="224">
        <f t="shared" si="101"/>
        <v>0</v>
      </c>
      <c r="O97" s="235"/>
      <c r="P97" s="84"/>
      <c r="Q97" s="84"/>
      <c r="R97" s="233">
        <f t="shared" si="127"/>
        <v>0</v>
      </c>
      <c r="S97" s="233">
        <f t="shared" si="102"/>
        <v>0</v>
      </c>
      <c r="T97" s="233">
        <f t="shared" si="103"/>
        <v>0</v>
      </c>
      <c r="U97" s="224">
        <f t="shared" si="104"/>
        <v>0</v>
      </c>
      <c r="V97" s="235"/>
      <c r="W97" s="84"/>
      <c r="X97" s="84"/>
      <c r="Y97" s="233">
        <f t="shared" si="128"/>
        <v>0</v>
      </c>
      <c r="Z97" s="233">
        <f t="shared" si="105"/>
        <v>0</v>
      </c>
      <c r="AA97" s="233">
        <f t="shared" si="106"/>
        <v>0</v>
      </c>
      <c r="AB97" s="224">
        <f t="shared" si="107"/>
        <v>0</v>
      </c>
      <c r="AC97" s="235"/>
      <c r="AD97" s="84"/>
      <c r="AE97" s="84"/>
      <c r="AF97" s="233">
        <f t="shared" si="129"/>
        <v>0</v>
      </c>
      <c r="AG97" s="233">
        <f t="shared" si="108"/>
        <v>0</v>
      </c>
      <c r="AH97" s="233">
        <f t="shared" si="109"/>
        <v>0</v>
      </c>
      <c r="AI97" s="224">
        <f t="shared" si="110"/>
        <v>0</v>
      </c>
      <c r="AJ97" s="235"/>
      <c r="AK97" s="84"/>
      <c r="AL97" s="84"/>
      <c r="AM97" s="233">
        <f t="shared" si="130"/>
        <v>0</v>
      </c>
      <c r="AN97" s="233">
        <f t="shared" si="111"/>
        <v>0</v>
      </c>
      <c r="AO97" s="233">
        <f t="shared" si="112"/>
        <v>0</v>
      </c>
      <c r="AP97" s="224">
        <f t="shared" si="113"/>
        <v>0</v>
      </c>
      <c r="AQ97" s="235"/>
      <c r="AR97" s="84"/>
      <c r="AS97" s="84"/>
      <c r="AT97" s="233">
        <f t="shared" si="131"/>
        <v>0</v>
      </c>
      <c r="AU97" s="233">
        <f t="shared" si="114"/>
        <v>0</v>
      </c>
      <c r="AV97" s="233">
        <f t="shared" si="115"/>
        <v>0</v>
      </c>
      <c r="AW97" s="224">
        <f t="shared" si="116"/>
        <v>0</v>
      </c>
      <c r="AX97" s="235"/>
      <c r="AY97" s="84"/>
      <c r="AZ97" s="84"/>
      <c r="BA97" s="233">
        <f t="shared" si="132"/>
        <v>0</v>
      </c>
      <c r="BB97" s="233">
        <f t="shared" si="117"/>
        <v>0</v>
      </c>
      <c r="BC97" s="233">
        <f t="shared" si="118"/>
        <v>0</v>
      </c>
      <c r="BD97" s="224">
        <f t="shared" si="119"/>
        <v>0</v>
      </c>
      <c r="BE97" s="235"/>
      <c r="BF97" s="84"/>
      <c r="BG97" s="84"/>
      <c r="BH97" s="233">
        <f t="shared" si="133"/>
        <v>0</v>
      </c>
      <c r="BI97" s="233">
        <f t="shared" si="120"/>
        <v>0</v>
      </c>
      <c r="BJ97" s="233">
        <f t="shared" si="121"/>
        <v>0</v>
      </c>
      <c r="BK97" s="224">
        <f t="shared" si="122"/>
        <v>0</v>
      </c>
      <c r="BL97" s="235"/>
      <c r="BM97" s="84"/>
      <c r="BN97" s="84"/>
      <c r="BO97" s="233">
        <f t="shared" si="134"/>
        <v>0</v>
      </c>
      <c r="BP97" s="233">
        <f t="shared" si="123"/>
        <v>0</v>
      </c>
      <c r="BQ97" s="233">
        <f t="shared" si="124"/>
        <v>0</v>
      </c>
      <c r="BR97" s="224">
        <f t="shared" si="125"/>
        <v>0</v>
      </c>
    </row>
    <row r="98" spans="1:70" x14ac:dyDescent="0.35">
      <c r="A98" s="491" t="s">
        <v>1051</v>
      </c>
      <c r="B98" s="83"/>
      <c r="C98" s="234"/>
      <c r="D98" s="175"/>
      <c r="E98" s="230"/>
      <c r="F98" s="230"/>
      <c r="G98" s="231"/>
      <c r="H98" s="235"/>
      <c r="I98" s="84"/>
      <c r="J98" s="84"/>
      <c r="K98" s="233">
        <f t="shared" si="126"/>
        <v>0</v>
      </c>
      <c r="L98" s="233">
        <f t="shared" si="99"/>
        <v>0</v>
      </c>
      <c r="M98" s="233">
        <f t="shared" si="100"/>
        <v>0</v>
      </c>
      <c r="N98" s="224">
        <f t="shared" si="101"/>
        <v>0</v>
      </c>
      <c r="O98" s="235"/>
      <c r="P98" s="84"/>
      <c r="Q98" s="84"/>
      <c r="R98" s="233">
        <f t="shared" si="127"/>
        <v>0</v>
      </c>
      <c r="S98" s="233">
        <f t="shared" si="102"/>
        <v>0</v>
      </c>
      <c r="T98" s="233">
        <f t="shared" si="103"/>
        <v>0</v>
      </c>
      <c r="U98" s="224">
        <f t="shared" si="104"/>
        <v>0</v>
      </c>
      <c r="V98" s="235"/>
      <c r="W98" s="84"/>
      <c r="X98" s="84"/>
      <c r="Y98" s="233">
        <f t="shared" si="128"/>
        <v>0</v>
      </c>
      <c r="Z98" s="233">
        <f t="shared" si="105"/>
        <v>0</v>
      </c>
      <c r="AA98" s="233">
        <f t="shared" si="106"/>
        <v>0</v>
      </c>
      <c r="AB98" s="224">
        <f t="shared" si="107"/>
        <v>0</v>
      </c>
      <c r="AC98" s="235"/>
      <c r="AD98" s="84"/>
      <c r="AE98" s="84"/>
      <c r="AF98" s="233">
        <f t="shared" si="129"/>
        <v>0</v>
      </c>
      <c r="AG98" s="233">
        <f t="shared" si="108"/>
        <v>0</v>
      </c>
      <c r="AH98" s="233">
        <f t="shared" si="109"/>
        <v>0</v>
      </c>
      <c r="AI98" s="224">
        <f t="shared" si="110"/>
        <v>0</v>
      </c>
      <c r="AJ98" s="235"/>
      <c r="AK98" s="84"/>
      <c r="AL98" s="84"/>
      <c r="AM98" s="233">
        <f t="shared" si="130"/>
        <v>0</v>
      </c>
      <c r="AN98" s="233">
        <f t="shared" si="111"/>
        <v>0</v>
      </c>
      <c r="AO98" s="233">
        <f t="shared" si="112"/>
        <v>0</v>
      </c>
      <c r="AP98" s="224">
        <f t="shared" si="113"/>
        <v>0</v>
      </c>
      <c r="AQ98" s="235"/>
      <c r="AR98" s="84"/>
      <c r="AS98" s="84"/>
      <c r="AT98" s="233">
        <f t="shared" si="131"/>
        <v>0</v>
      </c>
      <c r="AU98" s="233">
        <f t="shared" si="114"/>
        <v>0</v>
      </c>
      <c r="AV98" s="233">
        <f t="shared" si="115"/>
        <v>0</v>
      </c>
      <c r="AW98" s="224">
        <f t="shared" si="116"/>
        <v>0</v>
      </c>
      <c r="AX98" s="235"/>
      <c r="AY98" s="84"/>
      <c r="AZ98" s="84"/>
      <c r="BA98" s="233">
        <f t="shared" si="132"/>
        <v>0</v>
      </c>
      <c r="BB98" s="233">
        <f t="shared" si="117"/>
        <v>0</v>
      </c>
      <c r="BC98" s="233">
        <f t="shared" si="118"/>
        <v>0</v>
      </c>
      <c r="BD98" s="224">
        <f t="shared" si="119"/>
        <v>0</v>
      </c>
      <c r="BE98" s="235"/>
      <c r="BF98" s="84"/>
      <c r="BG98" s="84"/>
      <c r="BH98" s="233">
        <f t="shared" si="133"/>
        <v>0</v>
      </c>
      <c r="BI98" s="233">
        <f t="shared" si="120"/>
        <v>0</v>
      </c>
      <c r="BJ98" s="233">
        <f t="shared" si="121"/>
        <v>0</v>
      </c>
      <c r="BK98" s="224">
        <f t="shared" si="122"/>
        <v>0</v>
      </c>
      <c r="BL98" s="235"/>
      <c r="BM98" s="84"/>
      <c r="BN98" s="84"/>
      <c r="BO98" s="233">
        <f t="shared" si="134"/>
        <v>0</v>
      </c>
      <c r="BP98" s="233">
        <f t="shared" si="123"/>
        <v>0</v>
      </c>
      <c r="BQ98" s="233">
        <f t="shared" si="124"/>
        <v>0</v>
      </c>
      <c r="BR98" s="224">
        <f t="shared" si="125"/>
        <v>0</v>
      </c>
    </row>
    <row r="99" spans="1:70" x14ac:dyDescent="0.35">
      <c r="A99" s="491" t="s">
        <v>1052</v>
      </c>
      <c r="B99" s="83"/>
      <c r="C99" s="234"/>
      <c r="D99" s="83"/>
      <c r="E99" s="230"/>
      <c r="F99" s="230"/>
      <c r="G99" s="231"/>
      <c r="H99" s="235"/>
      <c r="I99" s="84"/>
      <c r="J99" s="84"/>
      <c r="K99" s="233">
        <f t="shared" si="126"/>
        <v>0</v>
      </c>
      <c r="L99" s="233">
        <f t="shared" si="99"/>
        <v>0</v>
      </c>
      <c r="M99" s="233">
        <f t="shared" si="100"/>
        <v>0</v>
      </c>
      <c r="N99" s="224">
        <f t="shared" si="101"/>
        <v>0</v>
      </c>
      <c r="O99" s="235"/>
      <c r="P99" s="84"/>
      <c r="Q99" s="84"/>
      <c r="R99" s="233">
        <f t="shared" si="127"/>
        <v>0</v>
      </c>
      <c r="S99" s="233">
        <f t="shared" si="102"/>
        <v>0</v>
      </c>
      <c r="T99" s="233">
        <f t="shared" si="103"/>
        <v>0</v>
      </c>
      <c r="U99" s="224">
        <f t="shared" si="104"/>
        <v>0</v>
      </c>
      <c r="V99" s="235"/>
      <c r="W99" s="84"/>
      <c r="X99" s="84"/>
      <c r="Y99" s="233">
        <f t="shared" si="128"/>
        <v>0</v>
      </c>
      <c r="Z99" s="233">
        <f t="shared" si="105"/>
        <v>0</v>
      </c>
      <c r="AA99" s="233">
        <f t="shared" si="106"/>
        <v>0</v>
      </c>
      <c r="AB99" s="224">
        <f t="shared" si="107"/>
        <v>0</v>
      </c>
      <c r="AC99" s="235"/>
      <c r="AD99" s="84"/>
      <c r="AE99" s="84"/>
      <c r="AF99" s="233">
        <f t="shared" si="129"/>
        <v>0</v>
      </c>
      <c r="AG99" s="233">
        <f t="shared" si="108"/>
        <v>0</v>
      </c>
      <c r="AH99" s="233">
        <f t="shared" si="109"/>
        <v>0</v>
      </c>
      <c r="AI99" s="224">
        <f t="shared" si="110"/>
        <v>0</v>
      </c>
      <c r="AJ99" s="235"/>
      <c r="AK99" s="84"/>
      <c r="AL99" s="84"/>
      <c r="AM99" s="233">
        <f t="shared" si="130"/>
        <v>0</v>
      </c>
      <c r="AN99" s="233">
        <f t="shared" si="111"/>
        <v>0</v>
      </c>
      <c r="AO99" s="233">
        <f t="shared" si="112"/>
        <v>0</v>
      </c>
      <c r="AP99" s="224">
        <f t="shared" si="113"/>
        <v>0</v>
      </c>
      <c r="AQ99" s="235"/>
      <c r="AR99" s="84"/>
      <c r="AS99" s="84"/>
      <c r="AT99" s="233">
        <f t="shared" si="131"/>
        <v>0</v>
      </c>
      <c r="AU99" s="233">
        <f t="shared" si="114"/>
        <v>0</v>
      </c>
      <c r="AV99" s="233">
        <f t="shared" si="115"/>
        <v>0</v>
      </c>
      <c r="AW99" s="224">
        <f t="shared" si="116"/>
        <v>0</v>
      </c>
      <c r="AX99" s="235"/>
      <c r="AY99" s="84"/>
      <c r="AZ99" s="84"/>
      <c r="BA99" s="233">
        <f t="shared" si="132"/>
        <v>0</v>
      </c>
      <c r="BB99" s="233">
        <f t="shared" si="117"/>
        <v>0</v>
      </c>
      <c r="BC99" s="233">
        <f t="shared" si="118"/>
        <v>0</v>
      </c>
      <c r="BD99" s="224">
        <f t="shared" si="119"/>
        <v>0</v>
      </c>
      <c r="BE99" s="235"/>
      <c r="BF99" s="84"/>
      <c r="BG99" s="84"/>
      <c r="BH99" s="233">
        <f t="shared" si="133"/>
        <v>0</v>
      </c>
      <c r="BI99" s="233">
        <f t="shared" si="120"/>
        <v>0</v>
      </c>
      <c r="BJ99" s="233">
        <f t="shared" si="121"/>
        <v>0</v>
      </c>
      <c r="BK99" s="224">
        <f t="shared" si="122"/>
        <v>0</v>
      </c>
      <c r="BL99" s="235"/>
      <c r="BM99" s="84"/>
      <c r="BN99" s="84"/>
      <c r="BO99" s="233">
        <f t="shared" si="134"/>
        <v>0</v>
      </c>
      <c r="BP99" s="233">
        <f t="shared" si="123"/>
        <v>0</v>
      </c>
      <c r="BQ99" s="233">
        <f t="shared" si="124"/>
        <v>0</v>
      </c>
      <c r="BR99" s="224">
        <f t="shared" si="125"/>
        <v>0</v>
      </c>
    </row>
    <row r="100" spans="1:70" ht="15" thickBot="1" x14ac:dyDescent="0.4">
      <c r="A100" s="491" t="s">
        <v>1053</v>
      </c>
      <c r="B100" s="253"/>
      <c r="C100" s="254"/>
      <c r="D100" s="253"/>
      <c r="E100" s="255"/>
      <c r="F100" s="255"/>
      <c r="G100" s="256"/>
      <c r="H100" s="257"/>
      <c r="I100" s="258"/>
      <c r="J100" s="258"/>
      <c r="K100" s="233">
        <f t="shared" si="126"/>
        <v>0</v>
      </c>
      <c r="L100" s="233">
        <f t="shared" si="99"/>
        <v>0</v>
      </c>
      <c r="M100" s="233">
        <f t="shared" si="100"/>
        <v>0</v>
      </c>
      <c r="N100" s="224">
        <f t="shared" si="101"/>
        <v>0</v>
      </c>
      <c r="O100" s="257"/>
      <c r="P100" s="258"/>
      <c r="Q100" s="258"/>
      <c r="R100" s="233">
        <f t="shared" si="127"/>
        <v>0</v>
      </c>
      <c r="S100" s="233">
        <f t="shared" si="102"/>
        <v>0</v>
      </c>
      <c r="T100" s="233">
        <f t="shared" si="103"/>
        <v>0</v>
      </c>
      <c r="U100" s="224">
        <f t="shared" si="104"/>
        <v>0</v>
      </c>
      <c r="V100" s="257"/>
      <c r="W100" s="258"/>
      <c r="X100" s="258"/>
      <c r="Y100" s="233">
        <f t="shared" si="128"/>
        <v>0</v>
      </c>
      <c r="Z100" s="233">
        <f t="shared" si="105"/>
        <v>0</v>
      </c>
      <c r="AA100" s="233">
        <f t="shared" si="106"/>
        <v>0</v>
      </c>
      <c r="AB100" s="224">
        <f t="shared" si="107"/>
        <v>0</v>
      </c>
      <c r="AC100" s="257"/>
      <c r="AD100" s="258"/>
      <c r="AE100" s="258"/>
      <c r="AF100" s="233">
        <f t="shared" si="129"/>
        <v>0</v>
      </c>
      <c r="AG100" s="233">
        <f t="shared" si="108"/>
        <v>0</v>
      </c>
      <c r="AH100" s="233">
        <f t="shared" si="109"/>
        <v>0</v>
      </c>
      <c r="AI100" s="224">
        <f t="shared" si="110"/>
        <v>0</v>
      </c>
      <c r="AJ100" s="257"/>
      <c r="AK100" s="258"/>
      <c r="AL100" s="258"/>
      <c r="AM100" s="233">
        <f t="shared" si="130"/>
        <v>0</v>
      </c>
      <c r="AN100" s="233">
        <f t="shared" si="111"/>
        <v>0</v>
      </c>
      <c r="AO100" s="233">
        <f t="shared" si="112"/>
        <v>0</v>
      </c>
      <c r="AP100" s="224">
        <f t="shared" si="113"/>
        <v>0</v>
      </c>
      <c r="AQ100" s="257"/>
      <c r="AR100" s="258"/>
      <c r="AS100" s="258"/>
      <c r="AT100" s="233">
        <f t="shared" si="131"/>
        <v>0</v>
      </c>
      <c r="AU100" s="233">
        <f t="shared" si="114"/>
        <v>0</v>
      </c>
      <c r="AV100" s="233">
        <f t="shared" si="115"/>
        <v>0</v>
      </c>
      <c r="AW100" s="224">
        <f t="shared" si="116"/>
        <v>0</v>
      </c>
      <c r="AX100" s="257"/>
      <c r="AY100" s="258"/>
      <c r="AZ100" s="258"/>
      <c r="BA100" s="233">
        <f t="shared" si="132"/>
        <v>0</v>
      </c>
      <c r="BB100" s="233">
        <f t="shared" si="117"/>
        <v>0</v>
      </c>
      <c r="BC100" s="233">
        <f t="shared" si="118"/>
        <v>0</v>
      </c>
      <c r="BD100" s="224">
        <f t="shared" si="119"/>
        <v>0</v>
      </c>
      <c r="BE100" s="257"/>
      <c r="BF100" s="258"/>
      <c r="BG100" s="258"/>
      <c r="BH100" s="233">
        <f t="shared" si="133"/>
        <v>0</v>
      </c>
      <c r="BI100" s="233">
        <f t="shared" si="120"/>
        <v>0</v>
      </c>
      <c r="BJ100" s="233">
        <f t="shared" si="121"/>
        <v>0</v>
      </c>
      <c r="BK100" s="224">
        <f t="shared" si="122"/>
        <v>0</v>
      </c>
      <c r="BL100" s="257"/>
      <c r="BM100" s="258"/>
      <c r="BN100" s="258"/>
      <c r="BO100" s="233">
        <f t="shared" si="134"/>
        <v>0</v>
      </c>
      <c r="BP100" s="233">
        <f t="shared" si="123"/>
        <v>0</v>
      </c>
      <c r="BQ100" s="233">
        <f t="shared" si="124"/>
        <v>0</v>
      </c>
      <c r="BR100" s="224">
        <f t="shared" si="125"/>
        <v>0</v>
      </c>
    </row>
    <row r="101" spans="1:70" s="71" customFormat="1" ht="15.75" customHeight="1" thickBot="1" x14ac:dyDescent="0.4">
      <c r="A101" s="259"/>
      <c r="B101" s="259"/>
      <c r="C101" s="494" t="s">
        <v>691</v>
      </c>
      <c r="D101" s="259"/>
      <c r="E101" s="260"/>
      <c r="F101" s="260"/>
      <c r="G101" s="261"/>
      <c r="H101" s="262">
        <f>SUM(H30:H100)</f>
        <v>736851</v>
      </c>
      <c r="I101" s="263">
        <f>SUM(I30:I100)</f>
        <v>53734</v>
      </c>
      <c r="J101" s="263">
        <f>SUM(J30:J100)</f>
        <v>32000</v>
      </c>
      <c r="K101" s="263">
        <f>ROUND(SUM(K30:K100),2)</f>
        <v>715117</v>
      </c>
      <c r="L101" s="263">
        <f>ROUND(SUM(L30:L100),2)</f>
        <v>565247.80000000005</v>
      </c>
      <c r="M101" s="263">
        <f>ROUND(SUM(M30:M100),2)</f>
        <v>74934.600000000006</v>
      </c>
      <c r="N101" s="264">
        <f>ROUND(SUM(N30:N100),2)</f>
        <v>74934.600000000006</v>
      </c>
      <c r="O101" s="262">
        <f>SUM(O30:O100)</f>
        <v>771787</v>
      </c>
      <c r="P101" s="263">
        <f>SUM(P30:P100)</f>
        <v>74609</v>
      </c>
      <c r="Q101" s="263">
        <f>SUM(Q30:Q100)</f>
        <v>39000</v>
      </c>
      <c r="R101" s="263">
        <f>ROUND(SUM(R30:R100),2)</f>
        <v>736178</v>
      </c>
      <c r="S101" s="263">
        <f>ROUND(SUM(S30:S100),2)</f>
        <v>578321.4</v>
      </c>
      <c r="T101" s="263">
        <f>ROUND(SUM(T30:T100),2)</f>
        <v>78928.3</v>
      </c>
      <c r="U101" s="264">
        <f>ROUND(SUM(U30:U100),2)</f>
        <v>78928.3</v>
      </c>
      <c r="V101" s="262">
        <f>SUM(V30:V100)</f>
        <v>799178</v>
      </c>
      <c r="W101" s="263">
        <f>SUM(W30:W100)</f>
        <v>82501</v>
      </c>
      <c r="X101" s="263">
        <f>SUM(X30:X100)</f>
        <v>39000</v>
      </c>
      <c r="Y101" s="263">
        <f>ROUND(SUM(Y30:Y100),2)</f>
        <v>755677</v>
      </c>
      <c r="Z101" s="263">
        <f>ROUND(SUM(Z30:Z100),2)</f>
        <v>594674.94999999995</v>
      </c>
      <c r="AA101" s="263">
        <f>ROUND(SUM(AA30:AA100),2)</f>
        <v>80501.03</v>
      </c>
      <c r="AB101" s="264">
        <f>ROUND(SUM(AB30:AB100),2)</f>
        <v>80501.03</v>
      </c>
      <c r="AC101" s="262">
        <f>SUM(AC30:AC100)</f>
        <v>805006</v>
      </c>
      <c r="AD101" s="263">
        <f>SUM(AD30:AD100)</f>
        <v>83411</v>
      </c>
      <c r="AE101" s="263">
        <f>SUM(AE30:AE100)</f>
        <v>61000</v>
      </c>
      <c r="AF101" s="263">
        <f>ROUND(SUM(AF30:AF100),2)</f>
        <v>782595</v>
      </c>
      <c r="AG101" s="263">
        <f>ROUND(SUM(AG30:AG100),2)</f>
        <v>618381.65</v>
      </c>
      <c r="AH101" s="263">
        <f>ROUND(SUM(AH30:AH100),2)</f>
        <v>82106.679999999993</v>
      </c>
      <c r="AI101" s="264">
        <f>ROUND(SUM(AI30:AI100),2)</f>
        <v>82106.679999999993</v>
      </c>
      <c r="AJ101" s="262">
        <f>SUM(AJ30:AJ100)</f>
        <v>871889</v>
      </c>
      <c r="AK101" s="263">
        <f>SUM(AK30:AK100)</f>
        <v>106339</v>
      </c>
      <c r="AL101" s="263">
        <f>SUM(AL30:AL100)</f>
        <v>81000</v>
      </c>
      <c r="AM101" s="263">
        <f>ROUND(SUM(AM30:AM100),2)</f>
        <v>846550</v>
      </c>
      <c r="AN101" s="263">
        <f>ROUND(SUM(AN30:AN100),2)</f>
        <v>664060.55000000005</v>
      </c>
      <c r="AO101" s="263">
        <f>ROUND(SUM(AO30:AO100),2)</f>
        <v>91244.73</v>
      </c>
      <c r="AP101" s="264">
        <f>ROUND(SUM(AP30:AP100),2)</f>
        <v>91244.73</v>
      </c>
      <c r="AQ101" s="262">
        <f>SUM(AQ30:AQ100)</f>
        <v>978479</v>
      </c>
      <c r="AR101" s="263">
        <f>SUM(AR30:AR100)</f>
        <v>0</v>
      </c>
      <c r="AS101" s="263">
        <f>SUM(AS30:AS100)</f>
        <v>0</v>
      </c>
      <c r="AT101" s="263">
        <f>ROUND(SUM(AT30:AT100),2)</f>
        <v>978479</v>
      </c>
      <c r="AU101" s="263">
        <f>ROUND(SUM(AU30:AU100),2)</f>
        <v>780841.15</v>
      </c>
      <c r="AV101" s="263">
        <f>ROUND(SUM(AV30:AV100),2)</f>
        <v>98818.93</v>
      </c>
      <c r="AW101" s="264">
        <f>ROUND(SUM(AW30:AW100),2)</f>
        <v>98818.93</v>
      </c>
      <c r="AX101" s="262">
        <f>SUM(AX30:AX100)</f>
        <v>998043</v>
      </c>
      <c r="AY101" s="263">
        <f>SUM(AY30:AY100)</f>
        <v>0</v>
      </c>
      <c r="AZ101" s="263">
        <f>SUM(AZ30:AZ100)</f>
        <v>0</v>
      </c>
      <c r="BA101" s="263">
        <f>ROUND(SUM(BA30:BA100),2)</f>
        <v>998043</v>
      </c>
      <c r="BB101" s="263">
        <f>ROUND(SUM(BB30:BB100),2)</f>
        <v>796454.6</v>
      </c>
      <c r="BC101" s="263">
        <f>ROUND(SUM(BC30:BC100),2)</f>
        <v>100794.2</v>
      </c>
      <c r="BD101" s="264">
        <f>ROUND(SUM(BD30:BD100),2)</f>
        <v>100794.2</v>
      </c>
      <c r="BE101" s="262">
        <f>SUM(BE30:BE100)</f>
        <v>1018003</v>
      </c>
      <c r="BF101" s="263">
        <f>SUM(BF30:BF100)</f>
        <v>0</v>
      </c>
      <c r="BG101" s="263">
        <f>SUM(BG30:BG100)</f>
        <v>0</v>
      </c>
      <c r="BH101" s="263">
        <f>ROUND(SUM(BH30:BH100),2)</f>
        <v>1018003</v>
      </c>
      <c r="BI101" s="263">
        <f>ROUND(SUM(BI30:BI100),2)</f>
        <v>812383.7</v>
      </c>
      <c r="BJ101" s="263">
        <f>ROUND(SUM(BJ30:BJ100),2)</f>
        <v>102809.65</v>
      </c>
      <c r="BK101" s="264">
        <f>ROUND(SUM(BK30:BK100),2)</f>
        <v>102809.65</v>
      </c>
      <c r="BL101" s="262">
        <f>SUM(BL30:BL100)</f>
        <v>1038368</v>
      </c>
      <c r="BM101" s="263">
        <f>SUM(BM30:BM100)</f>
        <v>0</v>
      </c>
      <c r="BN101" s="263">
        <f>SUM(BN30:BN100)</f>
        <v>0</v>
      </c>
      <c r="BO101" s="263">
        <f>ROUND(SUM(BO30:BO100),2)</f>
        <v>1038368</v>
      </c>
      <c r="BP101" s="263">
        <f>ROUND(SUM(BP30:BP100),2)</f>
        <v>828632.8</v>
      </c>
      <c r="BQ101" s="263">
        <f>ROUND(SUM(BQ30:BQ100),2)</f>
        <v>104867.6</v>
      </c>
      <c r="BR101" s="264">
        <f>ROUND(SUM(BR30:BR100),2)</f>
        <v>104867.6</v>
      </c>
    </row>
    <row r="102" spans="1:70" s="71" customFormat="1" ht="15.75" customHeight="1" x14ac:dyDescent="0.35">
      <c r="A102" s="265"/>
      <c r="B102" s="265"/>
      <c r="C102" s="495"/>
      <c r="D102" s="265"/>
      <c r="E102" s="266"/>
      <c r="F102" s="266"/>
      <c r="G102" s="267"/>
      <c r="H102" s="268"/>
      <c r="I102" s="269"/>
      <c r="J102" s="269"/>
      <c r="K102" s="269"/>
      <c r="L102" s="269"/>
      <c r="M102" s="269"/>
      <c r="N102" s="270"/>
      <c r="O102" s="268"/>
      <c r="P102" s="269"/>
      <c r="Q102" s="269"/>
      <c r="R102" s="269"/>
      <c r="S102" s="269"/>
      <c r="T102" s="269"/>
      <c r="U102" s="270"/>
      <c r="V102" s="268"/>
      <c r="W102" s="269"/>
      <c r="X102" s="269"/>
      <c r="Y102" s="269"/>
      <c r="Z102" s="269"/>
      <c r="AA102" s="269"/>
      <c r="AB102" s="270"/>
      <c r="AC102" s="268"/>
      <c r="AD102" s="269"/>
      <c r="AE102" s="269"/>
      <c r="AF102" s="269"/>
      <c r="AG102" s="269"/>
      <c r="AH102" s="269"/>
      <c r="AI102" s="270"/>
      <c r="AJ102" s="268"/>
      <c r="AK102" s="269"/>
      <c r="AL102" s="269"/>
      <c r="AM102" s="269"/>
      <c r="AN102" s="269"/>
      <c r="AO102" s="269"/>
      <c r="AP102" s="270"/>
      <c r="AQ102" s="268"/>
      <c r="AR102" s="269"/>
      <c r="AS102" s="269"/>
      <c r="AT102" s="269"/>
      <c r="AU102" s="269"/>
      <c r="AV102" s="269"/>
      <c r="AW102" s="270"/>
      <c r="AX102" s="268"/>
      <c r="AY102" s="269"/>
      <c r="AZ102" s="269"/>
      <c r="BA102" s="269"/>
      <c r="BB102" s="269"/>
      <c r="BC102" s="269"/>
      <c r="BD102" s="270"/>
      <c r="BE102" s="268"/>
      <c r="BF102" s="269"/>
      <c r="BG102" s="269"/>
      <c r="BH102" s="269"/>
      <c r="BI102" s="269"/>
      <c r="BJ102" s="269"/>
      <c r="BK102" s="270"/>
      <c r="BL102" s="268"/>
      <c r="BM102" s="269"/>
      <c r="BN102" s="269"/>
      <c r="BO102" s="269"/>
      <c r="BP102" s="269"/>
      <c r="BQ102" s="269"/>
      <c r="BR102" s="270"/>
    </row>
    <row r="103" spans="1:70" s="72" customFormat="1" ht="12.75" hidden="1" customHeight="1" x14ac:dyDescent="0.35">
      <c r="A103" s="102"/>
      <c r="B103" s="271"/>
      <c r="C103" s="580" t="s">
        <v>137</v>
      </c>
      <c r="D103" s="474"/>
      <c r="E103" s="474"/>
      <c r="F103" s="474"/>
      <c r="G103" s="272"/>
      <c r="H103" s="203">
        <f>H2</f>
        <v>2012</v>
      </c>
      <c r="I103" s="273"/>
      <c r="N103" s="274"/>
      <c r="O103" s="203">
        <f>O2</f>
        <v>2013</v>
      </c>
      <c r="P103" s="273"/>
      <c r="U103" s="274"/>
      <c r="V103" s="203">
        <f>V2</f>
        <v>2014</v>
      </c>
      <c r="W103" s="273"/>
      <c r="AB103" s="274"/>
      <c r="AC103" s="203">
        <f>AC2</f>
        <v>2015</v>
      </c>
      <c r="AD103" s="273"/>
      <c r="AI103" s="274"/>
      <c r="AJ103" s="203">
        <f>AJ2</f>
        <v>2016</v>
      </c>
      <c r="AK103" s="273"/>
      <c r="AP103" s="274"/>
      <c r="AQ103" s="203">
        <f>AQ2</f>
        <v>2017</v>
      </c>
      <c r="AR103" s="273"/>
      <c r="AW103" s="274"/>
      <c r="AX103" s="203">
        <f>AX2</f>
        <v>2018</v>
      </c>
      <c r="AY103" s="273"/>
      <c r="BD103" s="274"/>
      <c r="BE103" s="203">
        <f>BE2</f>
        <v>2019</v>
      </c>
      <c r="BF103" s="273"/>
      <c r="BK103" s="274"/>
      <c r="BL103" s="203">
        <f>BL2</f>
        <v>2020</v>
      </c>
      <c r="BM103" s="273"/>
      <c r="BR103" s="274"/>
    </row>
    <row r="104" spans="1:70" s="71" customFormat="1" hidden="1" x14ac:dyDescent="0.35">
      <c r="A104" s="72"/>
      <c r="B104" s="275"/>
      <c r="C104" s="496" t="s">
        <v>692</v>
      </c>
      <c r="D104" s="72"/>
      <c r="E104" s="72"/>
      <c r="F104" s="72"/>
      <c r="G104" s="272">
        <v>2</v>
      </c>
      <c r="H104" s="497" t="s">
        <v>693</v>
      </c>
      <c r="I104" s="498" t="s">
        <v>694</v>
      </c>
      <c r="J104" s="496" t="s">
        <v>692</v>
      </c>
      <c r="K104" s="72"/>
      <c r="L104" s="72"/>
      <c r="M104" s="72"/>
      <c r="N104" s="274"/>
      <c r="O104" s="497" t="s">
        <v>693</v>
      </c>
      <c r="P104" s="498" t="s">
        <v>694</v>
      </c>
      <c r="Q104" s="496" t="s">
        <v>692</v>
      </c>
      <c r="R104" s="72"/>
      <c r="S104" s="72"/>
      <c r="T104" s="72"/>
      <c r="U104" s="274"/>
      <c r="V104" s="497" t="s">
        <v>693</v>
      </c>
      <c r="W104" s="498" t="s">
        <v>694</v>
      </c>
      <c r="X104" s="496" t="s">
        <v>692</v>
      </c>
      <c r="Y104" s="72"/>
      <c r="Z104" s="72"/>
      <c r="AA104" s="72"/>
      <c r="AB104" s="274"/>
      <c r="AC104" s="497" t="s">
        <v>693</v>
      </c>
      <c r="AD104" s="498" t="s">
        <v>694</v>
      </c>
      <c r="AE104" s="496" t="s">
        <v>692</v>
      </c>
      <c r="AF104" s="72"/>
      <c r="AG104" s="72"/>
      <c r="AH104" s="72"/>
      <c r="AI104" s="274"/>
      <c r="AJ104" s="497" t="s">
        <v>693</v>
      </c>
      <c r="AK104" s="498" t="s">
        <v>694</v>
      </c>
      <c r="AL104" s="496" t="s">
        <v>692</v>
      </c>
      <c r="AM104" s="72"/>
      <c r="AN104" s="72"/>
      <c r="AO104" s="72"/>
      <c r="AP104" s="274"/>
      <c r="AQ104" s="497" t="s">
        <v>693</v>
      </c>
      <c r="AR104" s="498" t="s">
        <v>694</v>
      </c>
      <c r="AS104" s="496" t="s">
        <v>692</v>
      </c>
      <c r="AT104" s="72"/>
      <c r="AU104" s="72"/>
      <c r="AV104" s="72"/>
      <c r="AW104" s="274"/>
      <c r="AX104" s="497" t="s">
        <v>693</v>
      </c>
      <c r="AY104" s="498" t="s">
        <v>694</v>
      </c>
      <c r="AZ104" s="496" t="s">
        <v>692</v>
      </c>
      <c r="BA104" s="72"/>
      <c r="BB104" s="72"/>
      <c r="BC104" s="72"/>
      <c r="BD104" s="274"/>
      <c r="BE104" s="497" t="s">
        <v>693</v>
      </c>
      <c r="BF104" s="498" t="s">
        <v>694</v>
      </c>
      <c r="BG104" s="496" t="s">
        <v>692</v>
      </c>
      <c r="BH104" s="72"/>
      <c r="BI104" s="72"/>
      <c r="BJ104" s="72"/>
      <c r="BK104" s="274"/>
      <c r="BL104" s="497" t="s">
        <v>693</v>
      </c>
      <c r="BM104" s="498" t="s">
        <v>694</v>
      </c>
      <c r="BN104" s="496" t="s">
        <v>692</v>
      </c>
      <c r="BO104" s="72"/>
      <c r="BP104" s="72"/>
      <c r="BQ104" s="72"/>
      <c r="BR104" s="274"/>
    </row>
    <row r="105" spans="1:70" s="71" customFormat="1" hidden="1" x14ac:dyDescent="0.35">
      <c r="A105" s="72"/>
      <c r="B105" s="275"/>
      <c r="C105" s="276" t="s">
        <v>695</v>
      </c>
      <c r="D105" s="72"/>
      <c r="E105" s="72"/>
      <c r="F105" s="72"/>
      <c r="G105" s="272">
        <v>3</v>
      </c>
      <c r="H105" s="119">
        <f>K27</f>
        <v>29633</v>
      </c>
      <c r="I105" s="277">
        <f>SUM(I106:I108)</f>
        <v>1</v>
      </c>
      <c r="J105" s="276" t="s">
        <v>695</v>
      </c>
      <c r="K105" s="72"/>
      <c r="L105" s="72"/>
      <c r="M105" s="72"/>
      <c r="N105" s="274"/>
      <c r="O105" s="119">
        <f>R27</f>
        <v>30226</v>
      </c>
      <c r="P105" s="277">
        <f>SUM(P106:P108)</f>
        <v>1</v>
      </c>
      <c r="Q105" s="276" t="s">
        <v>695</v>
      </c>
      <c r="R105" s="72"/>
      <c r="S105" s="72"/>
      <c r="T105" s="72"/>
      <c r="U105" s="274"/>
      <c r="V105" s="119">
        <f>Y27</f>
        <v>30830</v>
      </c>
      <c r="W105" s="277">
        <f>SUM(W106:W108)</f>
        <v>0.99999999999999989</v>
      </c>
      <c r="X105" s="276" t="s">
        <v>695</v>
      </c>
      <c r="Y105" s="72"/>
      <c r="Z105" s="72"/>
      <c r="AA105" s="72"/>
      <c r="AB105" s="274"/>
      <c r="AC105" s="119">
        <f>AF27</f>
        <v>31447</v>
      </c>
      <c r="AD105" s="277">
        <f>SUM(AD106:AD108)</f>
        <v>1</v>
      </c>
      <c r="AE105" s="276" t="s">
        <v>695</v>
      </c>
      <c r="AF105" s="72"/>
      <c r="AG105" s="72"/>
      <c r="AH105" s="72"/>
      <c r="AI105" s="274"/>
      <c r="AJ105" s="119">
        <f>AM27</f>
        <v>32359</v>
      </c>
      <c r="AK105" s="277">
        <f>SUM(AK106:AK108)</f>
        <v>0.99999999999999989</v>
      </c>
      <c r="AL105" s="276" t="s">
        <v>695</v>
      </c>
      <c r="AM105" s="72"/>
      <c r="AN105" s="72"/>
      <c r="AO105" s="72"/>
      <c r="AP105" s="274"/>
      <c r="AQ105" s="119">
        <f>AT27</f>
        <v>33007</v>
      </c>
      <c r="AR105" s="277">
        <f>SUM(AR106:AR108)</f>
        <v>0.99999999999999989</v>
      </c>
      <c r="AS105" s="276" t="s">
        <v>695</v>
      </c>
      <c r="AT105" s="72"/>
      <c r="AU105" s="72"/>
      <c r="AV105" s="72"/>
      <c r="AW105" s="274"/>
      <c r="AX105" s="119">
        <f>BA27</f>
        <v>33666</v>
      </c>
      <c r="AY105" s="277">
        <f>SUM(AY106:AY108)</f>
        <v>1</v>
      </c>
      <c r="AZ105" s="276" t="s">
        <v>695</v>
      </c>
      <c r="BA105" s="72"/>
      <c r="BB105" s="72"/>
      <c r="BC105" s="72"/>
      <c r="BD105" s="274"/>
      <c r="BE105" s="119">
        <f>BH27</f>
        <v>34341</v>
      </c>
      <c r="BF105" s="277">
        <f>SUM(BF106:BF108)</f>
        <v>1</v>
      </c>
      <c r="BG105" s="276" t="s">
        <v>695</v>
      </c>
      <c r="BH105" s="72"/>
      <c r="BI105" s="72"/>
      <c r="BJ105" s="72"/>
      <c r="BK105" s="274"/>
      <c r="BL105" s="119">
        <f>BO27</f>
        <v>35028</v>
      </c>
      <c r="BM105" s="277">
        <f>SUM(BM106:BM108)</f>
        <v>0.99999999999999989</v>
      </c>
      <c r="BN105" s="276" t="s">
        <v>695</v>
      </c>
      <c r="BO105" s="72"/>
      <c r="BP105" s="72"/>
      <c r="BQ105" s="72"/>
      <c r="BR105" s="274"/>
    </row>
    <row r="106" spans="1:70" s="71" customFormat="1" hidden="1" x14ac:dyDescent="0.35">
      <c r="A106" s="72"/>
      <c r="B106" s="275"/>
      <c r="C106" s="276" t="s">
        <v>696</v>
      </c>
      <c r="D106" s="72"/>
      <c r="E106" s="72"/>
      <c r="F106" s="72"/>
      <c r="G106" s="272">
        <v>4</v>
      </c>
      <c r="H106" s="119">
        <f>L27</f>
        <v>28965.3</v>
      </c>
      <c r="I106" s="277">
        <f>IF(H105&lt;&gt;0,H106/H105)</f>
        <v>0.97746768805048423</v>
      </c>
      <c r="J106" s="276" t="s">
        <v>696</v>
      </c>
      <c r="K106" s="72"/>
      <c r="L106" s="72"/>
      <c r="M106" s="72"/>
      <c r="N106" s="274"/>
      <c r="O106" s="119">
        <f>S27</f>
        <v>29544.9</v>
      </c>
      <c r="P106" s="277">
        <f>IF(O105&lt;&gt;0,O106/O105)</f>
        <v>0.97746641963872172</v>
      </c>
      <c r="Q106" s="276" t="s">
        <v>696</v>
      </c>
      <c r="R106" s="72"/>
      <c r="S106" s="72"/>
      <c r="T106" s="72"/>
      <c r="U106" s="274"/>
      <c r="V106" s="119">
        <f>Z27</f>
        <v>30135.3</v>
      </c>
      <c r="W106" s="277">
        <f>IF(V105&lt;&gt;0,V106/V105)</f>
        <v>0.97746675316250398</v>
      </c>
      <c r="X106" s="276" t="s">
        <v>696</v>
      </c>
      <c r="Y106" s="72"/>
      <c r="Z106" s="72"/>
      <c r="AA106" s="72"/>
      <c r="AB106" s="274"/>
      <c r="AC106" s="119">
        <f>AG27</f>
        <v>30738.400000000001</v>
      </c>
      <c r="AD106" s="277">
        <f>IF(AC105&lt;&gt;0,AC106/AC105)</f>
        <v>0.97746684898400493</v>
      </c>
      <c r="AE106" s="276" t="s">
        <v>696</v>
      </c>
      <c r="AF106" s="72"/>
      <c r="AG106" s="72"/>
      <c r="AH106" s="72"/>
      <c r="AI106" s="274"/>
      <c r="AJ106" s="119">
        <f>AN27</f>
        <v>31636.3</v>
      </c>
      <c r="AK106" s="277">
        <f>IF(AJ105&lt;&gt;0,AJ106/AJ105)</f>
        <v>0.97766618251491078</v>
      </c>
      <c r="AL106" s="276" t="s">
        <v>696</v>
      </c>
      <c r="AM106" s="72"/>
      <c r="AN106" s="72"/>
      <c r="AO106" s="72"/>
      <c r="AP106" s="274"/>
      <c r="AQ106" s="119">
        <f>AU27</f>
        <v>32269.8</v>
      </c>
      <c r="AR106" s="277">
        <f>IF(AQ105&lt;&gt;0,AQ106/AQ105)</f>
        <v>0.97766534371496949</v>
      </c>
      <c r="AS106" s="276" t="s">
        <v>696</v>
      </c>
      <c r="AT106" s="72"/>
      <c r="AU106" s="72"/>
      <c r="AV106" s="72"/>
      <c r="AW106" s="274"/>
      <c r="AX106" s="119">
        <f>BB27</f>
        <v>32914.1</v>
      </c>
      <c r="AY106" s="277">
        <f>IF(AX105&lt;&gt;0,AX106/AX105)</f>
        <v>0.97766589437414597</v>
      </c>
      <c r="AZ106" s="276" t="s">
        <v>696</v>
      </c>
      <c r="BA106" s="72"/>
      <c r="BB106" s="72"/>
      <c r="BC106" s="72"/>
      <c r="BD106" s="274"/>
      <c r="BE106" s="119">
        <f>BI27</f>
        <v>33574</v>
      </c>
      <c r="BF106" s="277">
        <f>IF(BE105&lt;&gt;0,BE106/BE105)</f>
        <v>0.97766518156139892</v>
      </c>
      <c r="BG106" s="276" t="s">
        <v>696</v>
      </c>
      <c r="BH106" s="72"/>
      <c r="BI106" s="72"/>
      <c r="BJ106" s="72"/>
      <c r="BK106" s="274"/>
      <c r="BL106" s="119">
        <f>BP27</f>
        <v>34245.699999999997</v>
      </c>
      <c r="BM106" s="277">
        <f>IF(BL105&lt;&gt;0,BL106/BL105)</f>
        <v>0.97766643827794897</v>
      </c>
      <c r="BN106" s="276" t="s">
        <v>696</v>
      </c>
      <c r="BO106" s="72"/>
      <c r="BP106" s="72"/>
      <c r="BQ106" s="72"/>
      <c r="BR106" s="274"/>
    </row>
    <row r="107" spans="1:70" s="71" customFormat="1" hidden="1" x14ac:dyDescent="0.35">
      <c r="A107" s="72"/>
      <c r="B107" s="275"/>
      <c r="C107" s="276" t="s">
        <v>697</v>
      </c>
      <c r="D107" s="72"/>
      <c r="E107" s="72"/>
      <c r="F107" s="72"/>
      <c r="G107" s="272">
        <v>5</v>
      </c>
      <c r="H107" s="119">
        <f>M27</f>
        <v>667.7</v>
      </c>
      <c r="I107" s="277">
        <f>IF(H105&lt;&gt;0,H107/H105)</f>
        <v>2.2532311949515743E-2</v>
      </c>
      <c r="J107" s="276" t="s">
        <v>697</v>
      </c>
      <c r="K107" s="72"/>
      <c r="L107" s="72"/>
      <c r="M107" s="72"/>
      <c r="N107" s="274"/>
      <c r="O107" s="119">
        <f>T27</f>
        <v>681.1</v>
      </c>
      <c r="P107" s="277">
        <f>IF(O105&lt;&gt;0,O107/O105)</f>
        <v>2.2533580361278369E-2</v>
      </c>
      <c r="Q107" s="276" t="s">
        <v>697</v>
      </c>
      <c r="R107" s="72"/>
      <c r="S107" s="72"/>
      <c r="T107" s="72"/>
      <c r="U107" s="274"/>
      <c r="V107" s="119">
        <f>AA27</f>
        <v>694.7</v>
      </c>
      <c r="W107" s="277">
        <f>IF(V105&lt;&gt;0,V107/V105)</f>
        <v>2.2533246837495947E-2</v>
      </c>
      <c r="X107" s="276" t="s">
        <v>697</v>
      </c>
      <c r="Y107" s="72"/>
      <c r="Z107" s="72"/>
      <c r="AA107" s="72"/>
      <c r="AB107" s="274"/>
      <c r="AC107" s="119">
        <f>AH27</f>
        <v>708.6</v>
      </c>
      <c r="AD107" s="277">
        <f>IF(AC105&lt;&gt;0,AC107/AC105)</f>
        <v>2.2533151015995168E-2</v>
      </c>
      <c r="AE107" s="276" t="s">
        <v>697</v>
      </c>
      <c r="AF107" s="72"/>
      <c r="AG107" s="72"/>
      <c r="AH107" s="72"/>
      <c r="AI107" s="274"/>
      <c r="AJ107" s="119">
        <f>AO27</f>
        <v>722.7</v>
      </c>
      <c r="AK107" s="277">
        <f>IF(AJ105&lt;&gt;0,AJ107/AJ105)</f>
        <v>2.2333817485089159E-2</v>
      </c>
      <c r="AL107" s="276" t="s">
        <v>697</v>
      </c>
      <c r="AM107" s="72"/>
      <c r="AN107" s="72"/>
      <c r="AO107" s="72"/>
      <c r="AP107" s="274"/>
      <c r="AQ107" s="119">
        <f>AV27</f>
        <v>737.2</v>
      </c>
      <c r="AR107" s="277">
        <f>IF(AQ105&lt;&gt;0,AQ107/AQ105)</f>
        <v>2.2334656285030449E-2</v>
      </c>
      <c r="AS107" s="276" t="s">
        <v>697</v>
      </c>
      <c r="AT107" s="72"/>
      <c r="AU107" s="72"/>
      <c r="AV107" s="72"/>
      <c r="AW107" s="274"/>
      <c r="AX107" s="119">
        <f>BC27</f>
        <v>751.9</v>
      </c>
      <c r="AY107" s="277">
        <f>IF(AX105&lt;&gt;0,AX107/AX105)</f>
        <v>2.2334105625853976E-2</v>
      </c>
      <c r="AZ107" s="276" t="s">
        <v>697</v>
      </c>
      <c r="BA107" s="72"/>
      <c r="BB107" s="72"/>
      <c r="BC107" s="72"/>
      <c r="BD107" s="274"/>
      <c r="BE107" s="119">
        <f>BJ27</f>
        <v>767</v>
      </c>
      <c r="BF107" s="277">
        <f>IF(BE105&lt;&gt;0,BE107/BE105)</f>
        <v>2.2334818438601089E-2</v>
      </c>
      <c r="BG107" s="276" t="s">
        <v>697</v>
      </c>
      <c r="BH107" s="72"/>
      <c r="BI107" s="72"/>
      <c r="BJ107" s="72"/>
      <c r="BK107" s="274"/>
      <c r="BL107" s="119">
        <f>BQ27</f>
        <v>782.3</v>
      </c>
      <c r="BM107" s="277">
        <f>IF(BL105&lt;&gt;0,BL107/BL105)</f>
        <v>2.2333561722050928E-2</v>
      </c>
      <c r="BN107" s="276" t="s">
        <v>697</v>
      </c>
      <c r="BO107" s="72"/>
      <c r="BP107" s="72"/>
      <c r="BQ107" s="72"/>
      <c r="BR107" s="274"/>
    </row>
    <row r="108" spans="1:70" s="71" customFormat="1" hidden="1" x14ac:dyDescent="0.35">
      <c r="A108" s="72"/>
      <c r="B108" s="275"/>
      <c r="C108" s="276" t="s">
        <v>698</v>
      </c>
      <c r="D108" s="72"/>
      <c r="E108" s="72"/>
      <c r="F108" s="72"/>
      <c r="G108" s="272">
        <v>6</v>
      </c>
      <c r="H108" s="119">
        <f>N27</f>
        <v>0</v>
      </c>
      <c r="I108" s="277">
        <f>IF(H105&lt;&gt;0,H108/H105)</f>
        <v>0</v>
      </c>
      <c r="J108" s="276" t="s">
        <v>698</v>
      </c>
      <c r="K108" s="72"/>
      <c r="L108" s="72"/>
      <c r="M108" s="72"/>
      <c r="N108" s="274"/>
      <c r="O108" s="119">
        <f>U27</f>
        <v>0</v>
      </c>
      <c r="P108" s="277">
        <f>IF(O105&lt;&gt;0,O108/O105)</f>
        <v>0</v>
      </c>
      <c r="Q108" s="276" t="s">
        <v>698</v>
      </c>
      <c r="R108" s="72"/>
      <c r="S108" s="72"/>
      <c r="T108" s="72"/>
      <c r="U108" s="274"/>
      <c r="V108" s="119">
        <f>AB27</f>
        <v>0</v>
      </c>
      <c r="W108" s="277">
        <f>IF(V105&lt;&gt;0,V108/V105)</f>
        <v>0</v>
      </c>
      <c r="X108" s="276" t="s">
        <v>698</v>
      </c>
      <c r="Y108" s="72"/>
      <c r="Z108" s="72"/>
      <c r="AA108" s="72"/>
      <c r="AB108" s="274"/>
      <c r="AC108" s="119">
        <f>AI27</f>
        <v>0</v>
      </c>
      <c r="AD108" s="277">
        <f>IF(AC105&lt;&gt;0,AC108/AC105)</f>
        <v>0</v>
      </c>
      <c r="AE108" s="276" t="s">
        <v>698</v>
      </c>
      <c r="AF108" s="72"/>
      <c r="AG108" s="72"/>
      <c r="AH108" s="72"/>
      <c r="AI108" s="274"/>
      <c r="AJ108" s="119">
        <f>AP27</f>
        <v>0</v>
      </c>
      <c r="AK108" s="277">
        <f>IF(AJ105&lt;&gt;0,AJ108/AJ105)</f>
        <v>0</v>
      </c>
      <c r="AL108" s="276" t="s">
        <v>698</v>
      </c>
      <c r="AM108" s="72"/>
      <c r="AN108" s="72"/>
      <c r="AO108" s="72"/>
      <c r="AP108" s="274"/>
      <c r="AQ108" s="119">
        <f>AW27</f>
        <v>0</v>
      </c>
      <c r="AR108" s="277">
        <f>IF(AQ105&lt;&gt;0,AQ108/AQ105)</f>
        <v>0</v>
      </c>
      <c r="AS108" s="276" t="s">
        <v>698</v>
      </c>
      <c r="AT108" s="72"/>
      <c r="AU108" s="72"/>
      <c r="AV108" s="72"/>
      <c r="AW108" s="274"/>
      <c r="AX108" s="119">
        <f>BD27</f>
        <v>0</v>
      </c>
      <c r="AY108" s="277">
        <f>IF(AX105&lt;&gt;0,AX108/AX105)</f>
        <v>0</v>
      </c>
      <c r="AZ108" s="276" t="s">
        <v>698</v>
      </c>
      <c r="BA108" s="72"/>
      <c r="BB108" s="72"/>
      <c r="BC108" s="72"/>
      <c r="BD108" s="274"/>
      <c r="BE108" s="119">
        <f>BK27</f>
        <v>0</v>
      </c>
      <c r="BF108" s="277">
        <f>IF(BE105&lt;&gt;0,BE108/BE105)</f>
        <v>0</v>
      </c>
      <c r="BG108" s="276" t="s">
        <v>698</v>
      </c>
      <c r="BH108" s="72"/>
      <c r="BI108" s="72"/>
      <c r="BJ108" s="72"/>
      <c r="BK108" s="274"/>
      <c r="BL108" s="119">
        <f>BR27</f>
        <v>0</v>
      </c>
      <c r="BM108" s="277">
        <f>IF(BL105&lt;&gt;0,BL108/BL105)</f>
        <v>0</v>
      </c>
      <c r="BN108" s="276" t="s">
        <v>698</v>
      </c>
      <c r="BO108" s="72"/>
      <c r="BP108" s="72"/>
      <c r="BQ108" s="72"/>
      <c r="BR108" s="274"/>
    </row>
    <row r="109" spans="1:70" s="71" customFormat="1" hidden="1" x14ac:dyDescent="0.35">
      <c r="A109" s="72"/>
      <c r="B109" s="275"/>
      <c r="C109" s="496" t="s">
        <v>625</v>
      </c>
      <c r="D109" s="72"/>
      <c r="E109" s="72"/>
      <c r="F109" s="72"/>
      <c r="G109" s="272">
        <v>7</v>
      </c>
      <c r="H109" s="119"/>
      <c r="I109" s="277"/>
      <c r="J109" s="496" t="s">
        <v>625</v>
      </c>
      <c r="K109" s="72"/>
      <c r="L109" s="72"/>
      <c r="M109" s="72"/>
      <c r="N109" s="274"/>
      <c r="O109" s="119"/>
      <c r="P109" s="277"/>
      <c r="Q109" s="496" t="s">
        <v>625</v>
      </c>
      <c r="R109" s="72"/>
      <c r="S109" s="72"/>
      <c r="T109" s="72"/>
      <c r="U109" s="274"/>
      <c r="V109" s="119"/>
      <c r="W109" s="277"/>
      <c r="X109" s="496" t="s">
        <v>625</v>
      </c>
      <c r="Y109" s="72"/>
      <c r="Z109" s="72"/>
      <c r="AA109" s="72"/>
      <c r="AB109" s="274"/>
      <c r="AC109" s="119"/>
      <c r="AD109" s="277"/>
      <c r="AE109" s="496" t="s">
        <v>625</v>
      </c>
      <c r="AF109" s="72"/>
      <c r="AG109" s="72"/>
      <c r="AH109" s="72"/>
      <c r="AI109" s="274"/>
      <c r="AJ109" s="119"/>
      <c r="AK109" s="277"/>
      <c r="AL109" s="496" t="s">
        <v>625</v>
      </c>
      <c r="AM109" s="72"/>
      <c r="AN109" s="72"/>
      <c r="AO109" s="72"/>
      <c r="AP109" s="274"/>
      <c r="AQ109" s="119"/>
      <c r="AR109" s="277"/>
      <c r="AS109" s="496" t="s">
        <v>625</v>
      </c>
      <c r="AT109" s="72"/>
      <c r="AU109" s="72"/>
      <c r="AV109" s="72"/>
      <c r="AW109" s="274"/>
      <c r="AX109" s="119"/>
      <c r="AY109" s="277"/>
      <c r="AZ109" s="496" t="s">
        <v>625</v>
      </c>
      <c r="BA109" s="72"/>
      <c r="BB109" s="72"/>
      <c r="BC109" s="72"/>
      <c r="BD109" s="274"/>
      <c r="BE109" s="119"/>
      <c r="BF109" s="277"/>
      <c r="BG109" s="496" t="s">
        <v>625</v>
      </c>
      <c r="BH109" s="72"/>
      <c r="BI109" s="72"/>
      <c r="BJ109" s="72"/>
      <c r="BK109" s="274"/>
      <c r="BL109" s="119"/>
      <c r="BM109" s="277"/>
      <c r="BN109" s="496" t="s">
        <v>625</v>
      </c>
      <c r="BO109" s="72"/>
      <c r="BP109" s="72"/>
      <c r="BQ109" s="72"/>
      <c r="BR109" s="274"/>
    </row>
    <row r="110" spans="1:70" s="71" customFormat="1" hidden="1" x14ac:dyDescent="0.35">
      <c r="A110" s="72"/>
      <c r="B110" s="275"/>
      <c r="C110" s="499" t="s">
        <v>699</v>
      </c>
      <c r="D110" s="72"/>
      <c r="E110" s="72"/>
      <c r="F110" s="72"/>
      <c r="G110" s="272">
        <v>8</v>
      </c>
      <c r="H110" s="119">
        <f>K101</f>
        <v>715117</v>
      </c>
      <c r="I110" s="277">
        <f>SUM(I111:I113)</f>
        <v>1</v>
      </c>
      <c r="J110" s="499" t="s">
        <v>699</v>
      </c>
      <c r="K110" s="72"/>
      <c r="L110" s="72"/>
      <c r="M110" s="72"/>
      <c r="N110" s="274"/>
      <c r="O110" s="119">
        <f>R101</f>
        <v>736178</v>
      </c>
      <c r="P110" s="277">
        <f>SUM(P111:P113)</f>
        <v>1</v>
      </c>
      <c r="Q110" s="499" t="s">
        <v>699</v>
      </c>
      <c r="R110" s="72"/>
      <c r="S110" s="72"/>
      <c r="T110" s="72"/>
      <c r="U110" s="274"/>
      <c r="V110" s="119">
        <f>Y101</f>
        <v>755677</v>
      </c>
      <c r="W110" s="277">
        <f>SUM(W111:W113)</f>
        <v>1.000000013233167</v>
      </c>
      <c r="X110" s="499" t="s">
        <v>699</v>
      </c>
      <c r="Y110" s="72"/>
      <c r="Z110" s="72"/>
      <c r="AA110" s="72"/>
      <c r="AB110" s="274"/>
      <c r="AC110" s="119">
        <f>AF101</f>
        <v>782595</v>
      </c>
      <c r="AD110" s="277">
        <f>SUM(AD111:AD113)</f>
        <v>1.0000000127780015</v>
      </c>
      <c r="AE110" s="499" t="s">
        <v>699</v>
      </c>
      <c r="AF110" s="72"/>
      <c r="AG110" s="72"/>
      <c r="AH110" s="72"/>
      <c r="AI110" s="274"/>
      <c r="AJ110" s="119">
        <f>AM101</f>
        <v>846550</v>
      </c>
      <c r="AK110" s="277">
        <f>SUM(AK111:AK113)</f>
        <v>1.0000000118126513</v>
      </c>
      <c r="AL110" s="499" t="s">
        <v>699</v>
      </c>
      <c r="AM110" s="72"/>
      <c r="AN110" s="72"/>
      <c r="AO110" s="72"/>
      <c r="AP110" s="274"/>
      <c r="AQ110" s="119">
        <f>AT101</f>
        <v>978479</v>
      </c>
      <c r="AR110" s="277">
        <f>SUM(AR111:AR113)</f>
        <v>1.0000000102199436</v>
      </c>
      <c r="AS110" s="499" t="s">
        <v>699</v>
      </c>
      <c r="AT110" s="72"/>
      <c r="AU110" s="72"/>
      <c r="AV110" s="72"/>
      <c r="AW110" s="274"/>
      <c r="AX110" s="119">
        <f>BA101</f>
        <v>998043</v>
      </c>
      <c r="AY110" s="277">
        <f>SUM(AY111:AY113)</f>
        <v>1</v>
      </c>
      <c r="AZ110" s="499" t="s">
        <v>699</v>
      </c>
      <c r="BA110" s="72"/>
      <c r="BB110" s="72"/>
      <c r="BC110" s="72"/>
      <c r="BD110" s="274"/>
      <c r="BE110" s="119">
        <f>BH101</f>
        <v>1018003</v>
      </c>
      <c r="BF110" s="277">
        <f>SUM(BF111:BF113)</f>
        <v>0.99999999999999978</v>
      </c>
      <c r="BG110" s="499" t="s">
        <v>699</v>
      </c>
      <c r="BH110" s="72"/>
      <c r="BI110" s="72"/>
      <c r="BJ110" s="72"/>
      <c r="BK110" s="274"/>
      <c r="BL110" s="119">
        <f>BO101</f>
        <v>1038368</v>
      </c>
      <c r="BM110" s="277">
        <f>SUM(BM111:BM113)</f>
        <v>1</v>
      </c>
      <c r="BN110" s="499" t="s">
        <v>699</v>
      </c>
      <c r="BO110" s="72"/>
      <c r="BP110" s="72"/>
      <c r="BQ110" s="72"/>
      <c r="BR110" s="274"/>
    </row>
    <row r="111" spans="1:70" s="71" customFormat="1" hidden="1" x14ac:dyDescent="0.35">
      <c r="A111" s="72"/>
      <c r="B111" s="275"/>
      <c r="C111" s="276" t="s">
        <v>696</v>
      </c>
      <c r="D111" s="72"/>
      <c r="E111" s="72"/>
      <c r="F111" s="72"/>
      <c r="G111" s="272">
        <v>9</v>
      </c>
      <c r="H111" s="119">
        <f>L101</f>
        <v>565247.80000000005</v>
      </c>
      <c r="I111" s="277">
        <f>IF(H110&lt;&gt;0,H111/H110)</f>
        <v>0.79042702103292195</v>
      </c>
      <c r="J111" s="276" t="s">
        <v>696</v>
      </c>
      <c r="K111" s="72"/>
      <c r="L111" s="72"/>
      <c r="M111" s="72"/>
      <c r="N111" s="274"/>
      <c r="O111" s="119">
        <f>S101</f>
        <v>578321.4</v>
      </c>
      <c r="P111" s="277">
        <f>IF(O110&lt;&gt;0,O111/O110)</f>
        <v>0.78557278266940878</v>
      </c>
      <c r="Q111" s="276" t="s">
        <v>696</v>
      </c>
      <c r="R111" s="72"/>
      <c r="S111" s="72"/>
      <c r="T111" s="72"/>
      <c r="U111" s="274"/>
      <c r="V111" s="119">
        <f>Z101</f>
        <v>594674.94999999995</v>
      </c>
      <c r="W111" s="277">
        <f>IF(V110&lt;&gt;0,V111/V110)</f>
        <v>0.7869432972023761</v>
      </c>
      <c r="X111" s="276" t="s">
        <v>696</v>
      </c>
      <c r="Y111" s="72"/>
      <c r="Z111" s="72"/>
      <c r="AA111" s="72"/>
      <c r="AB111" s="274"/>
      <c r="AC111" s="119">
        <f>AG101</f>
        <v>618381.65</v>
      </c>
      <c r="AD111" s="277">
        <f>IF(AC110&lt;&gt;0,AC111/AC110)</f>
        <v>0.79016815849832933</v>
      </c>
      <c r="AE111" s="276" t="s">
        <v>696</v>
      </c>
      <c r="AF111" s="72"/>
      <c r="AG111" s="72"/>
      <c r="AH111" s="72"/>
      <c r="AI111" s="274"/>
      <c r="AJ111" s="119">
        <f>AN101</f>
        <v>664060.55000000005</v>
      </c>
      <c r="AK111" s="277">
        <f>IF(AJ110&lt;&gt;0,AJ111/AJ110)</f>
        <v>0.78443157521705753</v>
      </c>
      <c r="AL111" s="276" t="s">
        <v>696</v>
      </c>
      <c r="AM111" s="72"/>
      <c r="AN111" s="72"/>
      <c r="AO111" s="72"/>
      <c r="AP111" s="274"/>
      <c r="AQ111" s="119">
        <f>AU101</f>
        <v>780841.15</v>
      </c>
      <c r="AR111" s="277">
        <f>IF(AQ110&lt;&gt;0,AQ111/AQ110)</f>
        <v>0.79801523589162371</v>
      </c>
      <c r="AS111" s="276" t="s">
        <v>696</v>
      </c>
      <c r="AT111" s="72"/>
      <c r="AU111" s="72"/>
      <c r="AV111" s="72"/>
      <c r="AW111" s="274"/>
      <c r="AX111" s="119">
        <f>BB101</f>
        <v>796454.6</v>
      </c>
      <c r="AY111" s="277">
        <f>IF(AX110&lt;&gt;0,AX111/AX110)</f>
        <v>0.79801631793419725</v>
      </c>
      <c r="AZ111" s="276" t="s">
        <v>696</v>
      </c>
      <c r="BA111" s="72"/>
      <c r="BB111" s="72"/>
      <c r="BC111" s="72"/>
      <c r="BD111" s="274"/>
      <c r="BE111" s="119">
        <f>BI101</f>
        <v>812383.7</v>
      </c>
      <c r="BF111" s="277">
        <f>IF(BE110&lt;&gt;0,BE111/BE110)</f>
        <v>0.79801699994990183</v>
      </c>
      <c r="BG111" s="276" t="s">
        <v>696</v>
      </c>
      <c r="BH111" s="72"/>
      <c r="BI111" s="72"/>
      <c r="BJ111" s="72"/>
      <c r="BK111" s="274"/>
      <c r="BL111" s="119">
        <f>BP101</f>
        <v>828632.8</v>
      </c>
      <c r="BM111" s="277">
        <f>IF(BL110&lt;&gt;0,BL111/BL110)</f>
        <v>0.798014576720392</v>
      </c>
      <c r="BN111" s="276" t="s">
        <v>696</v>
      </c>
      <c r="BO111" s="72"/>
      <c r="BP111" s="72"/>
      <c r="BQ111" s="72"/>
      <c r="BR111" s="274"/>
    </row>
    <row r="112" spans="1:70" s="71" customFormat="1" hidden="1" x14ac:dyDescent="0.35">
      <c r="A112" s="72"/>
      <c r="B112" s="275"/>
      <c r="C112" s="276" t="s">
        <v>697</v>
      </c>
      <c r="D112" s="72"/>
      <c r="E112" s="72"/>
      <c r="F112" s="72"/>
      <c r="G112" s="272">
        <v>10</v>
      </c>
      <c r="H112" s="119">
        <f>M101</f>
        <v>74934.600000000006</v>
      </c>
      <c r="I112" s="277">
        <f>IF(H110&lt;&gt;0,H112/H110)</f>
        <v>0.10478648948353907</v>
      </c>
      <c r="J112" s="276" t="s">
        <v>697</v>
      </c>
      <c r="K112" s="72"/>
      <c r="L112" s="72"/>
      <c r="M112" s="72"/>
      <c r="N112" s="274"/>
      <c r="O112" s="119">
        <f>T101</f>
        <v>78928.3</v>
      </c>
      <c r="P112" s="277">
        <f>IF(O110&lt;&gt;0,O112/O110)</f>
        <v>0.10721360866529563</v>
      </c>
      <c r="Q112" s="276" t="s">
        <v>697</v>
      </c>
      <c r="R112" s="72"/>
      <c r="S112" s="72"/>
      <c r="T112" s="72"/>
      <c r="U112" s="274"/>
      <c r="V112" s="119">
        <f>AA101</f>
        <v>80501.03</v>
      </c>
      <c r="W112" s="277">
        <f>IF(V110&lt;&gt;0,V112/V110)</f>
        <v>0.10652835801539547</v>
      </c>
      <c r="X112" s="276" t="s">
        <v>697</v>
      </c>
      <c r="Y112" s="72"/>
      <c r="Z112" s="72"/>
      <c r="AA112" s="72"/>
      <c r="AB112" s="274"/>
      <c r="AC112" s="119">
        <f>AH101</f>
        <v>82106.679999999993</v>
      </c>
      <c r="AD112" s="277">
        <f>IF(AC110&lt;&gt;0,AC112/AC110)</f>
        <v>0.10491592713983605</v>
      </c>
      <c r="AE112" s="276" t="s">
        <v>697</v>
      </c>
      <c r="AF112" s="72"/>
      <c r="AG112" s="72"/>
      <c r="AH112" s="72"/>
      <c r="AI112" s="274"/>
      <c r="AJ112" s="119">
        <f>AO101</f>
        <v>91244.73</v>
      </c>
      <c r="AK112" s="277">
        <f>IF(AJ110&lt;&gt;0,AJ112/AJ110)</f>
        <v>0.10778421829779694</v>
      </c>
      <c r="AL112" s="276" t="s">
        <v>697</v>
      </c>
      <c r="AM112" s="72"/>
      <c r="AN112" s="72"/>
      <c r="AO112" s="72"/>
      <c r="AP112" s="274"/>
      <c r="AQ112" s="119">
        <f>AV101</f>
        <v>98818.93</v>
      </c>
      <c r="AR112" s="277">
        <f>IF(AQ110&lt;&gt;0,AQ112/AQ110)</f>
        <v>0.10099238716415988</v>
      </c>
      <c r="AS112" s="276" t="s">
        <v>697</v>
      </c>
      <c r="AT112" s="72"/>
      <c r="AU112" s="72"/>
      <c r="AV112" s="72"/>
      <c r="AW112" s="274"/>
      <c r="AX112" s="119">
        <f>BC101</f>
        <v>100794.2</v>
      </c>
      <c r="AY112" s="277">
        <f>IF(AX110&lt;&gt;0,AX112/AX110)</f>
        <v>0.10099184103290139</v>
      </c>
      <c r="AZ112" s="276" t="s">
        <v>697</v>
      </c>
      <c r="BA112" s="72"/>
      <c r="BB112" s="72"/>
      <c r="BC112" s="72"/>
      <c r="BD112" s="274"/>
      <c r="BE112" s="119">
        <f>BJ101</f>
        <v>102809.65</v>
      </c>
      <c r="BF112" s="277">
        <f>IF(BE110&lt;&gt;0,BE112/BE110)</f>
        <v>0.10099150002504903</v>
      </c>
      <c r="BG112" s="276" t="s">
        <v>697</v>
      </c>
      <c r="BH112" s="72"/>
      <c r="BI112" s="72"/>
      <c r="BJ112" s="72"/>
      <c r="BK112" s="274"/>
      <c r="BL112" s="119">
        <f>BQ101</f>
        <v>104867.6</v>
      </c>
      <c r="BM112" s="277">
        <f>IF(BL110&lt;&gt;0,BL112/BL110)</f>
        <v>0.100992711639804</v>
      </c>
      <c r="BN112" s="276" t="s">
        <v>697</v>
      </c>
      <c r="BO112" s="72"/>
      <c r="BP112" s="72"/>
      <c r="BQ112" s="72"/>
      <c r="BR112" s="274"/>
    </row>
    <row r="113" spans="1:70" s="71" customFormat="1" hidden="1" x14ac:dyDescent="0.35">
      <c r="A113" s="72"/>
      <c r="B113" s="275"/>
      <c r="C113" s="276" t="s">
        <v>698</v>
      </c>
      <c r="D113" s="72"/>
      <c r="E113" s="72"/>
      <c r="F113" s="72"/>
      <c r="G113" s="272">
        <v>11</v>
      </c>
      <c r="H113" s="119">
        <f>N101</f>
        <v>74934.600000000006</v>
      </c>
      <c r="I113" s="277">
        <f>IF(H110&lt;&gt;0,H113/H110)</f>
        <v>0.10478648948353907</v>
      </c>
      <c r="J113" s="276" t="s">
        <v>698</v>
      </c>
      <c r="K113" s="72"/>
      <c r="L113" s="72"/>
      <c r="M113" s="72"/>
      <c r="N113" s="274"/>
      <c r="O113" s="119">
        <f>U101</f>
        <v>78928.3</v>
      </c>
      <c r="P113" s="277">
        <f>IF(O110&lt;&gt;0,O113/O110)</f>
        <v>0.10721360866529563</v>
      </c>
      <c r="Q113" s="276" t="s">
        <v>698</v>
      </c>
      <c r="R113" s="72"/>
      <c r="S113" s="72"/>
      <c r="T113" s="72"/>
      <c r="U113" s="274"/>
      <c r="V113" s="119">
        <f>AB101</f>
        <v>80501.03</v>
      </c>
      <c r="W113" s="277">
        <f>IF(V110&lt;&gt;0,V113/V110)</f>
        <v>0.10652835801539547</v>
      </c>
      <c r="X113" s="276" t="s">
        <v>698</v>
      </c>
      <c r="Y113" s="72"/>
      <c r="Z113" s="72"/>
      <c r="AA113" s="72"/>
      <c r="AB113" s="274"/>
      <c r="AC113" s="119">
        <f>AI101</f>
        <v>82106.679999999993</v>
      </c>
      <c r="AD113" s="277">
        <f>IF(AC110&lt;&gt;0,AC113/AC110)</f>
        <v>0.10491592713983605</v>
      </c>
      <c r="AE113" s="276" t="s">
        <v>698</v>
      </c>
      <c r="AF113" s="72"/>
      <c r="AG113" s="72"/>
      <c r="AH113" s="72"/>
      <c r="AI113" s="274"/>
      <c r="AJ113" s="119">
        <f>AP101</f>
        <v>91244.73</v>
      </c>
      <c r="AK113" s="277">
        <f>IF(AJ110&lt;&gt;0,AJ113/AJ110)</f>
        <v>0.10778421829779694</v>
      </c>
      <c r="AL113" s="276" t="s">
        <v>698</v>
      </c>
      <c r="AM113" s="72"/>
      <c r="AN113" s="72"/>
      <c r="AO113" s="72"/>
      <c r="AP113" s="274"/>
      <c r="AQ113" s="119">
        <f>AW101</f>
        <v>98818.93</v>
      </c>
      <c r="AR113" s="277">
        <f>IF(AQ110&lt;&gt;0,AQ113/AQ110)</f>
        <v>0.10099238716415988</v>
      </c>
      <c r="AS113" s="276" t="s">
        <v>698</v>
      </c>
      <c r="AT113" s="72"/>
      <c r="AU113" s="72"/>
      <c r="AV113" s="72"/>
      <c r="AW113" s="274"/>
      <c r="AX113" s="119">
        <f>BD101</f>
        <v>100794.2</v>
      </c>
      <c r="AY113" s="277">
        <f>IF(AX110&lt;&gt;0,AX113/AX110)</f>
        <v>0.10099184103290139</v>
      </c>
      <c r="AZ113" s="276" t="s">
        <v>698</v>
      </c>
      <c r="BA113" s="72"/>
      <c r="BB113" s="72"/>
      <c r="BC113" s="72"/>
      <c r="BD113" s="274"/>
      <c r="BE113" s="119">
        <f>BK101</f>
        <v>102809.65</v>
      </c>
      <c r="BF113" s="277">
        <f>IF(BE110&lt;&gt;0,BE113/BE110)</f>
        <v>0.10099150002504903</v>
      </c>
      <c r="BG113" s="276" t="s">
        <v>698</v>
      </c>
      <c r="BH113" s="72"/>
      <c r="BI113" s="72"/>
      <c r="BJ113" s="72"/>
      <c r="BK113" s="274"/>
      <c r="BL113" s="119">
        <f>BR101</f>
        <v>104867.6</v>
      </c>
      <c r="BM113" s="277">
        <f>IF(BL110&lt;&gt;0,BL113/BL110)</f>
        <v>0.100992711639804</v>
      </c>
      <c r="BN113" s="276" t="s">
        <v>698</v>
      </c>
      <c r="BO113" s="72"/>
      <c r="BP113" s="72"/>
      <c r="BQ113" s="72"/>
      <c r="BR113" s="274"/>
    </row>
    <row r="114" spans="1:70" s="71" customFormat="1" ht="15.5" hidden="1" x14ac:dyDescent="0.35">
      <c r="A114" s="72"/>
      <c r="B114" s="275"/>
      <c r="C114" s="582" t="str">
        <f>"Zwischen Zeile "&amp;ROW(103:103)&amp;" und Zeile "&amp;ROW(114:114)&amp;" weder eine Zeile einfügen noch löschen!!!"</f>
        <v>Zwischen Zeile 103 und Zeile 114 weder eine Zeile einfügen noch löschen!!!</v>
      </c>
      <c r="D114" s="72"/>
      <c r="E114" s="72"/>
      <c r="F114" s="72"/>
      <c r="G114" s="272">
        <v>12</v>
      </c>
      <c r="H114" s="119"/>
      <c r="I114" s="277"/>
      <c r="J114" s="276"/>
      <c r="K114" s="72"/>
      <c r="L114" s="72"/>
      <c r="M114" s="72"/>
      <c r="N114" s="274"/>
      <c r="O114" s="119"/>
      <c r="P114" s="277"/>
      <c r="Q114" s="276"/>
      <c r="R114" s="72"/>
      <c r="S114" s="72"/>
      <c r="T114" s="72"/>
      <c r="U114" s="274"/>
      <c r="V114" s="119"/>
      <c r="W114" s="277"/>
      <c r="X114" s="276"/>
      <c r="Y114" s="72"/>
      <c r="Z114" s="72"/>
      <c r="AA114" s="72"/>
      <c r="AB114" s="274"/>
      <c r="AC114" s="119"/>
      <c r="AD114" s="277"/>
      <c r="AE114" s="276"/>
      <c r="AF114" s="72"/>
      <c r="AG114" s="72"/>
      <c r="AH114" s="72"/>
      <c r="AI114" s="274"/>
      <c r="AJ114" s="119"/>
      <c r="AK114" s="277"/>
      <c r="AL114" s="276"/>
      <c r="AM114" s="72"/>
      <c r="AN114" s="72"/>
      <c r="AO114" s="72"/>
      <c r="AP114" s="274"/>
      <c r="AQ114" s="119"/>
      <c r="AR114" s="277"/>
      <c r="AS114" s="276"/>
      <c r="AT114" s="72"/>
      <c r="AU114" s="72"/>
      <c r="AV114" s="72"/>
      <c r="AW114" s="274"/>
      <c r="AX114" s="119"/>
      <c r="AY114" s="277"/>
      <c r="AZ114" s="276"/>
      <c r="BA114" s="72"/>
      <c r="BB114" s="72"/>
      <c r="BC114" s="72"/>
      <c r="BD114" s="274"/>
      <c r="BE114" s="119"/>
      <c r="BF114" s="277"/>
      <c r="BG114" s="276"/>
      <c r="BH114" s="72"/>
      <c r="BI114" s="72"/>
      <c r="BJ114" s="72"/>
      <c r="BK114" s="274"/>
      <c r="BL114" s="119"/>
      <c r="BM114" s="277"/>
      <c r="BN114" s="276"/>
      <c r="BO114" s="72"/>
      <c r="BP114" s="72"/>
      <c r="BQ114" s="72"/>
      <c r="BR114" s="274"/>
    </row>
  </sheetData>
  <sheetProtection sheet="1" objects="1" scenarios="1"/>
  <mergeCells count="90">
    <mergeCell ref="P29:U29"/>
    <mergeCell ref="W29:AB29"/>
    <mergeCell ref="AD29:AI29"/>
    <mergeCell ref="AK29:AP29"/>
    <mergeCell ref="AR29:AW29"/>
    <mergeCell ref="AY29:BD29"/>
    <mergeCell ref="BF29:BK29"/>
    <mergeCell ref="BM29:BR29"/>
    <mergeCell ref="BH5:BH6"/>
    <mergeCell ref="BI5:BK5"/>
    <mergeCell ref="BL5:BL6"/>
    <mergeCell ref="BM5:BM6"/>
    <mergeCell ref="BN5:BN6"/>
    <mergeCell ref="BA5:BA6"/>
    <mergeCell ref="BB5:BD5"/>
    <mergeCell ref="BE5:BE6"/>
    <mergeCell ref="BF5:BF6"/>
    <mergeCell ref="BG5:BG6"/>
    <mergeCell ref="BO5:BO6"/>
    <mergeCell ref="BE4:BK4"/>
    <mergeCell ref="BL4:BR4"/>
    <mergeCell ref="AZ5:AZ6"/>
    <mergeCell ref="BP5:BR5"/>
    <mergeCell ref="AX5:AX6"/>
    <mergeCell ref="AY5:AY6"/>
    <mergeCell ref="AX4:BD4"/>
    <mergeCell ref="O4:U4"/>
    <mergeCell ref="V4:AB4"/>
    <mergeCell ref="AC4:AI4"/>
    <mergeCell ref="O5:O6"/>
    <mergeCell ref="P5:P6"/>
    <mergeCell ref="Q5:Q6"/>
    <mergeCell ref="R5:R6"/>
    <mergeCell ref="S5:U5"/>
    <mergeCell ref="V5:V6"/>
    <mergeCell ref="W5:W6"/>
    <mergeCell ref="X5:X6"/>
    <mergeCell ref="Y5:Y6"/>
    <mergeCell ref="AJ4:AP4"/>
    <mergeCell ref="AQ4:AW4"/>
    <mergeCell ref="AM5:AM6"/>
    <mergeCell ref="AN5:AP5"/>
    <mergeCell ref="AR5:AR6"/>
    <mergeCell ref="AS5:AS6"/>
    <mergeCell ref="AT5:AT6"/>
    <mergeCell ref="AU5:AW5"/>
    <mergeCell ref="AQ5:AQ6"/>
    <mergeCell ref="AK5:AK6"/>
    <mergeCell ref="AL5:AL6"/>
    <mergeCell ref="K5:K6"/>
    <mergeCell ref="L5:N5"/>
    <mergeCell ref="AJ5:AJ6"/>
    <mergeCell ref="Z5:AB5"/>
    <mergeCell ref="AC5:AC6"/>
    <mergeCell ref="AD5:AD6"/>
    <mergeCell ref="AE5:AE6"/>
    <mergeCell ref="AF5:AF6"/>
    <mergeCell ref="AG5:AI5"/>
    <mergeCell ref="BF2:BK2"/>
    <mergeCell ref="BM2:BR2"/>
    <mergeCell ref="O3:U3"/>
    <mergeCell ref="V3:AB3"/>
    <mergeCell ref="AC3:AI3"/>
    <mergeCell ref="AJ3:AP3"/>
    <mergeCell ref="AQ3:AW3"/>
    <mergeCell ref="AX3:BD3"/>
    <mergeCell ref="BE3:BK3"/>
    <mergeCell ref="BL3:BR3"/>
    <mergeCell ref="P2:U2"/>
    <mergeCell ref="W2:AB2"/>
    <mergeCell ref="AD2:AI2"/>
    <mergeCell ref="AK2:AP2"/>
    <mergeCell ref="AY2:BD2"/>
    <mergeCell ref="AR2:AW2"/>
    <mergeCell ref="C29:G29"/>
    <mergeCell ref="I29:N29"/>
    <mergeCell ref="C7:G7"/>
    <mergeCell ref="A1:G1"/>
    <mergeCell ref="A2:G2"/>
    <mergeCell ref="I2:N2"/>
    <mergeCell ref="A3:A6"/>
    <mergeCell ref="B3:B6"/>
    <mergeCell ref="C3:C6"/>
    <mergeCell ref="D3:D6"/>
    <mergeCell ref="E3:G5"/>
    <mergeCell ref="H3:N3"/>
    <mergeCell ref="H4:N4"/>
    <mergeCell ref="H5:H6"/>
    <mergeCell ref="I5:I6"/>
    <mergeCell ref="J5:J6"/>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D465"/>
  <sheetViews>
    <sheetView zoomScaleNormal="100" workbookViewId="0">
      <pane ySplit="4" topLeftCell="A464" activePane="bottomLeft" state="frozen"/>
      <selection pane="bottomLeft" activeCell="A464" sqref="A464:XFD465"/>
    </sheetView>
  </sheetViews>
  <sheetFormatPr baseColWidth="10" defaultRowHeight="14.5" x14ac:dyDescent="0.35"/>
  <cols>
    <col min="1" max="1" width="6.81640625" customWidth="1"/>
    <col min="2" max="2" width="35.26953125" customWidth="1"/>
    <col min="3" max="3" width="21.7265625" customWidth="1"/>
    <col min="4" max="4" width="9.1796875" customWidth="1"/>
    <col min="5" max="5" width="13.81640625" customWidth="1"/>
    <col min="6" max="6" width="13.453125" customWidth="1"/>
    <col min="7" max="8" width="7.7265625" customWidth="1"/>
    <col min="9" max="9" width="5.7265625" customWidth="1"/>
    <col min="10" max="10" width="8.26953125" customWidth="1"/>
    <col min="13" max="17" width="13.1796875" customWidth="1"/>
    <col min="18" max="18" width="13.1796875" style="610" customWidth="1"/>
    <col min="19" max="19" width="13.1796875" hidden="1" customWidth="1"/>
    <col min="20" max="20" width="13.1796875" customWidth="1"/>
    <col min="21" max="21" width="13.1796875" hidden="1" customWidth="1"/>
    <col min="22" max="22" width="13.1796875" customWidth="1"/>
    <col min="23" max="23" width="13.1796875" hidden="1" customWidth="1"/>
    <col min="24" max="24" width="13.1796875" customWidth="1"/>
    <col min="25" max="25" width="13.1796875" hidden="1" customWidth="1"/>
    <col min="26" max="26" width="13.1796875" customWidth="1"/>
    <col min="27" max="27" width="13.1796875" hidden="1" customWidth="1"/>
    <col min="28" max="30" width="13.1796875" customWidth="1"/>
    <col min="31" max="31" width="13.1796875" style="610" customWidth="1"/>
    <col min="32" max="32" width="13.1796875" hidden="1" customWidth="1"/>
    <col min="33" max="33" width="13.1796875" customWidth="1"/>
    <col min="34" max="34" width="13.1796875" hidden="1" customWidth="1"/>
    <col min="35" max="35" width="13.1796875" customWidth="1"/>
    <col min="36" max="36" width="13.1796875" hidden="1" customWidth="1"/>
    <col min="37" max="37" width="13.1796875" customWidth="1"/>
    <col min="38" max="38" width="13.1796875" hidden="1" customWidth="1"/>
    <col min="39" max="39" width="13.1796875" customWidth="1"/>
    <col min="40" max="40" width="13.1796875" hidden="1" customWidth="1"/>
    <col min="41" max="43" width="13.1796875" customWidth="1"/>
    <col min="44" max="44" width="13.1796875" style="610" customWidth="1"/>
    <col min="45" max="45" width="13.1796875" hidden="1" customWidth="1"/>
    <col min="46" max="46" width="13.1796875" customWidth="1"/>
    <col min="47" max="47" width="13.1796875" hidden="1" customWidth="1"/>
    <col min="48" max="48" width="13.1796875" customWidth="1"/>
    <col min="49" max="49" width="13.1796875" hidden="1" customWidth="1"/>
    <col min="50" max="50" width="13.1796875" customWidth="1"/>
    <col min="51" max="51" width="13.1796875" hidden="1" customWidth="1"/>
    <col min="52" max="52" width="13.1796875" customWidth="1"/>
    <col min="53" max="53" width="13.1796875" hidden="1" customWidth="1"/>
    <col min="54" max="56" width="13.1796875" customWidth="1"/>
    <col min="57" max="57" width="13.1796875" style="610" customWidth="1"/>
    <col min="58" max="58" width="13.1796875" hidden="1" customWidth="1"/>
    <col min="59" max="59" width="13.1796875" customWidth="1"/>
    <col min="60" max="60" width="13.1796875" hidden="1" customWidth="1"/>
    <col min="61" max="61" width="13.1796875" customWidth="1"/>
    <col min="62" max="62" width="13.1796875" hidden="1" customWidth="1"/>
    <col min="63" max="63" width="13.1796875" customWidth="1"/>
    <col min="64" max="64" width="13.1796875" hidden="1" customWidth="1"/>
    <col min="65" max="65" width="13.1796875" customWidth="1"/>
    <col min="66" max="66" width="13.1796875" hidden="1" customWidth="1"/>
    <col min="67" max="69" width="13.1796875" customWidth="1"/>
    <col min="70" max="70" width="13.1796875" style="610" customWidth="1"/>
    <col min="71" max="71" width="13.1796875" hidden="1" customWidth="1"/>
    <col min="72" max="72" width="13.1796875" customWidth="1"/>
    <col min="73" max="73" width="13.1796875" hidden="1" customWidth="1"/>
    <col min="74" max="74" width="13.1796875" customWidth="1"/>
    <col min="75" max="75" width="13.1796875" hidden="1" customWidth="1"/>
    <col min="76" max="76" width="13.1796875" customWidth="1"/>
    <col min="77" max="77" width="13.1796875" hidden="1" customWidth="1"/>
    <col min="78" max="78" width="13.1796875" customWidth="1"/>
    <col min="79" max="79" width="13.1796875" hidden="1" customWidth="1"/>
    <col min="80" max="82" width="13.1796875" customWidth="1"/>
    <col min="83" max="83" width="13.1796875" style="610" customWidth="1"/>
    <col min="84" max="84" width="13.1796875" hidden="1" customWidth="1"/>
    <col min="85" max="85" width="13.1796875" customWidth="1"/>
    <col min="86" max="86" width="13.1796875" hidden="1" customWidth="1"/>
    <col min="87" max="87" width="13.1796875" customWidth="1"/>
    <col min="88" max="88" width="13.1796875" hidden="1" customWidth="1"/>
    <col min="89" max="89" width="13.1796875" customWidth="1"/>
    <col min="90" max="90" width="13.1796875" hidden="1" customWidth="1"/>
    <col min="91" max="91" width="13.1796875" customWidth="1"/>
    <col min="92" max="92" width="13.1796875" hidden="1" customWidth="1"/>
    <col min="93" max="95" width="13.1796875" customWidth="1"/>
    <col min="96" max="96" width="13.1796875" style="610" customWidth="1"/>
    <col min="97" max="97" width="13.1796875" hidden="1" customWidth="1"/>
    <col min="98" max="98" width="13.1796875" customWidth="1"/>
    <col min="99" max="99" width="13.1796875" hidden="1" customWidth="1"/>
    <col min="100" max="100" width="13.1796875" customWidth="1"/>
    <col min="101" max="101" width="13.1796875" hidden="1" customWidth="1"/>
    <col min="102" max="102" width="13.1796875" customWidth="1"/>
    <col min="103" max="103" width="13.1796875" hidden="1" customWidth="1"/>
    <col min="104" max="104" width="13.1796875" customWidth="1"/>
    <col min="105" max="105" width="13.1796875" hidden="1" customWidth="1"/>
    <col min="106" max="108" width="13.1796875" customWidth="1"/>
    <col min="109" max="109" width="13.1796875" style="610" customWidth="1"/>
    <col min="110" max="110" width="13.1796875" hidden="1" customWidth="1"/>
    <col min="111" max="111" width="13.1796875" customWidth="1"/>
    <col min="112" max="112" width="13.1796875" hidden="1" customWidth="1"/>
    <col min="113" max="113" width="13.1796875" customWidth="1"/>
    <col min="114" max="114" width="13.1796875" hidden="1" customWidth="1"/>
    <col min="115" max="115" width="13.1796875" customWidth="1"/>
    <col min="116" max="116" width="13.1796875" hidden="1" customWidth="1"/>
    <col min="117" max="117" width="13.1796875" customWidth="1"/>
    <col min="118" max="118" width="13.1796875" hidden="1" customWidth="1"/>
    <col min="119" max="121" width="13.1796875" customWidth="1"/>
    <col min="122" max="122" width="13.1796875" style="610" customWidth="1"/>
    <col min="123" max="123" width="13.1796875" hidden="1" customWidth="1"/>
    <col min="124" max="124" width="13.1796875" customWidth="1"/>
    <col min="125" max="125" width="13.1796875" hidden="1" customWidth="1"/>
    <col min="126" max="126" width="13.1796875" customWidth="1"/>
    <col min="127" max="127" width="13.1796875" hidden="1" customWidth="1"/>
    <col min="128" max="128" width="13.1796875" customWidth="1"/>
    <col min="129" max="129" width="13.1796875" hidden="1" customWidth="1"/>
    <col min="130" max="130" width="13.1796875" customWidth="1"/>
    <col min="131" max="131" width="13.1796875" hidden="1" customWidth="1"/>
    <col min="132" max="134" width="13.1796875" customWidth="1"/>
  </cols>
  <sheetData>
    <row r="1" spans="1:134" ht="27.75" customHeight="1" x14ac:dyDescent="0.35">
      <c r="A1" s="972" t="str">
        <f>Grunddaten!A1 &amp; "   " &amp; Grunddaten!A2</f>
        <v>Gemeinde A   Abwasserbeseitigungseinrichtung</v>
      </c>
      <c r="B1" s="972"/>
      <c r="C1" s="972"/>
      <c r="D1" s="972"/>
      <c r="E1" s="972"/>
      <c r="F1" s="972"/>
      <c r="G1" s="972"/>
      <c r="H1" s="972"/>
      <c r="I1" s="972"/>
      <c r="J1" s="973"/>
      <c r="K1" s="974" t="s">
        <v>138</v>
      </c>
      <c r="L1" s="975"/>
      <c r="M1" s="976" t="s">
        <v>139</v>
      </c>
      <c r="N1" s="977"/>
      <c r="O1" s="977"/>
      <c r="P1" s="977"/>
      <c r="Q1" s="978"/>
      <c r="R1" s="958" t="str">
        <f>"Berechnungen für das Jahr "&amp;X4</f>
        <v>Berechnungen für das Jahr 2012</v>
      </c>
      <c r="S1" s="959"/>
      <c r="T1" s="959"/>
      <c r="U1" s="959"/>
      <c r="V1" s="959"/>
      <c r="W1" s="959"/>
      <c r="X1" s="959"/>
      <c r="Y1" s="959"/>
      <c r="Z1" s="959"/>
      <c r="AA1" s="959"/>
      <c r="AB1" s="959"/>
      <c r="AC1" s="959"/>
      <c r="AD1" s="959"/>
      <c r="AE1" s="958" t="str">
        <f>"Berechnungen für das Jahr "&amp;AK4</f>
        <v>Berechnungen für das Jahr 2013</v>
      </c>
      <c r="AF1" s="959"/>
      <c r="AG1" s="959"/>
      <c r="AH1" s="959"/>
      <c r="AI1" s="959"/>
      <c r="AJ1" s="959"/>
      <c r="AK1" s="959"/>
      <c r="AL1" s="959"/>
      <c r="AM1" s="959"/>
      <c r="AN1" s="959"/>
      <c r="AO1" s="959"/>
      <c r="AP1" s="959"/>
      <c r="AQ1" s="959"/>
      <c r="AR1" s="958" t="str">
        <f>"Berechnungen für das Jahr "&amp;AX4</f>
        <v>Berechnungen für das Jahr 2014</v>
      </c>
      <c r="AS1" s="959"/>
      <c r="AT1" s="959"/>
      <c r="AU1" s="959"/>
      <c r="AV1" s="959"/>
      <c r="AW1" s="959"/>
      <c r="AX1" s="959"/>
      <c r="AY1" s="959"/>
      <c r="AZ1" s="959"/>
      <c r="BA1" s="959"/>
      <c r="BB1" s="959"/>
      <c r="BC1" s="959"/>
      <c r="BD1" s="959"/>
      <c r="BE1" s="958" t="str">
        <f>"Berechnungen für das Jahr "&amp;BK4</f>
        <v>Berechnungen für das Jahr 2015</v>
      </c>
      <c r="BF1" s="959"/>
      <c r="BG1" s="959"/>
      <c r="BH1" s="959"/>
      <c r="BI1" s="959"/>
      <c r="BJ1" s="959"/>
      <c r="BK1" s="959"/>
      <c r="BL1" s="959"/>
      <c r="BM1" s="959"/>
      <c r="BN1" s="959"/>
      <c r="BO1" s="959"/>
      <c r="BP1" s="959"/>
      <c r="BQ1" s="959"/>
      <c r="BR1" s="958" t="str">
        <f>"Berechnungen für das Jahr "&amp;BX4</f>
        <v>Berechnungen für das Jahr 2016</v>
      </c>
      <c r="BS1" s="959"/>
      <c r="BT1" s="959"/>
      <c r="BU1" s="959"/>
      <c r="BV1" s="959"/>
      <c r="BW1" s="959"/>
      <c r="BX1" s="959"/>
      <c r="BY1" s="959"/>
      <c r="BZ1" s="959"/>
      <c r="CA1" s="959"/>
      <c r="CB1" s="959"/>
      <c r="CC1" s="959"/>
      <c r="CD1" s="959"/>
      <c r="CE1" s="958" t="str">
        <f>"Berechnungen für das Jahr "&amp;CK4</f>
        <v>Berechnungen für das Jahr 2017</v>
      </c>
      <c r="CF1" s="959"/>
      <c r="CG1" s="959"/>
      <c r="CH1" s="959"/>
      <c r="CI1" s="959"/>
      <c r="CJ1" s="959"/>
      <c r="CK1" s="959"/>
      <c r="CL1" s="959"/>
      <c r="CM1" s="959"/>
      <c r="CN1" s="959"/>
      <c r="CO1" s="959"/>
      <c r="CP1" s="959"/>
      <c r="CQ1" s="959"/>
      <c r="CR1" s="958" t="str">
        <f>"Berechnungen für das Jahr "&amp;CX4</f>
        <v>Berechnungen für das Jahr 2018</v>
      </c>
      <c r="CS1" s="959"/>
      <c r="CT1" s="959"/>
      <c r="CU1" s="959"/>
      <c r="CV1" s="959"/>
      <c r="CW1" s="959"/>
      <c r="CX1" s="959"/>
      <c r="CY1" s="959"/>
      <c r="CZ1" s="959"/>
      <c r="DA1" s="959"/>
      <c r="DB1" s="959"/>
      <c r="DC1" s="959"/>
      <c r="DD1" s="959"/>
      <c r="DE1" s="958" t="str">
        <f>"Berechnungen für das Jahr "&amp;DK4</f>
        <v>Berechnungen für das Jahr 2019</v>
      </c>
      <c r="DF1" s="959"/>
      <c r="DG1" s="959"/>
      <c r="DH1" s="959"/>
      <c r="DI1" s="959"/>
      <c r="DJ1" s="959"/>
      <c r="DK1" s="959"/>
      <c r="DL1" s="959"/>
      <c r="DM1" s="959"/>
      <c r="DN1" s="959"/>
      <c r="DO1" s="959"/>
      <c r="DP1" s="959"/>
      <c r="DQ1" s="959"/>
      <c r="DR1" s="958" t="str">
        <f>"Berechnungen für das Jahr "&amp;DX4</f>
        <v>Berechnungen für das Jahr 2020</v>
      </c>
      <c r="DS1" s="959"/>
      <c r="DT1" s="959"/>
      <c r="DU1" s="959"/>
      <c r="DV1" s="959"/>
      <c r="DW1" s="959"/>
      <c r="DX1" s="959"/>
      <c r="DY1" s="959"/>
      <c r="DZ1" s="959"/>
      <c r="EA1" s="959"/>
      <c r="EB1" s="959"/>
      <c r="EC1" s="959"/>
      <c r="ED1" s="959"/>
    </row>
    <row r="2" spans="1:134" ht="45" customHeight="1" x14ac:dyDescent="0.35">
      <c r="A2" s="979" t="s">
        <v>544</v>
      </c>
      <c r="B2" s="979"/>
      <c r="C2" s="979"/>
      <c r="D2" s="979"/>
      <c r="E2" s="979"/>
      <c r="F2" s="979"/>
      <c r="G2" s="979"/>
      <c r="H2" s="979"/>
      <c r="I2" s="979"/>
      <c r="J2" s="980"/>
      <c r="K2" s="981" t="s">
        <v>140</v>
      </c>
      <c r="L2" s="983" t="s">
        <v>141</v>
      </c>
      <c r="M2" s="985" t="s">
        <v>159</v>
      </c>
      <c r="N2" s="34"/>
      <c r="O2" s="987" t="s">
        <v>161</v>
      </c>
      <c r="P2" s="35"/>
      <c r="Q2" s="970" t="s">
        <v>142</v>
      </c>
      <c r="R2" s="960" t="s">
        <v>143</v>
      </c>
      <c r="S2" s="961"/>
      <c r="T2" s="961"/>
      <c r="U2" s="961"/>
      <c r="V2" s="961"/>
      <c r="W2" s="961"/>
      <c r="X2" s="961"/>
      <c r="Y2" s="961"/>
      <c r="Z2" s="961"/>
      <c r="AA2" s="961"/>
      <c r="AB2" s="962"/>
      <c r="AC2" s="963" t="s">
        <v>144</v>
      </c>
      <c r="AD2" s="962"/>
      <c r="AE2" s="960" t="s">
        <v>143</v>
      </c>
      <c r="AF2" s="961"/>
      <c r="AG2" s="961"/>
      <c r="AH2" s="961"/>
      <c r="AI2" s="961"/>
      <c r="AJ2" s="961"/>
      <c r="AK2" s="961"/>
      <c r="AL2" s="961"/>
      <c r="AM2" s="961"/>
      <c r="AN2" s="961"/>
      <c r="AO2" s="962"/>
      <c r="AP2" s="963" t="s">
        <v>144</v>
      </c>
      <c r="AQ2" s="962"/>
      <c r="AR2" s="960" t="s">
        <v>143</v>
      </c>
      <c r="AS2" s="961"/>
      <c r="AT2" s="961"/>
      <c r="AU2" s="961"/>
      <c r="AV2" s="961"/>
      <c r="AW2" s="961"/>
      <c r="AX2" s="961"/>
      <c r="AY2" s="961"/>
      <c r="AZ2" s="961"/>
      <c r="BA2" s="961"/>
      <c r="BB2" s="962"/>
      <c r="BC2" s="963" t="s">
        <v>144</v>
      </c>
      <c r="BD2" s="962"/>
      <c r="BE2" s="960" t="s">
        <v>143</v>
      </c>
      <c r="BF2" s="961"/>
      <c r="BG2" s="961"/>
      <c r="BH2" s="961"/>
      <c r="BI2" s="961"/>
      <c r="BJ2" s="961"/>
      <c r="BK2" s="961"/>
      <c r="BL2" s="961"/>
      <c r="BM2" s="961"/>
      <c r="BN2" s="961"/>
      <c r="BO2" s="962"/>
      <c r="BP2" s="963" t="s">
        <v>144</v>
      </c>
      <c r="BQ2" s="962"/>
      <c r="BR2" s="960" t="s">
        <v>143</v>
      </c>
      <c r="BS2" s="961"/>
      <c r="BT2" s="961"/>
      <c r="BU2" s="961"/>
      <c r="BV2" s="961"/>
      <c r="BW2" s="961"/>
      <c r="BX2" s="961"/>
      <c r="BY2" s="961"/>
      <c r="BZ2" s="961"/>
      <c r="CA2" s="961"/>
      <c r="CB2" s="962"/>
      <c r="CC2" s="963" t="s">
        <v>144</v>
      </c>
      <c r="CD2" s="962"/>
      <c r="CE2" s="960" t="s">
        <v>143</v>
      </c>
      <c r="CF2" s="961"/>
      <c r="CG2" s="961"/>
      <c r="CH2" s="961"/>
      <c r="CI2" s="961"/>
      <c r="CJ2" s="961"/>
      <c r="CK2" s="961"/>
      <c r="CL2" s="961"/>
      <c r="CM2" s="961"/>
      <c r="CN2" s="961"/>
      <c r="CO2" s="962"/>
      <c r="CP2" s="963" t="s">
        <v>144</v>
      </c>
      <c r="CQ2" s="962"/>
      <c r="CR2" s="960" t="s">
        <v>143</v>
      </c>
      <c r="CS2" s="961"/>
      <c r="CT2" s="961"/>
      <c r="CU2" s="961"/>
      <c r="CV2" s="961"/>
      <c r="CW2" s="961"/>
      <c r="CX2" s="961"/>
      <c r="CY2" s="961"/>
      <c r="CZ2" s="961"/>
      <c r="DA2" s="961"/>
      <c r="DB2" s="962"/>
      <c r="DC2" s="963" t="s">
        <v>144</v>
      </c>
      <c r="DD2" s="962"/>
      <c r="DE2" s="960" t="s">
        <v>143</v>
      </c>
      <c r="DF2" s="961"/>
      <c r="DG2" s="961"/>
      <c r="DH2" s="961"/>
      <c r="DI2" s="961"/>
      <c r="DJ2" s="961"/>
      <c r="DK2" s="961"/>
      <c r="DL2" s="961"/>
      <c r="DM2" s="961"/>
      <c r="DN2" s="961"/>
      <c r="DO2" s="962"/>
      <c r="DP2" s="963" t="s">
        <v>144</v>
      </c>
      <c r="DQ2" s="962"/>
      <c r="DR2" s="960" t="s">
        <v>143</v>
      </c>
      <c r="DS2" s="961"/>
      <c r="DT2" s="961"/>
      <c r="DU2" s="961"/>
      <c r="DV2" s="961"/>
      <c r="DW2" s="961"/>
      <c r="DX2" s="961"/>
      <c r="DY2" s="961"/>
      <c r="DZ2" s="961"/>
      <c r="EA2" s="961"/>
      <c r="EB2" s="962"/>
      <c r="EC2" s="963" t="s">
        <v>144</v>
      </c>
      <c r="ED2" s="962"/>
    </row>
    <row r="3" spans="1:134" ht="90" customHeight="1" x14ac:dyDescent="0.35">
      <c r="A3" s="964" t="s">
        <v>145</v>
      </c>
      <c r="B3" s="964" t="s">
        <v>146</v>
      </c>
      <c r="C3" s="964" t="s">
        <v>147</v>
      </c>
      <c r="D3" s="989" t="s">
        <v>148</v>
      </c>
      <c r="E3" s="964" t="s">
        <v>149</v>
      </c>
      <c r="F3" s="964" t="s">
        <v>167</v>
      </c>
      <c r="G3" s="598" t="s">
        <v>1098</v>
      </c>
      <c r="H3" s="598" t="s">
        <v>1099</v>
      </c>
      <c r="I3" s="966" t="s">
        <v>150</v>
      </c>
      <c r="J3" s="968" t="s">
        <v>1100</v>
      </c>
      <c r="K3" s="981"/>
      <c r="L3" s="983"/>
      <c r="M3" s="986"/>
      <c r="N3" s="35" t="s">
        <v>151</v>
      </c>
      <c r="O3" s="988"/>
      <c r="P3" s="35" t="s">
        <v>151</v>
      </c>
      <c r="Q3" s="971"/>
      <c r="R3" s="36" t="s">
        <v>152</v>
      </c>
      <c r="S3" s="37" t="s">
        <v>153</v>
      </c>
      <c r="T3" s="38" t="s">
        <v>154</v>
      </c>
      <c r="U3" s="37" t="s">
        <v>155</v>
      </c>
      <c r="V3" s="39" t="s">
        <v>142</v>
      </c>
      <c r="W3" s="40" t="s">
        <v>156</v>
      </c>
      <c r="X3" s="37" t="s">
        <v>157</v>
      </c>
      <c r="Y3" s="37" t="s">
        <v>158</v>
      </c>
      <c r="Z3" s="38" t="s">
        <v>159</v>
      </c>
      <c r="AA3" s="37" t="s">
        <v>160</v>
      </c>
      <c r="AB3" s="37" t="s">
        <v>161</v>
      </c>
      <c r="AC3" s="37" t="s">
        <v>162</v>
      </c>
      <c r="AD3" s="38" t="s">
        <v>163</v>
      </c>
      <c r="AE3" s="36" t="s">
        <v>152</v>
      </c>
      <c r="AF3" s="37" t="s">
        <v>153</v>
      </c>
      <c r="AG3" s="38" t="s">
        <v>154</v>
      </c>
      <c r="AH3" s="37" t="s">
        <v>155</v>
      </c>
      <c r="AI3" s="39" t="s">
        <v>142</v>
      </c>
      <c r="AJ3" s="40" t="s">
        <v>156</v>
      </c>
      <c r="AK3" s="37" t="s">
        <v>157</v>
      </c>
      <c r="AL3" s="37" t="s">
        <v>158</v>
      </c>
      <c r="AM3" s="38" t="s">
        <v>159</v>
      </c>
      <c r="AN3" s="37" t="s">
        <v>160</v>
      </c>
      <c r="AO3" s="37" t="s">
        <v>161</v>
      </c>
      <c r="AP3" s="37" t="s">
        <v>162</v>
      </c>
      <c r="AQ3" s="38" t="s">
        <v>163</v>
      </c>
      <c r="AR3" s="36" t="s">
        <v>152</v>
      </c>
      <c r="AS3" s="37" t="s">
        <v>153</v>
      </c>
      <c r="AT3" s="38" t="s">
        <v>154</v>
      </c>
      <c r="AU3" s="37" t="s">
        <v>155</v>
      </c>
      <c r="AV3" s="39" t="s">
        <v>142</v>
      </c>
      <c r="AW3" s="40" t="s">
        <v>156</v>
      </c>
      <c r="AX3" s="37" t="s">
        <v>157</v>
      </c>
      <c r="AY3" s="37" t="s">
        <v>158</v>
      </c>
      <c r="AZ3" s="38" t="s">
        <v>159</v>
      </c>
      <c r="BA3" s="37" t="s">
        <v>160</v>
      </c>
      <c r="BB3" s="37" t="s">
        <v>161</v>
      </c>
      <c r="BC3" s="37" t="s">
        <v>162</v>
      </c>
      <c r="BD3" s="38" t="s">
        <v>163</v>
      </c>
      <c r="BE3" s="36" t="s">
        <v>152</v>
      </c>
      <c r="BF3" s="37" t="s">
        <v>153</v>
      </c>
      <c r="BG3" s="38" t="s">
        <v>154</v>
      </c>
      <c r="BH3" s="37" t="s">
        <v>155</v>
      </c>
      <c r="BI3" s="39" t="s">
        <v>142</v>
      </c>
      <c r="BJ3" s="40" t="s">
        <v>156</v>
      </c>
      <c r="BK3" s="37" t="s">
        <v>157</v>
      </c>
      <c r="BL3" s="37" t="s">
        <v>158</v>
      </c>
      <c r="BM3" s="38" t="s">
        <v>159</v>
      </c>
      <c r="BN3" s="37" t="s">
        <v>160</v>
      </c>
      <c r="BO3" s="37" t="s">
        <v>161</v>
      </c>
      <c r="BP3" s="37" t="s">
        <v>162</v>
      </c>
      <c r="BQ3" s="38" t="s">
        <v>163</v>
      </c>
      <c r="BR3" s="36" t="s">
        <v>152</v>
      </c>
      <c r="BS3" s="37" t="s">
        <v>153</v>
      </c>
      <c r="BT3" s="38" t="s">
        <v>154</v>
      </c>
      <c r="BU3" s="37" t="s">
        <v>155</v>
      </c>
      <c r="BV3" s="39" t="s">
        <v>142</v>
      </c>
      <c r="BW3" s="40" t="s">
        <v>156</v>
      </c>
      <c r="BX3" s="37" t="s">
        <v>157</v>
      </c>
      <c r="BY3" s="37" t="s">
        <v>158</v>
      </c>
      <c r="BZ3" s="38" t="s">
        <v>159</v>
      </c>
      <c r="CA3" s="37" t="s">
        <v>160</v>
      </c>
      <c r="CB3" s="37" t="s">
        <v>161</v>
      </c>
      <c r="CC3" s="37" t="s">
        <v>162</v>
      </c>
      <c r="CD3" s="38" t="s">
        <v>163</v>
      </c>
      <c r="CE3" s="36" t="s">
        <v>152</v>
      </c>
      <c r="CF3" s="37" t="s">
        <v>153</v>
      </c>
      <c r="CG3" s="38" t="s">
        <v>154</v>
      </c>
      <c r="CH3" s="37" t="s">
        <v>155</v>
      </c>
      <c r="CI3" s="39" t="s">
        <v>142</v>
      </c>
      <c r="CJ3" s="40" t="s">
        <v>156</v>
      </c>
      <c r="CK3" s="37" t="s">
        <v>157</v>
      </c>
      <c r="CL3" s="37" t="s">
        <v>158</v>
      </c>
      <c r="CM3" s="38" t="s">
        <v>159</v>
      </c>
      <c r="CN3" s="37" t="s">
        <v>160</v>
      </c>
      <c r="CO3" s="37" t="s">
        <v>161</v>
      </c>
      <c r="CP3" s="37" t="s">
        <v>162</v>
      </c>
      <c r="CQ3" s="38" t="s">
        <v>163</v>
      </c>
      <c r="CR3" s="36" t="s">
        <v>152</v>
      </c>
      <c r="CS3" s="37" t="s">
        <v>153</v>
      </c>
      <c r="CT3" s="38" t="s">
        <v>154</v>
      </c>
      <c r="CU3" s="37" t="s">
        <v>155</v>
      </c>
      <c r="CV3" s="39" t="s">
        <v>142</v>
      </c>
      <c r="CW3" s="40" t="s">
        <v>156</v>
      </c>
      <c r="CX3" s="37" t="s">
        <v>157</v>
      </c>
      <c r="CY3" s="37" t="s">
        <v>158</v>
      </c>
      <c r="CZ3" s="38" t="s">
        <v>159</v>
      </c>
      <c r="DA3" s="37" t="s">
        <v>160</v>
      </c>
      <c r="DB3" s="37" t="s">
        <v>161</v>
      </c>
      <c r="DC3" s="37" t="s">
        <v>162</v>
      </c>
      <c r="DD3" s="38" t="s">
        <v>163</v>
      </c>
      <c r="DE3" s="36" t="s">
        <v>152</v>
      </c>
      <c r="DF3" s="37" t="s">
        <v>153</v>
      </c>
      <c r="DG3" s="38" t="s">
        <v>154</v>
      </c>
      <c r="DH3" s="37" t="s">
        <v>155</v>
      </c>
      <c r="DI3" s="39" t="s">
        <v>142</v>
      </c>
      <c r="DJ3" s="40" t="s">
        <v>156</v>
      </c>
      <c r="DK3" s="37" t="s">
        <v>157</v>
      </c>
      <c r="DL3" s="37" t="s">
        <v>158</v>
      </c>
      <c r="DM3" s="38" t="s">
        <v>159</v>
      </c>
      <c r="DN3" s="37" t="s">
        <v>160</v>
      </c>
      <c r="DO3" s="37" t="s">
        <v>161</v>
      </c>
      <c r="DP3" s="37" t="s">
        <v>162</v>
      </c>
      <c r="DQ3" s="38" t="s">
        <v>163</v>
      </c>
      <c r="DR3" s="36" t="s">
        <v>152</v>
      </c>
      <c r="DS3" s="37" t="s">
        <v>153</v>
      </c>
      <c r="DT3" s="38" t="s">
        <v>154</v>
      </c>
      <c r="DU3" s="37" t="s">
        <v>155</v>
      </c>
      <c r="DV3" s="39" t="s">
        <v>142</v>
      </c>
      <c r="DW3" s="40" t="s">
        <v>156</v>
      </c>
      <c r="DX3" s="37" t="s">
        <v>157</v>
      </c>
      <c r="DY3" s="37" t="s">
        <v>158</v>
      </c>
      <c r="DZ3" s="38" t="s">
        <v>159</v>
      </c>
      <c r="EA3" s="37" t="s">
        <v>160</v>
      </c>
      <c r="EB3" s="37" t="s">
        <v>161</v>
      </c>
      <c r="EC3" s="37" t="s">
        <v>162</v>
      </c>
      <c r="ED3" s="38" t="s">
        <v>163</v>
      </c>
    </row>
    <row r="4" spans="1:134" s="222" customFormat="1" x14ac:dyDescent="0.35">
      <c r="A4" s="965"/>
      <c r="B4" s="965"/>
      <c r="C4" s="965"/>
      <c r="D4" s="990"/>
      <c r="E4" s="965"/>
      <c r="F4" s="965"/>
      <c r="G4" s="599" t="s">
        <v>164</v>
      </c>
      <c r="H4" s="599" t="s">
        <v>165</v>
      </c>
      <c r="I4" s="967"/>
      <c r="J4" s="969"/>
      <c r="K4" s="982"/>
      <c r="L4" s="984"/>
      <c r="M4" s="216">
        <f>EOMONTH(Grunddaten!H6,-1)</f>
        <v>40908</v>
      </c>
      <c r="N4" s="217"/>
      <c r="O4" s="218">
        <f>M4</f>
        <v>40908</v>
      </c>
      <c r="P4" s="218"/>
      <c r="Q4" s="601">
        <f>M4</f>
        <v>40908</v>
      </c>
      <c r="R4" s="603">
        <f>X4</f>
        <v>2012</v>
      </c>
      <c r="S4" s="219">
        <f>X4</f>
        <v>2012</v>
      </c>
      <c r="T4" s="219">
        <f>X4</f>
        <v>2012</v>
      </c>
      <c r="U4" s="219">
        <f>X4</f>
        <v>2012</v>
      </c>
      <c r="V4" s="220">
        <f>Z4</f>
        <v>41274</v>
      </c>
      <c r="W4" s="220">
        <f>V4</f>
        <v>41274</v>
      </c>
      <c r="X4" s="219">
        <f>YEAR(Z4)</f>
        <v>2012</v>
      </c>
      <c r="Y4" s="219">
        <f>X4</f>
        <v>2012</v>
      </c>
      <c r="Z4" s="221">
        <f>EOMONTH(M4,12)</f>
        <v>41274</v>
      </c>
      <c r="AA4" s="221">
        <f>Z4</f>
        <v>41274</v>
      </c>
      <c r="AB4" s="221">
        <f>Z4</f>
        <v>41274</v>
      </c>
      <c r="AC4" s="221">
        <f>Z4</f>
        <v>41274</v>
      </c>
      <c r="AD4" s="221">
        <f>Z4</f>
        <v>41274</v>
      </c>
      <c r="AE4" s="603">
        <f>AK4</f>
        <v>2013</v>
      </c>
      <c r="AF4" s="219">
        <f>AK4</f>
        <v>2013</v>
      </c>
      <c r="AG4" s="219">
        <f>AK4</f>
        <v>2013</v>
      </c>
      <c r="AH4" s="219">
        <f>AK4</f>
        <v>2013</v>
      </c>
      <c r="AI4" s="220">
        <f>AM4</f>
        <v>41639</v>
      </c>
      <c r="AJ4" s="220">
        <f>AI4</f>
        <v>41639</v>
      </c>
      <c r="AK4" s="219">
        <f>YEAR(AM4)</f>
        <v>2013</v>
      </c>
      <c r="AL4" s="219">
        <f>AK4</f>
        <v>2013</v>
      </c>
      <c r="AM4" s="221">
        <f>EOMONTH(Z4,12)</f>
        <v>41639</v>
      </c>
      <c r="AN4" s="221">
        <f>AM4</f>
        <v>41639</v>
      </c>
      <c r="AO4" s="221">
        <f>AM4</f>
        <v>41639</v>
      </c>
      <c r="AP4" s="221">
        <f>AM4</f>
        <v>41639</v>
      </c>
      <c r="AQ4" s="221">
        <f>AM4</f>
        <v>41639</v>
      </c>
      <c r="AR4" s="603">
        <f>AX4</f>
        <v>2014</v>
      </c>
      <c r="AS4" s="219">
        <f>AX4</f>
        <v>2014</v>
      </c>
      <c r="AT4" s="219">
        <f>AX4</f>
        <v>2014</v>
      </c>
      <c r="AU4" s="219">
        <f>AX4</f>
        <v>2014</v>
      </c>
      <c r="AV4" s="220">
        <f>AZ4</f>
        <v>42004</v>
      </c>
      <c r="AW4" s="220">
        <f>AV4</f>
        <v>42004</v>
      </c>
      <c r="AX4" s="219">
        <f>YEAR(AZ4)</f>
        <v>2014</v>
      </c>
      <c r="AY4" s="219">
        <f>AX4</f>
        <v>2014</v>
      </c>
      <c r="AZ4" s="221">
        <f>EOMONTH(AM4,12)</f>
        <v>42004</v>
      </c>
      <c r="BA4" s="221">
        <f>AZ4</f>
        <v>42004</v>
      </c>
      <c r="BB4" s="221">
        <f>AZ4</f>
        <v>42004</v>
      </c>
      <c r="BC4" s="221">
        <f>AZ4</f>
        <v>42004</v>
      </c>
      <c r="BD4" s="221">
        <f>AZ4</f>
        <v>42004</v>
      </c>
      <c r="BE4" s="603">
        <f>BK4</f>
        <v>2015</v>
      </c>
      <c r="BF4" s="219">
        <f>BK4</f>
        <v>2015</v>
      </c>
      <c r="BG4" s="219">
        <f>BK4</f>
        <v>2015</v>
      </c>
      <c r="BH4" s="219">
        <f>BK4</f>
        <v>2015</v>
      </c>
      <c r="BI4" s="220">
        <f>BM4</f>
        <v>42369</v>
      </c>
      <c r="BJ4" s="220">
        <f>BI4</f>
        <v>42369</v>
      </c>
      <c r="BK4" s="219">
        <f>YEAR(BM4)</f>
        <v>2015</v>
      </c>
      <c r="BL4" s="219">
        <f>BK4</f>
        <v>2015</v>
      </c>
      <c r="BM4" s="221">
        <f>EOMONTH(AZ4,12)</f>
        <v>42369</v>
      </c>
      <c r="BN4" s="221">
        <f>BM4</f>
        <v>42369</v>
      </c>
      <c r="BO4" s="221">
        <f>BM4</f>
        <v>42369</v>
      </c>
      <c r="BP4" s="221">
        <f>BM4</f>
        <v>42369</v>
      </c>
      <c r="BQ4" s="221">
        <f>BM4</f>
        <v>42369</v>
      </c>
      <c r="BR4" s="603">
        <f>BX4</f>
        <v>2016</v>
      </c>
      <c r="BS4" s="219">
        <f>BX4</f>
        <v>2016</v>
      </c>
      <c r="BT4" s="219">
        <f>BX4</f>
        <v>2016</v>
      </c>
      <c r="BU4" s="219">
        <f>BX4</f>
        <v>2016</v>
      </c>
      <c r="BV4" s="220">
        <f>BZ4</f>
        <v>42735</v>
      </c>
      <c r="BW4" s="220">
        <f>BV4</f>
        <v>42735</v>
      </c>
      <c r="BX4" s="219">
        <f>YEAR(BZ4)</f>
        <v>2016</v>
      </c>
      <c r="BY4" s="219">
        <f>BX4</f>
        <v>2016</v>
      </c>
      <c r="BZ4" s="221">
        <f>EOMONTH(BM4,12)</f>
        <v>42735</v>
      </c>
      <c r="CA4" s="221">
        <f>BZ4</f>
        <v>42735</v>
      </c>
      <c r="CB4" s="221">
        <f>BZ4</f>
        <v>42735</v>
      </c>
      <c r="CC4" s="221">
        <f>BZ4</f>
        <v>42735</v>
      </c>
      <c r="CD4" s="221">
        <f>BZ4</f>
        <v>42735</v>
      </c>
      <c r="CE4" s="603">
        <f>CK4</f>
        <v>2017</v>
      </c>
      <c r="CF4" s="219">
        <f>CK4</f>
        <v>2017</v>
      </c>
      <c r="CG4" s="219">
        <f>CK4</f>
        <v>2017</v>
      </c>
      <c r="CH4" s="219">
        <f>CK4</f>
        <v>2017</v>
      </c>
      <c r="CI4" s="220">
        <f>CM4</f>
        <v>43100</v>
      </c>
      <c r="CJ4" s="220">
        <f>CI4</f>
        <v>43100</v>
      </c>
      <c r="CK4" s="219">
        <f>YEAR(CM4)</f>
        <v>2017</v>
      </c>
      <c r="CL4" s="219">
        <f>CK4</f>
        <v>2017</v>
      </c>
      <c r="CM4" s="221">
        <f>EOMONTH(BZ4,12)</f>
        <v>43100</v>
      </c>
      <c r="CN4" s="221">
        <f>CM4</f>
        <v>43100</v>
      </c>
      <c r="CO4" s="221">
        <f>CM4</f>
        <v>43100</v>
      </c>
      <c r="CP4" s="221">
        <f>CM4</f>
        <v>43100</v>
      </c>
      <c r="CQ4" s="221">
        <f>CM4</f>
        <v>43100</v>
      </c>
      <c r="CR4" s="603">
        <f>CX4</f>
        <v>2018</v>
      </c>
      <c r="CS4" s="219">
        <f>CX4</f>
        <v>2018</v>
      </c>
      <c r="CT4" s="219">
        <f>CX4</f>
        <v>2018</v>
      </c>
      <c r="CU4" s="219">
        <f>CX4</f>
        <v>2018</v>
      </c>
      <c r="CV4" s="220">
        <f>CZ4</f>
        <v>43465</v>
      </c>
      <c r="CW4" s="220">
        <f>CV4</f>
        <v>43465</v>
      </c>
      <c r="CX4" s="219">
        <f>YEAR(CZ4)</f>
        <v>2018</v>
      </c>
      <c r="CY4" s="219">
        <f>CX4</f>
        <v>2018</v>
      </c>
      <c r="CZ4" s="221">
        <f>EOMONTH(CM4,12)</f>
        <v>43465</v>
      </c>
      <c r="DA4" s="221">
        <f>CZ4</f>
        <v>43465</v>
      </c>
      <c r="DB4" s="221">
        <f>CZ4</f>
        <v>43465</v>
      </c>
      <c r="DC4" s="221">
        <f>CZ4</f>
        <v>43465</v>
      </c>
      <c r="DD4" s="221">
        <f>CZ4</f>
        <v>43465</v>
      </c>
      <c r="DE4" s="603">
        <f>DK4</f>
        <v>2019</v>
      </c>
      <c r="DF4" s="219">
        <f>DK4</f>
        <v>2019</v>
      </c>
      <c r="DG4" s="219">
        <f>DK4</f>
        <v>2019</v>
      </c>
      <c r="DH4" s="219">
        <f>DK4</f>
        <v>2019</v>
      </c>
      <c r="DI4" s="220">
        <f>DM4</f>
        <v>43830</v>
      </c>
      <c r="DJ4" s="220">
        <f>DI4</f>
        <v>43830</v>
      </c>
      <c r="DK4" s="219">
        <f>YEAR(DM4)</f>
        <v>2019</v>
      </c>
      <c r="DL4" s="219">
        <f>DK4</f>
        <v>2019</v>
      </c>
      <c r="DM4" s="221">
        <f>EOMONTH(CZ4,12)</f>
        <v>43830</v>
      </c>
      <c r="DN4" s="221">
        <f>DM4</f>
        <v>43830</v>
      </c>
      <c r="DO4" s="221">
        <f>DM4</f>
        <v>43830</v>
      </c>
      <c r="DP4" s="221">
        <f>DM4</f>
        <v>43830</v>
      </c>
      <c r="DQ4" s="221">
        <f>DM4</f>
        <v>43830</v>
      </c>
      <c r="DR4" s="603">
        <f>DX4</f>
        <v>2020</v>
      </c>
      <c r="DS4" s="219">
        <f>DX4</f>
        <v>2020</v>
      </c>
      <c r="DT4" s="219">
        <f>DX4</f>
        <v>2020</v>
      </c>
      <c r="DU4" s="219">
        <f>DX4</f>
        <v>2020</v>
      </c>
      <c r="DV4" s="220">
        <f>DZ4</f>
        <v>44196</v>
      </c>
      <c r="DW4" s="220">
        <f>DV4</f>
        <v>44196</v>
      </c>
      <c r="DX4" s="219">
        <f>YEAR(DZ4)</f>
        <v>2020</v>
      </c>
      <c r="DY4" s="219">
        <f>DX4</f>
        <v>2020</v>
      </c>
      <c r="DZ4" s="221">
        <f>EOMONTH(DM4,12)</f>
        <v>44196</v>
      </c>
      <c r="EA4" s="221">
        <f>DZ4</f>
        <v>44196</v>
      </c>
      <c r="EB4" s="221">
        <f>DZ4</f>
        <v>44196</v>
      </c>
      <c r="EC4" s="221">
        <f>DZ4</f>
        <v>44196</v>
      </c>
      <c r="ED4" s="221">
        <f>DZ4</f>
        <v>44196</v>
      </c>
    </row>
    <row r="5" spans="1:134" s="222" customFormat="1" x14ac:dyDescent="0.35">
      <c r="A5" s="172"/>
      <c r="B5" s="173"/>
      <c r="C5" s="174"/>
      <c r="D5" s="212"/>
      <c r="E5" s="176"/>
      <c r="F5" s="213"/>
      <c r="G5" s="178"/>
      <c r="H5" s="179"/>
      <c r="I5" s="214"/>
      <c r="J5" s="215"/>
      <c r="K5" s="42">
        <f t="shared" ref="K5:K68" si="0">IF(AND(G5&gt;0,G5&lt;=1,H5=0),1,IF(H5&gt;=1,1,IF(AND(H5&gt;0,H5&lt;1),H5,IF(AND(G5&gt;1,OR(H5=0,H5="")),ROUND(1/G5,4),0))))</f>
        <v>0</v>
      </c>
      <c r="L5" s="43">
        <f t="shared" ref="L5:L68" si="1">IF(AND(E5&gt;0,F5&gt;0,OR(G5&gt;0,H5&gt;0)),ROUND((E5-I5)*K5,2),IF(AND(E5&lt;0,F5&gt;0,OR(G5&gt;0,H5&gt;0)),ROUND(E5*K5,2),0))</f>
        <v>0</v>
      </c>
      <c r="M5" s="44">
        <f t="shared" ref="M5:M68" si="2">IF(AND(E5-O5&gt;=0,F5&gt;0,YEAR(M$4)&gt;=YEAR(F5)),E5-O5,IF(AND(E5-O5&lt;0,F5&gt;0,YEAR(M$4)&gt;=YEAR(F5)),E5-O5,0))</f>
        <v>0</v>
      </c>
      <c r="N5" s="44"/>
      <c r="O5" s="44">
        <f t="shared" ref="O5:O68" si="3">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E5,0)))))</f>
        <v>0</v>
      </c>
      <c r="P5" s="45"/>
      <c r="Q5" s="44">
        <f t="shared" ref="Q5:Q68" si="4">IF(AND(F5&gt;0,F5&lt;=M$4),E5,0)</f>
        <v>0</v>
      </c>
      <c r="R5" s="604">
        <f>IF(YEAR($F5)=R$4,$E5,0)</f>
        <v>0</v>
      </c>
      <c r="S5" s="44">
        <f>IF($J5&lt;&gt;"H",R5,0)</f>
        <v>0</v>
      </c>
      <c r="T5" s="44">
        <f>IF(R5&lt;&gt;0,ROUND(R5*YEARFRAC($F5,Z$4,0),2),0)</f>
        <v>0</v>
      </c>
      <c r="U5" s="44">
        <f>IF($J5&lt;&gt;"H",T5,0)</f>
        <v>0</v>
      </c>
      <c r="V5" s="44">
        <f>IF(AND($F5&gt;0,$F5&lt;=Z$4),$E5,0)</f>
        <v>0</v>
      </c>
      <c r="W5" s="44">
        <f>IF(X5&lt;&gt;0,ROUND(X5/$L5*V5,2),0)</f>
        <v>0</v>
      </c>
      <c r="X5" s="44">
        <f t="shared" ref="X5:X68" si="5">IF(AND(YEAR($F5)=YEAR(Z$4),$E5&lt;1000,$E5&gt;-1000,$F5&gt;0,$K5=1),$E5-$I5,IF(AND(YEAR($F5)=YEAR(Z$4),$F5&gt;0,$K5&gt;0),ROUND(($L5/12)*(13-MONTH($F5)),2),IF(AND(YEAR($F5)&lt;YEAR(Z$4),$E5&gt;0,$F5&gt;0,$K5&gt;0,M5&gt;$L5+$I5),$L5,IF(AND(YEAR($F5)&lt;YEAR(Z$4),$E5&gt;0,$F5&gt;0,$K5&gt;0,M5&gt;0,M5&lt;=$L5+$I5),M5-$I5,IF(AND(YEAR($F5)&lt;YEAR(Z$4),$E5&lt;0,$F5&gt;0,$K5&gt;0,M5&lt;0,M5&lt;=$L5),$L5,IF(AND(YEAR($F5)&lt;YEAR(Z$4),$E5&lt;0,$F5&gt;0,$K5&gt;0,M5&lt;0,M5&gt;$L5),M5,0))))))</f>
        <v>0</v>
      </c>
      <c r="Y5" s="44">
        <f>IF($J5&lt;&gt;"H",X5,0)</f>
        <v>0</v>
      </c>
      <c r="Z5" s="44">
        <f t="shared" ref="Z5:Z68" si="6">IF(AND(YEAR(Z$4)=YEAR($F5),$E5&gt;0,$F5&gt;0,$E5-X5&gt;=0),$E5-X5,IF(AND(YEAR(Z$4)&gt;YEAR($F5),$E5&gt;0,$F5&gt;0,M5-X5&gt;=0),M5-X5,IF(AND(YEAR(Z$4)=YEAR($F5),$E5&lt;0,$F5&gt;0,$E5-X5&lt;0),$E5-X5,IF(AND(YEAR(Z$4)&gt;YEAR($F5),$E5&lt;0,$F5&gt;0,M5-X5&lt;=0),M5-X5,0))))</f>
        <v>0</v>
      </c>
      <c r="AA5" s="44">
        <f>IF($J5&lt;&gt;"H",Z5,0)</f>
        <v>0</v>
      </c>
      <c r="AB5" s="44">
        <f t="shared" ref="AB5:AB68" si="7">O5+X5</f>
        <v>0</v>
      </c>
      <c r="AC5" s="46">
        <f t="shared" ref="AC5:AC68" si="8">IF(AND(R5&lt;&gt;0,$J5="H",$L5=0),T5,IF(AND(YEAR(Z$4)&gt;YEAR($F5),$J5="H",$F5&gt;0,$L5=0),$E5,0))</f>
        <v>0</v>
      </c>
      <c r="AD5" s="47">
        <f t="shared" ref="AD5:AD68" si="9">IF(AND(YEAR(Z$4)&gt;=YEAR($F5),$E5&gt;0,$F5&gt;0,X5&gt;0,$J5="H"),ROUND(X5/$L5*$E5,2),IF(AND(YEAR(Z$4)&gt;=YEAR($F5),$E5&lt;0,$F5&gt;0,X5&lt;0,$J5="H"),ROUND(X5/$L5*$E5,2),0))</f>
        <v>0</v>
      </c>
      <c r="AE5" s="604">
        <f>IF(YEAR($F5)=AE$4,$E5,0)</f>
        <v>0</v>
      </c>
      <c r="AF5" s="44">
        <f>IF($J5&lt;&gt;"H",AE5,0)</f>
        <v>0</v>
      </c>
      <c r="AG5" s="44">
        <f>IF(AE5&lt;&gt;0,ROUND(AE5*YEARFRAC($F5,AM$4,0),2),0)</f>
        <v>0</v>
      </c>
      <c r="AH5" s="44">
        <f>IF($J5&lt;&gt;"H",AG5,0)</f>
        <v>0</v>
      </c>
      <c r="AI5" s="44">
        <f>IF(AND($F5&gt;0,$F5&lt;=AM$4),$E5,0)</f>
        <v>0</v>
      </c>
      <c r="AJ5" s="44">
        <f>IF(AK5&lt;&gt;0,ROUND(AK5/$L5*AI5,2),0)</f>
        <v>0</v>
      </c>
      <c r="AK5" s="44">
        <f t="shared" ref="AK5:AK68" si="10">IF(AND(YEAR($F5)=YEAR(AM$4),$E5&lt;1000,$E5&gt;-1000,$F5&gt;0,$K5=1),$E5-$I5,IF(AND(YEAR($F5)=YEAR(AM$4),$F5&gt;0,$K5&gt;0),ROUND(($L5/12)*(13-MONTH($F5)),2),IF(AND(YEAR($F5)&lt;YEAR(AM$4),$E5&gt;0,$F5&gt;0,$K5&gt;0,Z5&gt;$L5+$I5),$L5,IF(AND(YEAR($F5)&lt;YEAR(AM$4),$E5&gt;0,$F5&gt;0,$K5&gt;0,Z5&gt;0,Z5&lt;=$L5+$I5),Z5-$I5,IF(AND(YEAR($F5)&lt;YEAR(AM$4),$E5&lt;0,$F5&gt;0,$K5&gt;0,Z5&lt;0,Z5&lt;=$L5),$L5,IF(AND(YEAR($F5)&lt;YEAR(AM$4),$E5&lt;0,$F5&gt;0,$K5&gt;0,Z5&lt;0,Z5&gt;$L5),Z5,0))))))</f>
        <v>0</v>
      </c>
      <c r="AL5" s="44">
        <f>IF($J5&lt;&gt;"H",AK5,0)</f>
        <v>0</v>
      </c>
      <c r="AM5" s="44">
        <f t="shared" ref="AM5:AM68" si="11">IF(AND(YEAR(AM$4)=YEAR($F5),$E5&gt;0,$F5&gt;0,$E5-AK5&gt;=0),$E5-AK5,IF(AND(YEAR(AM$4)&gt;YEAR($F5),$E5&gt;0,$F5&gt;0,Z5-AK5&gt;=0),Z5-AK5,IF(AND(YEAR(AM$4)=YEAR($F5),$E5&lt;0,$F5&gt;0,$E5-AK5&lt;0),$E5-AK5,IF(AND(YEAR(AM$4)&gt;YEAR($F5),$E5&lt;0,$F5&gt;0,Z5-AK5&lt;=0),Z5-AK5,0))))</f>
        <v>0</v>
      </c>
      <c r="AN5" s="44">
        <f>IF($J5&lt;&gt;"H",AM5,0)</f>
        <v>0</v>
      </c>
      <c r="AO5" s="44">
        <f t="shared" ref="AO5:AO68" si="12">AB5+AK5</f>
        <v>0</v>
      </c>
      <c r="AP5" s="46">
        <f t="shared" ref="AP5:AP68" si="13">IF(AND(AE5&lt;&gt;0,$J5="H",$L5=0),AG5,IF(AND(YEAR(AM$4)&gt;YEAR($F5),$J5="H",$F5&gt;0,$L5=0),$E5,0))</f>
        <v>0</v>
      </c>
      <c r="AQ5" s="47">
        <f t="shared" ref="AQ5:AQ68" si="14">IF(AND(YEAR(AM$4)&gt;=YEAR($F5),$E5&gt;0,$F5&gt;0,AK5&gt;0,$J5="H"),ROUND(AK5/$L5*$E5,2),IF(AND(YEAR(AM$4)&gt;=YEAR($F5),$E5&lt;0,$F5&gt;0,AK5&lt;0,$J5="H"),ROUND(AK5/$L5*$E5,2),0))</f>
        <v>0</v>
      </c>
      <c r="AR5" s="604">
        <f>IF(YEAR($F5)=AR$4,$E5,0)</f>
        <v>0</v>
      </c>
      <c r="AS5" s="44">
        <f>IF($J5&lt;&gt;"H",AR5,0)</f>
        <v>0</v>
      </c>
      <c r="AT5" s="44">
        <f>IF(AR5&lt;&gt;0,ROUND(AR5*YEARFRAC($F5,AZ$4,0),2),0)</f>
        <v>0</v>
      </c>
      <c r="AU5" s="44">
        <f>IF($J5&lt;&gt;"H",AT5,0)</f>
        <v>0</v>
      </c>
      <c r="AV5" s="44">
        <f>IF(AND($F5&gt;0,$F5&lt;=AZ$4),$E5,0)</f>
        <v>0</v>
      </c>
      <c r="AW5" s="44">
        <f>IF(AX5&lt;&gt;0,ROUND(AX5/$L5*AV5,2),0)</f>
        <v>0</v>
      </c>
      <c r="AX5" s="44">
        <f t="shared" ref="AX5:AX68" si="15">IF(AND(YEAR($F5)=YEAR(AZ$4),$E5&lt;1000,$E5&gt;-1000,$F5&gt;0,$K5=1),$E5-$I5,IF(AND(YEAR($F5)=YEAR(AZ$4),$F5&gt;0,$K5&gt;0),ROUND(($L5/12)*(13-MONTH($F5)),2),IF(AND(YEAR($F5)&lt;YEAR(AZ$4),$E5&gt;0,$F5&gt;0,$K5&gt;0,AM5&gt;$L5+$I5),$L5,IF(AND(YEAR($F5)&lt;YEAR(AZ$4),$E5&gt;0,$F5&gt;0,$K5&gt;0,AM5&gt;0,AM5&lt;=$L5+$I5),AM5-$I5,IF(AND(YEAR($F5)&lt;YEAR(AZ$4),$E5&lt;0,$F5&gt;0,$K5&gt;0,AM5&lt;0,AM5&lt;=$L5),$L5,IF(AND(YEAR($F5)&lt;YEAR(AZ$4),$E5&lt;0,$F5&gt;0,$K5&gt;0,AM5&lt;0,AM5&gt;$L5),AM5,0))))))</f>
        <v>0</v>
      </c>
      <c r="AY5" s="44">
        <f>IF($J5&lt;&gt;"H",AX5,0)</f>
        <v>0</v>
      </c>
      <c r="AZ5" s="44">
        <f t="shared" ref="AZ5:AZ68" si="16">IF(AND(YEAR(AZ$4)=YEAR($F5),$E5&gt;0,$F5&gt;0,$E5-AX5&gt;=0),$E5-AX5,IF(AND(YEAR(AZ$4)&gt;YEAR($F5),$E5&gt;0,$F5&gt;0,AM5-AX5&gt;=0),AM5-AX5,IF(AND(YEAR(AZ$4)=YEAR($F5),$E5&lt;0,$F5&gt;0,$E5-AX5&lt;0),$E5-AX5,IF(AND(YEAR(AZ$4)&gt;YEAR($F5),$E5&lt;0,$F5&gt;0,AM5-AX5&lt;=0),AM5-AX5,0))))</f>
        <v>0</v>
      </c>
      <c r="BA5" s="44">
        <f>IF($J5&lt;&gt;"H",AZ5,0)</f>
        <v>0</v>
      </c>
      <c r="BB5" s="44">
        <f t="shared" ref="BB5:BB68" si="17">AO5+AX5</f>
        <v>0</v>
      </c>
      <c r="BC5" s="46">
        <f t="shared" ref="BC5:BC68" si="18">IF(AND(AR5&lt;&gt;0,$J5="H",$L5=0),AT5,IF(AND(YEAR(AZ$4)&gt;YEAR($F5),$J5="H",$F5&gt;0,$L5=0),$E5,0))</f>
        <v>0</v>
      </c>
      <c r="BD5" s="47">
        <f t="shared" ref="BD5:BD68" si="19">IF(AND(YEAR(AZ$4)&gt;=YEAR($F5),$E5&gt;0,$F5&gt;0,AX5&gt;0,$J5="H"),ROUND(AX5/$L5*$E5,2),IF(AND(YEAR(AZ$4)&gt;=YEAR($F5),$E5&lt;0,$F5&gt;0,AX5&lt;0,$J5="H"),ROUND(AX5/$L5*$E5,2),0))</f>
        <v>0</v>
      </c>
      <c r="BE5" s="604">
        <f>IF(YEAR($F5)=BE$4,$E5,0)</f>
        <v>0</v>
      </c>
      <c r="BF5" s="44">
        <f>IF($J5&lt;&gt;"H",BE5,0)</f>
        <v>0</v>
      </c>
      <c r="BG5" s="44">
        <f>IF(BE5&lt;&gt;0,ROUND(BE5*YEARFRAC($F5,BM$4,0),2),0)</f>
        <v>0</v>
      </c>
      <c r="BH5" s="44">
        <f>IF($J5&lt;&gt;"H",BG5,0)</f>
        <v>0</v>
      </c>
      <c r="BI5" s="44">
        <f>IF(AND($F5&gt;0,$F5&lt;=BM$4),$E5,0)</f>
        <v>0</v>
      </c>
      <c r="BJ5" s="44">
        <f>IF(BK5&lt;&gt;0,ROUND(BK5/$L5*BI5,2),0)</f>
        <v>0</v>
      </c>
      <c r="BK5" s="44">
        <f t="shared" ref="BK5:BK68" si="20">IF(AND(YEAR($F5)=YEAR(BM$4),$E5&lt;1000,$E5&gt;-1000,$F5&gt;0,$K5=1),$E5-$I5,IF(AND(YEAR($F5)=YEAR(BM$4),$F5&gt;0,$K5&gt;0),ROUND(($L5/12)*(13-MONTH($F5)),2),IF(AND(YEAR($F5)&lt;YEAR(BM$4),$E5&gt;0,$F5&gt;0,$K5&gt;0,AZ5&gt;$L5+$I5),$L5,IF(AND(YEAR($F5)&lt;YEAR(BM$4),$E5&gt;0,$F5&gt;0,$K5&gt;0,AZ5&gt;0,AZ5&lt;=$L5+$I5),AZ5-$I5,IF(AND(YEAR($F5)&lt;YEAR(BM$4),$E5&lt;0,$F5&gt;0,$K5&gt;0,AZ5&lt;0,AZ5&lt;=$L5),$L5,IF(AND(YEAR($F5)&lt;YEAR(BM$4),$E5&lt;0,$F5&gt;0,$K5&gt;0,AZ5&lt;0,AZ5&gt;$L5),AZ5,0))))))</f>
        <v>0</v>
      </c>
      <c r="BL5" s="44">
        <f>IF($J5&lt;&gt;"H",BK5,0)</f>
        <v>0</v>
      </c>
      <c r="BM5" s="44">
        <f t="shared" ref="BM5:BM68" si="21">IF(AND(YEAR(BM$4)=YEAR($F5),$E5&gt;0,$F5&gt;0,$E5-BK5&gt;=0),$E5-BK5,IF(AND(YEAR(BM$4)&gt;YEAR($F5),$E5&gt;0,$F5&gt;0,AZ5-BK5&gt;=0),AZ5-BK5,IF(AND(YEAR(BM$4)=YEAR($F5),$E5&lt;0,$F5&gt;0,$E5-BK5&lt;0),$E5-BK5,IF(AND(YEAR(BM$4)&gt;YEAR($F5),$E5&lt;0,$F5&gt;0,AZ5-BK5&lt;=0),AZ5-BK5,0))))</f>
        <v>0</v>
      </c>
      <c r="BN5" s="44">
        <f>IF($J5&lt;&gt;"H",BM5,0)</f>
        <v>0</v>
      </c>
      <c r="BO5" s="44">
        <f t="shared" ref="BO5:BO68" si="22">BB5+BK5</f>
        <v>0</v>
      </c>
      <c r="BP5" s="46">
        <f t="shared" ref="BP5:BP68" si="23">IF(AND(BE5&lt;&gt;0,$J5="H",$L5=0),BG5,IF(AND(YEAR(BM$4)&gt;YEAR($F5),$J5="H",$F5&gt;0,$L5=0),$E5,0))</f>
        <v>0</v>
      </c>
      <c r="BQ5" s="47">
        <f t="shared" ref="BQ5:BQ68" si="24">IF(AND(YEAR(BM$4)&gt;=YEAR($F5),$E5&gt;0,$F5&gt;0,BK5&gt;0,$J5="H"),ROUND(BK5/$L5*$E5,2),IF(AND(YEAR(BM$4)&gt;=YEAR($F5),$E5&lt;0,$F5&gt;0,BK5&lt;0,$J5="H"),ROUND(BK5/$L5*$E5,2),0))</f>
        <v>0</v>
      </c>
      <c r="BR5" s="604">
        <f>IF(YEAR($F5)=BR$4,$E5,0)</f>
        <v>0</v>
      </c>
      <c r="BS5" s="44">
        <f>IF($J5&lt;&gt;"H",BR5,0)</f>
        <v>0</v>
      </c>
      <c r="BT5" s="44">
        <f>IF(BR5&lt;&gt;0,ROUND(BR5*YEARFRAC($F5,BZ$4,0),2),0)</f>
        <v>0</v>
      </c>
      <c r="BU5" s="44">
        <f>IF($J5&lt;&gt;"H",BT5,0)</f>
        <v>0</v>
      </c>
      <c r="BV5" s="44">
        <f>IF(AND($F5&gt;0,$F5&lt;=BZ$4),$E5,0)</f>
        <v>0</v>
      </c>
      <c r="BW5" s="44">
        <f>IF(BX5&lt;&gt;0,ROUND(BX5/$L5*BV5,2),0)</f>
        <v>0</v>
      </c>
      <c r="BX5" s="44">
        <f t="shared" ref="BX5:BX68" si="25">IF(AND(YEAR($F5)=YEAR(BZ$4),$E5&lt;1000,$E5&gt;-1000,$F5&gt;0,$K5=1),$E5-$I5,IF(AND(YEAR($F5)=YEAR(BZ$4),$F5&gt;0,$K5&gt;0),ROUND(($L5/12)*(13-MONTH($F5)),2),IF(AND(YEAR($F5)&lt;YEAR(BZ$4),$E5&gt;0,$F5&gt;0,$K5&gt;0,BM5&gt;$L5+$I5),$L5,IF(AND(YEAR($F5)&lt;YEAR(BZ$4),$E5&gt;0,$F5&gt;0,$K5&gt;0,BM5&gt;0,BM5&lt;=$L5+$I5),BM5-$I5,IF(AND(YEAR($F5)&lt;YEAR(BZ$4),$E5&lt;0,$F5&gt;0,$K5&gt;0,BM5&lt;0,BM5&lt;=$L5),$L5,IF(AND(YEAR($F5)&lt;YEAR(BZ$4),$E5&lt;0,$F5&gt;0,$K5&gt;0,BM5&lt;0,BM5&gt;$L5),BM5,0))))))</f>
        <v>0</v>
      </c>
      <c r="BY5" s="44">
        <f>IF($J5&lt;&gt;"H",BX5,0)</f>
        <v>0</v>
      </c>
      <c r="BZ5" s="44">
        <f t="shared" ref="BZ5:BZ68" si="26">IF(AND(YEAR(BZ$4)=YEAR($F5),$E5&gt;0,$F5&gt;0,$E5-BX5&gt;=0),$E5-BX5,IF(AND(YEAR(BZ$4)&gt;YEAR($F5),$E5&gt;0,$F5&gt;0,BM5-BX5&gt;=0),BM5-BX5,IF(AND(YEAR(BZ$4)=YEAR($F5),$E5&lt;0,$F5&gt;0,$E5-BX5&lt;0),$E5-BX5,IF(AND(YEAR(BZ$4)&gt;YEAR($F5),$E5&lt;0,$F5&gt;0,BM5-BX5&lt;=0),BM5-BX5,0))))</f>
        <v>0</v>
      </c>
      <c r="CA5" s="44">
        <f>IF($J5&lt;&gt;"H",BZ5,0)</f>
        <v>0</v>
      </c>
      <c r="CB5" s="44">
        <f t="shared" ref="CB5:CB68" si="27">BO5+BX5</f>
        <v>0</v>
      </c>
      <c r="CC5" s="46">
        <f t="shared" ref="CC5:CC68" si="28">IF(AND(BR5&lt;&gt;0,$J5="H",$L5=0),BT5,IF(AND(YEAR(BZ$4)&gt;YEAR($F5),$J5="H",$F5&gt;0,$L5=0),$E5,0))</f>
        <v>0</v>
      </c>
      <c r="CD5" s="47">
        <f t="shared" ref="CD5:CD68" si="29">IF(AND(YEAR(BZ$4)&gt;=YEAR($F5),$E5&gt;0,$F5&gt;0,BX5&gt;0,$J5="H"),ROUND(BX5/$L5*$E5,2),IF(AND(YEAR(BZ$4)&gt;=YEAR($F5),$E5&lt;0,$F5&gt;0,BX5&lt;0,$J5="H"),ROUND(BX5/$L5*$E5,2),0))</f>
        <v>0</v>
      </c>
      <c r="CE5" s="604">
        <f>IF(YEAR($F5)=CE$4,$E5,0)</f>
        <v>0</v>
      </c>
      <c r="CF5" s="44">
        <f>IF($J5&lt;&gt;"H",CE5,0)</f>
        <v>0</v>
      </c>
      <c r="CG5" s="44">
        <f>IF(CE5&lt;&gt;0,ROUND(CE5*YEARFRAC($F5,CM$4,0),2),0)</f>
        <v>0</v>
      </c>
      <c r="CH5" s="44">
        <f>IF($J5&lt;&gt;"H",CG5,0)</f>
        <v>0</v>
      </c>
      <c r="CI5" s="44">
        <f>IF(AND($F5&gt;0,$F5&lt;=CM$4),$E5,0)</f>
        <v>0</v>
      </c>
      <c r="CJ5" s="44">
        <f>IF(CK5&lt;&gt;0,ROUND(CK5/$L5*CI5,2),0)</f>
        <v>0</v>
      </c>
      <c r="CK5" s="44">
        <f t="shared" ref="CK5:CK68" si="30">IF(AND(YEAR($F5)=YEAR(CM$4),$E5&lt;1000,$E5&gt;-1000,$F5&gt;0,$K5=1),$E5-$I5,IF(AND(YEAR($F5)=YEAR(CM$4),$F5&gt;0,$K5&gt;0),ROUND(($L5/12)*(13-MONTH($F5)),2),IF(AND(YEAR($F5)&lt;YEAR(CM$4),$E5&gt;0,$F5&gt;0,$K5&gt;0,BZ5&gt;$L5+$I5),$L5,IF(AND(YEAR($F5)&lt;YEAR(CM$4),$E5&gt;0,$F5&gt;0,$K5&gt;0,BZ5&gt;0,BZ5&lt;=$L5+$I5),BZ5-$I5,IF(AND(YEAR($F5)&lt;YEAR(CM$4),$E5&lt;0,$F5&gt;0,$K5&gt;0,BZ5&lt;0,BZ5&lt;=$L5),$L5,IF(AND(YEAR($F5)&lt;YEAR(CM$4),$E5&lt;0,$F5&gt;0,$K5&gt;0,BZ5&lt;0,BZ5&gt;$L5),BZ5,0))))))</f>
        <v>0</v>
      </c>
      <c r="CL5" s="44">
        <f>IF($J5&lt;&gt;"H",CK5,0)</f>
        <v>0</v>
      </c>
      <c r="CM5" s="44">
        <f t="shared" ref="CM5:CM68" si="31">IF(AND(YEAR(CM$4)=YEAR($F5),$E5&gt;0,$F5&gt;0,$E5-CK5&gt;=0),$E5-CK5,IF(AND(YEAR(CM$4)&gt;YEAR($F5),$E5&gt;0,$F5&gt;0,BZ5-CK5&gt;=0),BZ5-CK5,IF(AND(YEAR(CM$4)=YEAR($F5),$E5&lt;0,$F5&gt;0,$E5-CK5&lt;0),$E5-CK5,IF(AND(YEAR(CM$4)&gt;YEAR($F5),$E5&lt;0,$F5&gt;0,BZ5-CK5&lt;=0),BZ5-CK5,0))))</f>
        <v>0</v>
      </c>
      <c r="CN5" s="44">
        <f>IF($J5&lt;&gt;"H",CM5,0)</f>
        <v>0</v>
      </c>
      <c r="CO5" s="44">
        <f t="shared" ref="CO5:CO68" si="32">CB5+CK5</f>
        <v>0</v>
      </c>
      <c r="CP5" s="46">
        <f t="shared" ref="CP5:CP68" si="33">IF(AND(CE5&lt;&gt;0,$J5="H",$L5=0),CG5,IF(AND(YEAR(CM$4)&gt;YEAR($F5),$J5="H",$F5&gt;0,$L5=0),$E5,0))</f>
        <v>0</v>
      </c>
      <c r="CQ5" s="47">
        <f t="shared" ref="CQ5:CQ68" si="34">IF(AND(YEAR(CM$4)&gt;=YEAR($F5),$E5&gt;0,$F5&gt;0,CK5&gt;0,$J5="H"),ROUND(CK5/$L5*$E5,2),IF(AND(YEAR(CM$4)&gt;=YEAR($F5),$E5&lt;0,$F5&gt;0,CK5&lt;0,$J5="H"),ROUND(CK5/$L5*$E5,2),0))</f>
        <v>0</v>
      </c>
      <c r="CR5" s="604">
        <f>IF(YEAR($F5)=CR$4,$E5,0)</f>
        <v>0</v>
      </c>
      <c r="CS5" s="44">
        <f>IF($J5&lt;&gt;"H",CR5,0)</f>
        <v>0</v>
      </c>
      <c r="CT5" s="44">
        <f>IF(CR5&lt;&gt;0,ROUND(CR5*YEARFRAC($F5,CZ$4,0),2),0)</f>
        <v>0</v>
      </c>
      <c r="CU5" s="44">
        <f>IF($J5&lt;&gt;"H",CT5,0)</f>
        <v>0</v>
      </c>
      <c r="CV5" s="44">
        <f>IF(AND($F5&gt;0,$F5&lt;=CZ$4),$E5,0)</f>
        <v>0</v>
      </c>
      <c r="CW5" s="44">
        <f>IF(CX5&lt;&gt;0,ROUND(CX5/$L5*CV5,2),0)</f>
        <v>0</v>
      </c>
      <c r="CX5" s="44">
        <f t="shared" ref="CX5:CX68" si="35">IF(AND(YEAR($F5)=YEAR(CZ$4),$E5&lt;1000,$E5&gt;-1000,$F5&gt;0,$K5=1),$E5-$I5,IF(AND(YEAR($F5)=YEAR(CZ$4),$F5&gt;0,$K5&gt;0),ROUND(($L5/12)*(13-MONTH($F5)),2),IF(AND(YEAR($F5)&lt;YEAR(CZ$4),$E5&gt;0,$F5&gt;0,$K5&gt;0,CM5&gt;$L5+$I5),$L5,IF(AND(YEAR($F5)&lt;YEAR(CZ$4),$E5&gt;0,$F5&gt;0,$K5&gt;0,CM5&gt;0,CM5&lt;=$L5+$I5),CM5-$I5,IF(AND(YEAR($F5)&lt;YEAR(CZ$4),$E5&lt;0,$F5&gt;0,$K5&gt;0,CM5&lt;0,CM5&lt;=$L5),$L5,IF(AND(YEAR($F5)&lt;YEAR(CZ$4),$E5&lt;0,$F5&gt;0,$K5&gt;0,CM5&lt;0,CM5&gt;$L5),CM5,0))))))</f>
        <v>0</v>
      </c>
      <c r="CY5" s="44">
        <f>IF($J5&lt;&gt;"H",CX5,0)</f>
        <v>0</v>
      </c>
      <c r="CZ5" s="44">
        <f t="shared" ref="CZ5:CZ68" si="36">IF(AND(YEAR(CZ$4)=YEAR($F5),$E5&gt;0,$F5&gt;0,$E5-CX5&gt;=0),$E5-CX5,IF(AND(YEAR(CZ$4)&gt;YEAR($F5),$E5&gt;0,$F5&gt;0,CM5-CX5&gt;=0),CM5-CX5,IF(AND(YEAR(CZ$4)=YEAR($F5),$E5&lt;0,$F5&gt;0,$E5-CX5&lt;0),$E5-CX5,IF(AND(YEAR(CZ$4)&gt;YEAR($F5),$E5&lt;0,$F5&gt;0,CM5-CX5&lt;=0),CM5-CX5,0))))</f>
        <v>0</v>
      </c>
      <c r="DA5" s="44">
        <f>IF($J5&lt;&gt;"H",CZ5,0)</f>
        <v>0</v>
      </c>
      <c r="DB5" s="44">
        <f t="shared" ref="DB5:DB68" si="37">CO5+CX5</f>
        <v>0</v>
      </c>
      <c r="DC5" s="46">
        <f t="shared" ref="DC5:DC68" si="38">IF(AND(CR5&lt;&gt;0,$J5="H",$L5=0),CT5,IF(AND(YEAR(CZ$4)&gt;YEAR($F5),$J5="H",$F5&gt;0,$L5=0),$E5,0))</f>
        <v>0</v>
      </c>
      <c r="DD5" s="47">
        <f t="shared" ref="DD5:DD68" si="39">IF(AND(YEAR(CZ$4)&gt;=YEAR($F5),$E5&gt;0,$F5&gt;0,CX5&gt;0,$J5="H"),ROUND(CX5/$L5*$E5,2),IF(AND(YEAR(CZ$4)&gt;=YEAR($F5),$E5&lt;0,$F5&gt;0,CX5&lt;0,$J5="H"),ROUND(CX5/$L5*$E5,2),0))</f>
        <v>0</v>
      </c>
      <c r="DE5" s="604">
        <f>IF(YEAR($F5)=DE$4,$E5,0)</f>
        <v>0</v>
      </c>
      <c r="DF5" s="44">
        <f>IF($J5&lt;&gt;"H",DE5,0)</f>
        <v>0</v>
      </c>
      <c r="DG5" s="44">
        <f>IF(DE5&lt;&gt;0,ROUND(DE5*YEARFRAC($F5,DM$4,0),2),0)</f>
        <v>0</v>
      </c>
      <c r="DH5" s="44">
        <f>IF($J5&lt;&gt;"H",DG5,0)</f>
        <v>0</v>
      </c>
      <c r="DI5" s="44">
        <f>IF(AND($F5&gt;0,$F5&lt;=DM$4),$E5,0)</f>
        <v>0</v>
      </c>
      <c r="DJ5" s="44">
        <f>IF(DK5&lt;&gt;0,ROUND(DK5/$L5*DI5,2),0)</f>
        <v>0</v>
      </c>
      <c r="DK5" s="44">
        <f t="shared" ref="DK5:DK68" si="40">IF(AND(YEAR($F5)=YEAR(DM$4),$E5&lt;1000,$E5&gt;-1000,$F5&gt;0,$K5=1),$E5-$I5,IF(AND(YEAR($F5)=YEAR(DM$4),$F5&gt;0,$K5&gt;0),ROUND(($L5/12)*(13-MONTH($F5)),2),IF(AND(YEAR($F5)&lt;YEAR(DM$4),$E5&gt;0,$F5&gt;0,$K5&gt;0,CZ5&gt;$L5+$I5),$L5,IF(AND(YEAR($F5)&lt;YEAR(DM$4),$E5&gt;0,$F5&gt;0,$K5&gt;0,CZ5&gt;0,CZ5&lt;=$L5+$I5),CZ5-$I5,IF(AND(YEAR($F5)&lt;YEAR(DM$4),$E5&lt;0,$F5&gt;0,$K5&gt;0,CZ5&lt;0,CZ5&lt;=$L5),$L5,IF(AND(YEAR($F5)&lt;YEAR(DM$4),$E5&lt;0,$F5&gt;0,$K5&gt;0,CZ5&lt;0,CZ5&gt;$L5),CZ5,0))))))</f>
        <v>0</v>
      </c>
      <c r="DL5" s="44">
        <f>IF($J5&lt;&gt;"H",DK5,0)</f>
        <v>0</v>
      </c>
      <c r="DM5" s="44">
        <f t="shared" ref="DM5:DM68" si="41">IF(AND(YEAR(DM$4)=YEAR($F5),$E5&gt;0,$F5&gt;0,$E5-DK5&gt;=0),$E5-DK5,IF(AND(YEAR(DM$4)&gt;YEAR($F5),$E5&gt;0,$F5&gt;0,CZ5-DK5&gt;=0),CZ5-DK5,IF(AND(YEAR(DM$4)=YEAR($F5),$E5&lt;0,$F5&gt;0,$E5-DK5&lt;0),$E5-DK5,IF(AND(YEAR(DM$4)&gt;YEAR($F5),$E5&lt;0,$F5&gt;0,CZ5-DK5&lt;=0),CZ5-DK5,0))))</f>
        <v>0</v>
      </c>
      <c r="DN5" s="44">
        <f>IF($J5&lt;&gt;"H",DM5,0)</f>
        <v>0</v>
      </c>
      <c r="DO5" s="44">
        <f t="shared" ref="DO5:DO68" si="42">DB5+DK5</f>
        <v>0</v>
      </c>
      <c r="DP5" s="46">
        <f t="shared" ref="DP5:DP68" si="43">IF(AND(DE5&lt;&gt;0,$J5="H",$L5=0),DG5,IF(AND(YEAR(DM$4)&gt;YEAR($F5),$J5="H",$F5&gt;0,$L5=0),$E5,0))</f>
        <v>0</v>
      </c>
      <c r="DQ5" s="47">
        <f t="shared" ref="DQ5:DQ68" si="44">IF(AND(YEAR(DM$4)&gt;=YEAR($F5),$E5&gt;0,$F5&gt;0,DK5&gt;0,$J5="H"),ROUND(DK5/$L5*$E5,2),IF(AND(YEAR(DM$4)&gt;=YEAR($F5),$E5&lt;0,$F5&gt;0,DK5&lt;0,$J5="H"),ROUND(DK5/$L5*$E5,2),0))</f>
        <v>0</v>
      </c>
      <c r="DR5" s="604">
        <f>IF(YEAR($F5)=DR$4,$E5,0)</f>
        <v>0</v>
      </c>
      <c r="DS5" s="44">
        <f>IF($J5&lt;&gt;"H",DR5,0)</f>
        <v>0</v>
      </c>
      <c r="DT5" s="44">
        <f>IF(DR5&lt;&gt;0,ROUND(DR5*YEARFRAC($F5,DZ$4,0),2),0)</f>
        <v>0</v>
      </c>
      <c r="DU5" s="44">
        <f>IF($J5&lt;&gt;"H",DT5,0)</f>
        <v>0</v>
      </c>
      <c r="DV5" s="44">
        <f>IF(AND($F5&gt;0,$F5&lt;=DZ$4),$E5,0)</f>
        <v>0</v>
      </c>
      <c r="DW5" s="44">
        <f>IF(DX5&lt;&gt;0,ROUND(DX5/$L5*DV5,2),0)</f>
        <v>0</v>
      </c>
      <c r="DX5" s="44">
        <f t="shared" ref="DX5:DX68" si="45">IF(AND(YEAR($F5)=YEAR(DZ$4),$E5&lt;1000,$E5&gt;-1000,$F5&gt;0,$K5=1),$E5-$I5,IF(AND(YEAR($F5)=YEAR(DZ$4),$F5&gt;0,$K5&gt;0),ROUND(($L5/12)*(13-MONTH($F5)),2),IF(AND(YEAR($F5)&lt;YEAR(DZ$4),$E5&gt;0,$F5&gt;0,$K5&gt;0,DM5&gt;$L5+$I5),$L5,IF(AND(YEAR($F5)&lt;YEAR(DZ$4),$E5&gt;0,$F5&gt;0,$K5&gt;0,DM5&gt;0,DM5&lt;=$L5+$I5),DM5-$I5,IF(AND(YEAR($F5)&lt;YEAR(DZ$4),$E5&lt;0,$F5&gt;0,$K5&gt;0,DM5&lt;0,DM5&lt;=$L5),$L5,IF(AND(YEAR($F5)&lt;YEAR(DZ$4),$E5&lt;0,$F5&gt;0,$K5&gt;0,DM5&lt;0,DM5&gt;$L5),DM5,0))))))</f>
        <v>0</v>
      </c>
      <c r="DY5" s="44">
        <f>IF($J5&lt;&gt;"H",DX5,0)</f>
        <v>0</v>
      </c>
      <c r="DZ5" s="44">
        <f t="shared" ref="DZ5:DZ68" si="46">IF(AND(YEAR(DZ$4)=YEAR($F5),$E5&gt;0,$F5&gt;0,$E5-DX5&gt;=0),$E5-DX5,IF(AND(YEAR(DZ$4)&gt;YEAR($F5),$E5&gt;0,$F5&gt;0,DM5-DX5&gt;=0),DM5-DX5,IF(AND(YEAR(DZ$4)=YEAR($F5),$E5&lt;0,$F5&gt;0,$E5-DX5&lt;0),$E5-DX5,IF(AND(YEAR(DZ$4)&gt;YEAR($F5),$E5&lt;0,$F5&gt;0,DM5-DX5&lt;=0),DM5-DX5,0))))</f>
        <v>0</v>
      </c>
      <c r="EA5" s="44">
        <f>IF($J5&lt;&gt;"H",DZ5,0)</f>
        <v>0</v>
      </c>
      <c r="EB5" s="44">
        <f t="shared" ref="EB5:EB68" si="47">DO5+DX5</f>
        <v>0</v>
      </c>
      <c r="EC5" s="46">
        <f t="shared" ref="EC5:EC68" si="48">IF(AND(DR5&lt;&gt;0,$J5="H",$L5=0),DT5,IF(AND(YEAR(DZ$4)&gt;YEAR($F5),$J5="H",$F5&gt;0,$L5=0),$E5,0))</f>
        <v>0</v>
      </c>
      <c r="ED5" s="47">
        <f t="shared" ref="ED5:ED68" si="49">IF(AND(YEAR(DZ$4)&gt;=YEAR($F5),$E5&gt;0,$F5&gt;0,DX5&gt;0,$J5="H"),ROUND(DX5/$L5*$E5,2),IF(AND(YEAR(DZ$4)&gt;=YEAR($F5),$E5&lt;0,$F5&gt;0,DX5&lt;0,$J5="H"),ROUND(DX5/$L5*$E5,2),0))</f>
        <v>0</v>
      </c>
    </row>
    <row r="6" spans="1:134" x14ac:dyDescent="0.35">
      <c r="A6" s="81"/>
      <c r="B6" s="82" t="s">
        <v>181</v>
      </c>
      <c r="C6" s="82"/>
      <c r="D6" s="83"/>
      <c r="E6" s="84"/>
      <c r="F6" s="85"/>
      <c r="G6" s="86"/>
      <c r="H6" s="179"/>
      <c r="I6" s="180"/>
      <c r="J6" s="181"/>
      <c r="K6" s="42">
        <f t="shared" si="0"/>
        <v>0</v>
      </c>
      <c r="L6" s="43">
        <f t="shared" si="1"/>
        <v>0</v>
      </c>
      <c r="M6" s="44">
        <f t="shared" si="2"/>
        <v>0</v>
      </c>
      <c r="N6" s="44"/>
      <c r="O6" s="44">
        <f t="shared" si="3"/>
        <v>0</v>
      </c>
      <c r="P6" s="45"/>
      <c r="Q6" s="44">
        <f t="shared" si="4"/>
        <v>0</v>
      </c>
      <c r="R6" s="604">
        <f>IF(YEAR($F6)=R$4,$E6,0)</f>
        <v>0</v>
      </c>
      <c r="S6" s="44">
        <f>IF($J6&lt;&gt;"H",R6,0)</f>
        <v>0</v>
      </c>
      <c r="T6" s="44">
        <f>IF(R6&lt;&gt;0,ROUND(R6*YEARFRAC($F6,Z$4,0),2),0)</f>
        <v>0</v>
      </c>
      <c r="U6" s="44">
        <f>IF($J6&lt;&gt;"H",T6,0)</f>
        <v>0</v>
      </c>
      <c r="V6" s="44">
        <f>IF(AND($F6&gt;0,$F6&lt;=Z$4),$E6,0)</f>
        <v>0</v>
      </c>
      <c r="W6" s="44">
        <f>IF(X6&lt;&gt;0,ROUND(X6/$L6*V6,2),0)</f>
        <v>0</v>
      </c>
      <c r="X6" s="44">
        <f t="shared" si="5"/>
        <v>0</v>
      </c>
      <c r="Y6" s="44">
        <f>IF($J6&lt;&gt;"H",X6,0)</f>
        <v>0</v>
      </c>
      <c r="Z6" s="44">
        <f t="shared" si="6"/>
        <v>0</v>
      </c>
      <c r="AA6" s="44">
        <f>IF($J6&lt;&gt;"H",Z6,0)</f>
        <v>0</v>
      </c>
      <c r="AB6" s="44">
        <f t="shared" si="7"/>
        <v>0</v>
      </c>
      <c r="AC6" s="46">
        <f t="shared" si="8"/>
        <v>0</v>
      </c>
      <c r="AD6" s="47">
        <f t="shared" si="9"/>
        <v>0</v>
      </c>
      <c r="AE6" s="604">
        <f>IF(YEAR($F6)=AE$4,$E6,0)</f>
        <v>0</v>
      </c>
      <c r="AF6" s="44">
        <f>IF($J6&lt;&gt;"H",AE6,0)</f>
        <v>0</v>
      </c>
      <c r="AG6" s="44">
        <f>IF(AE6&lt;&gt;0,ROUND(AE6*YEARFRAC($F6,AM$4,0),2),0)</f>
        <v>0</v>
      </c>
      <c r="AH6" s="44">
        <f>IF($J6&lt;&gt;"H",AG6,0)</f>
        <v>0</v>
      </c>
      <c r="AI6" s="44">
        <f>IF(AND($F6&gt;0,$F6&lt;=AM$4),$E6,0)</f>
        <v>0</v>
      </c>
      <c r="AJ6" s="44">
        <f>IF(AK6&lt;&gt;0,ROUND(AK6/$L6*AI6,2),0)</f>
        <v>0</v>
      </c>
      <c r="AK6" s="44">
        <f t="shared" si="10"/>
        <v>0</v>
      </c>
      <c r="AL6" s="44">
        <f>IF($J6&lt;&gt;"H",AK6,0)</f>
        <v>0</v>
      </c>
      <c r="AM6" s="44">
        <f t="shared" si="11"/>
        <v>0</v>
      </c>
      <c r="AN6" s="44">
        <f>IF($J6&lt;&gt;"H",AM6,0)</f>
        <v>0</v>
      </c>
      <c r="AO6" s="44">
        <f t="shared" si="12"/>
        <v>0</v>
      </c>
      <c r="AP6" s="46">
        <f t="shared" si="13"/>
        <v>0</v>
      </c>
      <c r="AQ6" s="47">
        <f t="shared" si="14"/>
        <v>0</v>
      </c>
      <c r="AR6" s="604">
        <f>IF(YEAR($F6)=AR$4,$E6,0)</f>
        <v>0</v>
      </c>
      <c r="AS6" s="44">
        <f>IF($J6&lt;&gt;"H",AR6,0)</f>
        <v>0</v>
      </c>
      <c r="AT6" s="44">
        <f>IF(AR6&lt;&gt;0,ROUND(AR6*YEARFRAC($F6,AZ$4,0),2),0)</f>
        <v>0</v>
      </c>
      <c r="AU6" s="44">
        <f>IF($J6&lt;&gt;"H",AT6,0)</f>
        <v>0</v>
      </c>
      <c r="AV6" s="44">
        <f>IF(AND($F6&gt;0,$F6&lt;=AZ$4),$E6,0)</f>
        <v>0</v>
      </c>
      <c r="AW6" s="44">
        <f>IF(AX6&lt;&gt;0,ROUND(AX6/$L6*AV6,2),0)</f>
        <v>0</v>
      </c>
      <c r="AX6" s="44">
        <f t="shared" si="15"/>
        <v>0</v>
      </c>
      <c r="AY6" s="44">
        <f>IF($J6&lt;&gt;"H",AX6,0)</f>
        <v>0</v>
      </c>
      <c r="AZ6" s="44">
        <f t="shared" si="16"/>
        <v>0</v>
      </c>
      <c r="BA6" s="44">
        <f>IF($J6&lt;&gt;"H",AZ6,0)</f>
        <v>0</v>
      </c>
      <c r="BB6" s="44">
        <f t="shared" si="17"/>
        <v>0</v>
      </c>
      <c r="BC6" s="46">
        <f t="shared" si="18"/>
        <v>0</v>
      </c>
      <c r="BD6" s="47">
        <f t="shared" si="19"/>
        <v>0</v>
      </c>
      <c r="BE6" s="604">
        <f>IF(YEAR($F6)=BE$4,$E6,0)</f>
        <v>0</v>
      </c>
      <c r="BF6" s="44">
        <f>IF($J6&lt;&gt;"H",BE6,0)</f>
        <v>0</v>
      </c>
      <c r="BG6" s="44">
        <f>IF(BE6&lt;&gt;0,ROUND(BE6*YEARFRAC($F6,BM$4,0),2),0)</f>
        <v>0</v>
      </c>
      <c r="BH6" s="44">
        <f>IF($J6&lt;&gt;"H",BG6,0)</f>
        <v>0</v>
      </c>
      <c r="BI6" s="44">
        <f>IF(AND($F6&gt;0,$F6&lt;=BM$4),$E6,0)</f>
        <v>0</v>
      </c>
      <c r="BJ6" s="44">
        <f>IF(BK6&lt;&gt;0,ROUND(BK6/$L6*BI6,2),0)</f>
        <v>0</v>
      </c>
      <c r="BK6" s="44">
        <f t="shared" si="20"/>
        <v>0</v>
      </c>
      <c r="BL6" s="44">
        <f>IF($J6&lt;&gt;"H",BK6,0)</f>
        <v>0</v>
      </c>
      <c r="BM6" s="44">
        <f t="shared" si="21"/>
        <v>0</v>
      </c>
      <c r="BN6" s="44">
        <f>IF($J6&lt;&gt;"H",BM6,0)</f>
        <v>0</v>
      </c>
      <c r="BO6" s="44">
        <f t="shared" si="22"/>
        <v>0</v>
      </c>
      <c r="BP6" s="46">
        <f t="shared" si="23"/>
        <v>0</v>
      </c>
      <c r="BQ6" s="47">
        <f t="shared" si="24"/>
        <v>0</v>
      </c>
      <c r="BR6" s="604">
        <f>IF(YEAR($F6)=BR$4,$E6,0)</f>
        <v>0</v>
      </c>
      <c r="BS6" s="44">
        <f>IF($J6&lt;&gt;"H",BR6,0)</f>
        <v>0</v>
      </c>
      <c r="BT6" s="44">
        <f>IF(BR6&lt;&gt;0,ROUND(BR6*YEARFRAC($F6,BZ$4,0),2),0)</f>
        <v>0</v>
      </c>
      <c r="BU6" s="44">
        <f>IF($J6&lt;&gt;"H",BT6,0)</f>
        <v>0</v>
      </c>
      <c r="BV6" s="44">
        <f>IF(AND($F6&gt;0,$F6&lt;=BZ$4),$E6,0)</f>
        <v>0</v>
      </c>
      <c r="BW6" s="44">
        <f>IF(BX6&lt;&gt;0,ROUND(BX6/$L6*BV6,2),0)</f>
        <v>0</v>
      </c>
      <c r="BX6" s="44">
        <f t="shared" si="25"/>
        <v>0</v>
      </c>
      <c r="BY6" s="44">
        <f>IF($J6&lt;&gt;"H",BX6,0)</f>
        <v>0</v>
      </c>
      <c r="BZ6" s="44">
        <f t="shared" si="26"/>
        <v>0</v>
      </c>
      <c r="CA6" s="44">
        <f>IF($J6&lt;&gt;"H",BZ6,0)</f>
        <v>0</v>
      </c>
      <c r="CB6" s="44">
        <f t="shared" si="27"/>
        <v>0</v>
      </c>
      <c r="CC6" s="46">
        <f t="shared" si="28"/>
        <v>0</v>
      </c>
      <c r="CD6" s="47">
        <f t="shared" si="29"/>
        <v>0</v>
      </c>
      <c r="CE6" s="604">
        <f>IF(YEAR($F6)=CE$4,$E6,0)</f>
        <v>0</v>
      </c>
      <c r="CF6" s="44">
        <f>IF($J6&lt;&gt;"H",CE6,0)</f>
        <v>0</v>
      </c>
      <c r="CG6" s="44">
        <f>IF(CE6&lt;&gt;0,ROUND(CE6*YEARFRAC($F6,CM$4,0),2),0)</f>
        <v>0</v>
      </c>
      <c r="CH6" s="44">
        <f>IF($J6&lt;&gt;"H",CG6,0)</f>
        <v>0</v>
      </c>
      <c r="CI6" s="44">
        <f>IF(AND($F6&gt;0,$F6&lt;=CM$4),$E6,0)</f>
        <v>0</v>
      </c>
      <c r="CJ6" s="44">
        <f>IF(CK6&lt;&gt;0,ROUND(CK6/$L6*CI6,2),0)</f>
        <v>0</v>
      </c>
      <c r="CK6" s="44">
        <f t="shared" si="30"/>
        <v>0</v>
      </c>
      <c r="CL6" s="44">
        <f>IF($J6&lt;&gt;"H",CK6,0)</f>
        <v>0</v>
      </c>
      <c r="CM6" s="44">
        <f t="shared" si="31"/>
        <v>0</v>
      </c>
      <c r="CN6" s="44">
        <f>IF($J6&lt;&gt;"H",CM6,0)</f>
        <v>0</v>
      </c>
      <c r="CO6" s="44">
        <f t="shared" si="32"/>
        <v>0</v>
      </c>
      <c r="CP6" s="46">
        <f t="shared" si="33"/>
        <v>0</v>
      </c>
      <c r="CQ6" s="47">
        <f t="shared" si="34"/>
        <v>0</v>
      </c>
      <c r="CR6" s="604">
        <f>IF(YEAR($F6)=CR$4,$E6,0)</f>
        <v>0</v>
      </c>
      <c r="CS6" s="44">
        <f>IF($J6&lt;&gt;"H",CR6,0)</f>
        <v>0</v>
      </c>
      <c r="CT6" s="44">
        <f>IF(CR6&lt;&gt;0,ROUND(CR6*YEARFRAC($F6,CZ$4,0),2),0)</f>
        <v>0</v>
      </c>
      <c r="CU6" s="44">
        <f>IF($J6&lt;&gt;"H",CT6,0)</f>
        <v>0</v>
      </c>
      <c r="CV6" s="44">
        <f>IF(AND($F6&gt;0,$F6&lt;=CZ$4),$E6,0)</f>
        <v>0</v>
      </c>
      <c r="CW6" s="44">
        <f>IF(CX6&lt;&gt;0,ROUND(CX6/$L6*CV6,2),0)</f>
        <v>0</v>
      </c>
      <c r="CX6" s="44">
        <f t="shared" si="35"/>
        <v>0</v>
      </c>
      <c r="CY6" s="44">
        <f>IF($J6&lt;&gt;"H",CX6,0)</f>
        <v>0</v>
      </c>
      <c r="CZ6" s="44">
        <f t="shared" si="36"/>
        <v>0</v>
      </c>
      <c r="DA6" s="44">
        <f>IF($J6&lt;&gt;"H",CZ6,0)</f>
        <v>0</v>
      </c>
      <c r="DB6" s="44">
        <f t="shared" si="37"/>
        <v>0</v>
      </c>
      <c r="DC6" s="46">
        <f t="shared" si="38"/>
        <v>0</v>
      </c>
      <c r="DD6" s="47">
        <f t="shared" si="39"/>
        <v>0</v>
      </c>
      <c r="DE6" s="604">
        <f>IF(YEAR($F6)=DE$4,$E6,0)</f>
        <v>0</v>
      </c>
      <c r="DF6" s="44">
        <f>IF($J6&lt;&gt;"H",DE6,0)</f>
        <v>0</v>
      </c>
      <c r="DG6" s="44">
        <f>IF(DE6&lt;&gt;0,ROUND(DE6*YEARFRAC($F6,DM$4,0),2),0)</f>
        <v>0</v>
      </c>
      <c r="DH6" s="44">
        <f>IF($J6&lt;&gt;"H",DG6,0)</f>
        <v>0</v>
      </c>
      <c r="DI6" s="44">
        <f>IF(AND($F6&gt;0,$F6&lt;=DM$4),$E6,0)</f>
        <v>0</v>
      </c>
      <c r="DJ6" s="44">
        <f>IF(DK6&lt;&gt;0,ROUND(DK6/$L6*DI6,2),0)</f>
        <v>0</v>
      </c>
      <c r="DK6" s="44">
        <f t="shared" si="40"/>
        <v>0</v>
      </c>
      <c r="DL6" s="44">
        <f>IF($J6&lt;&gt;"H",DK6,0)</f>
        <v>0</v>
      </c>
      <c r="DM6" s="44">
        <f t="shared" si="41"/>
        <v>0</v>
      </c>
      <c r="DN6" s="44">
        <f>IF($J6&lt;&gt;"H",DM6,0)</f>
        <v>0</v>
      </c>
      <c r="DO6" s="44">
        <f t="shared" si="42"/>
        <v>0</v>
      </c>
      <c r="DP6" s="46">
        <f t="shared" si="43"/>
        <v>0</v>
      </c>
      <c r="DQ6" s="47">
        <f t="shared" si="44"/>
        <v>0</v>
      </c>
      <c r="DR6" s="604">
        <f>IF(YEAR($F6)=DR$4,$E6,0)</f>
        <v>0</v>
      </c>
      <c r="DS6" s="44">
        <f>IF($J6&lt;&gt;"H",DR6,0)</f>
        <v>0</v>
      </c>
      <c r="DT6" s="44">
        <f>IF(DR6&lt;&gt;0,ROUND(DR6*YEARFRAC($F6,DZ$4,0),2),0)</f>
        <v>0</v>
      </c>
      <c r="DU6" s="44">
        <f>IF($J6&lt;&gt;"H",DT6,0)</f>
        <v>0</v>
      </c>
      <c r="DV6" s="44">
        <f>IF(AND($F6&gt;0,$F6&lt;=DZ$4),$E6,0)</f>
        <v>0</v>
      </c>
      <c r="DW6" s="44">
        <f>IF(DX6&lt;&gt;0,ROUND(DX6/$L6*DV6,2),0)</f>
        <v>0</v>
      </c>
      <c r="DX6" s="44">
        <f t="shared" si="45"/>
        <v>0</v>
      </c>
      <c r="DY6" s="44">
        <f>IF($J6&lt;&gt;"H",DX6,0)</f>
        <v>0</v>
      </c>
      <c r="DZ6" s="44">
        <f t="shared" si="46"/>
        <v>0</v>
      </c>
      <c r="EA6" s="44">
        <f>IF($J6&lt;&gt;"H",DZ6,0)</f>
        <v>0</v>
      </c>
      <c r="EB6" s="44">
        <f t="shared" si="47"/>
        <v>0</v>
      </c>
      <c r="EC6" s="46">
        <f t="shared" si="48"/>
        <v>0</v>
      </c>
      <c r="ED6" s="47">
        <f t="shared" si="49"/>
        <v>0</v>
      </c>
    </row>
    <row r="7" spans="1:134" x14ac:dyDescent="0.35">
      <c r="A7" s="81"/>
      <c r="B7" s="82" t="s">
        <v>182</v>
      </c>
      <c r="C7" s="82"/>
      <c r="D7" s="83"/>
      <c r="E7" s="84"/>
      <c r="F7" s="85"/>
      <c r="G7" s="86"/>
      <c r="H7" s="179"/>
      <c r="I7" s="180"/>
      <c r="J7" s="181"/>
      <c r="K7" s="42">
        <f t="shared" si="0"/>
        <v>0</v>
      </c>
      <c r="L7" s="43">
        <f t="shared" si="1"/>
        <v>0</v>
      </c>
      <c r="M7" s="44">
        <f t="shared" si="2"/>
        <v>0</v>
      </c>
      <c r="N7" s="44"/>
      <c r="O7" s="44">
        <f t="shared" si="3"/>
        <v>0</v>
      </c>
      <c r="P7" s="45"/>
      <c r="Q7" s="44">
        <f t="shared" si="4"/>
        <v>0</v>
      </c>
      <c r="R7" s="604">
        <f t="shared" ref="R7:R70" si="50">IF(YEAR($F7)=R$4,$E7,0)</f>
        <v>0</v>
      </c>
      <c r="S7" s="44">
        <f t="shared" ref="S7:S70" si="51">IF($J7&lt;&gt;"H",R7,0)</f>
        <v>0</v>
      </c>
      <c r="T7" s="44">
        <f t="shared" ref="T7:T70" si="52">IF(R7&lt;&gt;0,ROUND(R7*YEARFRAC($F7,Z$4,0),2),0)</f>
        <v>0</v>
      </c>
      <c r="U7" s="44">
        <f t="shared" ref="U7:U70" si="53">IF($J7&lt;&gt;"H",T7,0)</f>
        <v>0</v>
      </c>
      <c r="V7" s="44">
        <f t="shared" ref="V7:V70" si="54">IF(AND($F7&gt;0,$F7&lt;=Z$4),$E7,0)</f>
        <v>0</v>
      </c>
      <c r="W7" s="44">
        <f t="shared" ref="W7:W70" si="55">IF(X7&lt;&gt;0,ROUND(X7/$L7*V7,2),0)</f>
        <v>0</v>
      </c>
      <c r="X7" s="44">
        <f t="shared" si="5"/>
        <v>0</v>
      </c>
      <c r="Y7" s="44">
        <f t="shared" ref="Y7:Y70" si="56">IF($J7&lt;&gt;"H",X7,0)</f>
        <v>0</v>
      </c>
      <c r="Z7" s="44">
        <f t="shared" si="6"/>
        <v>0</v>
      </c>
      <c r="AA7" s="44">
        <f t="shared" ref="AA7:AA70" si="57">IF($J7&lt;&gt;"H",Z7,0)</f>
        <v>0</v>
      </c>
      <c r="AB7" s="44">
        <f t="shared" si="7"/>
        <v>0</v>
      </c>
      <c r="AC7" s="46">
        <f t="shared" si="8"/>
        <v>0</v>
      </c>
      <c r="AD7" s="47">
        <f t="shared" si="9"/>
        <v>0</v>
      </c>
      <c r="AE7" s="604">
        <f t="shared" ref="AE7:AE70" si="58">IF(YEAR($F7)=AE$4,$E7,0)</f>
        <v>0</v>
      </c>
      <c r="AF7" s="44">
        <f t="shared" ref="AF7:AF70" si="59">IF($J7&lt;&gt;"H",AE7,0)</f>
        <v>0</v>
      </c>
      <c r="AG7" s="44">
        <f t="shared" ref="AG7:AG70" si="60">IF(AE7&lt;&gt;0,ROUND(AE7*YEARFRAC($F7,AM$4,0),2),0)</f>
        <v>0</v>
      </c>
      <c r="AH7" s="44">
        <f t="shared" ref="AH7:AH70" si="61">IF($J7&lt;&gt;"H",AG7,0)</f>
        <v>0</v>
      </c>
      <c r="AI7" s="44">
        <f t="shared" ref="AI7:AI70" si="62">IF(AND($F7&gt;0,$F7&lt;=AM$4),$E7,0)</f>
        <v>0</v>
      </c>
      <c r="AJ7" s="44">
        <f t="shared" ref="AJ7:AJ70" si="63">IF(AK7&lt;&gt;0,ROUND(AK7/$L7*AI7,2),0)</f>
        <v>0</v>
      </c>
      <c r="AK7" s="44">
        <f t="shared" si="10"/>
        <v>0</v>
      </c>
      <c r="AL7" s="44">
        <f t="shared" ref="AL7:AL70" si="64">IF($J7&lt;&gt;"H",AK7,0)</f>
        <v>0</v>
      </c>
      <c r="AM7" s="44">
        <f t="shared" si="11"/>
        <v>0</v>
      </c>
      <c r="AN7" s="44">
        <f t="shared" ref="AN7:AN70" si="65">IF($J7&lt;&gt;"H",AM7,0)</f>
        <v>0</v>
      </c>
      <c r="AO7" s="44">
        <f t="shared" si="12"/>
        <v>0</v>
      </c>
      <c r="AP7" s="46">
        <f t="shared" si="13"/>
        <v>0</v>
      </c>
      <c r="AQ7" s="47">
        <f t="shared" si="14"/>
        <v>0</v>
      </c>
      <c r="AR7" s="604">
        <f t="shared" ref="AR7:AR70" si="66">IF(YEAR($F7)=AR$4,$E7,0)</f>
        <v>0</v>
      </c>
      <c r="AS7" s="44">
        <f t="shared" ref="AS7:AS70" si="67">IF($J7&lt;&gt;"H",AR7,0)</f>
        <v>0</v>
      </c>
      <c r="AT7" s="44">
        <f t="shared" ref="AT7:AT70" si="68">IF(AR7&lt;&gt;0,ROUND(AR7*YEARFRAC($F7,AZ$4,0),2),0)</f>
        <v>0</v>
      </c>
      <c r="AU7" s="44">
        <f t="shared" ref="AU7:AU70" si="69">IF($J7&lt;&gt;"H",AT7,0)</f>
        <v>0</v>
      </c>
      <c r="AV7" s="44">
        <f t="shared" ref="AV7:AV70" si="70">IF(AND($F7&gt;0,$F7&lt;=AZ$4),$E7,0)</f>
        <v>0</v>
      </c>
      <c r="AW7" s="44">
        <f t="shared" ref="AW7:AW70" si="71">IF(AX7&lt;&gt;0,ROUND(AX7/$L7*AV7,2),0)</f>
        <v>0</v>
      </c>
      <c r="AX7" s="44">
        <f t="shared" si="15"/>
        <v>0</v>
      </c>
      <c r="AY7" s="44">
        <f t="shared" ref="AY7:AY70" si="72">IF($J7&lt;&gt;"H",AX7,0)</f>
        <v>0</v>
      </c>
      <c r="AZ7" s="44">
        <f t="shared" si="16"/>
        <v>0</v>
      </c>
      <c r="BA7" s="44">
        <f t="shared" ref="BA7:BA70" si="73">IF($J7&lt;&gt;"H",AZ7,0)</f>
        <v>0</v>
      </c>
      <c r="BB7" s="44">
        <f t="shared" si="17"/>
        <v>0</v>
      </c>
      <c r="BC7" s="46">
        <f t="shared" si="18"/>
        <v>0</v>
      </c>
      <c r="BD7" s="47">
        <f t="shared" si="19"/>
        <v>0</v>
      </c>
      <c r="BE7" s="604">
        <f t="shared" ref="BE7:BE70" si="74">IF(YEAR($F7)=BE$4,$E7,0)</f>
        <v>0</v>
      </c>
      <c r="BF7" s="44">
        <f t="shared" ref="BF7:BF70" si="75">IF($J7&lt;&gt;"H",BE7,0)</f>
        <v>0</v>
      </c>
      <c r="BG7" s="44">
        <f t="shared" ref="BG7:BG70" si="76">IF(BE7&lt;&gt;0,ROUND(BE7*YEARFRAC($F7,BM$4,0),2),0)</f>
        <v>0</v>
      </c>
      <c r="BH7" s="44">
        <f t="shared" ref="BH7:BH70" si="77">IF($J7&lt;&gt;"H",BG7,0)</f>
        <v>0</v>
      </c>
      <c r="BI7" s="44">
        <f t="shared" ref="BI7:BI70" si="78">IF(AND($F7&gt;0,$F7&lt;=BM$4),$E7,0)</f>
        <v>0</v>
      </c>
      <c r="BJ7" s="44">
        <f t="shared" ref="BJ7:BJ70" si="79">IF(BK7&lt;&gt;0,ROUND(BK7/$L7*BI7,2),0)</f>
        <v>0</v>
      </c>
      <c r="BK7" s="44">
        <f t="shared" si="20"/>
        <v>0</v>
      </c>
      <c r="BL7" s="44">
        <f t="shared" ref="BL7:BL70" si="80">IF($J7&lt;&gt;"H",BK7,0)</f>
        <v>0</v>
      </c>
      <c r="BM7" s="44">
        <f t="shared" si="21"/>
        <v>0</v>
      </c>
      <c r="BN7" s="44">
        <f t="shared" ref="BN7:BN70" si="81">IF($J7&lt;&gt;"H",BM7,0)</f>
        <v>0</v>
      </c>
      <c r="BO7" s="44">
        <f t="shared" si="22"/>
        <v>0</v>
      </c>
      <c r="BP7" s="46">
        <f t="shared" si="23"/>
        <v>0</v>
      </c>
      <c r="BQ7" s="47">
        <f t="shared" si="24"/>
        <v>0</v>
      </c>
      <c r="BR7" s="604">
        <f t="shared" ref="BR7:BR70" si="82">IF(YEAR($F7)=BR$4,$E7,0)</f>
        <v>0</v>
      </c>
      <c r="BS7" s="44">
        <f t="shared" ref="BS7:BS70" si="83">IF($J7&lt;&gt;"H",BR7,0)</f>
        <v>0</v>
      </c>
      <c r="BT7" s="44">
        <f t="shared" ref="BT7:BT70" si="84">IF(BR7&lt;&gt;0,ROUND(BR7*YEARFRAC($F7,BZ$4,0),2),0)</f>
        <v>0</v>
      </c>
      <c r="BU7" s="44">
        <f t="shared" ref="BU7:BU70" si="85">IF($J7&lt;&gt;"H",BT7,0)</f>
        <v>0</v>
      </c>
      <c r="BV7" s="44">
        <f t="shared" ref="BV7:BV70" si="86">IF(AND($F7&gt;0,$F7&lt;=BZ$4),$E7,0)</f>
        <v>0</v>
      </c>
      <c r="BW7" s="44">
        <f t="shared" ref="BW7:BW70" si="87">IF(BX7&lt;&gt;0,ROUND(BX7/$L7*BV7,2),0)</f>
        <v>0</v>
      </c>
      <c r="BX7" s="44">
        <f t="shared" si="25"/>
        <v>0</v>
      </c>
      <c r="BY7" s="44">
        <f t="shared" ref="BY7:BY70" si="88">IF($J7&lt;&gt;"H",BX7,0)</f>
        <v>0</v>
      </c>
      <c r="BZ7" s="44">
        <f t="shared" si="26"/>
        <v>0</v>
      </c>
      <c r="CA7" s="44">
        <f t="shared" ref="CA7:CA70" si="89">IF($J7&lt;&gt;"H",BZ7,0)</f>
        <v>0</v>
      </c>
      <c r="CB7" s="44">
        <f t="shared" si="27"/>
        <v>0</v>
      </c>
      <c r="CC7" s="46">
        <f t="shared" si="28"/>
        <v>0</v>
      </c>
      <c r="CD7" s="47">
        <f t="shared" si="29"/>
        <v>0</v>
      </c>
      <c r="CE7" s="604">
        <f t="shared" ref="CE7:CE70" si="90">IF(YEAR($F7)=CE$4,$E7,0)</f>
        <v>0</v>
      </c>
      <c r="CF7" s="44">
        <f t="shared" ref="CF7:CF70" si="91">IF($J7&lt;&gt;"H",CE7,0)</f>
        <v>0</v>
      </c>
      <c r="CG7" s="44">
        <f t="shared" ref="CG7:CG70" si="92">IF(CE7&lt;&gt;0,ROUND(CE7*YEARFRAC($F7,CM$4,0),2),0)</f>
        <v>0</v>
      </c>
      <c r="CH7" s="44">
        <f t="shared" ref="CH7:CH70" si="93">IF($J7&lt;&gt;"H",CG7,0)</f>
        <v>0</v>
      </c>
      <c r="CI7" s="44">
        <f t="shared" ref="CI7:CI70" si="94">IF(AND($F7&gt;0,$F7&lt;=CM$4),$E7,0)</f>
        <v>0</v>
      </c>
      <c r="CJ7" s="44">
        <f t="shared" ref="CJ7:CJ70" si="95">IF(CK7&lt;&gt;0,ROUND(CK7/$L7*CI7,2),0)</f>
        <v>0</v>
      </c>
      <c r="CK7" s="44">
        <f t="shared" si="30"/>
        <v>0</v>
      </c>
      <c r="CL7" s="44">
        <f t="shared" ref="CL7:CL70" si="96">IF($J7&lt;&gt;"H",CK7,0)</f>
        <v>0</v>
      </c>
      <c r="CM7" s="44">
        <f t="shared" si="31"/>
        <v>0</v>
      </c>
      <c r="CN7" s="44">
        <f t="shared" ref="CN7:CN70" si="97">IF($J7&lt;&gt;"H",CM7,0)</f>
        <v>0</v>
      </c>
      <c r="CO7" s="44">
        <f t="shared" si="32"/>
        <v>0</v>
      </c>
      <c r="CP7" s="46">
        <f t="shared" si="33"/>
        <v>0</v>
      </c>
      <c r="CQ7" s="47">
        <f t="shared" si="34"/>
        <v>0</v>
      </c>
      <c r="CR7" s="604">
        <f t="shared" ref="CR7:CR70" si="98">IF(YEAR($F7)=CR$4,$E7,0)</f>
        <v>0</v>
      </c>
      <c r="CS7" s="44">
        <f t="shared" ref="CS7:CS70" si="99">IF($J7&lt;&gt;"H",CR7,0)</f>
        <v>0</v>
      </c>
      <c r="CT7" s="44">
        <f t="shared" ref="CT7:CT70" si="100">IF(CR7&lt;&gt;0,ROUND(CR7*YEARFRAC($F7,CZ$4,0),2),0)</f>
        <v>0</v>
      </c>
      <c r="CU7" s="44">
        <f t="shared" ref="CU7:CU70" si="101">IF($J7&lt;&gt;"H",CT7,0)</f>
        <v>0</v>
      </c>
      <c r="CV7" s="44">
        <f t="shared" ref="CV7:CV70" si="102">IF(AND($F7&gt;0,$F7&lt;=CZ$4),$E7,0)</f>
        <v>0</v>
      </c>
      <c r="CW7" s="44">
        <f t="shared" ref="CW7:CW70" si="103">IF(CX7&lt;&gt;0,ROUND(CX7/$L7*CV7,2),0)</f>
        <v>0</v>
      </c>
      <c r="CX7" s="44">
        <f t="shared" si="35"/>
        <v>0</v>
      </c>
      <c r="CY7" s="44">
        <f t="shared" ref="CY7:CY70" si="104">IF($J7&lt;&gt;"H",CX7,0)</f>
        <v>0</v>
      </c>
      <c r="CZ7" s="44">
        <f t="shared" si="36"/>
        <v>0</v>
      </c>
      <c r="DA7" s="44">
        <f t="shared" ref="DA7:DA70" si="105">IF($J7&lt;&gt;"H",CZ7,0)</f>
        <v>0</v>
      </c>
      <c r="DB7" s="44">
        <f t="shared" si="37"/>
        <v>0</v>
      </c>
      <c r="DC7" s="46">
        <f t="shared" si="38"/>
        <v>0</v>
      </c>
      <c r="DD7" s="47">
        <f t="shared" si="39"/>
        <v>0</v>
      </c>
      <c r="DE7" s="604">
        <f t="shared" ref="DE7:DE70" si="106">IF(YEAR($F7)=DE$4,$E7,0)</f>
        <v>0</v>
      </c>
      <c r="DF7" s="44">
        <f t="shared" ref="DF7:DF70" si="107">IF($J7&lt;&gt;"H",DE7,0)</f>
        <v>0</v>
      </c>
      <c r="DG7" s="44">
        <f t="shared" ref="DG7:DG70" si="108">IF(DE7&lt;&gt;0,ROUND(DE7*YEARFRAC($F7,DM$4,0),2),0)</f>
        <v>0</v>
      </c>
      <c r="DH7" s="44">
        <f t="shared" ref="DH7:DH70" si="109">IF($J7&lt;&gt;"H",DG7,0)</f>
        <v>0</v>
      </c>
      <c r="DI7" s="44">
        <f t="shared" ref="DI7:DI70" si="110">IF(AND($F7&gt;0,$F7&lt;=DM$4),$E7,0)</f>
        <v>0</v>
      </c>
      <c r="DJ7" s="44">
        <f t="shared" ref="DJ7:DJ70" si="111">IF(DK7&lt;&gt;0,ROUND(DK7/$L7*DI7,2),0)</f>
        <v>0</v>
      </c>
      <c r="DK7" s="44">
        <f t="shared" si="40"/>
        <v>0</v>
      </c>
      <c r="DL7" s="44">
        <f t="shared" ref="DL7:DL70" si="112">IF($J7&lt;&gt;"H",DK7,0)</f>
        <v>0</v>
      </c>
      <c r="DM7" s="44">
        <f t="shared" si="41"/>
        <v>0</v>
      </c>
      <c r="DN7" s="44">
        <f t="shared" ref="DN7:DN70" si="113">IF($J7&lt;&gt;"H",DM7,0)</f>
        <v>0</v>
      </c>
      <c r="DO7" s="44">
        <f t="shared" si="42"/>
        <v>0</v>
      </c>
      <c r="DP7" s="46">
        <f t="shared" si="43"/>
        <v>0</v>
      </c>
      <c r="DQ7" s="47">
        <f t="shared" si="44"/>
        <v>0</v>
      </c>
      <c r="DR7" s="604">
        <f t="shared" ref="DR7:DR70" si="114">IF(YEAR($F7)=DR$4,$E7,0)</f>
        <v>0</v>
      </c>
      <c r="DS7" s="44">
        <f t="shared" ref="DS7:DS70" si="115">IF($J7&lt;&gt;"H",DR7,0)</f>
        <v>0</v>
      </c>
      <c r="DT7" s="44">
        <f t="shared" ref="DT7:DT70" si="116">IF(DR7&lt;&gt;0,ROUND(DR7*YEARFRAC($F7,DZ$4,0),2),0)</f>
        <v>0</v>
      </c>
      <c r="DU7" s="44">
        <f t="shared" ref="DU7:DU70" si="117">IF($J7&lt;&gt;"H",DT7,0)</f>
        <v>0</v>
      </c>
      <c r="DV7" s="44">
        <f t="shared" ref="DV7:DV70" si="118">IF(AND($F7&gt;0,$F7&lt;=DZ$4),$E7,0)</f>
        <v>0</v>
      </c>
      <c r="DW7" s="44">
        <f t="shared" ref="DW7:DW70" si="119">IF(DX7&lt;&gt;0,ROUND(DX7/$L7*DV7,2),0)</f>
        <v>0</v>
      </c>
      <c r="DX7" s="44">
        <f t="shared" si="45"/>
        <v>0</v>
      </c>
      <c r="DY7" s="44">
        <f t="shared" ref="DY7:DY70" si="120">IF($J7&lt;&gt;"H",DX7,0)</f>
        <v>0</v>
      </c>
      <c r="DZ7" s="44">
        <f t="shared" si="46"/>
        <v>0</v>
      </c>
      <c r="EA7" s="44">
        <f t="shared" ref="EA7:EA70" si="121">IF($J7&lt;&gt;"H",DZ7,0)</f>
        <v>0</v>
      </c>
      <c r="EB7" s="44">
        <f t="shared" si="47"/>
        <v>0</v>
      </c>
      <c r="EC7" s="46">
        <f t="shared" si="48"/>
        <v>0</v>
      </c>
      <c r="ED7" s="47">
        <f t="shared" si="49"/>
        <v>0</v>
      </c>
    </row>
    <row r="8" spans="1:134" x14ac:dyDescent="0.35">
      <c r="A8" s="81">
        <v>1985</v>
      </c>
      <c r="B8" s="82" t="s">
        <v>183</v>
      </c>
      <c r="C8" s="82"/>
      <c r="D8" s="83" t="s">
        <v>41</v>
      </c>
      <c r="E8" s="87">
        <v>6000</v>
      </c>
      <c r="F8" s="85">
        <v>31048</v>
      </c>
      <c r="G8" s="86"/>
      <c r="H8" s="179"/>
      <c r="I8" s="180"/>
      <c r="J8" s="181"/>
      <c r="K8" s="42">
        <f t="shared" si="0"/>
        <v>0</v>
      </c>
      <c r="L8" s="43">
        <f t="shared" si="1"/>
        <v>0</v>
      </c>
      <c r="M8" s="44">
        <f t="shared" si="2"/>
        <v>6000</v>
      </c>
      <c r="N8" s="44"/>
      <c r="O8" s="44">
        <f t="shared" si="3"/>
        <v>0</v>
      </c>
      <c r="P8" s="45"/>
      <c r="Q8" s="44">
        <f t="shared" si="4"/>
        <v>6000</v>
      </c>
      <c r="R8" s="604">
        <f t="shared" si="50"/>
        <v>0</v>
      </c>
      <c r="S8" s="44">
        <f t="shared" si="51"/>
        <v>0</v>
      </c>
      <c r="T8" s="44">
        <f t="shared" si="52"/>
        <v>0</v>
      </c>
      <c r="U8" s="44">
        <f t="shared" si="53"/>
        <v>0</v>
      </c>
      <c r="V8" s="44">
        <f t="shared" si="54"/>
        <v>6000</v>
      </c>
      <c r="W8" s="44">
        <f t="shared" si="55"/>
        <v>0</v>
      </c>
      <c r="X8" s="44">
        <f t="shared" si="5"/>
        <v>0</v>
      </c>
      <c r="Y8" s="44">
        <f t="shared" si="56"/>
        <v>0</v>
      </c>
      <c r="Z8" s="44">
        <f t="shared" si="6"/>
        <v>6000</v>
      </c>
      <c r="AA8" s="44">
        <f t="shared" si="57"/>
        <v>6000</v>
      </c>
      <c r="AB8" s="44">
        <f t="shared" si="7"/>
        <v>0</v>
      </c>
      <c r="AC8" s="46">
        <f t="shared" si="8"/>
        <v>0</v>
      </c>
      <c r="AD8" s="47">
        <f t="shared" si="9"/>
        <v>0</v>
      </c>
      <c r="AE8" s="604">
        <f t="shared" si="58"/>
        <v>0</v>
      </c>
      <c r="AF8" s="44">
        <f t="shared" si="59"/>
        <v>0</v>
      </c>
      <c r="AG8" s="44">
        <f t="shared" si="60"/>
        <v>0</v>
      </c>
      <c r="AH8" s="44">
        <f t="shared" si="61"/>
        <v>0</v>
      </c>
      <c r="AI8" s="44">
        <f t="shared" si="62"/>
        <v>6000</v>
      </c>
      <c r="AJ8" s="44">
        <f t="shared" si="63"/>
        <v>0</v>
      </c>
      <c r="AK8" s="44">
        <f t="shared" si="10"/>
        <v>0</v>
      </c>
      <c r="AL8" s="44">
        <f t="shared" si="64"/>
        <v>0</v>
      </c>
      <c r="AM8" s="44">
        <f t="shared" si="11"/>
        <v>6000</v>
      </c>
      <c r="AN8" s="44">
        <f t="shared" si="65"/>
        <v>6000</v>
      </c>
      <c r="AO8" s="44">
        <f t="shared" si="12"/>
        <v>0</v>
      </c>
      <c r="AP8" s="46">
        <f t="shared" si="13"/>
        <v>0</v>
      </c>
      <c r="AQ8" s="47">
        <f t="shared" si="14"/>
        <v>0</v>
      </c>
      <c r="AR8" s="604">
        <f t="shared" si="66"/>
        <v>0</v>
      </c>
      <c r="AS8" s="44">
        <f t="shared" si="67"/>
        <v>0</v>
      </c>
      <c r="AT8" s="44">
        <f t="shared" si="68"/>
        <v>0</v>
      </c>
      <c r="AU8" s="44">
        <f t="shared" si="69"/>
        <v>0</v>
      </c>
      <c r="AV8" s="44">
        <f t="shared" si="70"/>
        <v>6000</v>
      </c>
      <c r="AW8" s="44">
        <f t="shared" si="71"/>
        <v>0</v>
      </c>
      <c r="AX8" s="44">
        <f t="shared" si="15"/>
        <v>0</v>
      </c>
      <c r="AY8" s="44">
        <f t="shared" si="72"/>
        <v>0</v>
      </c>
      <c r="AZ8" s="44">
        <f t="shared" si="16"/>
        <v>6000</v>
      </c>
      <c r="BA8" s="44">
        <f t="shared" si="73"/>
        <v>6000</v>
      </c>
      <c r="BB8" s="44">
        <f t="shared" si="17"/>
        <v>0</v>
      </c>
      <c r="BC8" s="46">
        <f t="shared" si="18"/>
        <v>0</v>
      </c>
      <c r="BD8" s="47">
        <f t="shared" si="19"/>
        <v>0</v>
      </c>
      <c r="BE8" s="604">
        <f t="shared" si="74"/>
        <v>0</v>
      </c>
      <c r="BF8" s="44">
        <f t="shared" si="75"/>
        <v>0</v>
      </c>
      <c r="BG8" s="44">
        <f t="shared" si="76"/>
        <v>0</v>
      </c>
      <c r="BH8" s="44">
        <f t="shared" si="77"/>
        <v>0</v>
      </c>
      <c r="BI8" s="44">
        <f t="shared" si="78"/>
        <v>6000</v>
      </c>
      <c r="BJ8" s="44">
        <f t="shared" si="79"/>
        <v>0</v>
      </c>
      <c r="BK8" s="44">
        <f t="shared" si="20"/>
        <v>0</v>
      </c>
      <c r="BL8" s="44">
        <f t="shared" si="80"/>
        <v>0</v>
      </c>
      <c r="BM8" s="44">
        <f t="shared" si="21"/>
        <v>6000</v>
      </c>
      <c r="BN8" s="44">
        <f t="shared" si="81"/>
        <v>6000</v>
      </c>
      <c r="BO8" s="44">
        <f t="shared" si="22"/>
        <v>0</v>
      </c>
      <c r="BP8" s="46">
        <f t="shared" si="23"/>
        <v>0</v>
      </c>
      <c r="BQ8" s="47">
        <f t="shared" si="24"/>
        <v>0</v>
      </c>
      <c r="BR8" s="604">
        <f t="shared" si="82"/>
        <v>0</v>
      </c>
      <c r="BS8" s="44">
        <f t="shared" si="83"/>
        <v>0</v>
      </c>
      <c r="BT8" s="44">
        <f t="shared" si="84"/>
        <v>0</v>
      </c>
      <c r="BU8" s="44">
        <f t="shared" si="85"/>
        <v>0</v>
      </c>
      <c r="BV8" s="44">
        <f t="shared" si="86"/>
        <v>6000</v>
      </c>
      <c r="BW8" s="44">
        <f t="shared" si="87"/>
        <v>0</v>
      </c>
      <c r="BX8" s="44">
        <f t="shared" si="25"/>
        <v>0</v>
      </c>
      <c r="BY8" s="44">
        <f t="shared" si="88"/>
        <v>0</v>
      </c>
      <c r="BZ8" s="44">
        <f t="shared" si="26"/>
        <v>6000</v>
      </c>
      <c r="CA8" s="44">
        <f t="shared" si="89"/>
        <v>6000</v>
      </c>
      <c r="CB8" s="44">
        <f t="shared" si="27"/>
        <v>0</v>
      </c>
      <c r="CC8" s="46">
        <f t="shared" si="28"/>
        <v>0</v>
      </c>
      <c r="CD8" s="47">
        <f t="shared" si="29"/>
        <v>0</v>
      </c>
      <c r="CE8" s="604">
        <f t="shared" si="90"/>
        <v>0</v>
      </c>
      <c r="CF8" s="44">
        <f t="shared" si="91"/>
        <v>0</v>
      </c>
      <c r="CG8" s="44">
        <f t="shared" si="92"/>
        <v>0</v>
      </c>
      <c r="CH8" s="44">
        <f t="shared" si="93"/>
        <v>0</v>
      </c>
      <c r="CI8" s="44">
        <f t="shared" si="94"/>
        <v>6000</v>
      </c>
      <c r="CJ8" s="44">
        <f t="shared" si="95"/>
        <v>0</v>
      </c>
      <c r="CK8" s="44">
        <f t="shared" si="30"/>
        <v>0</v>
      </c>
      <c r="CL8" s="44">
        <f t="shared" si="96"/>
        <v>0</v>
      </c>
      <c r="CM8" s="44">
        <f t="shared" si="31"/>
        <v>6000</v>
      </c>
      <c r="CN8" s="44">
        <f t="shared" si="97"/>
        <v>6000</v>
      </c>
      <c r="CO8" s="44">
        <f t="shared" si="32"/>
        <v>0</v>
      </c>
      <c r="CP8" s="46">
        <f t="shared" si="33"/>
        <v>0</v>
      </c>
      <c r="CQ8" s="47">
        <f t="shared" si="34"/>
        <v>0</v>
      </c>
      <c r="CR8" s="604">
        <f t="shared" si="98"/>
        <v>0</v>
      </c>
      <c r="CS8" s="44">
        <f t="shared" si="99"/>
        <v>0</v>
      </c>
      <c r="CT8" s="44">
        <f t="shared" si="100"/>
        <v>0</v>
      </c>
      <c r="CU8" s="44">
        <f t="shared" si="101"/>
        <v>0</v>
      </c>
      <c r="CV8" s="44">
        <f t="shared" si="102"/>
        <v>6000</v>
      </c>
      <c r="CW8" s="44">
        <f t="shared" si="103"/>
        <v>0</v>
      </c>
      <c r="CX8" s="44">
        <f t="shared" si="35"/>
        <v>0</v>
      </c>
      <c r="CY8" s="44">
        <f t="shared" si="104"/>
        <v>0</v>
      </c>
      <c r="CZ8" s="44">
        <f t="shared" si="36"/>
        <v>6000</v>
      </c>
      <c r="DA8" s="44">
        <f t="shared" si="105"/>
        <v>6000</v>
      </c>
      <c r="DB8" s="44">
        <f t="shared" si="37"/>
        <v>0</v>
      </c>
      <c r="DC8" s="46">
        <f t="shared" si="38"/>
        <v>0</v>
      </c>
      <c r="DD8" s="47">
        <f t="shared" si="39"/>
        <v>0</v>
      </c>
      <c r="DE8" s="604">
        <f t="shared" si="106"/>
        <v>0</v>
      </c>
      <c r="DF8" s="44">
        <f t="shared" si="107"/>
        <v>0</v>
      </c>
      <c r="DG8" s="44">
        <f t="shared" si="108"/>
        <v>0</v>
      </c>
      <c r="DH8" s="44">
        <f t="shared" si="109"/>
        <v>0</v>
      </c>
      <c r="DI8" s="44">
        <f t="shared" si="110"/>
        <v>6000</v>
      </c>
      <c r="DJ8" s="44">
        <f t="shared" si="111"/>
        <v>0</v>
      </c>
      <c r="DK8" s="44">
        <f t="shared" si="40"/>
        <v>0</v>
      </c>
      <c r="DL8" s="44">
        <f t="shared" si="112"/>
        <v>0</v>
      </c>
      <c r="DM8" s="44">
        <f t="shared" si="41"/>
        <v>6000</v>
      </c>
      <c r="DN8" s="44">
        <f t="shared" si="113"/>
        <v>6000</v>
      </c>
      <c r="DO8" s="44">
        <f t="shared" si="42"/>
        <v>0</v>
      </c>
      <c r="DP8" s="46">
        <f t="shared" si="43"/>
        <v>0</v>
      </c>
      <c r="DQ8" s="47">
        <f t="shared" si="44"/>
        <v>0</v>
      </c>
      <c r="DR8" s="604">
        <f t="shared" si="114"/>
        <v>0</v>
      </c>
      <c r="DS8" s="44">
        <f t="shared" si="115"/>
        <v>0</v>
      </c>
      <c r="DT8" s="44">
        <f t="shared" si="116"/>
        <v>0</v>
      </c>
      <c r="DU8" s="44">
        <f t="shared" si="117"/>
        <v>0</v>
      </c>
      <c r="DV8" s="44">
        <f t="shared" si="118"/>
        <v>6000</v>
      </c>
      <c r="DW8" s="44">
        <f t="shared" si="119"/>
        <v>0</v>
      </c>
      <c r="DX8" s="44">
        <f t="shared" si="45"/>
        <v>0</v>
      </c>
      <c r="DY8" s="44">
        <f t="shared" si="120"/>
        <v>0</v>
      </c>
      <c r="DZ8" s="44">
        <f t="shared" si="46"/>
        <v>6000</v>
      </c>
      <c r="EA8" s="44">
        <f t="shared" si="121"/>
        <v>6000</v>
      </c>
      <c r="EB8" s="44">
        <f t="shared" si="47"/>
        <v>0</v>
      </c>
      <c r="EC8" s="46">
        <f t="shared" si="48"/>
        <v>0</v>
      </c>
      <c r="ED8" s="47">
        <f t="shared" si="49"/>
        <v>0</v>
      </c>
    </row>
    <row r="9" spans="1:134" x14ac:dyDescent="0.35">
      <c r="A9" s="81">
        <v>1994</v>
      </c>
      <c r="B9" s="82" t="s">
        <v>184</v>
      </c>
      <c r="C9" s="82"/>
      <c r="D9" s="83" t="s">
        <v>49</v>
      </c>
      <c r="E9" s="87">
        <v>30000</v>
      </c>
      <c r="F9" s="85">
        <v>34335</v>
      </c>
      <c r="G9" s="86"/>
      <c r="H9" s="179"/>
      <c r="I9" s="180"/>
      <c r="J9" s="181"/>
      <c r="K9" s="42">
        <f t="shared" si="0"/>
        <v>0</v>
      </c>
      <c r="L9" s="43">
        <f t="shared" si="1"/>
        <v>0</v>
      </c>
      <c r="M9" s="44">
        <f t="shared" si="2"/>
        <v>30000</v>
      </c>
      <c r="N9" s="44"/>
      <c r="O9" s="44">
        <f t="shared" si="3"/>
        <v>0</v>
      </c>
      <c r="P9" s="45"/>
      <c r="Q9" s="44">
        <f t="shared" si="4"/>
        <v>30000</v>
      </c>
      <c r="R9" s="604">
        <f t="shared" si="50"/>
        <v>0</v>
      </c>
      <c r="S9" s="44">
        <f t="shared" si="51"/>
        <v>0</v>
      </c>
      <c r="T9" s="44">
        <f t="shared" si="52"/>
        <v>0</v>
      </c>
      <c r="U9" s="44">
        <f t="shared" si="53"/>
        <v>0</v>
      </c>
      <c r="V9" s="44">
        <f t="shared" si="54"/>
        <v>30000</v>
      </c>
      <c r="W9" s="44">
        <f t="shared" si="55"/>
        <v>0</v>
      </c>
      <c r="X9" s="44">
        <f t="shared" si="5"/>
        <v>0</v>
      </c>
      <c r="Y9" s="44">
        <f t="shared" si="56"/>
        <v>0</v>
      </c>
      <c r="Z9" s="44">
        <f t="shared" si="6"/>
        <v>30000</v>
      </c>
      <c r="AA9" s="44">
        <f t="shared" si="57"/>
        <v>30000</v>
      </c>
      <c r="AB9" s="44">
        <f t="shared" si="7"/>
        <v>0</v>
      </c>
      <c r="AC9" s="46">
        <f t="shared" si="8"/>
        <v>0</v>
      </c>
      <c r="AD9" s="47">
        <f t="shared" si="9"/>
        <v>0</v>
      </c>
      <c r="AE9" s="604">
        <f t="shared" si="58"/>
        <v>0</v>
      </c>
      <c r="AF9" s="44">
        <f t="shared" si="59"/>
        <v>0</v>
      </c>
      <c r="AG9" s="44">
        <f t="shared" si="60"/>
        <v>0</v>
      </c>
      <c r="AH9" s="44">
        <f t="shared" si="61"/>
        <v>0</v>
      </c>
      <c r="AI9" s="44">
        <f t="shared" si="62"/>
        <v>30000</v>
      </c>
      <c r="AJ9" s="44">
        <f t="shared" si="63"/>
        <v>0</v>
      </c>
      <c r="AK9" s="44">
        <f t="shared" si="10"/>
        <v>0</v>
      </c>
      <c r="AL9" s="44">
        <f t="shared" si="64"/>
        <v>0</v>
      </c>
      <c r="AM9" s="44">
        <f t="shared" si="11"/>
        <v>30000</v>
      </c>
      <c r="AN9" s="44">
        <f t="shared" si="65"/>
        <v>30000</v>
      </c>
      <c r="AO9" s="44">
        <f t="shared" si="12"/>
        <v>0</v>
      </c>
      <c r="AP9" s="46">
        <f t="shared" si="13"/>
        <v>0</v>
      </c>
      <c r="AQ9" s="47">
        <f t="shared" si="14"/>
        <v>0</v>
      </c>
      <c r="AR9" s="604">
        <f t="shared" si="66"/>
        <v>0</v>
      </c>
      <c r="AS9" s="44">
        <f t="shared" si="67"/>
        <v>0</v>
      </c>
      <c r="AT9" s="44">
        <f t="shared" si="68"/>
        <v>0</v>
      </c>
      <c r="AU9" s="44">
        <f t="shared" si="69"/>
        <v>0</v>
      </c>
      <c r="AV9" s="44">
        <f t="shared" si="70"/>
        <v>30000</v>
      </c>
      <c r="AW9" s="44">
        <f t="shared" si="71"/>
        <v>0</v>
      </c>
      <c r="AX9" s="44">
        <f t="shared" si="15"/>
        <v>0</v>
      </c>
      <c r="AY9" s="44">
        <f t="shared" si="72"/>
        <v>0</v>
      </c>
      <c r="AZ9" s="44">
        <f t="shared" si="16"/>
        <v>30000</v>
      </c>
      <c r="BA9" s="44">
        <f t="shared" si="73"/>
        <v>30000</v>
      </c>
      <c r="BB9" s="44">
        <f t="shared" si="17"/>
        <v>0</v>
      </c>
      <c r="BC9" s="46">
        <f t="shared" si="18"/>
        <v>0</v>
      </c>
      <c r="BD9" s="47">
        <f t="shared" si="19"/>
        <v>0</v>
      </c>
      <c r="BE9" s="604">
        <f t="shared" si="74"/>
        <v>0</v>
      </c>
      <c r="BF9" s="44">
        <f t="shared" si="75"/>
        <v>0</v>
      </c>
      <c r="BG9" s="44">
        <f t="shared" si="76"/>
        <v>0</v>
      </c>
      <c r="BH9" s="44">
        <f t="shared" si="77"/>
        <v>0</v>
      </c>
      <c r="BI9" s="44">
        <f t="shared" si="78"/>
        <v>30000</v>
      </c>
      <c r="BJ9" s="44">
        <f t="shared" si="79"/>
        <v>0</v>
      </c>
      <c r="BK9" s="44">
        <f t="shared" si="20"/>
        <v>0</v>
      </c>
      <c r="BL9" s="44">
        <f t="shared" si="80"/>
        <v>0</v>
      </c>
      <c r="BM9" s="44">
        <f t="shared" si="21"/>
        <v>30000</v>
      </c>
      <c r="BN9" s="44">
        <f t="shared" si="81"/>
        <v>30000</v>
      </c>
      <c r="BO9" s="44">
        <f t="shared" si="22"/>
        <v>0</v>
      </c>
      <c r="BP9" s="46">
        <f t="shared" si="23"/>
        <v>0</v>
      </c>
      <c r="BQ9" s="47">
        <f t="shared" si="24"/>
        <v>0</v>
      </c>
      <c r="BR9" s="604">
        <f t="shared" si="82"/>
        <v>0</v>
      </c>
      <c r="BS9" s="44">
        <f t="shared" si="83"/>
        <v>0</v>
      </c>
      <c r="BT9" s="44">
        <f t="shared" si="84"/>
        <v>0</v>
      </c>
      <c r="BU9" s="44">
        <f t="shared" si="85"/>
        <v>0</v>
      </c>
      <c r="BV9" s="44">
        <f t="shared" si="86"/>
        <v>30000</v>
      </c>
      <c r="BW9" s="44">
        <f t="shared" si="87"/>
        <v>0</v>
      </c>
      <c r="BX9" s="44">
        <f t="shared" si="25"/>
        <v>0</v>
      </c>
      <c r="BY9" s="44">
        <f t="shared" si="88"/>
        <v>0</v>
      </c>
      <c r="BZ9" s="44">
        <f t="shared" si="26"/>
        <v>30000</v>
      </c>
      <c r="CA9" s="44">
        <f t="shared" si="89"/>
        <v>30000</v>
      </c>
      <c r="CB9" s="44">
        <f t="shared" si="27"/>
        <v>0</v>
      </c>
      <c r="CC9" s="46">
        <f t="shared" si="28"/>
        <v>0</v>
      </c>
      <c r="CD9" s="47">
        <f t="shared" si="29"/>
        <v>0</v>
      </c>
      <c r="CE9" s="604">
        <f t="shared" si="90"/>
        <v>0</v>
      </c>
      <c r="CF9" s="44">
        <f t="shared" si="91"/>
        <v>0</v>
      </c>
      <c r="CG9" s="44">
        <f t="shared" si="92"/>
        <v>0</v>
      </c>
      <c r="CH9" s="44">
        <f t="shared" si="93"/>
        <v>0</v>
      </c>
      <c r="CI9" s="44">
        <f t="shared" si="94"/>
        <v>30000</v>
      </c>
      <c r="CJ9" s="44">
        <f t="shared" si="95"/>
        <v>0</v>
      </c>
      <c r="CK9" s="44">
        <f t="shared" si="30"/>
        <v>0</v>
      </c>
      <c r="CL9" s="44">
        <f t="shared" si="96"/>
        <v>0</v>
      </c>
      <c r="CM9" s="44">
        <f t="shared" si="31"/>
        <v>30000</v>
      </c>
      <c r="CN9" s="44">
        <f t="shared" si="97"/>
        <v>30000</v>
      </c>
      <c r="CO9" s="44">
        <f t="shared" si="32"/>
        <v>0</v>
      </c>
      <c r="CP9" s="46">
        <f t="shared" si="33"/>
        <v>0</v>
      </c>
      <c r="CQ9" s="47">
        <f t="shared" si="34"/>
        <v>0</v>
      </c>
      <c r="CR9" s="604">
        <f t="shared" si="98"/>
        <v>0</v>
      </c>
      <c r="CS9" s="44">
        <f t="shared" si="99"/>
        <v>0</v>
      </c>
      <c r="CT9" s="44">
        <f t="shared" si="100"/>
        <v>0</v>
      </c>
      <c r="CU9" s="44">
        <f t="shared" si="101"/>
        <v>0</v>
      </c>
      <c r="CV9" s="44">
        <f t="shared" si="102"/>
        <v>30000</v>
      </c>
      <c r="CW9" s="44">
        <f t="shared" si="103"/>
        <v>0</v>
      </c>
      <c r="CX9" s="44">
        <f t="shared" si="35"/>
        <v>0</v>
      </c>
      <c r="CY9" s="44">
        <f t="shared" si="104"/>
        <v>0</v>
      </c>
      <c r="CZ9" s="44">
        <f t="shared" si="36"/>
        <v>30000</v>
      </c>
      <c r="DA9" s="44">
        <f t="shared" si="105"/>
        <v>30000</v>
      </c>
      <c r="DB9" s="44">
        <f t="shared" si="37"/>
        <v>0</v>
      </c>
      <c r="DC9" s="46">
        <f t="shared" si="38"/>
        <v>0</v>
      </c>
      <c r="DD9" s="47">
        <f t="shared" si="39"/>
        <v>0</v>
      </c>
      <c r="DE9" s="604">
        <f t="shared" si="106"/>
        <v>0</v>
      </c>
      <c r="DF9" s="44">
        <f t="shared" si="107"/>
        <v>0</v>
      </c>
      <c r="DG9" s="44">
        <f t="shared" si="108"/>
        <v>0</v>
      </c>
      <c r="DH9" s="44">
        <f t="shared" si="109"/>
        <v>0</v>
      </c>
      <c r="DI9" s="44">
        <f t="shared" si="110"/>
        <v>30000</v>
      </c>
      <c r="DJ9" s="44">
        <f t="shared" si="111"/>
        <v>0</v>
      </c>
      <c r="DK9" s="44">
        <f t="shared" si="40"/>
        <v>0</v>
      </c>
      <c r="DL9" s="44">
        <f t="shared" si="112"/>
        <v>0</v>
      </c>
      <c r="DM9" s="44">
        <f t="shared" si="41"/>
        <v>30000</v>
      </c>
      <c r="DN9" s="44">
        <f t="shared" si="113"/>
        <v>30000</v>
      </c>
      <c r="DO9" s="44">
        <f t="shared" si="42"/>
        <v>0</v>
      </c>
      <c r="DP9" s="46">
        <f t="shared" si="43"/>
        <v>0</v>
      </c>
      <c r="DQ9" s="47">
        <f t="shared" si="44"/>
        <v>0</v>
      </c>
      <c r="DR9" s="604">
        <f t="shared" si="114"/>
        <v>0</v>
      </c>
      <c r="DS9" s="44">
        <f t="shared" si="115"/>
        <v>0</v>
      </c>
      <c r="DT9" s="44">
        <f t="shared" si="116"/>
        <v>0</v>
      </c>
      <c r="DU9" s="44">
        <f t="shared" si="117"/>
        <v>0</v>
      </c>
      <c r="DV9" s="44">
        <f t="shared" si="118"/>
        <v>30000</v>
      </c>
      <c r="DW9" s="44">
        <f t="shared" si="119"/>
        <v>0</v>
      </c>
      <c r="DX9" s="44">
        <f t="shared" si="45"/>
        <v>0</v>
      </c>
      <c r="DY9" s="44">
        <f t="shared" si="120"/>
        <v>0</v>
      </c>
      <c r="DZ9" s="44">
        <f t="shared" si="46"/>
        <v>30000</v>
      </c>
      <c r="EA9" s="44">
        <f t="shared" si="121"/>
        <v>30000</v>
      </c>
      <c r="EB9" s="44">
        <f t="shared" si="47"/>
        <v>0</v>
      </c>
      <c r="EC9" s="46">
        <f t="shared" si="48"/>
        <v>0</v>
      </c>
      <c r="ED9" s="47">
        <f t="shared" si="49"/>
        <v>0</v>
      </c>
    </row>
    <row r="10" spans="1:134" x14ac:dyDescent="0.35">
      <c r="A10" s="81">
        <v>1996</v>
      </c>
      <c r="B10" s="82" t="s">
        <v>185</v>
      </c>
      <c r="C10" s="82"/>
      <c r="D10" s="83" t="s">
        <v>49</v>
      </c>
      <c r="E10" s="87">
        <v>30000</v>
      </c>
      <c r="F10" s="85">
        <v>35065</v>
      </c>
      <c r="G10" s="86"/>
      <c r="H10" s="179"/>
      <c r="I10" s="180"/>
      <c r="J10" s="181"/>
      <c r="K10" s="42">
        <f t="shared" si="0"/>
        <v>0</v>
      </c>
      <c r="L10" s="43">
        <f t="shared" si="1"/>
        <v>0</v>
      </c>
      <c r="M10" s="44">
        <f t="shared" si="2"/>
        <v>30000</v>
      </c>
      <c r="N10" s="44"/>
      <c r="O10" s="44">
        <f t="shared" si="3"/>
        <v>0</v>
      </c>
      <c r="P10" s="45"/>
      <c r="Q10" s="44">
        <f t="shared" si="4"/>
        <v>30000</v>
      </c>
      <c r="R10" s="604">
        <f t="shared" si="50"/>
        <v>0</v>
      </c>
      <c r="S10" s="44">
        <f t="shared" si="51"/>
        <v>0</v>
      </c>
      <c r="T10" s="44">
        <f t="shared" si="52"/>
        <v>0</v>
      </c>
      <c r="U10" s="44">
        <f t="shared" si="53"/>
        <v>0</v>
      </c>
      <c r="V10" s="44">
        <f t="shared" si="54"/>
        <v>30000</v>
      </c>
      <c r="W10" s="44">
        <f t="shared" si="55"/>
        <v>0</v>
      </c>
      <c r="X10" s="44">
        <f t="shared" si="5"/>
        <v>0</v>
      </c>
      <c r="Y10" s="44">
        <f t="shared" si="56"/>
        <v>0</v>
      </c>
      <c r="Z10" s="44">
        <f t="shared" si="6"/>
        <v>30000</v>
      </c>
      <c r="AA10" s="44">
        <f t="shared" si="57"/>
        <v>30000</v>
      </c>
      <c r="AB10" s="44">
        <f t="shared" si="7"/>
        <v>0</v>
      </c>
      <c r="AC10" s="46">
        <f t="shared" si="8"/>
        <v>0</v>
      </c>
      <c r="AD10" s="47">
        <f t="shared" si="9"/>
        <v>0</v>
      </c>
      <c r="AE10" s="604">
        <f t="shared" si="58"/>
        <v>0</v>
      </c>
      <c r="AF10" s="44">
        <f t="shared" si="59"/>
        <v>0</v>
      </c>
      <c r="AG10" s="44">
        <f t="shared" si="60"/>
        <v>0</v>
      </c>
      <c r="AH10" s="44">
        <f t="shared" si="61"/>
        <v>0</v>
      </c>
      <c r="AI10" s="44">
        <f t="shared" si="62"/>
        <v>30000</v>
      </c>
      <c r="AJ10" s="44">
        <f t="shared" si="63"/>
        <v>0</v>
      </c>
      <c r="AK10" s="44">
        <f t="shared" si="10"/>
        <v>0</v>
      </c>
      <c r="AL10" s="44">
        <f t="shared" si="64"/>
        <v>0</v>
      </c>
      <c r="AM10" s="44">
        <f t="shared" si="11"/>
        <v>30000</v>
      </c>
      <c r="AN10" s="44">
        <f t="shared" si="65"/>
        <v>30000</v>
      </c>
      <c r="AO10" s="44">
        <f t="shared" si="12"/>
        <v>0</v>
      </c>
      <c r="AP10" s="46">
        <f t="shared" si="13"/>
        <v>0</v>
      </c>
      <c r="AQ10" s="47">
        <f t="shared" si="14"/>
        <v>0</v>
      </c>
      <c r="AR10" s="604">
        <f t="shared" si="66"/>
        <v>0</v>
      </c>
      <c r="AS10" s="44">
        <f t="shared" si="67"/>
        <v>0</v>
      </c>
      <c r="AT10" s="44">
        <f t="shared" si="68"/>
        <v>0</v>
      </c>
      <c r="AU10" s="44">
        <f t="shared" si="69"/>
        <v>0</v>
      </c>
      <c r="AV10" s="44">
        <f t="shared" si="70"/>
        <v>30000</v>
      </c>
      <c r="AW10" s="44">
        <f t="shared" si="71"/>
        <v>0</v>
      </c>
      <c r="AX10" s="44">
        <f t="shared" si="15"/>
        <v>0</v>
      </c>
      <c r="AY10" s="44">
        <f t="shared" si="72"/>
        <v>0</v>
      </c>
      <c r="AZ10" s="44">
        <f t="shared" si="16"/>
        <v>30000</v>
      </c>
      <c r="BA10" s="44">
        <f t="shared" si="73"/>
        <v>30000</v>
      </c>
      <c r="BB10" s="44">
        <f t="shared" si="17"/>
        <v>0</v>
      </c>
      <c r="BC10" s="46">
        <f t="shared" si="18"/>
        <v>0</v>
      </c>
      <c r="BD10" s="47">
        <f t="shared" si="19"/>
        <v>0</v>
      </c>
      <c r="BE10" s="604">
        <f t="shared" si="74"/>
        <v>0</v>
      </c>
      <c r="BF10" s="44">
        <f t="shared" si="75"/>
        <v>0</v>
      </c>
      <c r="BG10" s="44">
        <f t="shared" si="76"/>
        <v>0</v>
      </c>
      <c r="BH10" s="44">
        <f t="shared" si="77"/>
        <v>0</v>
      </c>
      <c r="BI10" s="44">
        <f t="shared" si="78"/>
        <v>30000</v>
      </c>
      <c r="BJ10" s="44">
        <f t="shared" si="79"/>
        <v>0</v>
      </c>
      <c r="BK10" s="44">
        <f t="shared" si="20"/>
        <v>0</v>
      </c>
      <c r="BL10" s="44">
        <f t="shared" si="80"/>
        <v>0</v>
      </c>
      <c r="BM10" s="44">
        <f t="shared" si="21"/>
        <v>30000</v>
      </c>
      <c r="BN10" s="44">
        <f t="shared" si="81"/>
        <v>30000</v>
      </c>
      <c r="BO10" s="44">
        <f t="shared" si="22"/>
        <v>0</v>
      </c>
      <c r="BP10" s="46">
        <f t="shared" si="23"/>
        <v>0</v>
      </c>
      <c r="BQ10" s="47">
        <f t="shared" si="24"/>
        <v>0</v>
      </c>
      <c r="BR10" s="604">
        <f t="shared" si="82"/>
        <v>0</v>
      </c>
      <c r="BS10" s="44">
        <f t="shared" si="83"/>
        <v>0</v>
      </c>
      <c r="BT10" s="44">
        <f t="shared" si="84"/>
        <v>0</v>
      </c>
      <c r="BU10" s="44">
        <f t="shared" si="85"/>
        <v>0</v>
      </c>
      <c r="BV10" s="44">
        <f t="shared" si="86"/>
        <v>30000</v>
      </c>
      <c r="BW10" s="44">
        <f t="shared" si="87"/>
        <v>0</v>
      </c>
      <c r="BX10" s="44">
        <f t="shared" si="25"/>
        <v>0</v>
      </c>
      <c r="BY10" s="44">
        <f t="shared" si="88"/>
        <v>0</v>
      </c>
      <c r="BZ10" s="44">
        <f t="shared" si="26"/>
        <v>30000</v>
      </c>
      <c r="CA10" s="44">
        <f t="shared" si="89"/>
        <v>30000</v>
      </c>
      <c r="CB10" s="44">
        <f t="shared" si="27"/>
        <v>0</v>
      </c>
      <c r="CC10" s="46">
        <f t="shared" si="28"/>
        <v>0</v>
      </c>
      <c r="CD10" s="47">
        <f t="shared" si="29"/>
        <v>0</v>
      </c>
      <c r="CE10" s="604">
        <f t="shared" si="90"/>
        <v>0</v>
      </c>
      <c r="CF10" s="44">
        <f t="shared" si="91"/>
        <v>0</v>
      </c>
      <c r="CG10" s="44">
        <f t="shared" si="92"/>
        <v>0</v>
      </c>
      <c r="CH10" s="44">
        <f t="shared" si="93"/>
        <v>0</v>
      </c>
      <c r="CI10" s="44">
        <f t="shared" si="94"/>
        <v>30000</v>
      </c>
      <c r="CJ10" s="44">
        <f t="shared" si="95"/>
        <v>0</v>
      </c>
      <c r="CK10" s="44">
        <f t="shared" si="30"/>
        <v>0</v>
      </c>
      <c r="CL10" s="44">
        <f t="shared" si="96"/>
        <v>0</v>
      </c>
      <c r="CM10" s="44">
        <f t="shared" si="31"/>
        <v>30000</v>
      </c>
      <c r="CN10" s="44">
        <f t="shared" si="97"/>
        <v>30000</v>
      </c>
      <c r="CO10" s="44">
        <f t="shared" si="32"/>
        <v>0</v>
      </c>
      <c r="CP10" s="46">
        <f t="shared" si="33"/>
        <v>0</v>
      </c>
      <c r="CQ10" s="47">
        <f t="shared" si="34"/>
        <v>0</v>
      </c>
      <c r="CR10" s="604">
        <f t="shared" si="98"/>
        <v>0</v>
      </c>
      <c r="CS10" s="44">
        <f t="shared" si="99"/>
        <v>0</v>
      </c>
      <c r="CT10" s="44">
        <f t="shared" si="100"/>
        <v>0</v>
      </c>
      <c r="CU10" s="44">
        <f t="shared" si="101"/>
        <v>0</v>
      </c>
      <c r="CV10" s="44">
        <f t="shared" si="102"/>
        <v>30000</v>
      </c>
      <c r="CW10" s="44">
        <f t="shared" si="103"/>
        <v>0</v>
      </c>
      <c r="CX10" s="44">
        <f t="shared" si="35"/>
        <v>0</v>
      </c>
      <c r="CY10" s="44">
        <f t="shared" si="104"/>
        <v>0</v>
      </c>
      <c r="CZ10" s="44">
        <f t="shared" si="36"/>
        <v>30000</v>
      </c>
      <c r="DA10" s="44">
        <f t="shared" si="105"/>
        <v>30000</v>
      </c>
      <c r="DB10" s="44">
        <f t="shared" si="37"/>
        <v>0</v>
      </c>
      <c r="DC10" s="46">
        <f t="shared" si="38"/>
        <v>0</v>
      </c>
      <c r="DD10" s="47">
        <f t="shared" si="39"/>
        <v>0</v>
      </c>
      <c r="DE10" s="604">
        <f t="shared" si="106"/>
        <v>0</v>
      </c>
      <c r="DF10" s="44">
        <f t="shared" si="107"/>
        <v>0</v>
      </c>
      <c r="DG10" s="44">
        <f t="shared" si="108"/>
        <v>0</v>
      </c>
      <c r="DH10" s="44">
        <f t="shared" si="109"/>
        <v>0</v>
      </c>
      <c r="DI10" s="44">
        <f t="shared" si="110"/>
        <v>30000</v>
      </c>
      <c r="DJ10" s="44">
        <f t="shared" si="111"/>
        <v>0</v>
      </c>
      <c r="DK10" s="44">
        <f t="shared" si="40"/>
        <v>0</v>
      </c>
      <c r="DL10" s="44">
        <f t="shared" si="112"/>
        <v>0</v>
      </c>
      <c r="DM10" s="44">
        <f t="shared" si="41"/>
        <v>30000</v>
      </c>
      <c r="DN10" s="44">
        <f t="shared" si="113"/>
        <v>30000</v>
      </c>
      <c r="DO10" s="44">
        <f t="shared" si="42"/>
        <v>0</v>
      </c>
      <c r="DP10" s="46">
        <f t="shared" si="43"/>
        <v>0</v>
      </c>
      <c r="DQ10" s="47">
        <f t="shared" si="44"/>
        <v>0</v>
      </c>
      <c r="DR10" s="604">
        <f t="shared" si="114"/>
        <v>0</v>
      </c>
      <c r="DS10" s="44">
        <f t="shared" si="115"/>
        <v>0</v>
      </c>
      <c r="DT10" s="44">
        <f t="shared" si="116"/>
        <v>0</v>
      </c>
      <c r="DU10" s="44">
        <f t="shared" si="117"/>
        <v>0</v>
      </c>
      <c r="DV10" s="44">
        <f t="shared" si="118"/>
        <v>30000</v>
      </c>
      <c r="DW10" s="44">
        <f t="shared" si="119"/>
        <v>0</v>
      </c>
      <c r="DX10" s="44">
        <f t="shared" si="45"/>
        <v>0</v>
      </c>
      <c r="DY10" s="44">
        <f t="shared" si="120"/>
        <v>0</v>
      </c>
      <c r="DZ10" s="44">
        <f t="shared" si="46"/>
        <v>30000</v>
      </c>
      <c r="EA10" s="44">
        <f t="shared" si="121"/>
        <v>30000</v>
      </c>
      <c r="EB10" s="44">
        <f t="shared" si="47"/>
        <v>0</v>
      </c>
      <c r="EC10" s="46">
        <f t="shared" si="48"/>
        <v>0</v>
      </c>
      <c r="ED10" s="47">
        <f t="shared" si="49"/>
        <v>0</v>
      </c>
    </row>
    <row r="11" spans="1:134" x14ac:dyDescent="0.35">
      <c r="A11" s="81">
        <v>1998</v>
      </c>
      <c r="B11" s="82" t="s">
        <v>186</v>
      </c>
      <c r="C11" s="82"/>
      <c r="D11" s="83" t="s">
        <v>15</v>
      </c>
      <c r="E11" s="87">
        <v>21000</v>
      </c>
      <c r="F11" s="85">
        <v>35796</v>
      </c>
      <c r="G11" s="86"/>
      <c r="H11" s="179"/>
      <c r="I11" s="180"/>
      <c r="J11" s="181"/>
      <c r="K11" s="42">
        <f t="shared" si="0"/>
        <v>0</v>
      </c>
      <c r="L11" s="43">
        <f t="shared" si="1"/>
        <v>0</v>
      </c>
      <c r="M11" s="44">
        <f t="shared" si="2"/>
        <v>21000</v>
      </c>
      <c r="N11" s="44"/>
      <c r="O11" s="44">
        <f t="shared" si="3"/>
        <v>0</v>
      </c>
      <c r="P11" s="45"/>
      <c r="Q11" s="44">
        <f t="shared" si="4"/>
        <v>21000</v>
      </c>
      <c r="R11" s="604">
        <f t="shared" si="50"/>
        <v>0</v>
      </c>
      <c r="S11" s="44">
        <f t="shared" si="51"/>
        <v>0</v>
      </c>
      <c r="T11" s="44">
        <f t="shared" si="52"/>
        <v>0</v>
      </c>
      <c r="U11" s="44">
        <f t="shared" si="53"/>
        <v>0</v>
      </c>
      <c r="V11" s="44">
        <f t="shared" si="54"/>
        <v>21000</v>
      </c>
      <c r="W11" s="44">
        <f t="shared" si="55"/>
        <v>0</v>
      </c>
      <c r="X11" s="44">
        <f t="shared" si="5"/>
        <v>0</v>
      </c>
      <c r="Y11" s="44">
        <f t="shared" si="56"/>
        <v>0</v>
      </c>
      <c r="Z11" s="44">
        <f t="shared" si="6"/>
        <v>21000</v>
      </c>
      <c r="AA11" s="44">
        <f t="shared" si="57"/>
        <v>21000</v>
      </c>
      <c r="AB11" s="44">
        <f t="shared" si="7"/>
        <v>0</v>
      </c>
      <c r="AC11" s="46">
        <f t="shared" si="8"/>
        <v>0</v>
      </c>
      <c r="AD11" s="47">
        <f t="shared" si="9"/>
        <v>0</v>
      </c>
      <c r="AE11" s="604">
        <f t="shared" si="58"/>
        <v>0</v>
      </c>
      <c r="AF11" s="44">
        <f t="shared" si="59"/>
        <v>0</v>
      </c>
      <c r="AG11" s="44">
        <f t="shared" si="60"/>
        <v>0</v>
      </c>
      <c r="AH11" s="44">
        <f t="shared" si="61"/>
        <v>0</v>
      </c>
      <c r="AI11" s="44">
        <f t="shared" si="62"/>
        <v>21000</v>
      </c>
      <c r="AJ11" s="44">
        <f t="shared" si="63"/>
        <v>0</v>
      </c>
      <c r="AK11" s="44">
        <f t="shared" si="10"/>
        <v>0</v>
      </c>
      <c r="AL11" s="44">
        <f t="shared" si="64"/>
        <v>0</v>
      </c>
      <c r="AM11" s="44">
        <f t="shared" si="11"/>
        <v>21000</v>
      </c>
      <c r="AN11" s="44">
        <f t="shared" si="65"/>
        <v>21000</v>
      </c>
      <c r="AO11" s="44">
        <f t="shared" si="12"/>
        <v>0</v>
      </c>
      <c r="AP11" s="46">
        <f t="shared" si="13"/>
        <v>0</v>
      </c>
      <c r="AQ11" s="47">
        <f t="shared" si="14"/>
        <v>0</v>
      </c>
      <c r="AR11" s="604">
        <f t="shared" si="66"/>
        <v>0</v>
      </c>
      <c r="AS11" s="44">
        <f t="shared" si="67"/>
        <v>0</v>
      </c>
      <c r="AT11" s="44">
        <f t="shared" si="68"/>
        <v>0</v>
      </c>
      <c r="AU11" s="44">
        <f t="shared" si="69"/>
        <v>0</v>
      </c>
      <c r="AV11" s="44">
        <f t="shared" si="70"/>
        <v>21000</v>
      </c>
      <c r="AW11" s="44">
        <f t="shared" si="71"/>
        <v>0</v>
      </c>
      <c r="AX11" s="44">
        <f t="shared" si="15"/>
        <v>0</v>
      </c>
      <c r="AY11" s="44">
        <f t="shared" si="72"/>
        <v>0</v>
      </c>
      <c r="AZ11" s="44">
        <f t="shared" si="16"/>
        <v>21000</v>
      </c>
      <c r="BA11" s="44">
        <f t="shared" si="73"/>
        <v>21000</v>
      </c>
      <c r="BB11" s="44">
        <f t="shared" si="17"/>
        <v>0</v>
      </c>
      <c r="BC11" s="46">
        <f t="shared" si="18"/>
        <v>0</v>
      </c>
      <c r="BD11" s="47">
        <f t="shared" si="19"/>
        <v>0</v>
      </c>
      <c r="BE11" s="604">
        <f t="shared" si="74"/>
        <v>0</v>
      </c>
      <c r="BF11" s="44">
        <f t="shared" si="75"/>
        <v>0</v>
      </c>
      <c r="BG11" s="44">
        <f t="shared" si="76"/>
        <v>0</v>
      </c>
      <c r="BH11" s="44">
        <f t="shared" si="77"/>
        <v>0</v>
      </c>
      <c r="BI11" s="44">
        <f t="shared" si="78"/>
        <v>21000</v>
      </c>
      <c r="BJ11" s="44">
        <f t="shared" si="79"/>
        <v>0</v>
      </c>
      <c r="BK11" s="44">
        <f t="shared" si="20"/>
        <v>0</v>
      </c>
      <c r="BL11" s="44">
        <f t="shared" si="80"/>
        <v>0</v>
      </c>
      <c r="BM11" s="44">
        <f t="shared" si="21"/>
        <v>21000</v>
      </c>
      <c r="BN11" s="44">
        <f t="shared" si="81"/>
        <v>21000</v>
      </c>
      <c r="BO11" s="44">
        <f t="shared" si="22"/>
        <v>0</v>
      </c>
      <c r="BP11" s="46">
        <f t="shared" si="23"/>
        <v>0</v>
      </c>
      <c r="BQ11" s="47">
        <f t="shared" si="24"/>
        <v>0</v>
      </c>
      <c r="BR11" s="604">
        <f t="shared" si="82"/>
        <v>0</v>
      </c>
      <c r="BS11" s="44">
        <f t="shared" si="83"/>
        <v>0</v>
      </c>
      <c r="BT11" s="44">
        <f t="shared" si="84"/>
        <v>0</v>
      </c>
      <c r="BU11" s="44">
        <f t="shared" si="85"/>
        <v>0</v>
      </c>
      <c r="BV11" s="44">
        <f t="shared" si="86"/>
        <v>21000</v>
      </c>
      <c r="BW11" s="44">
        <f t="shared" si="87"/>
        <v>0</v>
      </c>
      <c r="BX11" s="44">
        <f t="shared" si="25"/>
        <v>0</v>
      </c>
      <c r="BY11" s="44">
        <f t="shared" si="88"/>
        <v>0</v>
      </c>
      <c r="BZ11" s="44">
        <f t="shared" si="26"/>
        <v>21000</v>
      </c>
      <c r="CA11" s="44">
        <f t="shared" si="89"/>
        <v>21000</v>
      </c>
      <c r="CB11" s="44">
        <f t="shared" si="27"/>
        <v>0</v>
      </c>
      <c r="CC11" s="46">
        <f t="shared" si="28"/>
        <v>0</v>
      </c>
      <c r="CD11" s="47">
        <f t="shared" si="29"/>
        <v>0</v>
      </c>
      <c r="CE11" s="604">
        <f t="shared" si="90"/>
        <v>0</v>
      </c>
      <c r="CF11" s="44">
        <f t="shared" si="91"/>
        <v>0</v>
      </c>
      <c r="CG11" s="44">
        <f t="shared" si="92"/>
        <v>0</v>
      </c>
      <c r="CH11" s="44">
        <f t="shared" si="93"/>
        <v>0</v>
      </c>
      <c r="CI11" s="44">
        <f t="shared" si="94"/>
        <v>21000</v>
      </c>
      <c r="CJ11" s="44">
        <f t="shared" si="95"/>
        <v>0</v>
      </c>
      <c r="CK11" s="44">
        <f t="shared" si="30"/>
        <v>0</v>
      </c>
      <c r="CL11" s="44">
        <f t="shared" si="96"/>
        <v>0</v>
      </c>
      <c r="CM11" s="44">
        <f t="shared" si="31"/>
        <v>21000</v>
      </c>
      <c r="CN11" s="44">
        <f t="shared" si="97"/>
        <v>21000</v>
      </c>
      <c r="CO11" s="44">
        <f t="shared" si="32"/>
        <v>0</v>
      </c>
      <c r="CP11" s="46">
        <f t="shared" si="33"/>
        <v>0</v>
      </c>
      <c r="CQ11" s="47">
        <f t="shared" si="34"/>
        <v>0</v>
      </c>
      <c r="CR11" s="604">
        <f t="shared" si="98"/>
        <v>0</v>
      </c>
      <c r="CS11" s="44">
        <f t="shared" si="99"/>
        <v>0</v>
      </c>
      <c r="CT11" s="44">
        <f t="shared" si="100"/>
        <v>0</v>
      </c>
      <c r="CU11" s="44">
        <f t="shared" si="101"/>
        <v>0</v>
      </c>
      <c r="CV11" s="44">
        <f t="shared" si="102"/>
        <v>21000</v>
      </c>
      <c r="CW11" s="44">
        <f t="shared" si="103"/>
        <v>0</v>
      </c>
      <c r="CX11" s="44">
        <f t="shared" si="35"/>
        <v>0</v>
      </c>
      <c r="CY11" s="44">
        <f t="shared" si="104"/>
        <v>0</v>
      </c>
      <c r="CZ11" s="44">
        <f t="shared" si="36"/>
        <v>21000</v>
      </c>
      <c r="DA11" s="44">
        <f t="shared" si="105"/>
        <v>21000</v>
      </c>
      <c r="DB11" s="44">
        <f t="shared" si="37"/>
        <v>0</v>
      </c>
      <c r="DC11" s="46">
        <f t="shared" si="38"/>
        <v>0</v>
      </c>
      <c r="DD11" s="47">
        <f t="shared" si="39"/>
        <v>0</v>
      </c>
      <c r="DE11" s="604">
        <f t="shared" si="106"/>
        <v>0</v>
      </c>
      <c r="DF11" s="44">
        <f t="shared" si="107"/>
        <v>0</v>
      </c>
      <c r="DG11" s="44">
        <f t="shared" si="108"/>
        <v>0</v>
      </c>
      <c r="DH11" s="44">
        <f t="shared" si="109"/>
        <v>0</v>
      </c>
      <c r="DI11" s="44">
        <f t="shared" si="110"/>
        <v>21000</v>
      </c>
      <c r="DJ11" s="44">
        <f t="shared" si="111"/>
        <v>0</v>
      </c>
      <c r="DK11" s="44">
        <f t="shared" si="40"/>
        <v>0</v>
      </c>
      <c r="DL11" s="44">
        <f t="shared" si="112"/>
        <v>0</v>
      </c>
      <c r="DM11" s="44">
        <f t="shared" si="41"/>
        <v>21000</v>
      </c>
      <c r="DN11" s="44">
        <f t="shared" si="113"/>
        <v>21000</v>
      </c>
      <c r="DO11" s="44">
        <f t="shared" si="42"/>
        <v>0</v>
      </c>
      <c r="DP11" s="46">
        <f t="shared" si="43"/>
        <v>0</v>
      </c>
      <c r="DQ11" s="47">
        <f t="shared" si="44"/>
        <v>0</v>
      </c>
      <c r="DR11" s="604">
        <f t="shared" si="114"/>
        <v>0</v>
      </c>
      <c r="DS11" s="44">
        <f t="shared" si="115"/>
        <v>0</v>
      </c>
      <c r="DT11" s="44">
        <f t="shared" si="116"/>
        <v>0</v>
      </c>
      <c r="DU11" s="44">
        <f t="shared" si="117"/>
        <v>0</v>
      </c>
      <c r="DV11" s="44">
        <f t="shared" si="118"/>
        <v>21000</v>
      </c>
      <c r="DW11" s="44">
        <f t="shared" si="119"/>
        <v>0</v>
      </c>
      <c r="DX11" s="44">
        <f t="shared" si="45"/>
        <v>0</v>
      </c>
      <c r="DY11" s="44">
        <f t="shared" si="120"/>
        <v>0</v>
      </c>
      <c r="DZ11" s="44">
        <f t="shared" si="46"/>
        <v>21000</v>
      </c>
      <c r="EA11" s="44">
        <f t="shared" si="121"/>
        <v>21000</v>
      </c>
      <c r="EB11" s="44">
        <f t="shared" si="47"/>
        <v>0</v>
      </c>
      <c r="EC11" s="46">
        <f t="shared" si="48"/>
        <v>0</v>
      </c>
      <c r="ED11" s="47">
        <f t="shared" si="49"/>
        <v>0</v>
      </c>
    </row>
    <row r="12" spans="1:134" x14ac:dyDescent="0.35">
      <c r="A12" s="81">
        <v>1999</v>
      </c>
      <c r="B12" s="82" t="s">
        <v>187</v>
      </c>
      <c r="C12" s="82"/>
      <c r="D12" s="83" t="s">
        <v>49</v>
      </c>
      <c r="E12" s="87">
        <v>25000</v>
      </c>
      <c r="F12" s="85">
        <v>36161</v>
      </c>
      <c r="G12" s="86"/>
      <c r="H12" s="179"/>
      <c r="I12" s="180"/>
      <c r="J12" s="181"/>
      <c r="K12" s="42">
        <f t="shared" si="0"/>
        <v>0</v>
      </c>
      <c r="L12" s="43">
        <f t="shared" si="1"/>
        <v>0</v>
      </c>
      <c r="M12" s="44">
        <f t="shared" si="2"/>
        <v>25000</v>
      </c>
      <c r="N12" s="44"/>
      <c r="O12" s="44">
        <f t="shared" si="3"/>
        <v>0</v>
      </c>
      <c r="P12" s="45"/>
      <c r="Q12" s="44">
        <f t="shared" si="4"/>
        <v>25000</v>
      </c>
      <c r="R12" s="604">
        <f t="shared" si="50"/>
        <v>0</v>
      </c>
      <c r="S12" s="44">
        <f t="shared" si="51"/>
        <v>0</v>
      </c>
      <c r="T12" s="44">
        <f t="shared" si="52"/>
        <v>0</v>
      </c>
      <c r="U12" s="44">
        <f t="shared" si="53"/>
        <v>0</v>
      </c>
      <c r="V12" s="44">
        <f t="shared" si="54"/>
        <v>25000</v>
      </c>
      <c r="W12" s="44">
        <f t="shared" si="55"/>
        <v>0</v>
      </c>
      <c r="X12" s="44">
        <f t="shared" si="5"/>
        <v>0</v>
      </c>
      <c r="Y12" s="44">
        <f t="shared" si="56"/>
        <v>0</v>
      </c>
      <c r="Z12" s="44">
        <f t="shared" si="6"/>
        <v>25000</v>
      </c>
      <c r="AA12" s="44">
        <f t="shared" si="57"/>
        <v>25000</v>
      </c>
      <c r="AB12" s="44">
        <f t="shared" si="7"/>
        <v>0</v>
      </c>
      <c r="AC12" s="46">
        <f t="shared" si="8"/>
        <v>0</v>
      </c>
      <c r="AD12" s="47">
        <f t="shared" si="9"/>
        <v>0</v>
      </c>
      <c r="AE12" s="604">
        <f t="shared" si="58"/>
        <v>0</v>
      </c>
      <c r="AF12" s="44">
        <f t="shared" si="59"/>
        <v>0</v>
      </c>
      <c r="AG12" s="44">
        <f t="shared" si="60"/>
        <v>0</v>
      </c>
      <c r="AH12" s="44">
        <f t="shared" si="61"/>
        <v>0</v>
      </c>
      <c r="AI12" s="44">
        <f t="shared" si="62"/>
        <v>25000</v>
      </c>
      <c r="AJ12" s="44">
        <f t="shared" si="63"/>
        <v>0</v>
      </c>
      <c r="AK12" s="44">
        <f t="shared" si="10"/>
        <v>0</v>
      </c>
      <c r="AL12" s="44">
        <f t="shared" si="64"/>
        <v>0</v>
      </c>
      <c r="AM12" s="44">
        <f t="shared" si="11"/>
        <v>25000</v>
      </c>
      <c r="AN12" s="44">
        <f t="shared" si="65"/>
        <v>25000</v>
      </c>
      <c r="AO12" s="44">
        <f t="shared" si="12"/>
        <v>0</v>
      </c>
      <c r="AP12" s="46">
        <f t="shared" si="13"/>
        <v>0</v>
      </c>
      <c r="AQ12" s="47">
        <f t="shared" si="14"/>
        <v>0</v>
      </c>
      <c r="AR12" s="604">
        <f t="shared" si="66"/>
        <v>0</v>
      </c>
      <c r="AS12" s="44">
        <f t="shared" si="67"/>
        <v>0</v>
      </c>
      <c r="AT12" s="44">
        <f t="shared" si="68"/>
        <v>0</v>
      </c>
      <c r="AU12" s="44">
        <f t="shared" si="69"/>
        <v>0</v>
      </c>
      <c r="AV12" s="44">
        <f t="shared" si="70"/>
        <v>25000</v>
      </c>
      <c r="AW12" s="44">
        <f t="shared" si="71"/>
        <v>0</v>
      </c>
      <c r="AX12" s="44">
        <f t="shared" si="15"/>
        <v>0</v>
      </c>
      <c r="AY12" s="44">
        <f t="shared" si="72"/>
        <v>0</v>
      </c>
      <c r="AZ12" s="44">
        <f t="shared" si="16"/>
        <v>25000</v>
      </c>
      <c r="BA12" s="44">
        <f t="shared" si="73"/>
        <v>25000</v>
      </c>
      <c r="BB12" s="44">
        <f t="shared" si="17"/>
        <v>0</v>
      </c>
      <c r="BC12" s="46">
        <f t="shared" si="18"/>
        <v>0</v>
      </c>
      <c r="BD12" s="47">
        <f t="shared" si="19"/>
        <v>0</v>
      </c>
      <c r="BE12" s="604">
        <f t="shared" si="74"/>
        <v>0</v>
      </c>
      <c r="BF12" s="44">
        <f t="shared" si="75"/>
        <v>0</v>
      </c>
      <c r="BG12" s="44">
        <f t="shared" si="76"/>
        <v>0</v>
      </c>
      <c r="BH12" s="44">
        <f t="shared" si="77"/>
        <v>0</v>
      </c>
      <c r="BI12" s="44">
        <f t="shared" si="78"/>
        <v>25000</v>
      </c>
      <c r="BJ12" s="44">
        <f t="shared" si="79"/>
        <v>0</v>
      </c>
      <c r="BK12" s="44">
        <f t="shared" si="20"/>
        <v>0</v>
      </c>
      <c r="BL12" s="44">
        <f t="shared" si="80"/>
        <v>0</v>
      </c>
      <c r="BM12" s="44">
        <f t="shared" si="21"/>
        <v>25000</v>
      </c>
      <c r="BN12" s="44">
        <f t="shared" si="81"/>
        <v>25000</v>
      </c>
      <c r="BO12" s="44">
        <f t="shared" si="22"/>
        <v>0</v>
      </c>
      <c r="BP12" s="46">
        <f t="shared" si="23"/>
        <v>0</v>
      </c>
      <c r="BQ12" s="47">
        <f t="shared" si="24"/>
        <v>0</v>
      </c>
      <c r="BR12" s="604">
        <f t="shared" si="82"/>
        <v>0</v>
      </c>
      <c r="BS12" s="44">
        <f t="shared" si="83"/>
        <v>0</v>
      </c>
      <c r="BT12" s="44">
        <f t="shared" si="84"/>
        <v>0</v>
      </c>
      <c r="BU12" s="44">
        <f t="shared" si="85"/>
        <v>0</v>
      </c>
      <c r="BV12" s="44">
        <f t="shared" si="86"/>
        <v>25000</v>
      </c>
      <c r="BW12" s="44">
        <f t="shared" si="87"/>
        <v>0</v>
      </c>
      <c r="BX12" s="44">
        <f t="shared" si="25"/>
        <v>0</v>
      </c>
      <c r="BY12" s="44">
        <f t="shared" si="88"/>
        <v>0</v>
      </c>
      <c r="BZ12" s="44">
        <f t="shared" si="26"/>
        <v>25000</v>
      </c>
      <c r="CA12" s="44">
        <f t="shared" si="89"/>
        <v>25000</v>
      </c>
      <c r="CB12" s="44">
        <f t="shared" si="27"/>
        <v>0</v>
      </c>
      <c r="CC12" s="46">
        <f t="shared" si="28"/>
        <v>0</v>
      </c>
      <c r="CD12" s="47">
        <f t="shared" si="29"/>
        <v>0</v>
      </c>
      <c r="CE12" s="604">
        <f t="shared" si="90"/>
        <v>0</v>
      </c>
      <c r="CF12" s="44">
        <f t="shared" si="91"/>
        <v>0</v>
      </c>
      <c r="CG12" s="44">
        <f t="shared" si="92"/>
        <v>0</v>
      </c>
      <c r="CH12" s="44">
        <f t="shared" si="93"/>
        <v>0</v>
      </c>
      <c r="CI12" s="44">
        <f t="shared" si="94"/>
        <v>25000</v>
      </c>
      <c r="CJ12" s="44">
        <f t="shared" si="95"/>
        <v>0</v>
      </c>
      <c r="CK12" s="44">
        <f t="shared" si="30"/>
        <v>0</v>
      </c>
      <c r="CL12" s="44">
        <f t="shared" si="96"/>
        <v>0</v>
      </c>
      <c r="CM12" s="44">
        <f t="shared" si="31"/>
        <v>25000</v>
      </c>
      <c r="CN12" s="44">
        <f t="shared" si="97"/>
        <v>25000</v>
      </c>
      <c r="CO12" s="44">
        <f t="shared" si="32"/>
        <v>0</v>
      </c>
      <c r="CP12" s="46">
        <f t="shared" si="33"/>
        <v>0</v>
      </c>
      <c r="CQ12" s="47">
        <f t="shared" si="34"/>
        <v>0</v>
      </c>
      <c r="CR12" s="604">
        <f t="shared" si="98"/>
        <v>0</v>
      </c>
      <c r="CS12" s="44">
        <f t="shared" si="99"/>
        <v>0</v>
      </c>
      <c r="CT12" s="44">
        <f t="shared" si="100"/>
        <v>0</v>
      </c>
      <c r="CU12" s="44">
        <f t="shared" si="101"/>
        <v>0</v>
      </c>
      <c r="CV12" s="44">
        <f t="shared" si="102"/>
        <v>25000</v>
      </c>
      <c r="CW12" s="44">
        <f t="shared" si="103"/>
        <v>0</v>
      </c>
      <c r="CX12" s="44">
        <f t="shared" si="35"/>
        <v>0</v>
      </c>
      <c r="CY12" s="44">
        <f t="shared" si="104"/>
        <v>0</v>
      </c>
      <c r="CZ12" s="44">
        <f t="shared" si="36"/>
        <v>25000</v>
      </c>
      <c r="DA12" s="44">
        <f t="shared" si="105"/>
        <v>25000</v>
      </c>
      <c r="DB12" s="44">
        <f t="shared" si="37"/>
        <v>0</v>
      </c>
      <c r="DC12" s="46">
        <f t="shared" si="38"/>
        <v>0</v>
      </c>
      <c r="DD12" s="47">
        <f t="shared" si="39"/>
        <v>0</v>
      </c>
      <c r="DE12" s="604">
        <f t="shared" si="106"/>
        <v>0</v>
      </c>
      <c r="DF12" s="44">
        <f t="shared" si="107"/>
        <v>0</v>
      </c>
      <c r="DG12" s="44">
        <f t="shared" si="108"/>
        <v>0</v>
      </c>
      <c r="DH12" s="44">
        <f t="shared" si="109"/>
        <v>0</v>
      </c>
      <c r="DI12" s="44">
        <f t="shared" si="110"/>
        <v>25000</v>
      </c>
      <c r="DJ12" s="44">
        <f t="shared" si="111"/>
        <v>0</v>
      </c>
      <c r="DK12" s="44">
        <f t="shared" si="40"/>
        <v>0</v>
      </c>
      <c r="DL12" s="44">
        <f t="shared" si="112"/>
        <v>0</v>
      </c>
      <c r="DM12" s="44">
        <f t="shared" si="41"/>
        <v>25000</v>
      </c>
      <c r="DN12" s="44">
        <f t="shared" si="113"/>
        <v>25000</v>
      </c>
      <c r="DO12" s="44">
        <f t="shared" si="42"/>
        <v>0</v>
      </c>
      <c r="DP12" s="46">
        <f t="shared" si="43"/>
        <v>0</v>
      </c>
      <c r="DQ12" s="47">
        <f t="shared" si="44"/>
        <v>0</v>
      </c>
      <c r="DR12" s="604">
        <f t="shared" si="114"/>
        <v>0</v>
      </c>
      <c r="DS12" s="44">
        <f t="shared" si="115"/>
        <v>0</v>
      </c>
      <c r="DT12" s="44">
        <f t="shared" si="116"/>
        <v>0</v>
      </c>
      <c r="DU12" s="44">
        <f t="shared" si="117"/>
        <v>0</v>
      </c>
      <c r="DV12" s="44">
        <f t="shared" si="118"/>
        <v>25000</v>
      </c>
      <c r="DW12" s="44">
        <f t="shared" si="119"/>
        <v>0</v>
      </c>
      <c r="DX12" s="44">
        <f t="shared" si="45"/>
        <v>0</v>
      </c>
      <c r="DY12" s="44">
        <f t="shared" si="120"/>
        <v>0</v>
      </c>
      <c r="DZ12" s="44">
        <f t="shared" si="46"/>
        <v>25000</v>
      </c>
      <c r="EA12" s="44">
        <f t="shared" si="121"/>
        <v>25000</v>
      </c>
      <c r="EB12" s="44">
        <f t="shared" si="47"/>
        <v>0</v>
      </c>
      <c r="EC12" s="46">
        <f t="shared" si="48"/>
        <v>0</v>
      </c>
      <c r="ED12" s="47">
        <f t="shared" si="49"/>
        <v>0</v>
      </c>
    </row>
    <row r="13" spans="1:134" x14ac:dyDescent="0.35">
      <c r="A13" s="81">
        <v>2007</v>
      </c>
      <c r="B13" s="82" t="s">
        <v>188</v>
      </c>
      <c r="C13" s="82"/>
      <c r="D13" s="83" t="s">
        <v>49</v>
      </c>
      <c r="E13" s="87">
        <v>25000</v>
      </c>
      <c r="F13" s="85">
        <v>39083</v>
      </c>
      <c r="G13" s="86"/>
      <c r="H13" s="179"/>
      <c r="I13" s="180"/>
      <c r="J13" s="181"/>
      <c r="K13" s="42">
        <f t="shared" si="0"/>
        <v>0</v>
      </c>
      <c r="L13" s="43">
        <f t="shared" si="1"/>
        <v>0</v>
      </c>
      <c r="M13" s="44">
        <f t="shared" si="2"/>
        <v>25000</v>
      </c>
      <c r="N13" s="44"/>
      <c r="O13" s="44">
        <f t="shared" si="3"/>
        <v>0</v>
      </c>
      <c r="P13" s="45"/>
      <c r="Q13" s="44">
        <f t="shared" si="4"/>
        <v>25000</v>
      </c>
      <c r="R13" s="604">
        <f t="shared" si="50"/>
        <v>0</v>
      </c>
      <c r="S13" s="44">
        <f t="shared" si="51"/>
        <v>0</v>
      </c>
      <c r="T13" s="44">
        <f t="shared" si="52"/>
        <v>0</v>
      </c>
      <c r="U13" s="44">
        <f t="shared" si="53"/>
        <v>0</v>
      </c>
      <c r="V13" s="44">
        <f t="shared" si="54"/>
        <v>25000</v>
      </c>
      <c r="W13" s="44">
        <f t="shared" si="55"/>
        <v>0</v>
      </c>
      <c r="X13" s="44">
        <f t="shared" si="5"/>
        <v>0</v>
      </c>
      <c r="Y13" s="44">
        <f t="shared" si="56"/>
        <v>0</v>
      </c>
      <c r="Z13" s="44">
        <f t="shared" si="6"/>
        <v>25000</v>
      </c>
      <c r="AA13" s="44">
        <f t="shared" si="57"/>
        <v>25000</v>
      </c>
      <c r="AB13" s="44">
        <f t="shared" si="7"/>
        <v>0</v>
      </c>
      <c r="AC13" s="46">
        <f t="shared" si="8"/>
        <v>0</v>
      </c>
      <c r="AD13" s="47">
        <f t="shared" si="9"/>
        <v>0</v>
      </c>
      <c r="AE13" s="604">
        <f t="shared" si="58"/>
        <v>0</v>
      </c>
      <c r="AF13" s="44">
        <f t="shared" si="59"/>
        <v>0</v>
      </c>
      <c r="AG13" s="44">
        <f t="shared" si="60"/>
        <v>0</v>
      </c>
      <c r="AH13" s="44">
        <f t="shared" si="61"/>
        <v>0</v>
      </c>
      <c r="AI13" s="44">
        <f t="shared" si="62"/>
        <v>25000</v>
      </c>
      <c r="AJ13" s="44">
        <f t="shared" si="63"/>
        <v>0</v>
      </c>
      <c r="AK13" s="44">
        <f t="shared" si="10"/>
        <v>0</v>
      </c>
      <c r="AL13" s="44">
        <f t="shared" si="64"/>
        <v>0</v>
      </c>
      <c r="AM13" s="44">
        <f t="shared" si="11"/>
        <v>25000</v>
      </c>
      <c r="AN13" s="44">
        <f t="shared" si="65"/>
        <v>25000</v>
      </c>
      <c r="AO13" s="44">
        <f t="shared" si="12"/>
        <v>0</v>
      </c>
      <c r="AP13" s="46">
        <f t="shared" si="13"/>
        <v>0</v>
      </c>
      <c r="AQ13" s="47">
        <f t="shared" si="14"/>
        <v>0</v>
      </c>
      <c r="AR13" s="604">
        <f t="shared" si="66"/>
        <v>0</v>
      </c>
      <c r="AS13" s="44">
        <f t="shared" si="67"/>
        <v>0</v>
      </c>
      <c r="AT13" s="44">
        <f t="shared" si="68"/>
        <v>0</v>
      </c>
      <c r="AU13" s="44">
        <f t="shared" si="69"/>
        <v>0</v>
      </c>
      <c r="AV13" s="44">
        <f t="shared" si="70"/>
        <v>25000</v>
      </c>
      <c r="AW13" s="44">
        <f t="shared" si="71"/>
        <v>0</v>
      </c>
      <c r="AX13" s="44">
        <f t="shared" si="15"/>
        <v>0</v>
      </c>
      <c r="AY13" s="44">
        <f t="shared" si="72"/>
        <v>0</v>
      </c>
      <c r="AZ13" s="44">
        <f t="shared" si="16"/>
        <v>25000</v>
      </c>
      <c r="BA13" s="44">
        <f t="shared" si="73"/>
        <v>25000</v>
      </c>
      <c r="BB13" s="44">
        <f t="shared" si="17"/>
        <v>0</v>
      </c>
      <c r="BC13" s="46">
        <f t="shared" si="18"/>
        <v>0</v>
      </c>
      <c r="BD13" s="47">
        <f t="shared" si="19"/>
        <v>0</v>
      </c>
      <c r="BE13" s="604">
        <f t="shared" si="74"/>
        <v>0</v>
      </c>
      <c r="BF13" s="44">
        <f t="shared" si="75"/>
        <v>0</v>
      </c>
      <c r="BG13" s="44">
        <f t="shared" si="76"/>
        <v>0</v>
      </c>
      <c r="BH13" s="44">
        <f t="shared" si="77"/>
        <v>0</v>
      </c>
      <c r="BI13" s="44">
        <f t="shared" si="78"/>
        <v>25000</v>
      </c>
      <c r="BJ13" s="44">
        <f t="shared" si="79"/>
        <v>0</v>
      </c>
      <c r="BK13" s="44">
        <f t="shared" si="20"/>
        <v>0</v>
      </c>
      <c r="BL13" s="44">
        <f t="shared" si="80"/>
        <v>0</v>
      </c>
      <c r="BM13" s="44">
        <f t="shared" si="21"/>
        <v>25000</v>
      </c>
      <c r="BN13" s="44">
        <f t="shared" si="81"/>
        <v>25000</v>
      </c>
      <c r="BO13" s="44">
        <f t="shared" si="22"/>
        <v>0</v>
      </c>
      <c r="BP13" s="46">
        <f t="shared" si="23"/>
        <v>0</v>
      </c>
      <c r="BQ13" s="47">
        <f t="shared" si="24"/>
        <v>0</v>
      </c>
      <c r="BR13" s="604">
        <f t="shared" si="82"/>
        <v>0</v>
      </c>
      <c r="BS13" s="44">
        <f t="shared" si="83"/>
        <v>0</v>
      </c>
      <c r="BT13" s="44">
        <f t="shared" si="84"/>
        <v>0</v>
      </c>
      <c r="BU13" s="44">
        <f t="shared" si="85"/>
        <v>0</v>
      </c>
      <c r="BV13" s="44">
        <f t="shared" si="86"/>
        <v>25000</v>
      </c>
      <c r="BW13" s="44">
        <f t="shared" si="87"/>
        <v>0</v>
      </c>
      <c r="BX13" s="44">
        <f t="shared" si="25"/>
        <v>0</v>
      </c>
      <c r="BY13" s="44">
        <f t="shared" si="88"/>
        <v>0</v>
      </c>
      <c r="BZ13" s="44">
        <f t="shared" si="26"/>
        <v>25000</v>
      </c>
      <c r="CA13" s="44">
        <f t="shared" si="89"/>
        <v>25000</v>
      </c>
      <c r="CB13" s="44">
        <f t="shared" si="27"/>
        <v>0</v>
      </c>
      <c r="CC13" s="46">
        <f t="shared" si="28"/>
        <v>0</v>
      </c>
      <c r="CD13" s="47">
        <f t="shared" si="29"/>
        <v>0</v>
      </c>
      <c r="CE13" s="604">
        <f t="shared" si="90"/>
        <v>0</v>
      </c>
      <c r="CF13" s="44">
        <f t="shared" si="91"/>
        <v>0</v>
      </c>
      <c r="CG13" s="44">
        <f t="shared" si="92"/>
        <v>0</v>
      </c>
      <c r="CH13" s="44">
        <f t="shared" si="93"/>
        <v>0</v>
      </c>
      <c r="CI13" s="44">
        <f t="shared" si="94"/>
        <v>25000</v>
      </c>
      <c r="CJ13" s="44">
        <f t="shared" si="95"/>
        <v>0</v>
      </c>
      <c r="CK13" s="44">
        <f t="shared" si="30"/>
        <v>0</v>
      </c>
      <c r="CL13" s="44">
        <f t="shared" si="96"/>
        <v>0</v>
      </c>
      <c r="CM13" s="44">
        <f t="shared" si="31"/>
        <v>25000</v>
      </c>
      <c r="CN13" s="44">
        <f t="shared" si="97"/>
        <v>25000</v>
      </c>
      <c r="CO13" s="44">
        <f t="shared" si="32"/>
        <v>0</v>
      </c>
      <c r="CP13" s="46">
        <f t="shared" si="33"/>
        <v>0</v>
      </c>
      <c r="CQ13" s="47">
        <f t="shared" si="34"/>
        <v>0</v>
      </c>
      <c r="CR13" s="604">
        <f t="shared" si="98"/>
        <v>0</v>
      </c>
      <c r="CS13" s="44">
        <f t="shared" si="99"/>
        <v>0</v>
      </c>
      <c r="CT13" s="44">
        <f t="shared" si="100"/>
        <v>0</v>
      </c>
      <c r="CU13" s="44">
        <f t="shared" si="101"/>
        <v>0</v>
      </c>
      <c r="CV13" s="44">
        <f t="shared" si="102"/>
        <v>25000</v>
      </c>
      <c r="CW13" s="44">
        <f t="shared" si="103"/>
        <v>0</v>
      </c>
      <c r="CX13" s="44">
        <f t="shared" si="35"/>
        <v>0</v>
      </c>
      <c r="CY13" s="44">
        <f t="shared" si="104"/>
        <v>0</v>
      </c>
      <c r="CZ13" s="44">
        <f t="shared" si="36"/>
        <v>25000</v>
      </c>
      <c r="DA13" s="44">
        <f t="shared" si="105"/>
        <v>25000</v>
      </c>
      <c r="DB13" s="44">
        <f t="shared" si="37"/>
        <v>0</v>
      </c>
      <c r="DC13" s="46">
        <f t="shared" si="38"/>
        <v>0</v>
      </c>
      <c r="DD13" s="47">
        <f t="shared" si="39"/>
        <v>0</v>
      </c>
      <c r="DE13" s="604">
        <f t="shared" si="106"/>
        <v>0</v>
      </c>
      <c r="DF13" s="44">
        <f t="shared" si="107"/>
        <v>0</v>
      </c>
      <c r="DG13" s="44">
        <f t="shared" si="108"/>
        <v>0</v>
      </c>
      <c r="DH13" s="44">
        <f t="shared" si="109"/>
        <v>0</v>
      </c>
      <c r="DI13" s="44">
        <f t="shared" si="110"/>
        <v>25000</v>
      </c>
      <c r="DJ13" s="44">
        <f t="shared" si="111"/>
        <v>0</v>
      </c>
      <c r="DK13" s="44">
        <f t="shared" si="40"/>
        <v>0</v>
      </c>
      <c r="DL13" s="44">
        <f t="shared" si="112"/>
        <v>0</v>
      </c>
      <c r="DM13" s="44">
        <f t="shared" si="41"/>
        <v>25000</v>
      </c>
      <c r="DN13" s="44">
        <f t="shared" si="113"/>
        <v>25000</v>
      </c>
      <c r="DO13" s="44">
        <f t="shared" si="42"/>
        <v>0</v>
      </c>
      <c r="DP13" s="46">
        <f t="shared" si="43"/>
        <v>0</v>
      </c>
      <c r="DQ13" s="47">
        <f t="shared" si="44"/>
        <v>0</v>
      </c>
      <c r="DR13" s="604">
        <f t="shared" si="114"/>
        <v>0</v>
      </c>
      <c r="DS13" s="44">
        <f t="shared" si="115"/>
        <v>0</v>
      </c>
      <c r="DT13" s="44">
        <f t="shared" si="116"/>
        <v>0</v>
      </c>
      <c r="DU13" s="44">
        <f t="shared" si="117"/>
        <v>0</v>
      </c>
      <c r="DV13" s="44">
        <f t="shared" si="118"/>
        <v>25000</v>
      </c>
      <c r="DW13" s="44">
        <f t="shared" si="119"/>
        <v>0</v>
      </c>
      <c r="DX13" s="44">
        <f t="shared" si="45"/>
        <v>0</v>
      </c>
      <c r="DY13" s="44">
        <f t="shared" si="120"/>
        <v>0</v>
      </c>
      <c r="DZ13" s="44">
        <f t="shared" si="46"/>
        <v>25000</v>
      </c>
      <c r="EA13" s="44">
        <f t="shared" si="121"/>
        <v>25000</v>
      </c>
      <c r="EB13" s="44">
        <f t="shared" si="47"/>
        <v>0</v>
      </c>
      <c r="EC13" s="46">
        <f t="shared" si="48"/>
        <v>0</v>
      </c>
      <c r="ED13" s="47">
        <f t="shared" si="49"/>
        <v>0</v>
      </c>
    </row>
    <row r="14" spans="1:134" x14ac:dyDescent="0.35">
      <c r="A14" s="81"/>
      <c r="B14" s="82"/>
      <c r="C14" s="82"/>
      <c r="D14" s="83"/>
      <c r="E14" s="87"/>
      <c r="F14" s="85"/>
      <c r="G14" s="88"/>
      <c r="H14" s="179"/>
      <c r="I14" s="180"/>
      <c r="J14" s="181"/>
      <c r="K14" s="42">
        <f t="shared" si="0"/>
        <v>0</v>
      </c>
      <c r="L14" s="43">
        <f t="shared" si="1"/>
        <v>0</v>
      </c>
      <c r="M14" s="44">
        <f t="shared" si="2"/>
        <v>0</v>
      </c>
      <c r="N14" s="44"/>
      <c r="O14" s="44">
        <f t="shared" si="3"/>
        <v>0</v>
      </c>
      <c r="P14" s="45"/>
      <c r="Q14" s="44">
        <f t="shared" si="4"/>
        <v>0</v>
      </c>
      <c r="R14" s="604">
        <f t="shared" si="50"/>
        <v>0</v>
      </c>
      <c r="S14" s="44">
        <f t="shared" si="51"/>
        <v>0</v>
      </c>
      <c r="T14" s="44">
        <f t="shared" si="52"/>
        <v>0</v>
      </c>
      <c r="U14" s="44">
        <f t="shared" si="53"/>
        <v>0</v>
      </c>
      <c r="V14" s="44">
        <f t="shared" si="54"/>
        <v>0</v>
      </c>
      <c r="W14" s="44">
        <f t="shared" si="55"/>
        <v>0</v>
      </c>
      <c r="X14" s="44">
        <f t="shared" si="5"/>
        <v>0</v>
      </c>
      <c r="Y14" s="44">
        <f t="shared" si="56"/>
        <v>0</v>
      </c>
      <c r="Z14" s="44">
        <f t="shared" si="6"/>
        <v>0</v>
      </c>
      <c r="AA14" s="44">
        <f t="shared" si="57"/>
        <v>0</v>
      </c>
      <c r="AB14" s="44">
        <f t="shared" si="7"/>
        <v>0</v>
      </c>
      <c r="AC14" s="46">
        <f t="shared" si="8"/>
        <v>0</v>
      </c>
      <c r="AD14" s="47">
        <f t="shared" si="9"/>
        <v>0</v>
      </c>
      <c r="AE14" s="604">
        <f t="shared" si="58"/>
        <v>0</v>
      </c>
      <c r="AF14" s="44">
        <f t="shared" si="59"/>
        <v>0</v>
      </c>
      <c r="AG14" s="44">
        <f t="shared" si="60"/>
        <v>0</v>
      </c>
      <c r="AH14" s="44">
        <f t="shared" si="61"/>
        <v>0</v>
      </c>
      <c r="AI14" s="44">
        <f t="shared" si="62"/>
        <v>0</v>
      </c>
      <c r="AJ14" s="44">
        <f t="shared" si="63"/>
        <v>0</v>
      </c>
      <c r="AK14" s="44">
        <f t="shared" si="10"/>
        <v>0</v>
      </c>
      <c r="AL14" s="44">
        <f t="shared" si="64"/>
        <v>0</v>
      </c>
      <c r="AM14" s="44">
        <f t="shared" si="11"/>
        <v>0</v>
      </c>
      <c r="AN14" s="44">
        <f t="shared" si="65"/>
        <v>0</v>
      </c>
      <c r="AO14" s="44">
        <f t="shared" si="12"/>
        <v>0</v>
      </c>
      <c r="AP14" s="46">
        <f t="shared" si="13"/>
        <v>0</v>
      </c>
      <c r="AQ14" s="47">
        <f t="shared" si="14"/>
        <v>0</v>
      </c>
      <c r="AR14" s="604">
        <f t="shared" si="66"/>
        <v>0</v>
      </c>
      <c r="AS14" s="44">
        <f t="shared" si="67"/>
        <v>0</v>
      </c>
      <c r="AT14" s="44">
        <f t="shared" si="68"/>
        <v>0</v>
      </c>
      <c r="AU14" s="44">
        <f t="shared" si="69"/>
        <v>0</v>
      </c>
      <c r="AV14" s="44">
        <f t="shared" si="70"/>
        <v>0</v>
      </c>
      <c r="AW14" s="44">
        <f t="shared" si="71"/>
        <v>0</v>
      </c>
      <c r="AX14" s="44">
        <f t="shared" si="15"/>
        <v>0</v>
      </c>
      <c r="AY14" s="44">
        <f t="shared" si="72"/>
        <v>0</v>
      </c>
      <c r="AZ14" s="44">
        <f t="shared" si="16"/>
        <v>0</v>
      </c>
      <c r="BA14" s="44">
        <f t="shared" si="73"/>
        <v>0</v>
      </c>
      <c r="BB14" s="44">
        <f t="shared" si="17"/>
        <v>0</v>
      </c>
      <c r="BC14" s="46">
        <f t="shared" si="18"/>
        <v>0</v>
      </c>
      <c r="BD14" s="47">
        <f t="shared" si="19"/>
        <v>0</v>
      </c>
      <c r="BE14" s="604">
        <f t="shared" si="74"/>
        <v>0</v>
      </c>
      <c r="BF14" s="44">
        <f t="shared" si="75"/>
        <v>0</v>
      </c>
      <c r="BG14" s="44">
        <f t="shared" si="76"/>
        <v>0</v>
      </c>
      <c r="BH14" s="44">
        <f t="shared" si="77"/>
        <v>0</v>
      </c>
      <c r="BI14" s="44">
        <f t="shared" si="78"/>
        <v>0</v>
      </c>
      <c r="BJ14" s="44">
        <f t="shared" si="79"/>
        <v>0</v>
      </c>
      <c r="BK14" s="44">
        <f t="shared" si="20"/>
        <v>0</v>
      </c>
      <c r="BL14" s="44">
        <f t="shared" si="80"/>
        <v>0</v>
      </c>
      <c r="BM14" s="44">
        <f t="shared" si="21"/>
        <v>0</v>
      </c>
      <c r="BN14" s="44">
        <f t="shared" si="81"/>
        <v>0</v>
      </c>
      <c r="BO14" s="44">
        <f t="shared" si="22"/>
        <v>0</v>
      </c>
      <c r="BP14" s="46">
        <f t="shared" si="23"/>
        <v>0</v>
      </c>
      <c r="BQ14" s="47">
        <f t="shared" si="24"/>
        <v>0</v>
      </c>
      <c r="BR14" s="604">
        <f t="shared" si="82"/>
        <v>0</v>
      </c>
      <c r="BS14" s="44">
        <f t="shared" si="83"/>
        <v>0</v>
      </c>
      <c r="BT14" s="44">
        <f t="shared" si="84"/>
        <v>0</v>
      </c>
      <c r="BU14" s="44">
        <f t="shared" si="85"/>
        <v>0</v>
      </c>
      <c r="BV14" s="44">
        <f t="shared" si="86"/>
        <v>0</v>
      </c>
      <c r="BW14" s="44">
        <f t="shared" si="87"/>
        <v>0</v>
      </c>
      <c r="BX14" s="44">
        <f t="shared" si="25"/>
        <v>0</v>
      </c>
      <c r="BY14" s="44">
        <f t="shared" si="88"/>
        <v>0</v>
      </c>
      <c r="BZ14" s="44">
        <f t="shared" si="26"/>
        <v>0</v>
      </c>
      <c r="CA14" s="44">
        <f t="shared" si="89"/>
        <v>0</v>
      </c>
      <c r="CB14" s="44">
        <f t="shared" si="27"/>
        <v>0</v>
      </c>
      <c r="CC14" s="46">
        <f t="shared" si="28"/>
        <v>0</v>
      </c>
      <c r="CD14" s="47">
        <f t="shared" si="29"/>
        <v>0</v>
      </c>
      <c r="CE14" s="604">
        <f t="shared" si="90"/>
        <v>0</v>
      </c>
      <c r="CF14" s="44">
        <f t="shared" si="91"/>
        <v>0</v>
      </c>
      <c r="CG14" s="44">
        <f t="shared" si="92"/>
        <v>0</v>
      </c>
      <c r="CH14" s="44">
        <f t="shared" si="93"/>
        <v>0</v>
      </c>
      <c r="CI14" s="44">
        <f t="shared" si="94"/>
        <v>0</v>
      </c>
      <c r="CJ14" s="44">
        <f t="shared" si="95"/>
        <v>0</v>
      </c>
      <c r="CK14" s="44">
        <f t="shared" si="30"/>
        <v>0</v>
      </c>
      <c r="CL14" s="44">
        <f t="shared" si="96"/>
        <v>0</v>
      </c>
      <c r="CM14" s="44">
        <f t="shared" si="31"/>
        <v>0</v>
      </c>
      <c r="CN14" s="44">
        <f t="shared" si="97"/>
        <v>0</v>
      </c>
      <c r="CO14" s="44">
        <f t="shared" si="32"/>
        <v>0</v>
      </c>
      <c r="CP14" s="46">
        <f t="shared" si="33"/>
        <v>0</v>
      </c>
      <c r="CQ14" s="47">
        <f t="shared" si="34"/>
        <v>0</v>
      </c>
      <c r="CR14" s="604">
        <f t="shared" si="98"/>
        <v>0</v>
      </c>
      <c r="CS14" s="44">
        <f t="shared" si="99"/>
        <v>0</v>
      </c>
      <c r="CT14" s="44">
        <f t="shared" si="100"/>
        <v>0</v>
      </c>
      <c r="CU14" s="44">
        <f t="shared" si="101"/>
        <v>0</v>
      </c>
      <c r="CV14" s="44">
        <f t="shared" si="102"/>
        <v>0</v>
      </c>
      <c r="CW14" s="44">
        <f t="shared" si="103"/>
        <v>0</v>
      </c>
      <c r="CX14" s="44">
        <f t="shared" si="35"/>
        <v>0</v>
      </c>
      <c r="CY14" s="44">
        <f t="shared" si="104"/>
        <v>0</v>
      </c>
      <c r="CZ14" s="44">
        <f t="shared" si="36"/>
        <v>0</v>
      </c>
      <c r="DA14" s="44">
        <f t="shared" si="105"/>
        <v>0</v>
      </c>
      <c r="DB14" s="44">
        <f t="shared" si="37"/>
        <v>0</v>
      </c>
      <c r="DC14" s="46">
        <f t="shared" si="38"/>
        <v>0</v>
      </c>
      <c r="DD14" s="47">
        <f t="shared" si="39"/>
        <v>0</v>
      </c>
      <c r="DE14" s="604">
        <f t="shared" si="106"/>
        <v>0</v>
      </c>
      <c r="DF14" s="44">
        <f t="shared" si="107"/>
        <v>0</v>
      </c>
      <c r="DG14" s="44">
        <f t="shared" si="108"/>
        <v>0</v>
      </c>
      <c r="DH14" s="44">
        <f t="shared" si="109"/>
        <v>0</v>
      </c>
      <c r="DI14" s="44">
        <f t="shared" si="110"/>
        <v>0</v>
      </c>
      <c r="DJ14" s="44">
        <f t="shared" si="111"/>
        <v>0</v>
      </c>
      <c r="DK14" s="44">
        <f t="shared" si="40"/>
        <v>0</v>
      </c>
      <c r="DL14" s="44">
        <f t="shared" si="112"/>
        <v>0</v>
      </c>
      <c r="DM14" s="44">
        <f t="shared" si="41"/>
        <v>0</v>
      </c>
      <c r="DN14" s="44">
        <f t="shared" si="113"/>
        <v>0</v>
      </c>
      <c r="DO14" s="44">
        <f t="shared" si="42"/>
        <v>0</v>
      </c>
      <c r="DP14" s="46">
        <f t="shared" si="43"/>
        <v>0</v>
      </c>
      <c r="DQ14" s="47">
        <f t="shared" si="44"/>
        <v>0</v>
      </c>
      <c r="DR14" s="604">
        <f t="shared" si="114"/>
        <v>0</v>
      </c>
      <c r="DS14" s="44">
        <f t="shared" si="115"/>
        <v>0</v>
      </c>
      <c r="DT14" s="44">
        <f t="shared" si="116"/>
        <v>0</v>
      </c>
      <c r="DU14" s="44">
        <f t="shared" si="117"/>
        <v>0</v>
      </c>
      <c r="DV14" s="44">
        <f t="shared" si="118"/>
        <v>0</v>
      </c>
      <c r="DW14" s="44">
        <f t="shared" si="119"/>
        <v>0</v>
      </c>
      <c r="DX14" s="44">
        <f t="shared" si="45"/>
        <v>0</v>
      </c>
      <c r="DY14" s="44">
        <f t="shared" si="120"/>
        <v>0</v>
      </c>
      <c r="DZ14" s="44">
        <f t="shared" si="46"/>
        <v>0</v>
      </c>
      <c r="EA14" s="44">
        <f t="shared" si="121"/>
        <v>0</v>
      </c>
      <c r="EB14" s="44">
        <f t="shared" si="47"/>
        <v>0</v>
      </c>
      <c r="EC14" s="46">
        <f t="shared" si="48"/>
        <v>0</v>
      </c>
      <c r="ED14" s="47">
        <f t="shared" si="49"/>
        <v>0</v>
      </c>
    </row>
    <row r="15" spans="1:134" x14ac:dyDescent="0.35">
      <c r="A15" s="81"/>
      <c r="B15" s="82" t="s">
        <v>189</v>
      </c>
      <c r="C15" s="82"/>
      <c r="D15" s="83"/>
      <c r="E15" s="84"/>
      <c r="F15" s="85"/>
      <c r="G15" s="88"/>
      <c r="H15" s="179"/>
      <c r="I15" s="180"/>
      <c r="J15" s="181"/>
      <c r="K15" s="42">
        <f t="shared" si="0"/>
        <v>0</v>
      </c>
      <c r="L15" s="43">
        <f t="shared" si="1"/>
        <v>0</v>
      </c>
      <c r="M15" s="44">
        <f t="shared" si="2"/>
        <v>0</v>
      </c>
      <c r="N15" s="44"/>
      <c r="O15" s="44">
        <f t="shared" si="3"/>
        <v>0</v>
      </c>
      <c r="P15" s="45"/>
      <c r="Q15" s="44">
        <f t="shared" si="4"/>
        <v>0</v>
      </c>
      <c r="R15" s="604">
        <f t="shared" si="50"/>
        <v>0</v>
      </c>
      <c r="S15" s="44">
        <f t="shared" si="51"/>
        <v>0</v>
      </c>
      <c r="T15" s="44">
        <f t="shared" si="52"/>
        <v>0</v>
      </c>
      <c r="U15" s="44">
        <f t="shared" si="53"/>
        <v>0</v>
      </c>
      <c r="V15" s="44">
        <f t="shared" si="54"/>
        <v>0</v>
      </c>
      <c r="W15" s="44">
        <f t="shared" si="55"/>
        <v>0</v>
      </c>
      <c r="X15" s="44">
        <f t="shared" si="5"/>
        <v>0</v>
      </c>
      <c r="Y15" s="44">
        <f t="shared" si="56"/>
        <v>0</v>
      </c>
      <c r="Z15" s="44">
        <f t="shared" si="6"/>
        <v>0</v>
      </c>
      <c r="AA15" s="44">
        <f t="shared" si="57"/>
        <v>0</v>
      </c>
      <c r="AB15" s="44">
        <f t="shared" si="7"/>
        <v>0</v>
      </c>
      <c r="AC15" s="46">
        <f t="shared" si="8"/>
        <v>0</v>
      </c>
      <c r="AD15" s="47">
        <f t="shared" si="9"/>
        <v>0</v>
      </c>
      <c r="AE15" s="604">
        <f t="shared" si="58"/>
        <v>0</v>
      </c>
      <c r="AF15" s="44">
        <f t="shared" si="59"/>
        <v>0</v>
      </c>
      <c r="AG15" s="44">
        <f t="shared" si="60"/>
        <v>0</v>
      </c>
      <c r="AH15" s="44">
        <f t="shared" si="61"/>
        <v>0</v>
      </c>
      <c r="AI15" s="44">
        <f t="shared" si="62"/>
        <v>0</v>
      </c>
      <c r="AJ15" s="44">
        <f t="shared" si="63"/>
        <v>0</v>
      </c>
      <c r="AK15" s="44">
        <f t="shared" si="10"/>
        <v>0</v>
      </c>
      <c r="AL15" s="44">
        <f t="shared" si="64"/>
        <v>0</v>
      </c>
      <c r="AM15" s="44">
        <f t="shared" si="11"/>
        <v>0</v>
      </c>
      <c r="AN15" s="44">
        <f t="shared" si="65"/>
        <v>0</v>
      </c>
      <c r="AO15" s="44">
        <f t="shared" si="12"/>
        <v>0</v>
      </c>
      <c r="AP15" s="46">
        <f t="shared" si="13"/>
        <v>0</v>
      </c>
      <c r="AQ15" s="47">
        <f t="shared" si="14"/>
        <v>0</v>
      </c>
      <c r="AR15" s="604">
        <f t="shared" si="66"/>
        <v>0</v>
      </c>
      <c r="AS15" s="44">
        <f t="shared" si="67"/>
        <v>0</v>
      </c>
      <c r="AT15" s="44">
        <f t="shared" si="68"/>
        <v>0</v>
      </c>
      <c r="AU15" s="44">
        <f t="shared" si="69"/>
        <v>0</v>
      </c>
      <c r="AV15" s="44">
        <f t="shared" si="70"/>
        <v>0</v>
      </c>
      <c r="AW15" s="44">
        <f t="shared" si="71"/>
        <v>0</v>
      </c>
      <c r="AX15" s="44">
        <f t="shared" si="15"/>
        <v>0</v>
      </c>
      <c r="AY15" s="44">
        <f t="shared" si="72"/>
        <v>0</v>
      </c>
      <c r="AZ15" s="44">
        <f t="shared" si="16"/>
        <v>0</v>
      </c>
      <c r="BA15" s="44">
        <f t="shared" si="73"/>
        <v>0</v>
      </c>
      <c r="BB15" s="44">
        <f t="shared" si="17"/>
        <v>0</v>
      </c>
      <c r="BC15" s="46">
        <f t="shared" si="18"/>
        <v>0</v>
      </c>
      <c r="BD15" s="47">
        <f t="shared" si="19"/>
        <v>0</v>
      </c>
      <c r="BE15" s="604">
        <f t="shared" si="74"/>
        <v>0</v>
      </c>
      <c r="BF15" s="44">
        <f t="shared" si="75"/>
        <v>0</v>
      </c>
      <c r="BG15" s="44">
        <f t="shared" si="76"/>
        <v>0</v>
      </c>
      <c r="BH15" s="44">
        <f t="shared" si="77"/>
        <v>0</v>
      </c>
      <c r="BI15" s="44">
        <f t="shared" si="78"/>
        <v>0</v>
      </c>
      <c r="BJ15" s="44">
        <f t="shared" si="79"/>
        <v>0</v>
      </c>
      <c r="BK15" s="44">
        <f t="shared" si="20"/>
        <v>0</v>
      </c>
      <c r="BL15" s="44">
        <f t="shared" si="80"/>
        <v>0</v>
      </c>
      <c r="BM15" s="44">
        <f t="shared" si="21"/>
        <v>0</v>
      </c>
      <c r="BN15" s="44">
        <f t="shared" si="81"/>
        <v>0</v>
      </c>
      <c r="BO15" s="44">
        <f t="shared" si="22"/>
        <v>0</v>
      </c>
      <c r="BP15" s="46">
        <f t="shared" si="23"/>
        <v>0</v>
      </c>
      <c r="BQ15" s="47">
        <f t="shared" si="24"/>
        <v>0</v>
      </c>
      <c r="BR15" s="604">
        <f t="shared" si="82"/>
        <v>0</v>
      </c>
      <c r="BS15" s="44">
        <f t="shared" si="83"/>
        <v>0</v>
      </c>
      <c r="BT15" s="44">
        <f t="shared" si="84"/>
        <v>0</v>
      </c>
      <c r="BU15" s="44">
        <f t="shared" si="85"/>
        <v>0</v>
      </c>
      <c r="BV15" s="44">
        <f t="shared" si="86"/>
        <v>0</v>
      </c>
      <c r="BW15" s="44">
        <f t="shared" si="87"/>
        <v>0</v>
      </c>
      <c r="BX15" s="44">
        <f t="shared" si="25"/>
        <v>0</v>
      </c>
      <c r="BY15" s="44">
        <f t="shared" si="88"/>
        <v>0</v>
      </c>
      <c r="BZ15" s="44">
        <f t="shared" si="26"/>
        <v>0</v>
      </c>
      <c r="CA15" s="44">
        <f t="shared" si="89"/>
        <v>0</v>
      </c>
      <c r="CB15" s="44">
        <f t="shared" si="27"/>
        <v>0</v>
      </c>
      <c r="CC15" s="46">
        <f t="shared" si="28"/>
        <v>0</v>
      </c>
      <c r="CD15" s="47">
        <f t="shared" si="29"/>
        <v>0</v>
      </c>
      <c r="CE15" s="604">
        <f t="shared" si="90"/>
        <v>0</v>
      </c>
      <c r="CF15" s="44">
        <f t="shared" si="91"/>
        <v>0</v>
      </c>
      <c r="CG15" s="44">
        <f t="shared" si="92"/>
        <v>0</v>
      </c>
      <c r="CH15" s="44">
        <f t="shared" si="93"/>
        <v>0</v>
      </c>
      <c r="CI15" s="44">
        <f t="shared" si="94"/>
        <v>0</v>
      </c>
      <c r="CJ15" s="44">
        <f t="shared" si="95"/>
        <v>0</v>
      </c>
      <c r="CK15" s="44">
        <f t="shared" si="30"/>
        <v>0</v>
      </c>
      <c r="CL15" s="44">
        <f t="shared" si="96"/>
        <v>0</v>
      </c>
      <c r="CM15" s="44">
        <f t="shared" si="31"/>
        <v>0</v>
      </c>
      <c r="CN15" s="44">
        <f t="shared" si="97"/>
        <v>0</v>
      </c>
      <c r="CO15" s="44">
        <f t="shared" si="32"/>
        <v>0</v>
      </c>
      <c r="CP15" s="46">
        <f t="shared" si="33"/>
        <v>0</v>
      </c>
      <c r="CQ15" s="47">
        <f t="shared" si="34"/>
        <v>0</v>
      </c>
      <c r="CR15" s="604">
        <f t="shared" si="98"/>
        <v>0</v>
      </c>
      <c r="CS15" s="44">
        <f t="shared" si="99"/>
        <v>0</v>
      </c>
      <c r="CT15" s="44">
        <f t="shared" si="100"/>
        <v>0</v>
      </c>
      <c r="CU15" s="44">
        <f t="shared" si="101"/>
        <v>0</v>
      </c>
      <c r="CV15" s="44">
        <f t="shared" si="102"/>
        <v>0</v>
      </c>
      <c r="CW15" s="44">
        <f t="shared" si="103"/>
        <v>0</v>
      </c>
      <c r="CX15" s="44">
        <f t="shared" si="35"/>
        <v>0</v>
      </c>
      <c r="CY15" s="44">
        <f t="shared" si="104"/>
        <v>0</v>
      </c>
      <c r="CZ15" s="44">
        <f t="shared" si="36"/>
        <v>0</v>
      </c>
      <c r="DA15" s="44">
        <f t="shared" si="105"/>
        <v>0</v>
      </c>
      <c r="DB15" s="44">
        <f t="shared" si="37"/>
        <v>0</v>
      </c>
      <c r="DC15" s="46">
        <f t="shared" si="38"/>
        <v>0</v>
      </c>
      <c r="DD15" s="47">
        <f t="shared" si="39"/>
        <v>0</v>
      </c>
      <c r="DE15" s="604">
        <f t="shared" si="106"/>
        <v>0</v>
      </c>
      <c r="DF15" s="44">
        <f t="shared" si="107"/>
        <v>0</v>
      </c>
      <c r="DG15" s="44">
        <f t="shared" si="108"/>
        <v>0</v>
      </c>
      <c r="DH15" s="44">
        <f t="shared" si="109"/>
        <v>0</v>
      </c>
      <c r="DI15" s="44">
        <f t="shared" si="110"/>
        <v>0</v>
      </c>
      <c r="DJ15" s="44">
        <f t="shared" si="111"/>
        <v>0</v>
      </c>
      <c r="DK15" s="44">
        <f t="shared" si="40"/>
        <v>0</v>
      </c>
      <c r="DL15" s="44">
        <f t="shared" si="112"/>
        <v>0</v>
      </c>
      <c r="DM15" s="44">
        <f t="shared" si="41"/>
        <v>0</v>
      </c>
      <c r="DN15" s="44">
        <f t="shared" si="113"/>
        <v>0</v>
      </c>
      <c r="DO15" s="44">
        <f t="shared" si="42"/>
        <v>0</v>
      </c>
      <c r="DP15" s="46">
        <f t="shared" si="43"/>
        <v>0</v>
      </c>
      <c r="DQ15" s="47">
        <f t="shared" si="44"/>
        <v>0</v>
      </c>
      <c r="DR15" s="604">
        <f t="shared" si="114"/>
        <v>0</v>
      </c>
      <c r="DS15" s="44">
        <f t="shared" si="115"/>
        <v>0</v>
      </c>
      <c r="DT15" s="44">
        <f t="shared" si="116"/>
        <v>0</v>
      </c>
      <c r="DU15" s="44">
        <f t="shared" si="117"/>
        <v>0</v>
      </c>
      <c r="DV15" s="44">
        <f t="shared" si="118"/>
        <v>0</v>
      </c>
      <c r="DW15" s="44">
        <f t="shared" si="119"/>
        <v>0</v>
      </c>
      <c r="DX15" s="44">
        <f t="shared" si="45"/>
        <v>0</v>
      </c>
      <c r="DY15" s="44">
        <f t="shared" si="120"/>
        <v>0</v>
      </c>
      <c r="DZ15" s="44">
        <f t="shared" si="46"/>
        <v>0</v>
      </c>
      <c r="EA15" s="44">
        <f t="shared" si="121"/>
        <v>0</v>
      </c>
      <c r="EB15" s="44">
        <f t="shared" si="47"/>
        <v>0</v>
      </c>
      <c r="EC15" s="46">
        <f t="shared" si="48"/>
        <v>0</v>
      </c>
      <c r="ED15" s="47">
        <f t="shared" si="49"/>
        <v>0</v>
      </c>
    </row>
    <row r="16" spans="1:134" x14ac:dyDescent="0.35">
      <c r="A16" s="81"/>
      <c r="B16" s="82" t="s">
        <v>190</v>
      </c>
      <c r="C16" s="82"/>
      <c r="D16" s="83" t="s">
        <v>18</v>
      </c>
      <c r="E16" s="87">
        <v>1050000</v>
      </c>
      <c r="F16" s="85">
        <v>29526</v>
      </c>
      <c r="G16" s="88">
        <v>50</v>
      </c>
      <c r="H16" s="179"/>
      <c r="I16" s="180"/>
      <c r="J16" s="181"/>
      <c r="K16" s="42">
        <f t="shared" si="0"/>
        <v>0.02</v>
      </c>
      <c r="L16" s="43">
        <f t="shared" si="1"/>
        <v>21000</v>
      </c>
      <c r="M16" s="44">
        <f t="shared" si="2"/>
        <v>395500</v>
      </c>
      <c r="N16" s="44"/>
      <c r="O16" s="44">
        <f t="shared" si="3"/>
        <v>654500</v>
      </c>
      <c r="P16" s="45"/>
      <c r="Q16" s="44">
        <f t="shared" si="4"/>
        <v>1050000</v>
      </c>
      <c r="R16" s="604">
        <f t="shared" si="50"/>
        <v>0</v>
      </c>
      <c r="S16" s="44">
        <f t="shared" si="51"/>
        <v>0</v>
      </c>
      <c r="T16" s="44">
        <f t="shared" si="52"/>
        <v>0</v>
      </c>
      <c r="U16" s="44">
        <f t="shared" si="53"/>
        <v>0</v>
      </c>
      <c r="V16" s="44">
        <f t="shared" si="54"/>
        <v>1050000</v>
      </c>
      <c r="W16" s="44">
        <f t="shared" si="55"/>
        <v>1050000</v>
      </c>
      <c r="X16" s="44">
        <f t="shared" si="5"/>
        <v>21000</v>
      </c>
      <c r="Y16" s="44">
        <f t="shared" si="56"/>
        <v>21000</v>
      </c>
      <c r="Z16" s="44">
        <f t="shared" si="6"/>
        <v>374500</v>
      </c>
      <c r="AA16" s="44">
        <f t="shared" si="57"/>
        <v>374500</v>
      </c>
      <c r="AB16" s="44">
        <f t="shared" si="7"/>
        <v>675500</v>
      </c>
      <c r="AC16" s="46">
        <f t="shared" si="8"/>
        <v>0</v>
      </c>
      <c r="AD16" s="47">
        <f t="shared" si="9"/>
        <v>0</v>
      </c>
      <c r="AE16" s="604">
        <f t="shared" si="58"/>
        <v>0</v>
      </c>
      <c r="AF16" s="44">
        <f t="shared" si="59"/>
        <v>0</v>
      </c>
      <c r="AG16" s="44">
        <f t="shared" si="60"/>
        <v>0</v>
      </c>
      <c r="AH16" s="44">
        <f t="shared" si="61"/>
        <v>0</v>
      </c>
      <c r="AI16" s="44">
        <f t="shared" si="62"/>
        <v>1050000</v>
      </c>
      <c r="AJ16" s="44">
        <f t="shared" si="63"/>
        <v>1050000</v>
      </c>
      <c r="AK16" s="44">
        <f t="shared" si="10"/>
        <v>21000</v>
      </c>
      <c r="AL16" s="44">
        <f t="shared" si="64"/>
        <v>21000</v>
      </c>
      <c r="AM16" s="44">
        <f t="shared" si="11"/>
        <v>353500</v>
      </c>
      <c r="AN16" s="44">
        <f t="shared" si="65"/>
        <v>353500</v>
      </c>
      <c r="AO16" s="44">
        <f t="shared" si="12"/>
        <v>696500</v>
      </c>
      <c r="AP16" s="46">
        <f t="shared" si="13"/>
        <v>0</v>
      </c>
      <c r="AQ16" s="47">
        <f t="shared" si="14"/>
        <v>0</v>
      </c>
      <c r="AR16" s="604">
        <f t="shared" si="66"/>
        <v>0</v>
      </c>
      <c r="AS16" s="44">
        <f t="shared" si="67"/>
        <v>0</v>
      </c>
      <c r="AT16" s="44">
        <f t="shared" si="68"/>
        <v>0</v>
      </c>
      <c r="AU16" s="44">
        <f t="shared" si="69"/>
        <v>0</v>
      </c>
      <c r="AV16" s="44">
        <f t="shared" si="70"/>
        <v>1050000</v>
      </c>
      <c r="AW16" s="44">
        <f t="shared" si="71"/>
        <v>1050000</v>
      </c>
      <c r="AX16" s="44">
        <f t="shared" si="15"/>
        <v>21000</v>
      </c>
      <c r="AY16" s="44">
        <f t="shared" si="72"/>
        <v>21000</v>
      </c>
      <c r="AZ16" s="44">
        <f t="shared" si="16"/>
        <v>332500</v>
      </c>
      <c r="BA16" s="44">
        <f t="shared" si="73"/>
        <v>332500</v>
      </c>
      <c r="BB16" s="44">
        <f t="shared" si="17"/>
        <v>717500</v>
      </c>
      <c r="BC16" s="46">
        <f t="shared" si="18"/>
        <v>0</v>
      </c>
      <c r="BD16" s="47">
        <f t="shared" si="19"/>
        <v>0</v>
      </c>
      <c r="BE16" s="604">
        <f t="shared" si="74"/>
        <v>0</v>
      </c>
      <c r="BF16" s="44">
        <f t="shared" si="75"/>
        <v>0</v>
      </c>
      <c r="BG16" s="44">
        <f t="shared" si="76"/>
        <v>0</v>
      </c>
      <c r="BH16" s="44">
        <f t="shared" si="77"/>
        <v>0</v>
      </c>
      <c r="BI16" s="44">
        <f t="shared" si="78"/>
        <v>1050000</v>
      </c>
      <c r="BJ16" s="44">
        <f t="shared" si="79"/>
        <v>1050000</v>
      </c>
      <c r="BK16" s="44">
        <f t="shared" si="20"/>
        <v>21000</v>
      </c>
      <c r="BL16" s="44">
        <f t="shared" si="80"/>
        <v>21000</v>
      </c>
      <c r="BM16" s="44">
        <f t="shared" si="21"/>
        <v>311500</v>
      </c>
      <c r="BN16" s="44">
        <f t="shared" si="81"/>
        <v>311500</v>
      </c>
      <c r="BO16" s="44">
        <f t="shared" si="22"/>
        <v>738500</v>
      </c>
      <c r="BP16" s="46">
        <f t="shared" si="23"/>
        <v>0</v>
      </c>
      <c r="BQ16" s="47">
        <f t="shared" si="24"/>
        <v>0</v>
      </c>
      <c r="BR16" s="604">
        <f t="shared" si="82"/>
        <v>0</v>
      </c>
      <c r="BS16" s="44">
        <f t="shared" si="83"/>
        <v>0</v>
      </c>
      <c r="BT16" s="44">
        <f t="shared" si="84"/>
        <v>0</v>
      </c>
      <c r="BU16" s="44">
        <f t="shared" si="85"/>
        <v>0</v>
      </c>
      <c r="BV16" s="44">
        <f t="shared" si="86"/>
        <v>1050000</v>
      </c>
      <c r="BW16" s="44">
        <f t="shared" si="87"/>
        <v>1050000</v>
      </c>
      <c r="BX16" s="44">
        <f t="shared" si="25"/>
        <v>21000</v>
      </c>
      <c r="BY16" s="44">
        <f t="shared" si="88"/>
        <v>21000</v>
      </c>
      <c r="BZ16" s="44">
        <f t="shared" si="26"/>
        <v>290500</v>
      </c>
      <c r="CA16" s="44">
        <f t="shared" si="89"/>
        <v>290500</v>
      </c>
      <c r="CB16" s="44">
        <f t="shared" si="27"/>
        <v>759500</v>
      </c>
      <c r="CC16" s="46">
        <f t="shared" si="28"/>
        <v>0</v>
      </c>
      <c r="CD16" s="47">
        <f t="shared" si="29"/>
        <v>0</v>
      </c>
      <c r="CE16" s="604">
        <f t="shared" si="90"/>
        <v>0</v>
      </c>
      <c r="CF16" s="44">
        <f t="shared" si="91"/>
        <v>0</v>
      </c>
      <c r="CG16" s="44">
        <f t="shared" si="92"/>
        <v>0</v>
      </c>
      <c r="CH16" s="44">
        <f t="shared" si="93"/>
        <v>0</v>
      </c>
      <c r="CI16" s="44">
        <f t="shared" si="94"/>
        <v>1050000</v>
      </c>
      <c r="CJ16" s="44">
        <f t="shared" si="95"/>
        <v>1050000</v>
      </c>
      <c r="CK16" s="44">
        <f t="shared" si="30"/>
        <v>21000</v>
      </c>
      <c r="CL16" s="44">
        <f t="shared" si="96"/>
        <v>21000</v>
      </c>
      <c r="CM16" s="44">
        <f t="shared" si="31"/>
        <v>269500</v>
      </c>
      <c r="CN16" s="44">
        <f t="shared" si="97"/>
        <v>269500</v>
      </c>
      <c r="CO16" s="44">
        <f t="shared" si="32"/>
        <v>780500</v>
      </c>
      <c r="CP16" s="46">
        <f t="shared" si="33"/>
        <v>0</v>
      </c>
      <c r="CQ16" s="47">
        <f t="shared" si="34"/>
        <v>0</v>
      </c>
      <c r="CR16" s="604">
        <f t="shared" si="98"/>
        <v>0</v>
      </c>
      <c r="CS16" s="44">
        <f t="shared" si="99"/>
        <v>0</v>
      </c>
      <c r="CT16" s="44">
        <f t="shared" si="100"/>
        <v>0</v>
      </c>
      <c r="CU16" s="44">
        <f t="shared" si="101"/>
        <v>0</v>
      </c>
      <c r="CV16" s="44">
        <f t="shared" si="102"/>
        <v>1050000</v>
      </c>
      <c r="CW16" s="44">
        <f t="shared" si="103"/>
        <v>1050000</v>
      </c>
      <c r="CX16" s="44">
        <f t="shared" si="35"/>
        <v>21000</v>
      </c>
      <c r="CY16" s="44">
        <f t="shared" si="104"/>
        <v>21000</v>
      </c>
      <c r="CZ16" s="44">
        <f t="shared" si="36"/>
        <v>248500</v>
      </c>
      <c r="DA16" s="44">
        <f t="shared" si="105"/>
        <v>248500</v>
      </c>
      <c r="DB16" s="44">
        <f t="shared" si="37"/>
        <v>801500</v>
      </c>
      <c r="DC16" s="46">
        <f t="shared" si="38"/>
        <v>0</v>
      </c>
      <c r="DD16" s="47">
        <f t="shared" si="39"/>
        <v>0</v>
      </c>
      <c r="DE16" s="604">
        <f t="shared" si="106"/>
        <v>0</v>
      </c>
      <c r="DF16" s="44">
        <f t="shared" si="107"/>
        <v>0</v>
      </c>
      <c r="DG16" s="44">
        <f t="shared" si="108"/>
        <v>0</v>
      </c>
      <c r="DH16" s="44">
        <f t="shared" si="109"/>
        <v>0</v>
      </c>
      <c r="DI16" s="44">
        <f t="shared" si="110"/>
        <v>1050000</v>
      </c>
      <c r="DJ16" s="44">
        <f t="shared" si="111"/>
        <v>1050000</v>
      </c>
      <c r="DK16" s="44">
        <f t="shared" si="40"/>
        <v>21000</v>
      </c>
      <c r="DL16" s="44">
        <f t="shared" si="112"/>
        <v>21000</v>
      </c>
      <c r="DM16" s="44">
        <f t="shared" si="41"/>
        <v>227500</v>
      </c>
      <c r="DN16" s="44">
        <f t="shared" si="113"/>
        <v>227500</v>
      </c>
      <c r="DO16" s="44">
        <f t="shared" si="42"/>
        <v>822500</v>
      </c>
      <c r="DP16" s="46">
        <f t="shared" si="43"/>
        <v>0</v>
      </c>
      <c r="DQ16" s="47">
        <f t="shared" si="44"/>
        <v>0</v>
      </c>
      <c r="DR16" s="604">
        <f t="shared" si="114"/>
        <v>0</v>
      </c>
      <c r="DS16" s="44">
        <f t="shared" si="115"/>
        <v>0</v>
      </c>
      <c r="DT16" s="44">
        <f t="shared" si="116"/>
        <v>0</v>
      </c>
      <c r="DU16" s="44">
        <f t="shared" si="117"/>
        <v>0</v>
      </c>
      <c r="DV16" s="44">
        <f t="shared" si="118"/>
        <v>1050000</v>
      </c>
      <c r="DW16" s="44">
        <f t="shared" si="119"/>
        <v>1050000</v>
      </c>
      <c r="DX16" s="44">
        <f t="shared" si="45"/>
        <v>21000</v>
      </c>
      <c r="DY16" s="44">
        <f t="shared" si="120"/>
        <v>21000</v>
      </c>
      <c r="DZ16" s="44">
        <f t="shared" si="46"/>
        <v>206500</v>
      </c>
      <c r="EA16" s="44">
        <f t="shared" si="121"/>
        <v>206500</v>
      </c>
      <c r="EB16" s="44">
        <f t="shared" si="47"/>
        <v>843500</v>
      </c>
      <c r="EC16" s="46">
        <f t="shared" si="48"/>
        <v>0</v>
      </c>
      <c r="ED16" s="47">
        <f t="shared" si="49"/>
        <v>0</v>
      </c>
    </row>
    <row r="17" spans="1:134" x14ac:dyDescent="0.35">
      <c r="A17" s="81">
        <v>1960</v>
      </c>
      <c r="B17" s="82" t="s">
        <v>190</v>
      </c>
      <c r="C17" s="82"/>
      <c r="D17" s="83" t="s">
        <v>18</v>
      </c>
      <c r="E17" s="87">
        <v>5250000</v>
      </c>
      <c r="F17" s="85">
        <v>29434</v>
      </c>
      <c r="G17" s="88">
        <v>50</v>
      </c>
      <c r="H17" s="179"/>
      <c r="I17" s="180"/>
      <c r="J17" s="181"/>
      <c r="K17" s="42">
        <f t="shared" si="0"/>
        <v>0.02</v>
      </c>
      <c r="L17" s="43">
        <f t="shared" si="1"/>
        <v>105000</v>
      </c>
      <c r="M17" s="44">
        <f t="shared" si="2"/>
        <v>1951250</v>
      </c>
      <c r="N17" s="44"/>
      <c r="O17" s="44">
        <f t="shared" si="3"/>
        <v>3298750</v>
      </c>
      <c r="P17" s="45"/>
      <c r="Q17" s="44">
        <f t="shared" si="4"/>
        <v>5250000</v>
      </c>
      <c r="R17" s="604">
        <f t="shared" si="50"/>
        <v>0</v>
      </c>
      <c r="S17" s="44">
        <f t="shared" si="51"/>
        <v>0</v>
      </c>
      <c r="T17" s="44">
        <f t="shared" si="52"/>
        <v>0</v>
      </c>
      <c r="U17" s="44">
        <f t="shared" si="53"/>
        <v>0</v>
      </c>
      <c r="V17" s="44">
        <f t="shared" si="54"/>
        <v>5250000</v>
      </c>
      <c r="W17" s="44">
        <f t="shared" si="55"/>
        <v>5250000</v>
      </c>
      <c r="X17" s="44">
        <f t="shared" si="5"/>
        <v>105000</v>
      </c>
      <c r="Y17" s="44">
        <f t="shared" si="56"/>
        <v>105000</v>
      </c>
      <c r="Z17" s="44">
        <f t="shared" si="6"/>
        <v>1846250</v>
      </c>
      <c r="AA17" s="44">
        <f t="shared" si="57"/>
        <v>1846250</v>
      </c>
      <c r="AB17" s="44">
        <f t="shared" si="7"/>
        <v>3403750</v>
      </c>
      <c r="AC17" s="46">
        <f t="shared" si="8"/>
        <v>0</v>
      </c>
      <c r="AD17" s="47">
        <f t="shared" si="9"/>
        <v>0</v>
      </c>
      <c r="AE17" s="604">
        <f t="shared" si="58"/>
        <v>0</v>
      </c>
      <c r="AF17" s="44">
        <f t="shared" si="59"/>
        <v>0</v>
      </c>
      <c r="AG17" s="44">
        <f t="shared" si="60"/>
        <v>0</v>
      </c>
      <c r="AH17" s="44">
        <f t="shared" si="61"/>
        <v>0</v>
      </c>
      <c r="AI17" s="44">
        <f t="shared" si="62"/>
        <v>5250000</v>
      </c>
      <c r="AJ17" s="44">
        <f t="shared" si="63"/>
        <v>5250000</v>
      </c>
      <c r="AK17" s="44">
        <f t="shared" si="10"/>
        <v>105000</v>
      </c>
      <c r="AL17" s="44">
        <f t="shared" si="64"/>
        <v>105000</v>
      </c>
      <c r="AM17" s="44">
        <f t="shared" si="11"/>
        <v>1741250</v>
      </c>
      <c r="AN17" s="44">
        <f t="shared" si="65"/>
        <v>1741250</v>
      </c>
      <c r="AO17" s="44">
        <f t="shared" si="12"/>
        <v>3508750</v>
      </c>
      <c r="AP17" s="46">
        <f t="shared" si="13"/>
        <v>0</v>
      </c>
      <c r="AQ17" s="47">
        <f t="shared" si="14"/>
        <v>0</v>
      </c>
      <c r="AR17" s="604">
        <f t="shared" si="66"/>
        <v>0</v>
      </c>
      <c r="AS17" s="44">
        <f t="shared" si="67"/>
        <v>0</v>
      </c>
      <c r="AT17" s="44">
        <f t="shared" si="68"/>
        <v>0</v>
      </c>
      <c r="AU17" s="44">
        <f t="shared" si="69"/>
        <v>0</v>
      </c>
      <c r="AV17" s="44">
        <f t="shared" si="70"/>
        <v>5250000</v>
      </c>
      <c r="AW17" s="44">
        <f t="shared" si="71"/>
        <v>5250000</v>
      </c>
      <c r="AX17" s="44">
        <f t="shared" si="15"/>
        <v>105000</v>
      </c>
      <c r="AY17" s="44">
        <f t="shared" si="72"/>
        <v>105000</v>
      </c>
      <c r="AZ17" s="44">
        <f t="shared" si="16"/>
        <v>1636250</v>
      </c>
      <c r="BA17" s="44">
        <f t="shared" si="73"/>
        <v>1636250</v>
      </c>
      <c r="BB17" s="44">
        <f t="shared" si="17"/>
        <v>3613750</v>
      </c>
      <c r="BC17" s="46">
        <f t="shared" si="18"/>
        <v>0</v>
      </c>
      <c r="BD17" s="47">
        <f t="shared" si="19"/>
        <v>0</v>
      </c>
      <c r="BE17" s="604">
        <f t="shared" si="74"/>
        <v>0</v>
      </c>
      <c r="BF17" s="44">
        <f t="shared" si="75"/>
        <v>0</v>
      </c>
      <c r="BG17" s="44">
        <f t="shared" si="76"/>
        <v>0</v>
      </c>
      <c r="BH17" s="44">
        <f t="shared" si="77"/>
        <v>0</v>
      </c>
      <c r="BI17" s="44">
        <f t="shared" si="78"/>
        <v>5250000</v>
      </c>
      <c r="BJ17" s="44">
        <f t="shared" si="79"/>
        <v>5250000</v>
      </c>
      <c r="BK17" s="44">
        <f t="shared" si="20"/>
        <v>105000</v>
      </c>
      <c r="BL17" s="44">
        <f t="shared" si="80"/>
        <v>105000</v>
      </c>
      <c r="BM17" s="44">
        <f t="shared" si="21"/>
        <v>1531250</v>
      </c>
      <c r="BN17" s="44">
        <f t="shared" si="81"/>
        <v>1531250</v>
      </c>
      <c r="BO17" s="44">
        <f t="shared" si="22"/>
        <v>3718750</v>
      </c>
      <c r="BP17" s="46">
        <f t="shared" si="23"/>
        <v>0</v>
      </c>
      <c r="BQ17" s="47">
        <f t="shared" si="24"/>
        <v>0</v>
      </c>
      <c r="BR17" s="604">
        <f t="shared" si="82"/>
        <v>0</v>
      </c>
      <c r="BS17" s="44">
        <f t="shared" si="83"/>
        <v>0</v>
      </c>
      <c r="BT17" s="44">
        <f t="shared" si="84"/>
        <v>0</v>
      </c>
      <c r="BU17" s="44">
        <f t="shared" si="85"/>
        <v>0</v>
      </c>
      <c r="BV17" s="44">
        <f t="shared" si="86"/>
        <v>5250000</v>
      </c>
      <c r="BW17" s="44">
        <f t="shared" si="87"/>
        <v>5250000</v>
      </c>
      <c r="BX17" s="44">
        <f t="shared" si="25"/>
        <v>105000</v>
      </c>
      <c r="BY17" s="44">
        <f t="shared" si="88"/>
        <v>105000</v>
      </c>
      <c r="BZ17" s="44">
        <f t="shared" si="26"/>
        <v>1426250</v>
      </c>
      <c r="CA17" s="44">
        <f t="shared" si="89"/>
        <v>1426250</v>
      </c>
      <c r="CB17" s="44">
        <f t="shared" si="27"/>
        <v>3823750</v>
      </c>
      <c r="CC17" s="46">
        <f t="shared" si="28"/>
        <v>0</v>
      </c>
      <c r="CD17" s="47">
        <f t="shared" si="29"/>
        <v>0</v>
      </c>
      <c r="CE17" s="604">
        <f t="shared" si="90"/>
        <v>0</v>
      </c>
      <c r="CF17" s="44">
        <f t="shared" si="91"/>
        <v>0</v>
      </c>
      <c r="CG17" s="44">
        <f t="shared" si="92"/>
        <v>0</v>
      </c>
      <c r="CH17" s="44">
        <f t="shared" si="93"/>
        <v>0</v>
      </c>
      <c r="CI17" s="44">
        <f t="shared" si="94"/>
        <v>5250000</v>
      </c>
      <c r="CJ17" s="44">
        <f t="shared" si="95"/>
        <v>5250000</v>
      </c>
      <c r="CK17" s="44">
        <f t="shared" si="30"/>
        <v>105000</v>
      </c>
      <c r="CL17" s="44">
        <f t="shared" si="96"/>
        <v>105000</v>
      </c>
      <c r="CM17" s="44">
        <f t="shared" si="31"/>
        <v>1321250</v>
      </c>
      <c r="CN17" s="44">
        <f t="shared" si="97"/>
        <v>1321250</v>
      </c>
      <c r="CO17" s="44">
        <f t="shared" si="32"/>
        <v>3928750</v>
      </c>
      <c r="CP17" s="46">
        <f t="shared" si="33"/>
        <v>0</v>
      </c>
      <c r="CQ17" s="47">
        <f t="shared" si="34"/>
        <v>0</v>
      </c>
      <c r="CR17" s="604">
        <f t="shared" si="98"/>
        <v>0</v>
      </c>
      <c r="CS17" s="44">
        <f t="shared" si="99"/>
        <v>0</v>
      </c>
      <c r="CT17" s="44">
        <f t="shared" si="100"/>
        <v>0</v>
      </c>
      <c r="CU17" s="44">
        <f t="shared" si="101"/>
        <v>0</v>
      </c>
      <c r="CV17" s="44">
        <f t="shared" si="102"/>
        <v>5250000</v>
      </c>
      <c r="CW17" s="44">
        <f t="shared" si="103"/>
        <v>5250000</v>
      </c>
      <c r="CX17" s="44">
        <f t="shared" si="35"/>
        <v>105000</v>
      </c>
      <c r="CY17" s="44">
        <f t="shared" si="104"/>
        <v>105000</v>
      </c>
      <c r="CZ17" s="44">
        <f t="shared" si="36"/>
        <v>1216250</v>
      </c>
      <c r="DA17" s="44">
        <f t="shared" si="105"/>
        <v>1216250</v>
      </c>
      <c r="DB17" s="44">
        <f t="shared" si="37"/>
        <v>4033750</v>
      </c>
      <c r="DC17" s="46">
        <f t="shared" si="38"/>
        <v>0</v>
      </c>
      <c r="DD17" s="47">
        <f t="shared" si="39"/>
        <v>0</v>
      </c>
      <c r="DE17" s="604">
        <f t="shared" si="106"/>
        <v>0</v>
      </c>
      <c r="DF17" s="44">
        <f t="shared" si="107"/>
        <v>0</v>
      </c>
      <c r="DG17" s="44">
        <f t="shared" si="108"/>
        <v>0</v>
      </c>
      <c r="DH17" s="44">
        <f t="shared" si="109"/>
        <v>0</v>
      </c>
      <c r="DI17" s="44">
        <f t="shared" si="110"/>
        <v>5250000</v>
      </c>
      <c r="DJ17" s="44">
        <f t="shared" si="111"/>
        <v>5250000</v>
      </c>
      <c r="DK17" s="44">
        <f t="shared" si="40"/>
        <v>105000</v>
      </c>
      <c r="DL17" s="44">
        <f t="shared" si="112"/>
        <v>105000</v>
      </c>
      <c r="DM17" s="44">
        <f t="shared" si="41"/>
        <v>1111250</v>
      </c>
      <c r="DN17" s="44">
        <f t="shared" si="113"/>
        <v>1111250</v>
      </c>
      <c r="DO17" s="44">
        <f t="shared" si="42"/>
        <v>4138750</v>
      </c>
      <c r="DP17" s="46">
        <f t="shared" si="43"/>
        <v>0</v>
      </c>
      <c r="DQ17" s="47">
        <f t="shared" si="44"/>
        <v>0</v>
      </c>
      <c r="DR17" s="604">
        <f t="shared" si="114"/>
        <v>0</v>
      </c>
      <c r="DS17" s="44">
        <f t="shared" si="115"/>
        <v>0</v>
      </c>
      <c r="DT17" s="44">
        <f t="shared" si="116"/>
        <v>0</v>
      </c>
      <c r="DU17" s="44">
        <f t="shared" si="117"/>
        <v>0</v>
      </c>
      <c r="DV17" s="44">
        <f t="shared" si="118"/>
        <v>5250000</v>
      </c>
      <c r="DW17" s="44">
        <f t="shared" si="119"/>
        <v>5250000</v>
      </c>
      <c r="DX17" s="44">
        <f t="shared" si="45"/>
        <v>105000</v>
      </c>
      <c r="DY17" s="44">
        <f t="shared" si="120"/>
        <v>105000</v>
      </c>
      <c r="DZ17" s="44">
        <f t="shared" si="46"/>
        <v>1006250</v>
      </c>
      <c r="EA17" s="44">
        <f t="shared" si="121"/>
        <v>1006250</v>
      </c>
      <c r="EB17" s="44">
        <f t="shared" si="47"/>
        <v>4243750</v>
      </c>
      <c r="EC17" s="46">
        <f t="shared" si="48"/>
        <v>0</v>
      </c>
      <c r="ED17" s="47">
        <f t="shared" si="49"/>
        <v>0</v>
      </c>
    </row>
    <row r="18" spans="1:134" x14ac:dyDescent="0.35">
      <c r="A18" s="81">
        <v>1978</v>
      </c>
      <c r="B18" s="82" t="s">
        <v>191</v>
      </c>
      <c r="C18" s="82"/>
      <c r="D18" s="83" t="s">
        <v>18</v>
      </c>
      <c r="E18" s="87">
        <v>250000</v>
      </c>
      <c r="F18" s="85">
        <v>28672</v>
      </c>
      <c r="G18" s="88">
        <v>50</v>
      </c>
      <c r="H18" s="179"/>
      <c r="I18" s="180"/>
      <c r="J18" s="181"/>
      <c r="K18" s="42">
        <f t="shared" si="0"/>
        <v>0.02</v>
      </c>
      <c r="L18" s="43">
        <f t="shared" si="1"/>
        <v>5000</v>
      </c>
      <c r="M18" s="44">
        <f t="shared" si="2"/>
        <v>82500</v>
      </c>
      <c r="N18" s="44"/>
      <c r="O18" s="44">
        <f t="shared" si="3"/>
        <v>167500</v>
      </c>
      <c r="P18" s="45"/>
      <c r="Q18" s="44">
        <f t="shared" si="4"/>
        <v>250000</v>
      </c>
      <c r="R18" s="604">
        <f t="shared" si="50"/>
        <v>0</v>
      </c>
      <c r="S18" s="44">
        <f t="shared" si="51"/>
        <v>0</v>
      </c>
      <c r="T18" s="44">
        <f t="shared" si="52"/>
        <v>0</v>
      </c>
      <c r="U18" s="44">
        <f t="shared" si="53"/>
        <v>0</v>
      </c>
      <c r="V18" s="44">
        <f t="shared" si="54"/>
        <v>250000</v>
      </c>
      <c r="W18" s="44">
        <f t="shared" si="55"/>
        <v>250000</v>
      </c>
      <c r="X18" s="44">
        <f t="shared" si="5"/>
        <v>5000</v>
      </c>
      <c r="Y18" s="44">
        <f t="shared" si="56"/>
        <v>5000</v>
      </c>
      <c r="Z18" s="44">
        <f t="shared" si="6"/>
        <v>77500</v>
      </c>
      <c r="AA18" s="44">
        <f t="shared" si="57"/>
        <v>77500</v>
      </c>
      <c r="AB18" s="44">
        <f t="shared" si="7"/>
        <v>172500</v>
      </c>
      <c r="AC18" s="46">
        <f t="shared" si="8"/>
        <v>0</v>
      </c>
      <c r="AD18" s="47">
        <f t="shared" si="9"/>
        <v>0</v>
      </c>
      <c r="AE18" s="604">
        <f t="shared" si="58"/>
        <v>0</v>
      </c>
      <c r="AF18" s="44">
        <f t="shared" si="59"/>
        <v>0</v>
      </c>
      <c r="AG18" s="44">
        <f t="shared" si="60"/>
        <v>0</v>
      </c>
      <c r="AH18" s="44">
        <f t="shared" si="61"/>
        <v>0</v>
      </c>
      <c r="AI18" s="44">
        <f t="shared" si="62"/>
        <v>250000</v>
      </c>
      <c r="AJ18" s="44">
        <f t="shared" si="63"/>
        <v>250000</v>
      </c>
      <c r="AK18" s="44">
        <f t="shared" si="10"/>
        <v>5000</v>
      </c>
      <c r="AL18" s="44">
        <f t="shared" si="64"/>
        <v>5000</v>
      </c>
      <c r="AM18" s="44">
        <f t="shared" si="11"/>
        <v>72500</v>
      </c>
      <c r="AN18" s="44">
        <f t="shared" si="65"/>
        <v>72500</v>
      </c>
      <c r="AO18" s="44">
        <f t="shared" si="12"/>
        <v>177500</v>
      </c>
      <c r="AP18" s="46">
        <f t="shared" si="13"/>
        <v>0</v>
      </c>
      <c r="AQ18" s="47">
        <f t="shared" si="14"/>
        <v>0</v>
      </c>
      <c r="AR18" s="604">
        <f t="shared" si="66"/>
        <v>0</v>
      </c>
      <c r="AS18" s="44">
        <f t="shared" si="67"/>
        <v>0</v>
      </c>
      <c r="AT18" s="44">
        <f t="shared" si="68"/>
        <v>0</v>
      </c>
      <c r="AU18" s="44">
        <f t="shared" si="69"/>
        <v>0</v>
      </c>
      <c r="AV18" s="44">
        <f t="shared" si="70"/>
        <v>250000</v>
      </c>
      <c r="AW18" s="44">
        <f t="shared" si="71"/>
        <v>250000</v>
      </c>
      <c r="AX18" s="44">
        <f t="shared" si="15"/>
        <v>5000</v>
      </c>
      <c r="AY18" s="44">
        <f t="shared" si="72"/>
        <v>5000</v>
      </c>
      <c r="AZ18" s="44">
        <f t="shared" si="16"/>
        <v>67500</v>
      </c>
      <c r="BA18" s="44">
        <f t="shared" si="73"/>
        <v>67500</v>
      </c>
      <c r="BB18" s="44">
        <f t="shared" si="17"/>
        <v>182500</v>
      </c>
      <c r="BC18" s="46">
        <f t="shared" si="18"/>
        <v>0</v>
      </c>
      <c r="BD18" s="47">
        <f t="shared" si="19"/>
        <v>0</v>
      </c>
      <c r="BE18" s="604">
        <f t="shared" si="74"/>
        <v>0</v>
      </c>
      <c r="BF18" s="44">
        <f t="shared" si="75"/>
        <v>0</v>
      </c>
      <c r="BG18" s="44">
        <f t="shared" si="76"/>
        <v>0</v>
      </c>
      <c r="BH18" s="44">
        <f t="shared" si="77"/>
        <v>0</v>
      </c>
      <c r="BI18" s="44">
        <f t="shared" si="78"/>
        <v>250000</v>
      </c>
      <c r="BJ18" s="44">
        <f t="shared" si="79"/>
        <v>250000</v>
      </c>
      <c r="BK18" s="44">
        <f t="shared" si="20"/>
        <v>5000</v>
      </c>
      <c r="BL18" s="44">
        <f t="shared" si="80"/>
        <v>5000</v>
      </c>
      <c r="BM18" s="44">
        <f t="shared" si="21"/>
        <v>62500</v>
      </c>
      <c r="BN18" s="44">
        <f t="shared" si="81"/>
        <v>62500</v>
      </c>
      <c r="BO18" s="44">
        <f t="shared" si="22"/>
        <v>187500</v>
      </c>
      <c r="BP18" s="46">
        <f t="shared" si="23"/>
        <v>0</v>
      </c>
      <c r="BQ18" s="47">
        <f t="shared" si="24"/>
        <v>0</v>
      </c>
      <c r="BR18" s="604">
        <f t="shared" si="82"/>
        <v>0</v>
      </c>
      <c r="BS18" s="44">
        <f t="shared" si="83"/>
        <v>0</v>
      </c>
      <c r="BT18" s="44">
        <f t="shared" si="84"/>
        <v>0</v>
      </c>
      <c r="BU18" s="44">
        <f t="shared" si="85"/>
        <v>0</v>
      </c>
      <c r="BV18" s="44">
        <f t="shared" si="86"/>
        <v>250000</v>
      </c>
      <c r="BW18" s="44">
        <f t="shared" si="87"/>
        <v>250000</v>
      </c>
      <c r="BX18" s="44">
        <f t="shared" si="25"/>
        <v>5000</v>
      </c>
      <c r="BY18" s="44">
        <f t="shared" si="88"/>
        <v>5000</v>
      </c>
      <c r="BZ18" s="44">
        <f t="shared" si="26"/>
        <v>57500</v>
      </c>
      <c r="CA18" s="44">
        <f t="shared" si="89"/>
        <v>57500</v>
      </c>
      <c r="CB18" s="44">
        <f t="shared" si="27"/>
        <v>192500</v>
      </c>
      <c r="CC18" s="46">
        <f t="shared" si="28"/>
        <v>0</v>
      </c>
      <c r="CD18" s="47">
        <f t="shared" si="29"/>
        <v>0</v>
      </c>
      <c r="CE18" s="604">
        <f t="shared" si="90"/>
        <v>0</v>
      </c>
      <c r="CF18" s="44">
        <f t="shared" si="91"/>
        <v>0</v>
      </c>
      <c r="CG18" s="44">
        <f t="shared" si="92"/>
        <v>0</v>
      </c>
      <c r="CH18" s="44">
        <f t="shared" si="93"/>
        <v>0</v>
      </c>
      <c r="CI18" s="44">
        <f t="shared" si="94"/>
        <v>250000</v>
      </c>
      <c r="CJ18" s="44">
        <f t="shared" si="95"/>
        <v>250000</v>
      </c>
      <c r="CK18" s="44">
        <f t="shared" si="30"/>
        <v>5000</v>
      </c>
      <c r="CL18" s="44">
        <f t="shared" si="96"/>
        <v>5000</v>
      </c>
      <c r="CM18" s="44">
        <f t="shared" si="31"/>
        <v>52500</v>
      </c>
      <c r="CN18" s="44">
        <f t="shared" si="97"/>
        <v>52500</v>
      </c>
      <c r="CO18" s="44">
        <f t="shared" si="32"/>
        <v>197500</v>
      </c>
      <c r="CP18" s="46">
        <f t="shared" si="33"/>
        <v>0</v>
      </c>
      <c r="CQ18" s="47">
        <f t="shared" si="34"/>
        <v>0</v>
      </c>
      <c r="CR18" s="604">
        <f t="shared" si="98"/>
        <v>0</v>
      </c>
      <c r="CS18" s="44">
        <f t="shared" si="99"/>
        <v>0</v>
      </c>
      <c r="CT18" s="44">
        <f t="shared" si="100"/>
        <v>0</v>
      </c>
      <c r="CU18" s="44">
        <f t="shared" si="101"/>
        <v>0</v>
      </c>
      <c r="CV18" s="44">
        <f t="shared" si="102"/>
        <v>250000</v>
      </c>
      <c r="CW18" s="44">
        <f t="shared" si="103"/>
        <v>250000</v>
      </c>
      <c r="CX18" s="44">
        <f t="shared" si="35"/>
        <v>5000</v>
      </c>
      <c r="CY18" s="44">
        <f t="shared" si="104"/>
        <v>5000</v>
      </c>
      <c r="CZ18" s="44">
        <f t="shared" si="36"/>
        <v>47500</v>
      </c>
      <c r="DA18" s="44">
        <f t="shared" si="105"/>
        <v>47500</v>
      </c>
      <c r="DB18" s="44">
        <f t="shared" si="37"/>
        <v>202500</v>
      </c>
      <c r="DC18" s="46">
        <f t="shared" si="38"/>
        <v>0</v>
      </c>
      <c r="DD18" s="47">
        <f t="shared" si="39"/>
        <v>0</v>
      </c>
      <c r="DE18" s="604">
        <f t="shared" si="106"/>
        <v>0</v>
      </c>
      <c r="DF18" s="44">
        <f t="shared" si="107"/>
        <v>0</v>
      </c>
      <c r="DG18" s="44">
        <f t="shared" si="108"/>
        <v>0</v>
      </c>
      <c r="DH18" s="44">
        <f t="shared" si="109"/>
        <v>0</v>
      </c>
      <c r="DI18" s="44">
        <f t="shared" si="110"/>
        <v>250000</v>
      </c>
      <c r="DJ18" s="44">
        <f t="shared" si="111"/>
        <v>250000</v>
      </c>
      <c r="DK18" s="44">
        <f t="shared" si="40"/>
        <v>5000</v>
      </c>
      <c r="DL18" s="44">
        <f t="shared" si="112"/>
        <v>5000</v>
      </c>
      <c r="DM18" s="44">
        <f t="shared" si="41"/>
        <v>42500</v>
      </c>
      <c r="DN18" s="44">
        <f t="shared" si="113"/>
        <v>42500</v>
      </c>
      <c r="DO18" s="44">
        <f t="shared" si="42"/>
        <v>207500</v>
      </c>
      <c r="DP18" s="46">
        <f t="shared" si="43"/>
        <v>0</v>
      </c>
      <c r="DQ18" s="47">
        <f t="shared" si="44"/>
        <v>0</v>
      </c>
      <c r="DR18" s="604">
        <f t="shared" si="114"/>
        <v>0</v>
      </c>
      <c r="DS18" s="44">
        <f t="shared" si="115"/>
        <v>0</v>
      </c>
      <c r="DT18" s="44">
        <f t="shared" si="116"/>
        <v>0</v>
      </c>
      <c r="DU18" s="44">
        <f t="shared" si="117"/>
        <v>0</v>
      </c>
      <c r="DV18" s="44">
        <f t="shared" si="118"/>
        <v>250000</v>
      </c>
      <c r="DW18" s="44">
        <f t="shared" si="119"/>
        <v>250000</v>
      </c>
      <c r="DX18" s="44">
        <f t="shared" si="45"/>
        <v>5000</v>
      </c>
      <c r="DY18" s="44">
        <f t="shared" si="120"/>
        <v>5000</v>
      </c>
      <c r="DZ18" s="44">
        <f t="shared" si="46"/>
        <v>37500</v>
      </c>
      <c r="EA18" s="44">
        <f t="shared" si="121"/>
        <v>37500</v>
      </c>
      <c r="EB18" s="44">
        <f t="shared" si="47"/>
        <v>212500</v>
      </c>
      <c r="EC18" s="46">
        <f t="shared" si="48"/>
        <v>0</v>
      </c>
      <c r="ED18" s="47">
        <f t="shared" si="49"/>
        <v>0</v>
      </c>
    </row>
    <row r="19" spans="1:134" x14ac:dyDescent="0.35">
      <c r="A19" s="81">
        <v>1980</v>
      </c>
      <c r="B19" s="82" t="s">
        <v>192</v>
      </c>
      <c r="C19" s="82"/>
      <c r="D19" s="83" t="s">
        <v>18</v>
      </c>
      <c r="E19" s="87">
        <v>400000</v>
      </c>
      <c r="F19" s="85">
        <v>29403</v>
      </c>
      <c r="G19" s="88">
        <v>50</v>
      </c>
      <c r="H19" s="179"/>
      <c r="I19" s="180"/>
      <c r="J19" s="181"/>
      <c r="K19" s="42">
        <f t="shared" si="0"/>
        <v>0.02</v>
      </c>
      <c r="L19" s="43">
        <f t="shared" si="1"/>
        <v>8000</v>
      </c>
      <c r="M19" s="44">
        <f t="shared" si="2"/>
        <v>148000</v>
      </c>
      <c r="N19" s="44"/>
      <c r="O19" s="44">
        <f t="shared" si="3"/>
        <v>252000</v>
      </c>
      <c r="P19" s="45"/>
      <c r="Q19" s="44">
        <f t="shared" si="4"/>
        <v>400000</v>
      </c>
      <c r="R19" s="604">
        <f t="shared" si="50"/>
        <v>0</v>
      </c>
      <c r="S19" s="44">
        <f t="shared" si="51"/>
        <v>0</v>
      </c>
      <c r="T19" s="44">
        <f t="shared" si="52"/>
        <v>0</v>
      </c>
      <c r="U19" s="44">
        <f t="shared" si="53"/>
        <v>0</v>
      </c>
      <c r="V19" s="44">
        <f t="shared" si="54"/>
        <v>400000</v>
      </c>
      <c r="W19" s="44">
        <f t="shared" si="55"/>
        <v>400000</v>
      </c>
      <c r="X19" s="44">
        <f t="shared" si="5"/>
        <v>8000</v>
      </c>
      <c r="Y19" s="44">
        <f t="shared" si="56"/>
        <v>8000</v>
      </c>
      <c r="Z19" s="44">
        <f t="shared" si="6"/>
        <v>140000</v>
      </c>
      <c r="AA19" s="44">
        <f t="shared" si="57"/>
        <v>140000</v>
      </c>
      <c r="AB19" s="44">
        <f t="shared" si="7"/>
        <v>260000</v>
      </c>
      <c r="AC19" s="46">
        <f t="shared" si="8"/>
        <v>0</v>
      </c>
      <c r="AD19" s="47">
        <f t="shared" si="9"/>
        <v>0</v>
      </c>
      <c r="AE19" s="604">
        <f t="shared" si="58"/>
        <v>0</v>
      </c>
      <c r="AF19" s="44">
        <f t="shared" si="59"/>
        <v>0</v>
      </c>
      <c r="AG19" s="44">
        <f t="shared" si="60"/>
        <v>0</v>
      </c>
      <c r="AH19" s="44">
        <f t="shared" si="61"/>
        <v>0</v>
      </c>
      <c r="AI19" s="44">
        <f t="shared" si="62"/>
        <v>400000</v>
      </c>
      <c r="AJ19" s="44">
        <f t="shared" si="63"/>
        <v>400000</v>
      </c>
      <c r="AK19" s="44">
        <f t="shared" si="10"/>
        <v>8000</v>
      </c>
      <c r="AL19" s="44">
        <f t="shared" si="64"/>
        <v>8000</v>
      </c>
      <c r="AM19" s="44">
        <f t="shared" si="11"/>
        <v>132000</v>
      </c>
      <c r="AN19" s="44">
        <f t="shared" si="65"/>
        <v>132000</v>
      </c>
      <c r="AO19" s="44">
        <f t="shared" si="12"/>
        <v>268000</v>
      </c>
      <c r="AP19" s="46">
        <f t="shared" si="13"/>
        <v>0</v>
      </c>
      <c r="AQ19" s="47">
        <f t="shared" si="14"/>
        <v>0</v>
      </c>
      <c r="AR19" s="604">
        <f t="shared" si="66"/>
        <v>0</v>
      </c>
      <c r="AS19" s="44">
        <f t="shared" si="67"/>
        <v>0</v>
      </c>
      <c r="AT19" s="44">
        <f t="shared" si="68"/>
        <v>0</v>
      </c>
      <c r="AU19" s="44">
        <f t="shared" si="69"/>
        <v>0</v>
      </c>
      <c r="AV19" s="44">
        <f t="shared" si="70"/>
        <v>400000</v>
      </c>
      <c r="AW19" s="44">
        <f t="shared" si="71"/>
        <v>400000</v>
      </c>
      <c r="AX19" s="44">
        <f t="shared" si="15"/>
        <v>8000</v>
      </c>
      <c r="AY19" s="44">
        <f t="shared" si="72"/>
        <v>8000</v>
      </c>
      <c r="AZ19" s="44">
        <f t="shared" si="16"/>
        <v>124000</v>
      </c>
      <c r="BA19" s="44">
        <f t="shared" si="73"/>
        <v>124000</v>
      </c>
      <c r="BB19" s="44">
        <f t="shared" si="17"/>
        <v>276000</v>
      </c>
      <c r="BC19" s="46">
        <f t="shared" si="18"/>
        <v>0</v>
      </c>
      <c r="BD19" s="47">
        <f t="shared" si="19"/>
        <v>0</v>
      </c>
      <c r="BE19" s="604">
        <f t="shared" si="74"/>
        <v>0</v>
      </c>
      <c r="BF19" s="44">
        <f t="shared" si="75"/>
        <v>0</v>
      </c>
      <c r="BG19" s="44">
        <f t="shared" si="76"/>
        <v>0</v>
      </c>
      <c r="BH19" s="44">
        <f t="shared" si="77"/>
        <v>0</v>
      </c>
      <c r="BI19" s="44">
        <f t="shared" si="78"/>
        <v>400000</v>
      </c>
      <c r="BJ19" s="44">
        <f t="shared" si="79"/>
        <v>400000</v>
      </c>
      <c r="BK19" s="44">
        <f t="shared" si="20"/>
        <v>8000</v>
      </c>
      <c r="BL19" s="44">
        <f t="shared" si="80"/>
        <v>8000</v>
      </c>
      <c r="BM19" s="44">
        <f t="shared" si="21"/>
        <v>116000</v>
      </c>
      <c r="BN19" s="44">
        <f t="shared" si="81"/>
        <v>116000</v>
      </c>
      <c r="BO19" s="44">
        <f t="shared" si="22"/>
        <v>284000</v>
      </c>
      <c r="BP19" s="46">
        <f t="shared" si="23"/>
        <v>0</v>
      </c>
      <c r="BQ19" s="47">
        <f t="shared" si="24"/>
        <v>0</v>
      </c>
      <c r="BR19" s="604">
        <f t="shared" si="82"/>
        <v>0</v>
      </c>
      <c r="BS19" s="44">
        <f t="shared" si="83"/>
        <v>0</v>
      </c>
      <c r="BT19" s="44">
        <f t="shared" si="84"/>
        <v>0</v>
      </c>
      <c r="BU19" s="44">
        <f t="shared" si="85"/>
        <v>0</v>
      </c>
      <c r="BV19" s="44">
        <f t="shared" si="86"/>
        <v>400000</v>
      </c>
      <c r="BW19" s="44">
        <f t="shared" si="87"/>
        <v>400000</v>
      </c>
      <c r="BX19" s="44">
        <f t="shared" si="25"/>
        <v>8000</v>
      </c>
      <c r="BY19" s="44">
        <f t="shared" si="88"/>
        <v>8000</v>
      </c>
      <c r="BZ19" s="44">
        <f t="shared" si="26"/>
        <v>108000</v>
      </c>
      <c r="CA19" s="44">
        <f t="shared" si="89"/>
        <v>108000</v>
      </c>
      <c r="CB19" s="44">
        <f t="shared" si="27"/>
        <v>292000</v>
      </c>
      <c r="CC19" s="46">
        <f t="shared" si="28"/>
        <v>0</v>
      </c>
      <c r="CD19" s="47">
        <f t="shared" si="29"/>
        <v>0</v>
      </c>
      <c r="CE19" s="604">
        <f t="shared" si="90"/>
        <v>0</v>
      </c>
      <c r="CF19" s="44">
        <f t="shared" si="91"/>
        <v>0</v>
      </c>
      <c r="CG19" s="44">
        <f t="shared" si="92"/>
        <v>0</v>
      </c>
      <c r="CH19" s="44">
        <f t="shared" si="93"/>
        <v>0</v>
      </c>
      <c r="CI19" s="44">
        <f t="shared" si="94"/>
        <v>400000</v>
      </c>
      <c r="CJ19" s="44">
        <f t="shared" si="95"/>
        <v>400000</v>
      </c>
      <c r="CK19" s="44">
        <f t="shared" si="30"/>
        <v>8000</v>
      </c>
      <c r="CL19" s="44">
        <f t="shared" si="96"/>
        <v>8000</v>
      </c>
      <c r="CM19" s="44">
        <f t="shared" si="31"/>
        <v>100000</v>
      </c>
      <c r="CN19" s="44">
        <f t="shared" si="97"/>
        <v>100000</v>
      </c>
      <c r="CO19" s="44">
        <f t="shared" si="32"/>
        <v>300000</v>
      </c>
      <c r="CP19" s="46">
        <f t="shared" si="33"/>
        <v>0</v>
      </c>
      <c r="CQ19" s="47">
        <f t="shared" si="34"/>
        <v>0</v>
      </c>
      <c r="CR19" s="604">
        <f t="shared" si="98"/>
        <v>0</v>
      </c>
      <c r="CS19" s="44">
        <f t="shared" si="99"/>
        <v>0</v>
      </c>
      <c r="CT19" s="44">
        <f t="shared" si="100"/>
        <v>0</v>
      </c>
      <c r="CU19" s="44">
        <f t="shared" si="101"/>
        <v>0</v>
      </c>
      <c r="CV19" s="44">
        <f t="shared" si="102"/>
        <v>400000</v>
      </c>
      <c r="CW19" s="44">
        <f t="shared" si="103"/>
        <v>400000</v>
      </c>
      <c r="CX19" s="44">
        <f t="shared" si="35"/>
        <v>8000</v>
      </c>
      <c r="CY19" s="44">
        <f t="shared" si="104"/>
        <v>8000</v>
      </c>
      <c r="CZ19" s="44">
        <f t="shared" si="36"/>
        <v>92000</v>
      </c>
      <c r="DA19" s="44">
        <f t="shared" si="105"/>
        <v>92000</v>
      </c>
      <c r="DB19" s="44">
        <f t="shared" si="37"/>
        <v>308000</v>
      </c>
      <c r="DC19" s="46">
        <f t="shared" si="38"/>
        <v>0</v>
      </c>
      <c r="DD19" s="47">
        <f t="shared" si="39"/>
        <v>0</v>
      </c>
      <c r="DE19" s="604">
        <f t="shared" si="106"/>
        <v>0</v>
      </c>
      <c r="DF19" s="44">
        <f t="shared" si="107"/>
        <v>0</v>
      </c>
      <c r="DG19" s="44">
        <f t="shared" si="108"/>
        <v>0</v>
      </c>
      <c r="DH19" s="44">
        <f t="shared" si="109"/>
        <v>0</v>
      </c>
      <c r="DI19" s="44">
        <f t="shared" si="110"/>
        <v>400000</v>
      </c>
      <c r="DJ19" s="44">
        <f t="shared" si="111"/>
        <v>400000</v>
      </c>
      <c r="DK19" s="44">
        <f t="shared" si="40"/>
        <v>8000</v>
      </c>
      <c r="DL19" s="44">
        <f t="shared" si="112"/>
        <v>8000</v>
      </c>
      <c r="DM19" s="44">
        <f t="shared" si="41"/>
        <v>84000</v>
      </c>
      <c r="DN19" s="44">
        <f t="shared" si="113"/>
        <v>84000</v>
      </c>
      <c r="DO19" s="44">
        <f t="shared" si="42"/>
        <v>316000</v>
      </c>
      <c r="DP19" s="46">
        <f t="shared" si="43"/>
        <v>0</v>
      </c>
      <c r="DQ19" s="47">
        <f t="shared" si="44"/>
        <v>0</v>
      </c>
      <c r="DR19" s="604">
        <f t="shared" si="114"/>
        <v>0</v>
      </c>
      <c r="DS19" s="44">
        <f t="shared" si="115"/>
        <v>0</v>
      </c>
      <c r="DT19" s="44">
        <f t="shared" si="116"/>
        <v>0</v>
      </c>
      <c r="DU19" s="44">
        <f t="shared" si="117"/>
        <v>0</v>
      </c>
      <c r="DV19" s="44">
        <f t="shared" si="118"/>
        <v>400000</v>
      </c>
      <c r="DW19" s="44">
        <f t="shared" si="119"/>
        <v>400000</v>
      </c>
      <c r="DX19" s="44">
        <f t="shared" si="45"/>
        <v>8000</v>
      </c>
      <c r="DY19" s="44">
        <f t="shared" si="120"/>
        <v>8000</v>
      </c>
      <c r="DZ19" s="44">
        <f t="shared" si="46"/>
        <v>76000</v>
      </c>
      <c r="EA19" s="44">
        <f t="shared" si="121"/>
        <v>76000</v>
      </c>
      <c r="EB19" s="44">
        <f t="shared" si="47"/>
        <v>324000</v>
      </c>
      <c r="EC19" s="46">
        <f t="shared" si="48"/>
        <v>0</v>
      </c>
      <c r="ED19" s="47">
        <f t="shared" si="49"/>
        <v>0</v>
      </c>
    </row>
    <row r="20" spans="1:134" x14ac:dyDescent="0.35">
      <c r="A20" s="81">
        <v>1985</v>
      </c>
      <c r="B20" s="82" t="s">
        <v>193</v>
      </c>
      <c r="C20" s="82"/>
      <c r="D20" s="83" t="s">
        <v>18</v>
      </c>
      <c r="E20" s="87">
        <v>200000</v>
      </c>
      <c r="F20" s="85">
        <v>31229</v>
      </c>
      <c r="G20" s="88">
        <v>50</v>
      </c>
      <c r="H20" s="179"/>
      <c r="I20" s="180"/>
      <c r="J20" s="181"/>
      <c r="K20" s="42">
        <f t="shared" si="0"/>
        <v>0.02</v>
      </c>
      <c r="L20" s="43">
        <f t="shared" si="1"/>
        <v>4000</v>
      </c>
      <c r="M20" s="44">
        <f t="shared" si="2"/>
        <v>94000</v>
      </c>
      <c r="N20" s="44"/>
      <c r="O20" s="44">
        <f t="shared" si="3"/>
        <v>106000</v>
      </c>
      <c r="P20" s="45"/>
      <c r="Q20" s="44">
        <f t="shared" si="4"/>
        <v>200000</v>
      </c>
      <c r="R20" s="604">
        <f t="shared" si="50"/>
        <v>0</v>
      </c>
      <c r="S20" s="44">
        <f t="shared" si="51"/>
        <v>0</v>
      </c>
      <c r="T20" s="44">
        <f t="shared" si="52"/>
        <v>0</v>
      </c>
      <c r="U20" s="44">
        <f t="shared" si="53"/>
        <v>0</v>
      </c>
      <c r="V20" s="44">
        <f t="shared" si="54"/>
        <v>200000</v>
      </c>
      <c r="W20" s="44">
        <f t="shared" si="55"/>
        <v>200000</v>
      </c>
      <c r="X20" s="44">
        <f t="shared" si="5"/>
        <v>4000</v>
      </c>
      <c r="Y20" s="44">
        <f t="shared" si="56"/>
        <v>4000</v>
      </c>
      <c r="Z20" s="44">
        <f t="shared" si="6"/>
        <v>90000</v>
      </c>
      <c r="AA20" s="44">
        <f t="shared" si="57"/>
        <v>90000</v>
      </c>
      <c r="AB20" s="44">
        <f t="shared" si="7"/>
        <v>110000</v>
      </c>
      <c r="AC20" s="46">
        <f t="shared" si="8"/>
        <v>0</v>
      </c>
      <c r="AD20" s="47">
        <f t="shared" si="9"/>
        <v>0</v>
      </c>
      <c r="AE20" s="604">
        <f t="shared" si="58"/>
        <v>0</v>
      </c>
      <c r="AF20" s="44">
        <f t="shared" si="59"/>
        <v>0</v>
      </c>
      <c r="AG20" s="44">
        <f t="shared" si="60"/>
        <v>0</v>
      </c>
      <c r="AH20" s="44">
        <f t="shared" si="61"/>
        <v>0</v>
      </c>
      <c r="AI20" s="44">
        <f t="shared" si="62"/>
        <v>200000</v>
      </c>
      <c r="AJ20" s="44">
        <f t="shared" si="63"/>
        <v>200000</v>
      </c>
      <c r="AK20" s="44">
        <f t="shared" si="10"/>
        <v>4000</v>
      </c>
      <c r="AL20" s="44">
        <f t="shared" si="64"/>
        <v>4000</v>
      </c>
      <c r="AM20" s="44">
        <f t="shared" si="11"/>
        <v>86000</v>
      </c>
      <c r="AN20" s="44">
        <f t="shared" si="65"/>
        <v>86000</v>
      </c>
      <c r="AO20" s="44">
        <f t="shared" si="12"/>
        <v>114000</v>
      </c>
      <c r="AP20" s="46">
        <f t="shared" si="13"/>
        <v>0</v>
      </c>
      <c r="AQ20" s="47">
        <f t="shared" si="14"/>
        <v>0</v>
      </c>
      <c r="AR20" s="604">
        <f t="shared" si="66"/>
        <v>0</v>
      </c>
      <c r="AS20" s="44">
        <f t="shared" si="67"/>
        <v>0</v>
      </c>
      <c r="AT20" s="44">
        <f t="shared" si="68"/>
        <v>0</v>
      </c>
      <c r="AU20" s="44">
        <f t="shared" si="69"/>
        <v>0</v>
      </c>
      <c r="AV20" s="44">
        <f t="shared" si="70"/>
        <v>200000</v>
      </c>
      <c r="AW20" s="44">
        <f t="shared" si="71"/>
        <v>200000</v>
      </c>
      <c r="AX20" s="44">
        <f t="shared" si="15"/>
        <v>4000</v>
      </c>
      <c r="AY20" s="44">
        <f t="shared" si="72"/>
        <v>4000</v>
      </c>
      <c r="AZ20" s="44">
        <f t="shared" si="16"/>
        <v>82000</v>
      </c>
      <c r="BA20" s="44">
        <f t="shared" si="73"/>
        <v>82000</v>
      </c>
      <c r="BB20" s="44">
        <f t="shared" si="17"/>
        <v>118000</v>
      </c>
      <c r="BC20" s="46">
        <f t="shared" si="18"/>
        <v>0</v>
      </c>
      <c r="BD20" s="47">
        <f t="shared" si="19"/>
        <v>0</v>
      </c>
      <c r="BE20" s="604">
        <f t="shared" si="74"/>
        <v>0</v>
      </c>
      <c r="BF20" s="44">
        <f t="shared" si="75"/>
        <v>0</v>
      </c>
      <c r="BG20" s="44">
        <f t="shared" si="76"/>
        <v>0</v>
      </c>
      <c r="BH20" s="44">
        <f t="shared" si="77"/>
        <v>0</v>
      </c>
      <c r="BI20" s="44">
        <f t="shared" si="78"/>
        <v>200000</v>
      </c>
      <c r="BJ20" s="44">
        <f t="shared" si="79"/>
        <v>200000</v>
      </c>
      <c r="BK20" s="44">
        <f t="shared" si="20"/>
        <v>4000</v>
      </c>
      <c r="BL20" s="44">
        <f t="shared" si="80"/>
        <v>4000</v>
      </c>
      <c r="BM20" s="44">
        <f t="shared" si="21"/>
        <v>78000</v>
      </c>
      <c r="BN20" s="44">
        <f t="shared" si="81"/>
        <v>78000</v>
      </c>
      <c r="BO20" s="44">
        <f t="shared" si="22"/>
        <v>122000</v>
      </c>
      <c r="BP20" s="46">
        <f t="shared" si="23"/>
        <v>0</v>
      </c>
      <c r="BQ20" s="47">
        <f t="shared" si="24"/>
        <v>0</v>
      </c>
      <c r="BR20" s="604">
        <f t="shared" si="82"/>
        <v>0</v>
      </c>
      <c r="BS20" s="44">
        <f t="shared" si="83"/>
        <v>0</v>
      </c>
      <c r="BT20" s="44">
        <f t="shared" si="84"/>
        <v>0</v>
      </c>
      <c r="BU20" s="44">
        <f t="shared" si="85"/>
        <v>0</v>
      </c>
      <c r="BV20" s="44">
        <f t="shared" si="86"/>
        <v>200000</v>
      </c>
      <c r="BW20" s="44">
        <f t="shared" si="87"/>
        <v>200000</v>
      </c>
      <c r="BX20" s="44">
        <f t="shared" si="25"/>
        <v>4000</v>
      </c>
      <c r="BY20" s="44">
        <f t="shared" si="88"/>
        <v>4000</v>
      </c>
      <c r="BZ20" s="44">
        <f t="shared" si="26"/>
        <v>74000</v>
      </c>
      <c r="CA20" s="44">
        <f t="shared" si="89"/>
        <v>74000</v>
      </c>
      <c r="CB20" s="44">
        <f t="shared" si="27"/>
        <v>126000</v>
      </c>
      <c r="CC20" s="46">
        <f t="shared" si="28"/>
        <v>0</v>
      </c>
      <c r="CD20" s="47">
        <f t="shared" si="29"/>
        <v>0</v>
      </c>
      <c r="CE20" s="604">
        <f t="shared" si="90"/>
        <v>0</v>
      </c>
      <c r="CF20" s="44">
        <f t="shared" si="91"/>
        <v>0</v>
      </c>
      <c r="CG20" s="44">
        <f t="shared" si="92"/>
        <v>0</v>
      </c>
      <c r="CH20" s="44">
        <f t="shared" si="93"/>
        <v>0</v>
      </c>
      <c r="CI20" s="44">
        <f t="shared" si="94"/>
        <v>200000</v>
      </c>
      <c r="CJ20" s="44">
        <f t="shared" si="95"/>
        <v>200000</v>
      </c>
      <c r="CK20" s="44">
        <f t="shared" si="30"/>
        <v>4000</v>
      </c>
      <c r="CL20" s="44">
        <f t="shared" si="96"/>
        <v>4000</v>
      </c>
      <c r="CM20" s="44">
        <f t="shared" si="31"/>
        <v>70000</v>
      </c>
      <c r="CN20" s="44">
        <f t="shared" si="97"/>
        <v>70000</v>
      </c>
      <c r="CO20" s="44">
        <f t="shared" si="32"/>
        <v>130000</v>
      </c>
      <c r="CP20" s="46">
        <f t="shared" si="33"/>
        <v>0</v>
      </c>
      <c r="CQ20" s="47">
        <f t="shared" si="34"/>
        <v>0</v>
      </c>
      <c r="CR20" s="604">
        <f t="shared" si="98"/>
        <v>0</v>
      </c>
      <c r="CS20" s="44">
        <f t="shared" si="99"/>
        <v>0</v>
      </c>
      <c r="CT20" s="44">
        <f t="shared" si="100"/>
        <v>0</v>
      </c>
      <c r="CU20" s="44">
        <f t="shared" si="101"/>
        <v>0</v>
      </c>
      <c r="CV20" s="44">
        <f t="shared" si="102"/>
        <v>200000</v>
      </c>
      <c r="CW20" s="44">
        <f t="shared" si="103"/>
        <v>200000</v>
      </c>
      <c r="CX20" s="44">
        <f t="shared" si="35"/>
        <v>4000</v>
      </c>
      <c r="CY20" s="44">
        <f t="shared" si="104"/>
        <v>4000</v>
      </c>
      <c r="CZ20" s="44">
        <f t="shared" si="36"/>
        <v>66000</v>
      </c>
      <c r="DA20" s="44">
        <f t="shared" si="105"/>
        <v>66000</v>
      </c>
      <c r="DB20" s="44">
        <f t="shared" si="37"/>
        <v>134000</v>
      </c>
      <c r="DC20" s="46">
        <f t="shared" si="38"/>
        <v>0</v>
      </c>
      <c r="DD20" s="47">
        <f t="shared" si="39"/>
        <v>0</v>
      </c>
      <c r="DE20" s="604">
        <f t="shared" si="106"/>
        <v>0</v>
      </c>
      <c r="DF20" s="44">
        <f t="shared" si="107"/>
        <v>0</v>
      </c>
      <c r="DG20" s="44">
        <f t="shared" si="108"/>
        <v>0</v>
      </c>
      <c r="DH20" s="44">
        <f t="shared" si="109"/>
        <v>0</v>
      </c>
      <c r="DI20" s="44">
        <f t="shared" si="110"/>
        <v>200000</v>
      </c>
      <c r="DJ20" s="44">
        <f t="shared" si="111"/>
        <v>200000</v>
      </c>
      <c r="DK20" s="44">
        <f t="shared" si="40"/>
        <v>4000</v>
      </c>
      <c r="DL20" s="44">
        <f t="shared" si="112"/>
        <v>4000</v>
      </c>
      <c r="DM20" s="44">
        <f t="shared" si="41"/>
        <v>62000</v>
      </c>
      <c r="DN20" s="44">
        <f t="shared" si="113"/>
        <v>62000</v>
      </c>
      <c r="DO20" s="44">
        <f t="shared" si="42"/>
        <v>138000</v>
      </c>
      <c r="DP20" s="46">
        <f t="shared" si="43"/>
        <v>0</v>
      </c>
      <c r="DQ20" s="47">
        <f t="shared" si="44"/>
        <v>0</v>
      </c>
      <c r="DR20" s="604">
        <f t="shared" si="114"/>
        <v>0</v>
      </c>
      <c r="DS20" s="44">
        <f t="shared" si="115"/>
        <v>0</v>
      </c>
      <c r="DT20" s="44">
        <f t="shared" si="116"/>
        <v>0</v>
      </c>
      <c r="DU20" s="44">
        <f t="shared" si="117"/>
        <v>0</v>
      </c>
      <c r="DV20" s="44">
        <f t="shared" si="118"/>
        <v>200000</v>
      </c>
      <c r="DW20" s="44">
        <f t="shared" si="119"/>
        <v>200000</v>
      </c>
      <c r="DX20" s="44">
        <f t="shared" si="45"/>
        <v>4000</v>
      </c>
      <c r="DY20" s="44">
        <f t="shared" si="120"/>
        <v>4000</v>
      </c>
      <c r="DZ20" s="44">
        <f t="shared" si="46"/>
        <v>58000</v>
      </c>
      <c r="EA20" s="44">
        <f t="shared" si="121"/>
        <v>58000</v>
      </c>
      <c r="EB20" s="44">
        <f t="shared" si="47"/>
        <v>142000</v>
      </c>
      <c r="EC20" s="46">
        <f t="shared" si="48"/>
        <v>0</v>
      </c>
      <c r="ED20" s="47">
        <f t="shared" si="49"/>
        <v>0</v>
      </c>
    </row>
    <row r="21" spans="1:134" x14ac:dyDescent="0.35">
      <c r="A21" s="81">
        <v>1989</v>
      </c>
      <c r="B21" s="82" t="s">
        <v>194</v>
      </c>
      <c r="C21" s="82"/>
      <c r="D21" s="83" t="s">
        <v>18</v>
      </c>
      <c r="E21" s="87">
        <v>180000</v>
      </c>
      <c r="F21" s="85">
        <v>32690</v>
      </c>
      <c r="G21" s="88">
        <v>50</v>
      </c>
      <c r="H21" s="179"/>
      <c r="I21" s="180"/>
      <c r="J21" s="181"/>
      <c r="K21" s="42">
        <f t="shared" si="0"/>
        <v>0.02</v>
      </c>
      <c r="L21" s="43">
        <f t="shared" si="1"/>
        <v>3600</v>
      </c>
      <c r="M21" s="44">
        <f t="shared" si="2"/>
        <v>99000</v>
      </c>
      <c r="N21" s="44"/>
      <c r="O21" s="44">
        <f t="shared" si="3"/>
        <v>81000</v>
      </c>
      <c r="P21" s="45"/>
      <c r="Q21" s="44">
        <f t="shared" si="4"/>
        <v>180000</v>
      </c>
      <c r="R21" s="604">
        <f t="shared" si="50"/>
        <v>0</v>
      </c>
      <c r="S21" s="44">
        <f t="shared" si="51"/>
        <v>0</v>
      </c>
      <c r="T21" s="44">
        <f t="shared" si="52"/>
        <v>0</v>
      </c>
      <c r="U21" s="44">
        <f t="shared" si="53"/>
        <v>0</v>
      </c>
      <c r="V21" s="44">
        <f t="shared" si="54"/>
        <v>180000</v>
      </c>
      <c r="W21" s="44">
        <f t="shared" si="55"/>
        <v>180000</v>
      </c>
      <c r="X21" s="44">
        <f t="shared" si="5"/>
        <v>3600</v>
      </c>
      <c r="Y21" s="44">
        <f t="shared" si="56"/>
        <v>3600</v>
      </c>
      <c r="Z21" s="44">
        <f t="shared" si="6"/>
        <v>95400</v>
      </c>
      <c r="AA21" s="44">
        <f t="shared" si="57"/>
        <v>95400</v>
      </c>
      <c r="AB21" s="44">
        <f t="shared" si="7"/>
        <v>84600</v>
      </c>
      <c r="AC21" s="46">
        <f t="shared" si="8"/>
        <v>0</v>
      </c>
      <c r="AD21" s="47">
        <f t="shared" si="9"/>
        <v>0</v>
      </c>
      <c r="AE21" s="604">
        <f t="shared" si="58"/>
        <v>0</v>
      </c>
      <c r="AF21" s="44">
        <f t="shared" si="59"/>
        <v>0</v>
      </c>
      <c r="AG21" s="44">
        <f t="shared" si="60"/>
        <v>0</v>
      </c>
      <c r="AH21" s="44">
        <f t="shared" si="61"/>
        <v>0</v>
      </c>
      <c r="AI21" s="44">
        <f t="shared" si="62"/>
        <v>180000</v>
      </c>
      <c r="AJ21" s="44">
        <f t="shared" si="63"/>
        <v>180000</v>
      </c>
      <c r="AK21" s="44">
        <f t="shared" si="10"/>
        <v>3600</v>
      </c>
      <c r="AL21" s="44">
        <f t="shared" si="64"/>
        <v>3600</v>
      </c>
      <c r="AM21" s="44">
        <f t="shared" si="11"/>
        <v>91800</v>
      </c>
      <c r="AN21" s="44">
        <f t="shared" si="65"/>
        <v>91800</v>
      </c>
      <c r="AO21" s="44">
        <f t="shared" si="12"/>
        <v>88200</v>
      </c>
      <c r="AP21" s="46">
        <f t="shared" si="13"/>
        <v>0</v>
      </c>
      <c r="AQ21" s="47">
        <f t="shared" si="14"/>
        <v>0</v>
      </c>
      <c r="AR21" s="604">
        <f t="shared" si="66"/>
        <v>0</v>
      </c>
      <c r="AS21" s="44">
        <f t="shared" si="67"/>
        <v>0</v>
      </c>
      <c r="AT21" s="44">
        <f t="shared" si="68"/>
        <v>0</v>
      </c>
      <c r="AU21" s="44">
        <f t="shared" si="69"/>
        <v>0</v>
      </c>
      <c r="AV21" s="44">
        <f t="shared" si="70"/>
        <v>180000</v>
      </c>
      <c r="AW21" s="44">
        <f t="shared" si="71"/>
        <v>180000</v>
      </c>
      <c r="AX21" s="44">
        <f t="shared" si="15"/>
        <v>3600</v>
      </c>
      <c r="AY21" s="44">
        <f t="shared" si="72"/>
        <v>3600</v>
      </c>
      <c r="AZ21" s="44">
        <f t="shared" si="16"/>
        <v>88200</v>
      </c>
      <c r="BA21" s="44">
        <f t="shared" si="73"/>
        <v>88200</v>
      </c>
      <c r="BB21" s="44">
        <f t="shared" si="17"/>
        <v>91800</v>
      </c>
      <c r="BC21" s="46">
        <f t="shared" si="18"/>
        <v>0</v>
      </c>
      <c r="BD21" s="47">
        <f t="shared" si="19"/>
        <v>0</v>
      </c>
      <c r="BE21" s="604">
        <f t="shared" si="74"/>
        <v>0</v>
      </c>
      <c r="BF21" s="44">
        <f t="shared" si="75"/>
        <v>0</v>
      </c>
      <c r="BG21" s="44">
        <f t="shared" si="76"/>
        <v>0</v>
      </c>
      <c r="BH21" s="44">
        <f t="shared" si="77"/>
        <v>0</v>
      </c>
      <c r="BI21" s="44">
        <f t="shared" si="78"/>
        <v>180000</v>
      </c>
      <c r="BJ21" s="44">
        <f t="shared" si="79"/>
        <v>180000</v>
      </c>
      <c r="BK21" s="44">
        <f t="shared" si="20"/>
        <v>3600</v>
      </c>
      <c r="BL21" s="44">
        <f t="shared" si="80"/>
        <v>3600</v>
      </c>
      <c r="BM21" s="44">
        <f t="shared" si="21"/>
        <v>84600</v>
      </c>
      <c r="BN21" s="44">
        <f t="shared" si="81"/>
        <v>84600</v>
      </c>
      <c r="BO21" s="44">
        <f t="shared" si="22"/>
        <v>95400</v>
      </c>
      <c r="BP21" s="46">
        <f t="shared" si="23"/>
        <v>0</v>
      </c>
      <c r="BQ21" s="47">
        <f t="shared" si="24"/>
        <v>0</v>
      </c>
      <c r="BR21" s="604">
        <f t="shared" si="82"/>
        <v>0</v>
      </c>
      <c r="BS21" s="44">
        <f t="shared" si="83"/>
        <v>0</v>
      </c>
      <c r="BT21" s="44">
        <f t="shared" si="84"/>
        <v>0</v>
      </c>
      <c r="BU21" s="44">
        <f t="shared" si="85"/>
        <v>0</v>
      </c>
      <c r="BV21" s="44">
        <f t="shared" si="86"/>
        <v>180000</v>
      </c>
      <c r="BW21" s="44">
        <f t="shared" si="87"/>
        <v>180000</v>
      </c>
      <c r="BX21" s="44">
        <f t="shared" si="25"/>
        <v>3600</v>
      </c>
      <c r="BY21" s="44">
        <f t="shared" si="88"/>
        <v>3600</v>
      </c>
      <c r="BZ21" s="44">
        <f t="shared" si="26"/>
        <v>81000</v>
      </c>
      <c r="CA21" s="44">
        <f t="shared" si="89"/>
        <v>81000</v>
      </c>
      <c r="CB21" s="44">
        <f t="shared" si="27"/>
        <v>99000</v>
      </c>
      <c r="CC21" s="46">
        <f t="shared" si="28"/>
        <v>0</v>
      </c>
      <c r="CD21" s="47">
        <f t="shared" si="29"/>
        <v>0</v>
      </c>
      <c r="CE21" s="604">
        <f t="shared" si="90"/>
        <v>0</v>
      </c>
      <c r="CF21" s="44">
        <f t="shared" si="91"/>
        <v>0</v>
      </c>
      <c r="CG21" s="44">
        <f t="shared" si="92"/>
        <v>0</v>
      </c>
      <c r="CH21" s="44">
        <f t="shared" si="93"/>
        <v>0</v>
      </c>
      <c r="CI21" s="44">
        <f t="shared" si="94"/>
        <v>180000</v>
      </c>
      <c r="CJ21" s="44">
        <f t="shared" si="95"/>
        <v>180000</v>
      </c>
      <c r="CK21" s="44">
        <f t="shared" si="30"/>
        <v>3600</v>
      </c>
      <c r="CL21" s="44">
        <f t="shared" si="96"/>
        <v>3600</v>
      </c>
      <c r="CM21" s="44">
        <f t="shared" si="31"/>
        <v>77400</v>
      </c>
      <c r="CN21" s="44">
        <f t="shared" si="97"/>
        <v>77400</v>
      </c>
      <c r="CO21" s="44">
        <f t="shared" si="32"/>
        <v>102600</v>
      </c>
      <c r="CP21" s="46">
        <f t="shared" si="33"/>
        <v>0</v>
      </c>
      <c r="CQ21" s="47">
        <f t="shared" si="34"/>
        <v>0</v>
      </c>
      <c r="CR21" s="604">
        <f t="shared" si="98"/>
        <v>0</v>
      </c>
      <c r="CS21" s="44">
        <f t="shared" si="99"/>
        <v>0</v>
      </c>
      <c r="CT21" s="44">
        <f t="shared" si="100"/>
        <v>0</v>
      </c>
      <c r="CU21" s="44">
        <f t="shared" si="101"/>
        <v>0</v>
      </c>
      <c r="CV21" s="44">
        <f t="shared" si="102"/>
        <v>180000</v>
      </c>
      <c r="CW21" s="44">
        <f t="shared" si="103"/>
        <v>180000</v>
      </c>
      <c r="CX21" s="44">
        <f t="shared" si="35"/>
        <v>3600</v>
      </c>
      <c r="CY21" s="44">
        <f t="shared" si="104"/>
        <v>3600</v>
      </c>
      <c r="CZ21" s="44">
        <f t="shared" si="36"/>
        <v>73800</v>
      </c>
      <c r="DA21" s="44">
        <f t="shared" si="105"/>
        <v>73800</v>
      </c>
      <c r="DB21" s="44">
        <f t="shared" si="37"/>
        <v>106200</v>
      </c>
      <c r="DC21" s="46">
        <f t="shared" si="38"/>
        <v>0</v>
      </c>
      <c r="DD21" s="47">
        <f t="shared" si="39"/>
        <v>0</v>
      </c>
      <c r="DE21" s="604">
        <f t="shared" si="106"/>
        <v>0</v>
      </c>
      <c r="DF21" s="44">
        <f t="shared" si="107"/>
        <v>0</v>
      </c>
      <c r="DG21" s="44">
        <f t="shared" si="108"/>
        <v>0</v>
      </c>
      <c r="DH21" s="44">
        <f t="shared" si="109"/>
        <v>0</v>
      </c>
      <c r="DI21" s="44">
        <f t="shared" si="110"/>
        <v>180000</v>
      </c>
      <c r="DJ21" s="44">
        <f t="shared" si="111"/>
        <v>180000</v>
      </c>
      <c r="DK21" s="44">
        <f t="shared" si="40"/>
        <v>3600</v>
      </c>
      <c r="DL21" s="44">
        <f t="shared" si="112"/>
        <v>3600</v>
      </c>
      <c r="DM21" s="44">
        <f t="shared" si="41"/>
        <v>70200</v>
      </c>
      <c r="DN21" s="44">
        <f t="shared" si="113"/>
        <v>70200</v>
      </c>
      <c r="DO21" s="44">
        <f t="shared" si="42"/>
        <v>109800</v>
      </c>
      <c r="DP21" s="46">
        <f t="shared" si="43"/>
        <v>0</v>
      </c>
      <c r="DQ21" s="47">
        <f t="shared" si="44"/>
        <v>0</v>
      </c>
      <c r="DR21" s="604">
        <f t="shared" si="114"/>
        <v>0</v>
      </c>
      <c r="DS21" s="44">
        <f t="shared" si="115"/>
        <v>0</v>
      </c>
      <c r="DT21" s="44">
        <f t="shared" si="116"/>
        <v>0</v>
      </c>
      <c r="DU21" s="44">
        <f t="shared" si="117"/>
        <v>0</v>
      </c>
      <c r="DV21" s="44">
        <f t="shared" si="118"/>
        <v>180000</v>
      </c>
      <c r="DW21" s="44">
        <f t="shared" si="119"/>
        <v>180000</v>
      </c>
      <c r="DX21" s="44">
        <f t="shared" si="45"/>
        <v>3600</v>
      </c>
      <c r="DY21" s="44">
        <f t="shared" si="120"/>
        <v>3600</v>
      </c>
      <c r="DZ21" s="44">
        <f t="shared" si="46"/>
        <v>66600</v>
      </c>
      <c r="EA21" s="44">
        <f t="shared" si="121"/>
        <v>66600</v>
      </c>
      <c r="EB21" s="44">
        <f t="shared" si="47"/>
        <v>113400</v>
      </c>
      <c r="EC21" s="46">
        <f t="shared" si="48"/>
        <v>0</v>
      </c>
      <c r="ED21" s="47">
        <f t="shared" si="49"/>
        <v>0</v>
      </c>
    </row>
    <row r="22" spans="1:134" x14ac:dyDescent="0.35">
      <c r="A22" s="81">
        <v>1990</v>
      </c>
      <c r="B22" s="82" t="s">
        <v>195</v>
      </c>
      <c r="C22" s="82"/>
      <c r="D22" s="83" t="s">
        <v>18</v>
      </c>
      <c r="E22" s="87">
        <v>600000</v>
      </c>
      <c r="F22" s="85">
        <v>33055</v>
      </c>
      <c r="G22" s="88">
        <v>50</v>
      </c>
      <c r="H22" s="179"/>
      <c r="I22" s="180"/>
      <c r="J22" s="181"/>
      <c r="K22" s="42">
        <f t="shared" si="0"/>
        <v>0.02</v>
      </c>
      <c r="L22" s="43">
        <f t="shared" si="1"/>
        <v>12000</v>
      </c>
      <c r="M22" s="44">
        <f t="shared" si="2"/>
        <v>342000</v>
      </c>
      <c r="N22" s="44"/>
      <c r="O22" s="44">
        <f t="shared" si="3"/>
        <v>258000</v>
      </c>
      <c r="P22" s="45"/>
      <c r="Q22" s="44">
        <f t="shared" si="4"/>
        <v>600000</v>
      </c>
      <c r="R22" s="604">
        <f t="shared" si="50"/>
        <v>0</v>
      </c>
      <c r="S22" s="44">
        <f t="shared" si="51"/>
        <v>0</v>
      </c>
      <c r="T22" s="44">
        <f t="shared" si="52"/>
        <v>0</v>
      </c>
      <c r="U22" s="44">
        <f t="shared" si="53"/>
        <v>0</v>
      </c>
      <c r="V22" s="44">
        <f t="shared" si="54"/>
        <v>600000</v>
      </c>
      <c r="W22" s="44">
        <f t="shared" si="55"/>
        <v>600000</v>
      </c>
      <c r="X22" s="44">
        <f t="shared" si="5"/>
        <v>12000</v>
      </c>
      <c r="Y22" s="44">
        <f t="shared" si="56"/>
        <v>12000</v>
      </c>
      <c r="Z22" s="44">
        <f t="shared" si="6"/>
        <v>330000</v>
      </c>
      <c r="AA22" s="44">
        <f t="shared" si="57"/>
        <v>330000</v>
      </c>
      <c r="AB22" s="44">
        <f t="shared" si="7"/>
        <v>270000</v>
      </c>
      <c r="AC22" s="46">
        <f t="shared" si="8"/>
        <v>0</v>
      </c>
      <c r="AD22" s="47">
        <f t="shared" si="9"/>
        <v>0</v>
      </c>
      <c r="AE22" s="604">
        <f t="shared" si="58"/>
        <v>0</v>
      </c>
      <c r="AF22" s="44">
        <f t="shared" si="59"/>
        <v>0</v>
      </c>
      <c r="AG22" s="44">
        <f t="shared" si="60"/>
        <v>0</v>
      </c>
      <c r="AH22" s="44">
        <f t="shared" si="61"/>
        <v>0</v>
      </c>
      <c r="AI22" s="44">
        <f t="shared" si="62"/>
        <v>600000</v>
      </c>
      <c r="AJ22" s="44">
        <f t="shared" si="63"/>
        <v>600000</v>
      </c>
      <c r="AK22" s="44">
        <f t="shared" si="10"/>
        <v>12000</v>
      </c>
      <c r="AL22" s="44">
        <f t="shared" si="64"/>
        <v>12000</v>
      </c>
      <c r="AM22" s="44">
        <f t="shared" si="11"/>
        <v>318000</v>
      </c>
      <c r="AN22" s="44">
        <f t="shared" si="65"/>
        <v>318000</v>
      </c>
      <c r="AO22" s="44">
        <f t="shared" si="12"/>
        <v>282000</v>
      </c>
      <c r="AP22" s="46">
        <f t="shared" si="13"/>
        <v>0</v>
      </c>
      <c r="AQ22" s="47">
        <f t="shared" si="14"/>
        <v>0</v>
      </c>
      <c r="AR22" s="604">
        <f t="shared" si="66"/>
        <v>0</v>
      </c>
      <c r="AS22" s="44">
        <f t="shared" si="67"/>
        <v>0</v>
      </c>
      <c r="AT22" s="44">
        <f t="shared" si="68"/>
        <v>0</v>
      </c>
      <c r="AU22" s="44">
        <f t="shared" si="69"/>
        <v>0</v>
      </c>
      <c r="AV22" s="44">
        <f t="shared" si="70"/>
        <v>600000</v>
      </c>
      <c r="AW22" s="44">
        <f t="shared" si="71"/>
        <v>600000</v>
      </c>
      <c r="AX22" s="44">
        <f t="shared" si="15"/>
        <v>12000</v>
      </c>
      <c r="AY22" s="44">
        <f t="shared" si="72"/>
        <v>12000</v>
      </c>
      <c r="AZ22" s="44">
        <f t="shared" si="16"/>
        <v>306000</v>
      </c>
      <c r="BA22" s="44">
        <f t="shared" si="73"/>
        <v>306000</v>
      </c>
      <c r="BB22" s="44">
        <f t="shared" si="17"/>
        <v>294000</v>
      </c>
      <c r="BC22" s="46">
        <f t="shared" si="18"/>
        <v>0</v>
      </c>
      <c r="BD22" s="47">
        <f t="shared" si="19"/>
        <v>0</v>
      </c>
      <c r="BE22" s="604">
        <f t="shared" si="74"/>
        <v>0</v>
      </c>
      <c r="BF22" s="44">
        <f t="shared" si="75"/>
        <v>0</v>
      </c>
      <c r="BG22" s="44">
        <f t="shared" si="76"/>
        <v>0</v>
      </c>
      <c r="BH22" s="44">
        <f t="shared" si="77"/>
        <v>0</v>
      </c>
      <c r="BI22" s="44">
        <f t="shared" si="78"/>
        <v>600000</v>
      </c>
      <c r="BJ22" s="44">
        <f t="shared" si="79"/>
        <v>600000</v>
      </c>
      <c r="BK22" s="44">
        <f t="shared" si="20"/>
        <v>12000</v>
      </c>
      <c r="BL22" s="44">
        <f t="shared" si="80"/>
        <v>12000</v>
      </c>
      <c r="BM22" s="44">
        <f t="shared" si="21"/>
        <v>294000</v>
      </c>
      <c r="BN22" s="44">
        <f t="shared" si="81"/>
        <v>294000</v>
      </c>
      <c r="BO22" s="44">
        <f t="shared" si="22"/>
        <v>306000</v>
      </c>
      <c r="BP22" s="46">
        <f t="shared" si="23"/>
        <v>0</v>
      </c>
      <c r="BQ22" s="47">
        <f t="shared" si="24"/>
        <v>0</v>
      </c>
      <c r="BR22" s="604">
        <f t="shared" si="82"/>
        <v>0</v>
      </c>
      <c r="BS22" s="44">
        <f t="shared" si="83"/>
        <v>0</v>
      </c>
      <c r="BT22" s="44">
        <f t="shared" si="84"/>
        <v>0</v>
      </c>
      <c r="BU22" s="44">
        <f t="shared" si="85"/>
        <v>0</v>
      </c>
      <c r="BV22" s="44">
        <f t="shared" si="86"/>
        <v>600000</v>
      </c>
      <c r="BW22" s="44">
        <f t="shared" si="87"/>
        <v>600000</v>
      </c>
      <c r="BX22" s="44">
        <f t="shared" si="25"/>
        <v>12000</v>
      </c>
      <c r="BY22" s="44">
        <f t="shared" si="88"/>
        <v>12000</v>
      </c>
      <c r="BZ22" s="44">
        <f t="shared" si="26"/>
        <v>282000</v>
      </c>
      <c r="CA22" s="44">
        <f t="shared" si="89"/>
        <v>282000</v>
      </c>
      <c r="CB22" s="44">
        <f t="shared" si="27"/>
        <v>318000</v>
      </c>
      <c r="CC22" s="46">
        <f t="shared" si="28"/>
        <v>0</v>
      </c>
      <c r="CD22" s="47">
        <f t="shared" si="29"/>
        <v>0</v>
      </c>
      <c r="CE22" s="604">
        <f t="shared" si="90"/>
        <v>0</v>
      </c>
      <c r="CF22" s="44">
        <f t="shared" si="91"/>
        <v>0</v>
      </c>
      <c r="CG22" s="44">
        <f t="shared" si="92"/>
        <v>0</v>
      </c>
      <c r="CH22" s="44">
        <f t="shared" si="93"/>
        <v>0</v>
      </c>
      <c r="CI22" s="44">
        <f t="shared" si="94"/>
        <v>600000</v>
      </c>
      <c r="CJ22" s="44">
        <f t="shared" si="95"/>
        <v>600000</v>
      </c>
      <c r="CK22" s="44">
        <f t="shared" si="30"/>
        <v>12000</v>
      </c>
      <c r="CL22" s="44">
        <f t="shared" si="96"/>
        <v>12000</v>
      </c>
      <c r="CM22" s="44">
        <f t="shared" si="31"/>
        <v>270000</v>
      </c>
      <c r="CN22" s="44">
        <f t="shared" si="97"/>
        <v>270000</v>
      </c>
      <c r="CO22" s="44">
        <f t="shared" si="32"/>
        <v>330000</v>
      </c>
      <c r="CP22" s="46">
        <f t="shared" si="33"/>
        <v>0</v>
      </c>
      <c r="CQ22" s="47">
        <f t="shared" si="34"/>
        <v>0</v>
      </c>
      <c r="CR22" s="604">
        <f t="shared" si="98"/>
        <v>0</v>
      </c>
      <c r="CS22" s="44">
        <f t="shared" si="99"/>
        <v>0</v>
      </c>
      <c r="CT22" s="44">
        <f t="shared" si="100"/>
        <v>0</v>
      </c>
      <c r="CU22" s="44">
        <f t="shared" si="101"/>
        <v>0</v>
      </c>
      <c r="CV22" s="44">
        <f t="shared" si="102"/>
        <v>600000</v>
      </c>
      <c r="CW22" s="44">
        <f t="shared" si="103"/>
        <v>600000</v>
      </c>
      <c r="CX22" s="44">
        <f t="shared" si="35"/>
        <v>12000</v>
      </c>
      <c r="CY22" s="44">
        <f t="shared" si="104"/>
        <v>12000</v>
      </c>
      <c r="CZ22" s="44">
        <f t="shared" si="36"/>
        <v>258000</v>
      </c>
      <c r="DA22" s="44">
        <f t="shared" si="105"/>
        <v>258000</v>
      </c>
      <c r="DB22" s="44">
        <f t="shared" si="37"/>
        <v>342000</v>
      </c>
      <c r="DC22" s="46">
        <f t="shared" si="38"/>
        <v>0</v>
      </c>
      <c r="DD22" s="47">
        <f t="shared" si="39"/>
        <v>0</v>
      </c>
      <c r="DE22" s="604">
        <f t="shared" si="106"/>
        <v>0</v>
      </c>
      <c r="DF22" s="44">
        <f t="shared" si="107"/>
        <v>0</v>
      </c>
      <c r="DG22" s="44">
        <f t="shared" si="108"/>
        <v>0</v>
      </c>
      <c r="DH22" s="44">
        <f t="shared" si="109"/>
        <v>0</v>
      </c>
      <c r="DI22" s="44">
        <f t="shared" si="110"/>
        <v>600000</v>
      </c>
      <c r="DJ22" s="44">
        <f t="shared" si="111"/>
        <v>600000</v>
      </c>
      <c r="DK22" s="44">
        <f t="shared" si="40"/>
        <v>12000</v>
      </c>
      <c r="DL22" s="44">
        <f t="shared" si="112"/>
        <v>12000</v>
      </c>
      <c r="DM22" s="44">
        <f t="shared" si="41"/>
        <v>246000</v>
      </c>
      <c r="DN22" s="44">
        <f t="shared" si="113"/>
        <v>246000</v>
      </c>
      <c r="DO22" s="44">
        <f t="shared" si="42"/>
        <v>354000</v>
      </c>
      <c r="DP22" s="46">
        <f t="shared" si="43"/>
        <v>0</v>
      </c>
      <c r="DQ22" s="47">
        <f t="shared" si="44"/>
        <v>0</v>
      </c>
      <c r="DR22" s="604">
        <f t="shared" si="114"/>
        <v>0</v>
      </c>
      <c r="DS22" s="44">
        <f t="shared" si="115"/>
        <v>0</v>
      </c>
      <c r="DT22" s="44">
        <f t="shared" si="116"/>
        <v>0</v>
      </c>
      <c r="DU22" s="44">
        <f t="shared" si="117"/>
        <v>0</v>
      </c>
      <c r="DV22" s="44">
        <f t="shared" si="118"/>
        <v>600000</v>
      </c>
      <c r="DW22" s="44">
        <f t="shared" si="119"/>
        <v>600000</v>
      </c>
      <c r="DX22" s="44">
        <f t="shared" si="45"/>
        <v>12000</v>
      </c>
      <c r="DY22" s="44">
        <f t="shared" si="120"/>
        <v>12000</v>
      </c>
      <c r="DZ22" s="44">
        <f t="shared" si="46"/>
        <v>234000</v>
      </c>
      <c r="EA22" s="44">
        <f t="shared" si="121"/>
        <v>234000</v>
      </c>
      <c r="EB22" s="44">
        <f t="shared" si="47"/>
        <v>366000</v>
      </c>
      <c r="EC22" s="46">
        <f t="shared" si="48"/>
        <v>0</v>
      </c>
      <c r="ED22" s="47">
        <f t="shared" si="49"/>
        <v>0</v>
      </c>
    </row>
    <row r="23" spans="1:134" x14ac:dyDescent="0.35">
      <c r="A23" s="81">
        <v>1993</v>
      </c>
      <c r="B23" s="82" t="s">
        <v>196</v>
      </c>
      <c r="C23" s="82"/>
      <c r="D23" s="83" t="s">
        <v>18</v>
      </c>
      <c r="E23" s="87">
        <v>350000</v>
      </c>
      <c r="F23" s="85">
        <v>34151</v>
      </c>
      <c r="G23" s="88">
        <v>50</v>
      </c>
      <c r="H23" s="179"/>
      <c r="I23" s="180"/>
      <c r="J23" s="181"/>
      <c r="K23" s="42">
        <f t="shared" si="0"/>
        <v>0.02</v>
      </c>
      <c r="L23" s="43">
        <f t="shared" si="1"/>
        <v>7000</v>
      </c>
      <c r="M23" s="44">
        <f t="shared" si="2"/>
        <v>220500</v>
      </c>
      <c r="N23" s="44"/>
      <c r="O23" s="44">
        <f t="shared" si="3"/>
        <v>129500</v>
      </c>
      <c r="P23" s="45"/>
      <c r="Q23" s="44">
        <f t="shared" si="4"/>
        <v>350000</v>
      </c>
      <c r="R23" s="604">
        <f t="shared" si="50"/>
        <v>0</v>
      </c>
      <c r="S23" s="44">
        <f t="shared" si="51"/>
        <v>0</v>
      </c>
      <c r="T23" s="44">
        <f t="shared" si="52"/>
        <v>0</v>
      </c>
      <c r="U23" s="44">
        <f t="shared" si="53"/>
        <v>0</v>
      </c>
      <c r="V23" s="44">
        <f t="shared" si="54"/>
        <v>350000</v>
      </c>
      <c r="W23" s="44">
        <f t="shared" si="55"/>
        <v>350000</v>
      </c>
      <c r="X23" s="44">
        <f t="shared" si="5"/>
        <v>7000</v>
      </c>
      <c r="Y23" s="44">
        <f t="shared" si="56"/>
        <v>7000</v>
      </c>
      <c r="Z23" s="44">
        <f t="shared" si="6"/>
        <v>213500</v>
      </c>
      <c r="AA23" s="44">
        <f t="shared" si="57"/>
        <v>213500</v>
      </c>
      <c r="AB23" s="44">
        <f t="shared" si="7"/>
        <v>136500</v>
      </c>
      <c r="AC23" s="46">
        <f t="shared" si="8"/>
        <v>0</v>
      </c>
      <c r="AD23" s="47">
        <f t="shared" si="9"/>
        <v>0</v>
      </c>
      <c r="AE23" s="604">
        <f t="shared" si="58"/>
        <v>0</v>
      </c>
      <c r="AF23" s="44">
        <f t="shared" si="59"/>
        <v>0</v>
      </c>
      <c r="AG23" s="44">
        <f t="shared" si="60"/>
        <v>0</v>
      </c>
      <c r="AH23" s="44">
        <f t="shared" si="61"/>
        <v>0</v>
      </c>
      <c r="AI23" s="44">
        <f t="shared" si="62"/>
        <v>350000</v>
      </c>
      <c r="AJ23" s="44">
        <f t="shared" si="63"/>
        <v>350000</v>
      </c>
      <c r="AK23" s="44">
        <f t="shared" si="10"/>
        <v>7000</v>
      </c>
      <c r="AL23" s="44">
        <f t="shared" si="64"/>
        <v>7000</v>
      </c>
      <c r="AM23" s="44">
        <f t="shared" si="11"/>
        <v>206500</v>
      </c>
      <c r="AN23" s="44">
        <f t="shared" si="65"/>
        <v>206500</v>
      </c>
      <c r="AO23" s="44">
        <f t="shared" si="12"/>
        <v>143500</v>
      </c>
      <c r="AP23" s="46">
        <f t="shared" si="13"/>
        <v>0</v>
      </c>
      <c r="AQ23" s="47">
        <f t="shared" si="14"/>
        <v>0</v>
      </c>
      <c r="AR23" s="604">
        <f t="shared" si="66"/>
        <v>0</v>
      </c>
      <c r="AS23" s="44">
        <f t="shared" si="67"/>
        <v>0</v>
      </c>
      <c r="AT23" s="44">
        <f t="shared" si="68"/>
        <v>0</v>
      </c>
      <c r="AU23" s="44">
        <f t="shared" si="69"/>
        <v>0</v>
      </c>
      <c r="AV23" s="44">
        <f t="shared" si="70"/>
        <v>350000</v>
      </c>
      <c r="AW23" s="44">
        <f t="shared" si="71"/>
        <v>350000</v>
      </c>
      <c r="AX23" s="44">
        <f t="shared" si="15"/>
        <v>7000</v>
      </c>
      <c r="AY23" s="44">
        <f t="shared" si="72"/>
        <v>7000</v>
      </c>
      <c r="AZ23" s="44">
        <f t="shared" si="16"/>
        <v>199500</v>
      </c>
      <c r="BA23" s="44">
        <f t="shared" si="73"/>
        <v>199500</v>
      </c>
      <c r="BB23" s="44">
        <f t="shared" si="17"/>
        <v>150500</v>
      </c>
      <c r="BC23" s="46">
        <f t="shared" si="18"/>
        <v>0</v>
      </c>
      <c r="BD23" s="47">
        <f t="shared" si="19"/>
        <v>0</v>
      </c>
      <c r="BE23" s="604">
        <f t="shared" si="74"/>
        <v>0</v>
      </c>
      <c r="BF23" s="44">
        <f t="shared" si="75"/>
        <v>0</v>
      </c>
      <c r="BG23" s="44">
        <f t="shared" si="76"/>
        <v>0</v>
      </c>
      <c r="BH23" s="44">
        <f t="shared" si="77"/>
        <v>0</v>
      </c>
      <c r="BI23" s="44">
        <f t="shared" si="78"/>
        <v>350000</v>
      </c>
      <c r="BJ23" s="44">
        <f t="shared" si="79"/>
        <v>350000</v>
      </c>
      <c r="BK23" s="44">
        <f t="shared" si="20"/>
        <v>7000</v>
      </c>
      <c r="BL23" s="44">
        <f t="shared" si="80"/>
        <v>7000</v>
      </c>
      <c r="BM23" s="44">
        <f t="shared" si="21"/>
        <v>192500</v>
      </c>
      <c r="BN23" s="44">
        <f t="shared" si="81"/>
        <v>192500</v>
      </c>
      <c r="BO23" s="44">
        <f t="shared" si="22"/>
        <v>157500</v>
      </c>
      <c r="BP23" s="46">
        <f t="shared" si="23"/>
        <v>0</v>
      </c>
      <c r="BQ23" s="47">
        <f t="shared" si="24"/>
        <v>0</v>
      </c>
      <c r="BR23" s="604">
        <f t="shared" si="82"/>
        <v>0</v>
      </c>
      <c r="BS23" s="44">
        <f t="shared" si="83"/>
        <v>0</v>
      </c>
      <c r="BT23" s="44">
        <f t="shared" si="84"/>
        <v>0</v>
      </c>
      <c r="BU23" s="44">
        <f t="shared" si="85"/>
        <v>0</v>
      </c>
      <c r="BV23" s="44">
        <f t="shared" si="86"/>
        <v>350000</v>
      </c>
      <c r="BW23" s="44">
        <f t="shared" si="87"/>
        <v>350000</v>
      </c>
      <c r="BX23" s="44">
        <f t="shared" si="25"/>
        <v>7000</v>
      </c>
      <c r="BY23" s="44">
        <f t="shared" si="88"/>
        <v>7000</v>
      </c>
      <c r="BZ23" s="44">
        <f t="shared" si="26"/>
        <v>185500</v>
      </c>
      <c r="CA23" s="44">
        <f t="shared" si="89"/>
        <v>185500</v>
      </c>
      <c r="CB23" s="44">
        <f t="shared" si="27"/>
        <v>164500</v>
      </c>
      <c r="CC23" s="46">
        <f t="shared" si="28"/>
        <v>0</v>
      </c>
      <c r="CD23" s="47">
        <f t="shared" si="29"/>
        <v>0</v>
      </c>
      <c r="CE23" s="604">
        <f t="shared" si="90"/>
        <v>0</v>
      </c>
      <c r="CF23" s="44">
        <f t="shared" si="91"/>
        <v>0</v>
      </c>
      <c r="CG23" s="44">
        <f t="shared" si="92"/>
        <v>0</v>
      </c>
      <c r="CH23" s="44">
        <f t="shared" si="93"/>
        <v>0</v>
      </c>
      <c r="CI23" s="44">
        <f t="shared" si="94"/>
        <v>350000</v>
      </c>
      <c r="CJ23" s="44">
        <f t="shared" si="95"/>
        <v>350000</v>
      </c>
      <c r="CK23" s="44">
        <f t="shared" si="30"/>
        <v>7000</v>
      </c>
      <c r="CL23" s="44">
        <f t="shared" si="96"/>
        <v>7000</v>
      </c>
      <c r="CM23" s="44">
        <f t="shared" si="31"/>
        <v>178500</v>
      </c>
      <c r="CN23" s="44">
        <f t="shared" si="97"/>
        <v>178500</v>
      </c>
      <c r="CO23" s="44">
        <f t="shared" si="32"/>
        <v>171500</v>
      </c>
      <c r="CP23" s="46">
        <f t="shared" si="33"/>
        <v>0</v>
      </c>
      <c r="CQ23" s="47">
        <f t="shared" si="34"/>
        <v>0</v>
      </c>
      <c r="CR23" s="604">
        <f t="shared" si="98"/>
        <v>0</v>
      </c>
      <c r="CS23" s="44">
        <f t="shared" si="99"/>
        <v>0</v>
      </c>
      <c r="CT23" s="44">
        <f t="shared" si="100"/>
        <v>0</v>
      </c>
      <c r="CU23" s="44">
        <f t="shared" si="101"/>
        <v>0</v>
      </c>
      <c r="CV23" s="44">
        <f t="shared" si="102"/>
        <v>350000</v>
      </c>
      <c r="CW23" s="44">
        <f t="shared" si="103"/>
        <v>350000</v>
      </c>
      <c r="CX23" s="44">
        <f t="shared" si="35"/>
        <v>7000</v>
      </c>
      <c r="CY23" s="44">
        <f t="shared" si="104"/>
        <v>7000</v>
      </c>
      <c r="CZ23" s="44">
        <f t="shared" si="36"/>
        <v>171500</v>
      </c>
      <c r="DA23" s="44">
        <f t="shared" si="105"/>
        <v>171500</v>
      </c>
      <c r="DB23" s="44">
        <f t="shared" si="37"/>
        <v>178500</v>
      </c>
      <c r="DC23" s="46">
        <f t="shared" si="38"/>
        <v>0</v>
      </c>
      <c r="DD23" s="47">
        <f t="shared" si="39"/>
        <v>0</v>
      </c>
      <c r="DE23" s="604">
        <f t="shared" si="106"/>
        <v>0</v>
      </c>
      <c r="DF23" s="44">
        <f t="shared" si="107"/>
        <v>0</v>
      </c>
      <c r="DG23" s="44">
        <f t="shared" si="108"/>
        <v>0</v>
      </c>
      <c r="DH23" s="44">
        <f t="shared" si="109"/>
        <v>0</v>
      </c>
      <c r="DI23" s="44">
        <f t="shared" si="110"/>
        <v>350000</v>
      </c>
      <c r="DJ23" s="44">
        <f t="shared" si="111"/>
        <v>350000</v>
      </c>
      <c r="DK23" s="44">
        <f t="shared" si="40"/>
        <v>7000</v>
      </c>
      <c r="DL23" s="44">
        <f t="shared" si="112"/>
        <v>7000</v>
      </c>
      <c r="DM23" s="44">
        <f t="shared" si="41"/>
        <v>164500</v>
      </c>
      <c r="DN23" s="44">
        <f t="shared" si="113"/>
        <v>164500</v>
      </c>
      <c r="DO23" s="44">
        <f t="shared" si="42"/>
        <v>185500</v>
      </c>
      <c r="DP23" s="46">
        <f t="shared" si="43"/>
        <v>0</v>
      </c>
      <c r="DQ23" s="47">
        <f t="shared" si="44"/>
        <v>0</v>
      </c>
      <c r="DR23" s="604">
        <f t="shared" si="114"/>
        <v>0</v>
      </c>
      <c r="DS23" s="44">
        <f t="shared" si="115"/>
        <v>0</v>
      </c>
      <c r="DT23" s="44">
        <f t="shared" si="116"/>
        <v>0</v>
      </c>
      <c r="DU23" s="44">
        <f t="shared" si="117"/>
        <v>0</v>
      </c>
      <c r="DV23" s="44">
        <f t="shared" si="118"/>
        <v>350000</v>
      </c>
      <c r="DW23" s="44">
        <f t="shared" si="119"/>
        <v>350000</v>
      </c>
      <c r="DX23" s="44">
        <f t="shared" si="45"/>
        <v>7000</v>
      </c>
      <c r="DY23" s="44">
        <f t="shared" si="120"/>
        <v>7000</v>
      </c>
      <c r="DZ23" s="44">
        <f t="shared" si="46"/>
        <v>157500</v>
      </c>
      <c r="EA23" s="44">
        <f t="shared" si="121"/>
        <v>157500</v>
      </c>
      <c r="EB23" s="44">
        <f t="shared" si="47"/>
        <v>192500</v>
      </c>
      <c r="EC23" s="46">
        <f t="shared" si="48"/>
        <v>0</v>
      </c>
      <c r="ED23" s="47">
        <f t="shared" si="49"/>
        <v>0</v>
      </c>
    </row>
    <row r="24" spans="1:134" x14ac:dyDescent="0.35">
      <c r="A24" s="81">
        <v>1998</v>
      </c>
      <c r="B24" s="82" t="s">
        <v>197</v>
      </c>
      <c r="C24" s="82"/>
      <c r="D24" s="83" t="s">
        <v>18</v>
      </c>
      <c r="E24" s="87">
        <v>240000</v>
      </c>
      <c r="F24" s="85">
        <v>35977</v>
      </c>
      <c r="G24" s="88">
        <v>50</v>
      </c>
      <c r="H24" s="179"/>
      <c r="I24" s="180"/>
      <c r="J24" s="181"/>
      <c r="K24" s="42">
        <f t="shared" si="0"/>
        <v>0.02</v>
      </c>
      <c r="L24" s="43">
        <f t="shared" si="1"/>
        <v>4800</v>
      </c>
      <c r="M24" s="44">
        <f t="shared" si="2"/>
        <v>175200</v>
      </c>
      <c r="N24" s="44"/>
      <c r="O24" s="44">
        <f t="shared" si="3"/>
        <v>64800</v>
      </c>
      <c r="P24" s="45"/>
      <c r="Q24" s="44">
        <f t="shared" si="4"/>
        <v>240000</v>
      </c>
      <c r="R24" s="604">
        <f t="shared" si="50"/>
        <v>0</v>
      </c>
      <c r="S24" s="44">
        <f t="shared" si="51"/>
        <v>0</v>
      </c>
      <c r="T24" s="44">
        <f t="shared" si="52"/>
        <v>0</v>
      </c>
      <c r="U24" s="44">
        <f t="shared" si="53"/>
        <v>0</v>
      </c>
      <c r="V24" s="44">
        <f t="shared" si="54"/>
        <v>240000</v>
      </c>
      <c r="W24" s="44">
        <f t="shared" si="55"/>
        <v>240000</v>
      </c>
      <c r="X24" s="44">
        <f t="shared" si="5"/>
        <v>4800</v>
      </c>
      <c r="Y24" s="44">
        <f t="shared" si="56"/>
        <v>4800</v>
      </c>
      <c r="Z24" s="44">
        <f t="shared" si="6"/>
        <v>170400</v>
      </c>
      <c r="AA24" s="44">
        <f t="shared" si="57"/>
        <v>170400</v>
      </c>
      <c r="AB24" s="44">
        <f t="shared" si="7"/>
        <v>69600</v>
      </c>
      <c r="AC24" s="46">
        <f t="shared" si="8"/>
        <v>0</v>
      </c>
      <c r="AD24" s="47">
        <f t="shared" si="9"/>
        <v>0</v>
      </c>
      <c r="AE24" s="604">
        <f t="shared" si="58"/>
        <v>0</v>
      </c>
      <c r="AF24" s="44">
        <f t="shared" si="59"/>
        <v>0</v>
      </c>
      <c r="AG24" s="44">
        <f t="shared" si="60"/>
        <v>0</v>
      </c>
      <c r="AH24" s="44">
        <f t="shared" si="61"/>
        <v>0</v>
      </c>
      <c r="AI24" s="44">
        <f t="shared" si="62"/>
        <v>240000</v>
      </c>
      <c r="AJ24" s="44">
        <f t="shared" si="63"/>
        <v>240000</v>
      </c>
      <c r="AK24" s="44">
        <f t="shared" si="10"/>
        <v>4800</v>
      </c>
      <c r="AL24" s="44">
        <f t="shared" si="64"/>
        <v>4800</v>
      </c>
      <c r="AM24" s="44">
        <f t="shared" si="11"/>
        <v>165600</v>
      </c>
      <c r="AN24" s="44">
        <f t="shared" si="65"/>
        <v>165600</v>
      </c>
      <c r="AO24" s="44">
        <f t="shared" si="12"/>
        <v>74400</v>
      </c>
      <c r="AP24" s="46">
        <f t="shared" si="13"/>
        <v>0</v>
      </c>
      <c r="AQ24" s="47">
        <f t="shared" si="14"/>
        <v>0</v>
      </c>
      <c r="AR24" s="604">
        <f t="shared" si="66"/>
        <v>0</v>
      </c>
      <c r="AS24" s="44">
        <f t="shared" si="67"/>
        <v>0</v>
      </c>
      <c r="AT24" s="44">
        <f t="shared" si="68"/>
        <v>0</v>
      </c>
      <c r="AU24" s="44">
        <f t="shared" si="69"/>
        <v>0</v>
      </c>
      <c r="AV24" s="44">
        <f t="shared" si="70"/>
        <v>240000</v>
      </c>
      <c r="AW24" s="44">
        <f t="shared" si="71"/>
        <v>240000</v>
      </c>
      <c r="AX24" s="44">
        <f t="shared" si="15"/>
        <v>4800</v>
      </c>
      <c r="AY24" s="44">
        <f t="shared" si="72"/>
        <v>4800</v>
      </c>
      <c r="AZ24" s="44">
        <f t="shared" si="16"/>
        <v>160800</v>
      </c>
      <c r="BA24" s="44">
        <f t="shared" si="73"/>
        <v>160800</v>
      </c>
      <c r="BB24" s="44">
        <f t="shared" si="17"/>
        <v>79200</v>
      </c>
      <c r="BC24" s="46">
        <f t="shared" si="18"/>
        <v>0</v>
      </c>
      <c r="BD24" s="47">
        <f t="shared" si="19"/>
        <v>0</v>
      </c>
      <c r="BE24" s="604">
        <f t="shared" si="74"/>
        <v>0</v>
      </c>
      <c r="BF24" s="44">
        <f t="shared" si="75"/>
        <v>0</v>
      </c>
      <c r="BG24" s="44">
        <f t="shared" si="76"/>
        <v>0</v>
      </c>
      <c r="BH24" s="44">
        <f t="shared" si="77"/>
        <v>0</v>
      </c>
      <c r="BI24" s="44">
        <f t="shared" si="78"/>
        <v>240000</v>
      </c>
      <c r="BJ24" s="44">
        <f t="shared" si="79"/>
        <v>240000</v>
      </c>
      <c r="BK24" s="44">
        <f t="shared" si="20"/>
        <v>4800</v>
      </c>
      <c r="BL24" s="44">
        <f t="shared" si="80"/>
        <v>4800</v>
      </c>
      <c r="BM24" s="44">
        <f t="shared" si="21"/>
        <v>156000</v>
      </c>
      <c r="BN24" s="44">
        <f t="shared" si="81"/>
        <v>156000</v>
      </c>
      <c r="BO24" s="44">
        <f t="shared" si="22"/>
        <v>84000</v>
      </c>
      <c r="BP24" s="46">
        <f t="shared" si="23"/>
        <v>0</v>
      </c>
      <c r="BQ24" s="47">
        <f t="shared" si="24"/>
        <v>0</v>
      </c>
      <c r="BR24" s="604">
        <f t="shared" si="82"/>
        <v>0</v>
      </c>
      <c r="BS24" s="44">
        <f t="shared" si="83"/>
        <v>0</v>
      </c>
      <c r="BT24" s="44">
        <f t="shared" si="84"/>
        <v>0</v>
      </c>
      <c r="BU24" s="44">
        <f t="shared" si="85"/>
        <v>0</v>
      </c>
      <c r="BV24" s="44">
        <f t="shared" si="86"/>
        <v>240000</v>
      </c>
      <c r="BW24" s="44">
        <f t="shared" si="87"/>
        <v>240000</v>
      </c>
      <c r="BX24" s="44">
        <f t="shared" si="25"/>
        <v>4800</v>
      </c>
      <c r="BY24" s="44">
        <f t="shared" si="88"/>
        <v>4800</v>
      </c>
      <c r="BZ24" s="44">
        <f t="shared" si="26"/>
        <v>151200</v>
      </c>
      <c r="CA24" s="44">
        <f t="shared" si="89"/>
        <v>151200</v>
      </c>
      <c r="CB24" s="44">
        <f t="shared" si="27"/>
        <v>88800</v>
      </c>
      <c r="CC24" s="46">
        <f t="shared" si="28"/>
        <v>0</v>
      </c>
      <c r="CD24" s="47">
        <f t="shared" si="29"/>
        <v>0</v>
      </c>
      <c r="CE24" s="604">
        <f t="shared" si="90"/>
        <v>0</v>
      </c>
      <c r="CF24" s="44">
        <f t="shared" si="91"/>
        <v>0</v>
      </c>
      <c r="CG24" s="44">
        <f t="shared" si="92"/>
        <v>0</v>
      </c>
      <c r="CH24" s="44">
        <f t="shared" si="93"/>
        <v>0</v>
      </c>
      <c r="CI24" s="44">
        <f t="shared" si="94"/>
        <v>240000</v>
      </c>
      <c r="CJ24" s="44">
        <f t="shared" si="95"/>
        <v>240000</v>
      </c>
      <c r="CK24" s="44">
        <f t="shared" si="30"/>
        <v>4800</v>
      </c>
      <c r="CL24" s="44">
        <f t="shared" si="96"/>
        <v>4800</v>
      </c>
      <c r="CM24" s="44">
        <f t="shared" si="31"/>
        <v>146400</v>
      </c>
      <c r="CN24" s="44">
        <f t="shared" si="97"/>
        <v>146400</v>
      </c>
      <c r="CO24" s="44">
        <f t="shared" si="32"/>
        <v>93600</v>
      </c>
      <c r="CP24" s="46">
        <f t="shared" si="33"/>
        <v>0</v>
      </c>
      <c r="CQ24" s="47">
        <f t="shared" si="34"/>
        <v>0</v>
      </c>
      <c r="CR24" s="604">
        <f t="shared" si="98"/>
        <v>0</v>
      </c>
      <c r="CS24" s="44">
        <f t="shared" si="99"/>
        <v>0</v>
      </c>
      <c r="CT24" s="44">
        <f t="shared" si="100"/>
        <v>0</v>
      </c>
      <c r="CU24" s="44">
        <f t="shared" si="101"/>
        <v>0</v>
      </c>
      <c r="CV24" s="44">
        <f t="shared" si="102"/>
        <v>240000</v>
      </c>
      <c r="CW24" s="44">
        <f t="shared" si="103"/>
        <v>240000</v>
      </c>
      <c r="CX24" s="44">
        <f t="shared" si="35"/>
        <v>4800</v>
      </c>
      <c r="CY24" s="44">
        <f t="shared" si="104"/>
        <v>4800</v>
      </c>
      <c r="CZ24" s="44">
        <f t="shared" si="36"/>
        <v>141600</v>
      </c>
      <c r="DA24" s="44">
        <f t="shared" si="105"/>
        <v>141600</v>
      </c>
      <c r="DB24" s="44">
        <f t="shared" si="37"/>
        <v>98400</v>
      </c>
      <c r="DC24" s="46">
        <f t="shared" si="38"/>
        <v>0</v>
      </c>
      <c r="DD24" s="47">
        <f t="shared" si="39"/>
        <v>0</v>
      </c>
      <c r="DE24" s="604">
        <f t="shared" si="106"/>
        <v>0</v>
      </c>
      <c r="DF24" s="44">
        <f t="shared" si="107"/>
        <v>0</v>
      </c>
      <c r="DG24" s="44">
        <f t="shared" si="108"/>
        <v>0</v>
      </c>
      <c r="DH24" s="44">
        <f t="shared" si="109"/>
        <v>0</v>
      </c>
      <c r="DI24" s="44">
        <f t="shared" si="110"/>
        <v>240000</v>
      </c>
      <c r="DJ24" s="44">
        <f t="shared" si="111"/>
        <v>240000</v>
      </c>
      <c r="DK24" s="44">
        <f t="shared" si="40"/>
        <v>4800</v>
      </c>
      <c r="DL24" s="44">
        <f t="shared" si="112"/>
        <v>4800</v>
      </c>
      <c r="DM24" s="44">
        <f t="shared" si="41"/>
        <v>136800</v>
      </c>
      <c r="DN24" s="44">
        <f t="shared" si="113"/>
        <v>136800</v>
      </c>
      <c r="DO24" s="44">
        <f t="shared" si="42"/>
        <v>103200</v>
      </c>
      <c r="DP24" s="46">
        <f t="shared" si="43"/>
        <v>0</v>
      </c>
      <c r="DQ24" s="47">
        <f t="shared" si="44"/>
        <v>0</v>
      </c>
      <c r="DR24" s="604">
        <f t="shared" si="114"/>
        <v>0</v>
      </c>
      <c r="DS24" s="44">
        <f t="shared" si="115"/>
        <v>0</v>
      </c>
      <c r="DT24" s="44">
        <f t="shared" si="116"/>
        <v>0</v>
      </c>
      <c r="DU24" s="44">
        <f t="shared" si="117"/>
        <v>0</v>
      </c>
      <c r="DV24" s="44">
        <f t="shared" si="118"/>
        <v>240000</v>
      </c>
      <c r="DW24" s="44">
        <f t="shared" si="119"/>
        <v>240000</v>
      </c>
      <c r="DX24" s="44">
        <f t="shared" si="45"/>
        <v>4800</v>
      </c>
      <c r="DY24" s="44">
        <f t="shared" si="120"/>
        <v>4800</v>
      </c>
      <c r="DZ24" s="44">
        <f t="shared" si="46"/>
        <v>132000</v>
      </c>
      <c r="EA24" s="44">
        <f t="shared" si="121"/>
        <v>132000</v>
      </c>
      <c r="EB24" s="44">
        <f t="shared" si="47"/>
        <v>108000</v>
      </c>
      <c r="EC24" s="46">
        <f t="shared" si="48"/>
        <v>0</v>
      </c>
      <c r="ED24" s="47">
        <f t="shared" si="49"/>
        <v>0</v>
      </c>
    </row>
    <row r="25" spans="1:134" x14ac:dyDescent="0.35">
      <c r="A25" s="81">
        <v>2000</v>
      </c>
      <c r="B25" s="82" t="s">
        <v>198</v>
      </c>
      <c r="C25" s="82"/>
      <c r="D25" s="83" t="s">
        <v>18</v>
      </c>
      <c r="E25" s="87">
        <v>520000</v>
      </c>
      <c r="F25" s="85">
        <v>36708</v>
      </c>
      <c r="G25" s="88">
        <v>50</v>
      </c>
      <c r="H25" s="179"/>
      <c r="I25" s="180"/>
      <c r="J25" s="181"/>
      <c r="K25" s="42">
        <f t="shared" si="0"/>
        <v>0.02</v>
      </c>
      <c r="L25" s="43">
        <f t="shared" si="1"/>
        <v>10400</v>
      </c>
      <c r="M25" s="44">
        <f t="shared" si="2"/>
        <v>400400</v>
      </c>
      <c r="N25" s="44"/>
      <c r="O25" s="44">
        <f t="shared" si="3"/>
        <v>119600</v>
      </c>
      <c r="P25" s="45"/>
      <c r="Q25" s="44">
        <f t="shared" si="4"/>
        <v>520000</v>
      </c>
      <c r="R25" s="604">
        <f t="shared" si="50"/>
        <v>0</v>
      </c>
      <c r="S25" s="44">
        <f t="shared" si="51"/>
        <v>0</v>
      </c>
      <c r="T25" s="44">
        <f t="shared" si="52"/>
        <v>0</v>
      </c>
      <c r="U25" s="44">
        <f t="shared" si="53"/>
        <v>0</v>
      </c>
      <c r="V25" s="44">
        <f t="shared" si="54"/>
        <v>520000</v>
      </c>
      <c r="W25" s="44">
        <f t="shared" si="55"/>
        <v>520000</v>
      </c>
      <c r="X25" s="44">
        <f t="shared" si="5"/>
        <v>10400</v>
      </c>
      <c r="Y25" s="44">
        <f t="shared" si="56"/>
        <v>10400</v>
      </c>
      <c r="Z25" s="44">
        <f t="shared" si="6"/>
        <v>390000</v>
      </c>
      <c r="AA25" s="44">
        <f t="shared" si="57"/>
        <v>390000</v>
      </c>
      <c r="AB25" s="44">
        <f t="shared" si="7"/>
        <v>130000</v>
      </c>
      <c r="AC25" s="46">
        <f t="shared" si="8"/>
        <v>0</v>
      </c>
      <c r="AD25" s="47">
        <f t="shared" si="9"/>
        <v>0</v>
      </c>
      <c r="AE25" s="604">
        <f t="shared" si="58"/>
        <v>0</v>
      </c>
      <c r="AF25" s="44">
        <f t="shared" si="59"/>
        <v>0</v>
      </c>
      <c r="AG25" s="44">
        <f t="shared" si="60"/>
        <v>0</v>
      </c>
      <c r="AH25" s="44">
        <f t="shared" si="61"/>
        <v>0</v>
      </c>
      <c r="AI25" s="44">
        <f t="shared" si="62"/>
        <v>520000</v>
      </c>
      <c r="AJ25" s="44">
        <f t="shared" si="63"/>
        <v>520000</v>
      </c>
      <c r="AK25" s="44">
        <f t="shared" si="10"/>
        <v>10400</v>
      </c>
      <c r="AL25" s="44">
        <f t="shared" si="64"/>
        <v>10400</v>
      </c>
      <c r="AM25" s="44">
        <f t="shared" si="11"/>
        <v>379600</v>
      </c>
      <c r="AN25" s="44">
        <f t="shared" si="65"/>
        <v>379600</v>
      </c>
      <c r="AO25" s="44">
        <f t="shared" si="12"/>
        <v>140400</v>
      </c>
      <c r="AP25" s="46">
        <f t="shared" si="13"/>
        <v>0</v>
      </c>
      <c r="AQ25" s="47">
        <f t="shared" si="14"/>
        <v>0</v>
      </c>
      <c r="AR25" s="604">
        <f t="shared" si="66"/>
        <v>0</v>
      </c>
      <c r="AS25" s="44">
        <f t="shared" si="67"/>
        <v>0</v>
      </c>
      <c r="AT25" s="44">
        <f t="shared" si="68"/>
        <v>0</v>
      </c>
      <c r="AU25" s="44">
        <f t="shared" si="69"/>
        <v>0</v>
      </c>
      <c r="AV25" s="44">
        <f t="shared" si="70"/>
        <v>520000</v>
      </c>
      <c r="AW25" s="44">
        <f t="shared" si="71"/>
        <v>520000</v>
      </c>
      <c r="AX25" s="44">
        <f t="shared" si="15"/>
        <v>10400</v>
      </c>
      <c r="AY25" s="44">
        <f t="shared" si="72"/>
        <v>10400</v>
      </c>
      <c r="AZ25" s="44">
        <f t="shared" si="16"/>
        <v>369200</v>
      </c>
      <c r="BA25" s="44">
        <f t="shared" si="73"/>
        <v>369200</v>
      </c>
      <c r="BB25" s="44">
        <f t="shared" si="17"/>
        <v>150800</v>
      </c>
      <c r="BC25" s="46">
        <f t="shared" si="18"/>
        <v>0</v>
      </c>
      <c r="BD25" s="47">
        <f t="shared" si="19"/>
        <v>0</v>
      </c>
      <c r="BE25" s="604">
        <f t="shared" si="74"/>
        <v>0</v>
      </c>
      <c r="BF25" s="44">
        <f t="shared" si="75"/>
        <v>0</v>
      </c>
      <c r="BG25" s="44">
        <f t="shared" si="76"/>
        <v>0</v>
      </c>
      <c r="BH25" s="44">
        <f t="shared" si="77"/>
        <v>0</v>
      </c>
      <c r="BI25" s="44">
        <f t="shared" si="78"/>
        <v>520000</v>
      </c>
      <c r="BJ25" s="44">
        <f t="shared" si="79"/>
        <v>520000</v>
      </c>
      <c r="BK25" s="44">
        <f t="shared" si="20"/>
        <v>10400</v>
      </c>
      <c r="BL25" s="44">
        <f t="shared" si="80"/>
        <v>10400</v>
      </c>
      <c r="BM25" s="44">
        <f t="shared" si="21"/>
        <v>358800</v>
      </c>
      <c r="BN25" s="44">
        <f t="shared" si="81"/>
        <v>358800</v>
      </c>
      <c r="BO25" s="44">
        <f t="shared" si="22"/>
        <v>161200</v>
      </c>
      <c r="BP25" s="46">
        <f t="shared" si="23"/>
        <v>0</v>
      </c>
      <c r="BQ25" s="47">
        <f t="shared" si="24"/>
        <v>0</v>
      </c>
      <c r="BR25" s="604">
        <f t="shared" si="82"/>
        <v>0</v>
      </c>
      <c r="BS25" s="44">
        <f t="shared" si="83"/>
        <v>0</v>
      </c>
      <c r="BT25" s="44">
        <f t="shared" si="84"/>
        <v>0</v>
      </c>
      <c r="BU25" s="44">
        <f t="shared" si="85"/>
        <v>0</v>
      </c>
      <c r="BV25" s="44">
        <f t="shared" si="86"/>
        <v>520000</v>
      </c>
      <c r="BW25" s="44">
        <f t="shared" si="87"/>
        <v>520000</v>
      </c>
      <c r="BX25" s="44">
        <f t="shared" si="25"/>
        <v>10400</v>
      </c>
      <c r="BY25" s="44">
        <f t="shared" si="88"/>
        <v>10400</v>
      </c>
      <c r="BZ25" s="44">
        <f t="shared" si="26"/>
        <v>348400</v>
      </c>
      <c r="CA25" s="44">
        <f t="shared" si="89"/>
        <v>348400</v>
      </c>
      <c r="CB25" s="44">
        <f t="shared" si="27"/>
        <v>171600</v>
      </c>
      <c r="CC25" s="46">
        <f t="shared" si="28"/>
        <v>0</v>
      </c>
      <c r="CD25" s="47">
        <f t="shared" si="29"/>
        <v>0</v>
      </c>
      <c r="CE25" s="604">
        <f t="shared" si="90"/>
        <v>0</v>
      </c>
      <c r="CF25" s="44">
        <f t="shared" si="91"/>
        <v>0</v>
      </c>
      <c r="CG25" s="44">
        <f t="shared" si="92"/>
        <v>0</v>
      </c>
      <c r="CH25" s="44">
        <f t="shared" si="93"/>
        <v>0</v>
      </c>
      <c r="CI25" s="44">
        <f t="shared" si="94"/>
        <v>520000</v>
      </c>
      <c r="CJ25" s="44">
        <f t="shared" si="95"/>
        <v>520000</v>
      </c>
      <c r="CK25" s="44">
        <f t="shared" si="30"/>
        <v>10400</v>
      </c>
      <c r="CL25" s="44">
        <f t="shared" si="96"/>
        <v>10400</v>
      </c>
      <c r="CM25" s="44">
        <f t="shared" si="31"/>
        <v>338000</v>
      </c>
      <c r="CN25" s="44">
        <f t="shared" si="97"/>
        <v>338000</v>
      </c>
      <c r="CO25" s="44">
        <f t="shared" si="32"/>
        <v>182000</v>
      </c>
      <c r="CP25" s="46">
        <f t="shared" si="33"/>
        <v>0</v>
      </c>
      <c r="CQ25" s="47">
        <f t="shared" si="34"/>
        <v>0</v>
      </c>
      <c r="CR25" s="604">
        <f t="shared" si="98"/>
        <v>0</v>
      </c>
      <c r="CS25" s="44">
        <f t="shared" si="99"/>
        <v>0</v>
      </c>
      <c r="CT25" s="44">
        <f t="shared" si="100"/>
        <v>0</v>
      </c>
      <c r="CU25" s="44">
        <f t="shared" si="101"/>
        <v>0</v>
      </c>
      <c r="CV25" s="44">
        <f t="shared" si="102"/>
        <v>520000</v>
      </c>
      <c r="CW25" s="44">
        <f t="shared" si="103"/>
        <v>520000</v>
      </c>
      <c r="CX25" s="44">
        <f t="shared" si="35"/>
        <v>10400</v>
      </c>
      <c r="CY25" s="44">
        <f t="shared" si="104"/>
        <v>10400</v>
      </c>
      <c r="CZ25" s="44">
        <f t="shared" si="36"/>
        <v>327600</v>
      </c>
      <c r="DA25" s="44">
        <f t="shared" si="105"/>
        <v>327600</v>
      </c>
      <c r="DB25" s="44">
        <f t="shared" si="37"/>
        <v>192400</v>
      </c>
      <c r="DC25" s="46">
        <f t="shared" si="38"/>
        <v>0</v>
      </c>
      <c r="DD25" s="47">
        <f t="shared" si="39"/>
        <v>0</v>
      </c>
      <c r="DE25" s="604">
        <f t="shared" si="106"/>
        <v>0</v>
      </c>
      <c r="DF25" s="44">
        <f t="shared" si="107"/>
        <v>0</v>
      </c>
      <c r="DG25" s="44">
        <f t="shared" si="108"/>
        <v>0</v>
      </c>
      <c r="DH25" s="44">
        <f t="shared" si="109"/>
        <v>0</v>
      </c>
      <c r="DI25" s="44">
        <f t="shared" si="110"/>
        <v>520000</v>
      </c>
      <c r="DJ25" s="44">
        <f t="shared" si="111"/>
        <v>520000</v>
      </c>
      <c r="DK25" s="44">
        <f t="shared" si="40"/>
        <v>10400</v>
      </c>
      <c r="DL25" s="44">
        <f t="shared" si="112"/>
        <v>10400</v>
      </c>
      <c r="DM25" s="44">
        <f t="shared" si="41"/>
        <v>317200</v>
      </c>
      <c r="DN25" s="44">
        <f t="shared" si="113"/>
        <v>317200</v>
      </c>
      <c r="DO25" s="44">
        <f t="shared" si="42"/>
        <v>202800</v>
      </c>
      <c r="DP25" s="46">
        <f t="shared" si="43"/>
        <v>0</v>
      </c>
      <c r="DQ25" s="47">
        <f t="shared" si="44"/>
        <v>0</v>
      </c>
      <c r="DR25" s="604">
        <f t="shared" si="114"/>
        <v>0</v>
      </c>
      <c r="DS25" s="44">
        <f t="shared" si="115"/>
        <v>0</v>
      </c>
      <c r="DT25" s="44">
        <f t="shared" si="116"/>
        <v>0</v>
      </c>
      <c r="DU25" s="44">
        <f t="shared" si="117"/>
        <v>0</v>
      </c>
      <c r="DV25" s="44">
        <f t="shared" si="118"/>
        <v>520000</v>
      </c>
      <c r="DW25" s="44">
        <f t="shared" si="119"/>
        <v>520000</v>
      </c>
      <c r="DX25" s="44">
        <f t="shared" si="45"/>
        <v>10400</v>
      </c>
      <c r="DY25" s="44">
        <f t="shared" si="120"/>
        <v>10400</v>
      </c>
      <c r="DZ25" s="44">
        <f t="shared" si="46"/>
        <v>306800</v>
      </c>
      <c r="EA25" s="44">
        <f t="shared" si="121"/>
        <v>306800</v>
      </c>
      <c r="EB25" s="44">
        <f t="shared" si="47"/>
        <v>213200</v>
      </c>
      <c r="EC25" s="46">
        <f t="shared" si="48"/>
        <v>0</v>
      </c>
      <c r="ED25" s="47">
        <f t="shared" si="49"/>
        <v>0</v>
      </c>
    </row>
    <row r="26" spans="1:134" x14ac:dyDescent="0.35">
      <c r="A26" s="81">
        <v>2001</v>
      </c>
      <c r="B26" s="82" t="s">
        <v>199</v>
      </c>
      <c r="C26" s="82"/>
      <c r="D26" s="83" t="s">
        <v>18</v>
      </c>
      <c r="E26" s="87">
        <v>500000</v>
      </c>
      <c r="F26" s="85">
        <v>37073</v>
      </c>
      <c r="G26" s="88">
        <v>50</v>
      </c>
      <c r="H26" s="179"/>
      <c r="I26" s="180"/>
      <c r="J26" s="181"/>
      <c r="K26" s="42">
        <f t="shared" si="0"/>
        <v>0.02</v>
      </c>
      <c r="L26" s="43">
        <f t="shared" si="1"/>
        <v>10000</v>
      </c>
      <c r="M26" s="44">
        <f t="shared" si="2"/>
        <v>395000</v>
      </c>
      <c r="N26" s="44"/>
      <c r="O26" s="44">
        <f t="shared" si="3"/>
        <v>105000</v>
      </c>
      <c r="P26" s="45"/>
      <c r="Q26" s="44">
        <f t="shared" si="4"/>
        <v>500000</v>
      </c>
      <c r="R26" s="604">
        <f t="shared" si="50"/>
        <v>0</v>
      </c>
      <c r="S26" s="44">
        <f t="shared" si="51"/>
        <v>0</v>
      </c>
      <c r="T26" s="44">
        <f t="shared" si="52"/>
        <v>0</v>
      </c>
      <c r="U26" s="44">
        <f t="shared" si="53"/>
        <v>0</v>
      </c>
      <c r="V26" s="44">
        <f t="shared" si="54"/>
        <v>500000</v>
      </c>
      <c r="W26" s="44">
        <f t="shared" si="55"/>
        <v>500000</v>
      </c>
      <c r="X26" s="44">
        <f t="shared" si="5"/>
        <v>10000</v>
      </c>
      <c r="Y26" s="44">
        <f t="shared" si="56"/>
        <v>10000</v>
      </c>
      <c r="Z26" s="44">
        <f t="shared" si="6"/>
        <v>385000</v>
      </c>
      <c r="AA26" s="44">
        <f t="shared" si="57"/>
        <v>385000</v>
      </c>
      <c r="AB26" s="44">
        <f t="shared" si="7"/>
        <v>115000</v>
      </c>
      <c r="AC26" s="46">
        <f t="shared" si="8"/>
        <v>0</v>
      </c>
      <c r="AD26" s="47">
        <f t="shared" si="9"/>
        <v>0</v>
      </c>
      <c r="AE26" s="604">
        <f t="shared" si="58"/>
        <v>0</v>
      </c>
      <c r="AF26" s="44">
        <f t="shared" si="59"/>
        <v>0</v>
      </c>
      <c r="AG26" s="44">
        <f t="shared" si="60"/>
        <v>0</v>
      </c>
      <c r="AH26" s="44">
        <f t="shared" si="61"/>
        <v>0</v>
      </c>
      <c r="AI26" s="44">
        <f t="shared" si="62"/>
        <v>500000</v>
      </c>
      <c r="AJ26" s="44">
        <f t="shared" si="63"/>
        <v>500000</v>
      </c>
      <c r="AK26" s="44">
        <f t="shared" si="10"/>
        <v>10000</v>
      </c>
      <c r="AL26" s="44">
        <f t="shared" si="64"/>
        <v>10000</v>
      </c>
      <c r="AM26" s="44">
        <f t="shared" si="11"/>
        <v>375000</v>
      </c>
      <c r="AN26" s="44">
        <f t="shared" si="65"/>
        <v>375000</v>
      </c>
      <c r="AO26" s="44">
        <f t="shared" si="12"/>
        <v>125000</v>
      </c>
      <c r="AP26" s="46">
        <f t="shared" si="13"/>
        <v>0</v>
      </c>
      <c r="AQ26" s="47">
        <f t="shared" si="14"/>
        <v>0</v>
      </c>
      <c r="AR26" s="604">
        <f t="shared" si="66"/>
        <v>0</v>
      </c>
      <c r="AS26" s="44">
        <f t="shared" si="67"/>
        <v>0</v>
      </c>
      <c r="AT26" s="44">
        <f t="shared" si="68"/>
        <v>0</v>
      </c>
      <c r="AU26" s="44">
        <f t="shared" si="69"/>
        <v>0</v>
      </c>
      <c r="AV26" s="44">
        <f t="shared" si="70"/>
        <v>500000</v>
      </c>
      <c r="AW26" s="44">
        <f t="shared" si="71"/>
        <v>500000</v>
      </c>
      <c r="AX26" s="44">
        <f t="shared" si="15"/>
        <v>10000</v>
      </c>
      <c r="AY26" s="44">
        <f t="shared" si="72"/>
        <v>10000</v>
      </c>
      <c r="AZ26" s="44">
        <f t="shared" si="16"/>
        <v>365000</v>
      </c>
      <c r="BA26" s="44">
        <f t="shared" si="73"/>
        <v>365000</v>
      </c>
      <c r="BB26" s="44">
        <f t="shared" si="17"/>
        <v>135000</v>
      </c>
      <c r="BC26" s="46">
        <f t="shared" si="18"/>
        <v>0</v>
      </c>
      <c r="BD26" s="47">
        <f t="shared" si="19"/>
        <v>0</v>
      </c>
      <c r="BE26" s="604">
        <f t="shared" si="74"/>
        <v>0</v>
      </c>
      <c r="BF26" s="44">
        <f t="shared" si="75"/>
        <v>0</v>
      </c>
      <c r="BG26" s="44">
        <f t="shared" si="76"/>
        <v>0</v>
      </c>
      <c r="BH26" s="44">
        <f t="shared" si="77"/>
        <v>0</v>
      </c>
      <c r="BI26" s="44">
        <f t="shared" si="78"/>
        <v>500000</v>
      </c>
      <c r="BJ26" s="44">
        <f t="shared" si="79"/>
        <v>500000</v>
      </c>
      <c r="BK26" s="44">
        <f t="shared" si="20"/>
        <v>10000</v>
      </c>
      <c r="BL26" s="44">
        <f t="shared" si="80"/>
        <v>10000</v>
      </c>
      <c r="BM26" s="44">
        <f t="shared" si="21"/>
        <v>355000</v>
      </c>
      <c r="BN26" s="44">
        <f t="shared" si="81"/>
        <v>355000</v>
      </c>
      <c r="BO26" s="44">
        <f t="shared" si="22"/>
        <v>145000</v>
      </c>
      <c r="BP26" s="46">
        <f t="shared" si="23"/>
        <v>0</v>
      </c>
      <c r="BQ26" s="47">
        <f t="shared" si="24"/>
        <v>0</v>
      </c>
      <c r="BR26" s="604">
        <f t="shared" si="82"/>
        <v>0</v>
      </c>
      <c r="BS26" s="44">
        <f t="shared" si="83"/>
        <v>0</v>
      </c>
      <c r="BT26" s="44">
        <f t="shared" si="84"/>
        <v>0</v>
      </c>
      <c r="BU26" s="44">
        <f t="shared" si="85"/>
        <v>0</v>
      </c>
      <c r="BV26" s="44">
        <f t="shared" si="86"/>
        <v>500000</v>
      </c>
      <c r="BW26" s="44">
        <f t="shared" si="87"/>
        <v>500000</v>
      </c>
      <c r="BX26" s="44">
        <f t="shared" si="25"/>
        <v>10000</v>
      </c>
      <c r="BY26" s="44">
        <f t="shared" si="88"/>
        <v>10000</v>
      </c>
      <c r="BZ26" s="44">
        <f t="shared" si="26"/>
        <v>345000</v>
      </c>
      <c r="CA26" s="44">
        <f t="shared" si="89"/>
        <v>345000</v>
      </c>
      <c r="CB26" s="44">
        <f t="shared" si="27"/>
        <v>155000</v>
      </c>
      <c r="CC26" s="46">
        <f t="shared" si="28"/>
        <v>0</v>
      </c>
      <c r="CD26" s="47">
        <f t="shared" si="29"/>
        <v>0</v>
      </c>
      <c r="CE26" s="604">
        <f t="shared" si="90"/>
        <v>0</v>
      </c>
      <c r="CF26" s="44">
        <f t="shared" si="91"/>
        <v>0</v>
      </c>
      <c r="CG26" s="44">
        <f t="shared" si="92"/>
        <v>0</v>
      </c>
      <c r="CH26" s="44">
        <f t="shared" si="93"/>
        <v>0</v>
      </c>
      <c r="CI26" s="44">
        <f t="shared" si="94"/>
        <v>500000</v>
      </c>
      <c r="CJ26" s="44">
        <f t="shared" si="95"/>
        <v>500000</v>
      </c>
      <c r="CK26" s="44">
        <f t="shared" si="30"/>
        <v>10000</v>
      </c>
      <c r="CL26" s="44">
        <f t="shared" si="96"/>
        <v>10000</v>
      </c>
      <c r="CM26" s="44">
        <f t="shared" si="31"/>
        <v>335000</v>
      </c>
      <c r="CN26" s="44">
        <f t="shared" si="97"/>
        <v>335000</v>
      </c>
      <c r="CO26" s="44">
        <f t="shared" si="32"/>
        <v>165000</v>
      </c>
      <c r="CP26" s="46">
        <f t="shared" si="33"/>
        <v>0</v>
      </c>
      <c r="CQ26" s="47">
        <f t="shared" si="34"/>
        <v>0</v>
      </c>
      <c r="CR26" s="604">
        <f t="shared" si="98"/>
        <v>0</v>
      </c>
      <c r="CS26" s="44">
        <f t="shared" si="99"/>
        <v>0</v>
      </c>
      <c r="CT26" s="44">
        <f t="shared" si="100"/>
        <v>0</v>
      </c>
      <c r="CU26" s="44">
        <f t="shared" si="101"/>
        <v>0</v>
      </c>
      <c r="CV26" s="44">
        <f t="shared" si="102"/>
        <v>500000</v>
      </c>
      <c r="CW26" s="44">
        <f t="shared" si="103"/>
        <v>500000</v>
      </c>
      <c r="CX26" s="44">
        <f t="shared" si="35"/>
        <v>10000</v>
      </c>
      <c r="CY26" s="44">
        <f t="shared" si="104"/>
        <v>10000</v>
      </c>
      <c r="CZ26" s="44">
        <f t="shared" si="36"/>
        <v>325000</v>
      </c>
      <c r="DA26" s="44">
        <f t="shared" si="105"/>
        <v>325000</v>
      </c>
      <c r="DB26" s="44">
        <f t="shared" si="37"/>
        <v>175000</v>
      </c>
      <c r="DC26" s="46">
        <f t="shared" si="38"/>
        <v>0</v>
      </c>
      <c r="DD26" s="47">
        <f t="shared" si="39"/>
        <v>0</v>
      </c>
      <c r="DE26" s="604">
        <f t="shared" si="106"/>
        <v>0</v>
      </c>
      <c r="DF26" s="44">
        <f t="shared" si="107"/>
        <v>0</v>
      </c>
      <c r="DG26" s="44">
        <f t="shared" si="108"/>
        <v>0</v>
      </c>
      <c r="DH26" s="44">
        <f t="shared" si="109"/>
        <v>0</v>
      </c>
      <c r="DI26" s="44">
        <f t="shared" si="110"/>
        <v>500000</v>
      </c>
      <c r="DJ26" s="44">
        <f t="shared" si="111"/>
        <v>500000</v>
      </c>
      <c r="DK26" s="44">
        <f t="shared" si="40"/>
        <v>10000</v>
      </c>
      <c r="DL26" s="44">
        <f t="shared" si="112"/>
        <v>10000</v>
      </c>
      <c r="DM26" s="44">
        <f t="shared" si="41"/>
        <v>315000</v>
      </c>
      <c r="DN26" s="44">
        <f t="shared" si="113"/>
        <v>315000</v>
      </c>
      <c r="DO26" s="44">
        <f t="shared" si="42"/>
        <v>185000</v>
      </c>
      <c r="DP26" s="46">
        <f t="shared" si="43"/>
        <v>0</v>
      </c>
      <c r="DQ26" s="47">
        <f t="shared" si="44"/>
        <v>0</v>
      </c>
      <c r="DR26" s="604">
        <f t="shared" si="114"/>
        <v>0</v>
      </c>
      <c r="DS26" s="44">
        <f t="shared" si="115"/>
        <v>0</v>
      </c>
      <c r="DT26" s="44">
        <f t="shared" si="116"/>
        <v>0</v>
      </c>
      <c r="DU26" s="44">
        <f t="shared" si="117"/>
        <v>0</v>
      </c>
      <c r="DV26" s="44">
        <f t="shared" si="118"/>
        <v>500000</v>
      </c>
      <c r="DW26" s="44">
        <f t="shared" si="119"/>
        <v>500000</v>
      </c>
      <c r="DX26" s="44">
        <f t="shared" si="45"/>
        <v>10000</v>
      </c>
      <c r="DY26" s="44">
        <f t="shared" si="120"/>
        <v>10000</v>
      </c>
      <c r="DZ26" s="44">
        <f t="shared" si="46"/>
        <v>305000</v>
      </c>
      <c r="EA26" s="44">
        <f t="shared" si="121"/>
        <v>305000</v>
      </c>
      <c r="EB26" s="44">
        <f t="shared" si="47"/>
        <v>195000</v>
      </c>
      <c r="EC26" s="46">
        <f t="shared" si="48"/>
        <v>0</v>
      </c>
      <c r="ED26" s="47">
        <f t="shared" si="49"/>
        <v>0</v>
      </c>
    </row>
    <row r="27" spans="1:134" x14ac:dyDescent="0.35">
      <c r="A27" s="81">
        <v>2004</v>
      </c>
      <c r="B27" s="82" t="s">
        <v>200</v>
      </c>
      <c r="C27" s="82"/>
      <c r="D27" s="83" t="s">
        <v>18</v>
      </c>
      <c r="E27" s="87">
        <v>360000</v>
      </c>
      <c r="F27" s="85">
        <v>38169</v>
      </c>
      <c r="G27" s="88">
        <v>50</v>
      </c>
      <c r="H27" s="179"/>
      <c r="I27" s="180"/>
      <c r="J27" s="181"/>
      <c r="K27" s="42">
        <f t="shared" si="0"/>
        <v>0.02</v>
      </c>
      <c r="L27" s="43">
        <f t="shared" si="1"/>
        <v>7200</v>
      </c>
      <c r="M27" s="44">
        <f t="shared" si="2"/>
        <v>306000</v>
      </c>
      <c r="N27" s="44"/>
      <c r="O27" s="44">
        <f t="shared" si="3"/>
        <v>54000</v>
      </c>
      <c r="P27" s="45"/>
      <c r="Q27" s="44">
        <f t="shared" si="4"/>
        <v>360000</v>
      </c>
      <c r="R27" s="604">
        <f t="shared" si="50"/>
        <v>0</v>
      </c>
      <c r="S27" s="44">
        <f t="shared" si="51"/>
        <v>0</v>
      </c>
      <c r="T27" s="44">
        <f t="shared" si="52"/>
        <v>0</v>
      </c>
      <c r="U27" s="44">
        <f t="shared" si="53"/>
        <v>0</v>
      </c>
      <c r="V27" s="44">
        <f t="shared" si="54"/>
        <v>360000</v>
      </c>
      <c r="W27" s="44">
        <f t="shared" si="55"/>
        <v>360000</v>
      </c>
      <c r="X27" s="44">
        <f t="shared" si="5"/>
        <v>7200</v>
      </c>
      <c r="Y27" s="44">
        <f t="shared" si="56"/>
        <v>7200</v>
      </c>
      <c r="Z27" s="44">
        <f t="shared" si="6"/>
        <v>298800</v>
      </c>
      <c r="AA27" s="44">
        <f t="shared" si="57"/>
        <v>298800</v>
      </c>
      <c r="AB27" s="44">
        <f t="shared" si="7"/>
        <v>61200</v>
      </c>
      <c r="AC27" s="46">
        <f t="shared" si="8"/>
        <v>0</v>
      </c>
      <c r="AD27" s="47">
        <f t="shared" si="9"/>
        <v>0</v>
      </c>
      <c r="AE27" s="604">
        <f t="shared" si="58"/>
        <v>0</v>
      </c>
      <c r="AF27" s="44">
        <f t="shared" si="59"/>
        <v>0</v>
      </c>
      <c r="AG27" s="44">
        <f t="shared" si="60"/>
        <v>0</v>
      </c>
      <c r="AH27" s="44">
        <f t="shared" si="61"/>
        <v>0</v>
      </c>
      <c r="AI27" s="44">
        <f t="shared" si="62"/>
        <v>360000</v>
      </c>
      <c r="AJ27" s="44">
        <f t="shared" si="63"/>
        <v>360000</v>
      </c>
      <c r="AK27" s="44">
        <f t="shared" si="10"/>
        <v>7200</v>
      </c>
      <c r="AL27" s="44">
        <f t="shared" si="64"/>
        <v>7200</v>
      </c>
      <c r="AM27" s="44">
        <f t="shared" si="11"/>
        <v>291600</v>
      </c>
      <c r="AN27" s="44">
        <f t="shared" si="65"/>
        <v>291600</v>
      </c>
      <c r="AO27" s="44">
        <f t="shared" si="12"/>
        <v>68400</v>
      </c>
      <c r="AP27" s="46">
        <f t="shared" si="13"/>
        <v>0</v>
      </c>
      <c r="AQ27" s="47">
        <f t="shared" si="14"/>
        <v>0</v>
      </c>
      <c r="AR27" s="604">
        <f t="shared" si="66"/>
        <v>0</v>
      </c>
      <c r="AS27" s="44">
        <f t="shared" si="67"/>
        <v>0</v>
      </c>
      <c r="AT27" s="44">
        <f t="shared" si="68"/>
        <v>0</v>
      </c>
      <c r="AU27" s="44">
        <f t="shared" si="69"/>
        <v>0</v>
      </c>
      <c r="AV27" s="44">
        <f t="shared" si="70"/>
        <v>360000</v>
      </c>
      <c r="AW27" s="44">
        <f t="shared" si="71"/>
        <v>360000</v>
      </c>
      <c r="AX27" s="44">
        <f t="shared" si="15"/>
        <v>7200</v>
      </c>
      <c r="AY27" s="44">
        <f t="shared" si="72"/>
        <v>7200</v>
      </c>
      <c r="AZ27" s="44">
        <f t="shared" si="16"/>
        <v>284400</v>
      </c>
      <c r="BA27" s="44">
        <f t="shared" si="73"/>
        <v>284400</v>
      </c>
      <c r="BB27" s="44">
        <f t="shared" si="17"/>
        <v>75600</v>
      </c>
      <c r="BC27" s="46">
        <f t="shared" si="18"/>
        <v>0</v>
      </c>
      <c r="BD27" s="47">
        <f t="shared" si="19"/>
        <v>0</v>
      </c>
      <c r="BE27" s="604">
        <f t="shared" si="74"/>
        <v>0</v>
      </c>
      <c r="BF27" s="44">
        <f t="shared" si="75"/>
        <v>0</v>
      </c>
      <c r="BG27" s="44">
        <f t="shared" si="76"/>
        <v>0</v>
      </c>
      <c r="BH27" s="44">
        <f t="shared" si="77"/>
        <v>0</v>
      </c>
      <c r="BI27" s="44">
        <f t="shared" si="78"/>
        <v>360000</v>
      </c>
      <c r="BJ27" s="44">
        <f t="shared" si="79"/>
        <v>360000</v>
      </c>
      <c r="BK27" s="44">
        <f t="shared" si="20"/>
        <v>7200</v>
      </c>
      <c r="BL27" s="44">
        <f t="shared" si="80"/>
        <v>7200</v>
      </c>
      <c r="BM27" s="44">
        <f t="shared" si="21"/>
        <v>277200</v>
      </c>
      <c r="BN27" s="44">
        <f t="shared" si="81"/>
        <v>277200</v>
      </c>
      <c r="BO27" s="44">
        <f t="shared" si="22"/>
        <v>82800</v>
      </c>
      <c r="BP27" s="46">
        <f t="shared" si="23"/>
        <v>0</v>
      </c>
      <c r="BQ27" s="47">
        <f t="shared" si="24"/>
        <v>0</v>
      </c>
      <c r="BR27" s="604">
        <f t="shared" si="82"/>
        <v>0</v>
      </c>
      <c r="BS27" s="44">
        <f t="shared" si="83"/>
        <v>0</v>
      </c>
      <c r="BT27" s="44">
        <f t="shared" si="84"/>
        <v>0</v>
      </c>
      <c r="BU27" s="44">
        <f t="shared" si="85"/>
        <v>0</v>
      </c>
      <c r="BV27" s="44">
        <f t="shared" si="86"/>
        <v>360000</v>
      </c>
      <c r="BW27" s="44">
        <f t="shared" si="87"/>
        <v>360000</v>
      </c>
      <c r="BX27" s="44">
        <f t="shared" si="25"/>
        <v>7200</v>
      </c>
      <c r="BY27" s="44">
        <f t="shared" si="88"/>
        <v>7200</v>
      </c>
      <c r="BZ27" s="44">
        <f t="shared" si="26"/>
        <v>270000</v>
      </c>
      <c r="CA27" s="44">
        <f t="shared" si="89"/>
        <v>270000</v>
      </c>
      <c r="CB27" s="44">
        <f t="shared" si="27"/>
        <v>90000</v>
      </c>
      <c r="CC27" s="46">
        <f t="shared" si="28"/>
        <v>0</v>
      </c>
      <c r="CD27" s="47">
        <f t="shared" si="29"/>
        <v>0</v>
      </c>
      <c r="CE27" s="604">
        <f t="shared" si="90"/>
        <v>0</v>
      </c>
      <c r="CF27" s="44">
        <f t="shared" si="91"/>
        <v>0</v>
      </c>
      <c r="CG27" s="44">
        <f t="shared" si="92"/>
        <v>0</v>
      </c>
      <c r="CH27" s="44">
        <f t="shared" si="93"/>
        <v>0</v>
      </c>
      <c r="CI27" s="44">
        <f t="shared" si="94"/>
        <v>360000</v>
      </c>
      <c r="CJ27" s="44">
        <f t="shared" si="95"/>
        <v>360000</v>
      </c>
      <c r="CK27" s="44">
        <f t="shared" si="30"/>
        <v>7200</v>
      </c>
      <c r="CL27" s="44">
        <f t="shared" si="96"/>
        <v>7200</v>
      </c>
      <c r="CM27" s="44">
        <f t="shared" si="31"/>
        <v>262800</v>
      </c>
      <c r="CN27" s="44">
        <f t="shared" si="97"/>
        <v>262800</v>
      </c>
      <c r="CO27" s="44">
        <f t="shared" si="32"/>
        <v>97200</v>
      </c>
      <c r="CP27" s="46">
        <f t="shared" si="33"/>
        <v>0</v>
      </c>
      <c r="CQ27" s="47">
        <f t="shared" si="34"/>
        <v>0</v>
      </c>
      <c r="CR27" s="604">
        <f t="shared" si="98"/>
        <v>0</v>
      </c>
      <c r="CS27" s="44">
        <f t="shared" si="99"/>
        <v>0</v>
      </c>
      <c r="CT27" s="44">
        <f t="shared" si="100"/>
        <v>0</v>
      </c>
      <c r="CU27" s="44">
        <f t="shared" si="101"/>
        <v>0</v>
      </c>
      <c r="CV27" s="44">
        <f t="shared" si="102"/>
        <v>360000</v>
      </c>
      <c r="CW27" s="44">
        <f t="shared" si="103"/>
        <v>360000</v>
      </c>
      <c r="CX27" s="44">
        <f t="shared" si="35"/>
        <v>7200</v>
      </c>
      <c r="CY27" s="44">
        <f t="shared" si="104"/>
        <v>7200</v>
      </c>
      <c r="CZ27" s="44">
        <f t="shared" si="36"/>
        <v>255600</v>
      </c>
      <c r="DA27" s="44">
        <f t="shared" si="105"/>
        <v>255600</v>
      </c>
      <c r="DB27" s="44">
        <f t="shared" si="37"/>
        <v>104400</v>
      </c>
      <c r="DC27" s="46">
        <f t="shared" si="38"/>
        <v>0</v>
      </c>
      <c r="DD27" s="47">
        <f t="shared" si="39"/>
        <v>0</v>
      </c>
      <c r="DE27" s="604">
        <f t="shared" si="106"/>
        <v>0</v>
      </c>
      <c r="DF27" s="44">
        <f t="shared" si="107"/>
        <v>0</v>
      </c>
      <c r="DG27" s="44">
        <f t="shared" si="108"/>
        <v>0</v>
      </c>
      <c r="DH27" s="44">
        <f t="shared" si="109"/>
        <v>0</v>
      </c>
      <c r="DI27" s="44">
        <f t="shared" si="110"/>
        <v>360000</v>
      </c>
      <c r="DJ27" s="44">
        <f t="shared" si="111"/>
        <v>360000</v>
      </c>
      <c r="DK27" s="44">
        <f t="shared" si="40"/>
        <v>7200</v>
      </c>
      <c r="DL27" s="44">
        <f t="shared" si="112"/>
        <v>7200</v>
      </c>
      <c r="DM27" s="44">
        <f t="shared" si="41"/>
        <v>248400</v>
      </c>
      <c r="DN27" s="44">
        <f t="shared" si="113"/>
        <v>248400</v>
      </c>
      <c r="DO27" s="44">
        <f t="shared" si="42"/>
        <v>111600</v>
      </c>
      <c r="DP27" s="46">
        <f t="shared" si="43"/>
        <v>0</v>
      </c>
      <c r="DQ27" s="47">
        <f t="shared" si="44"/>
        <v>0</v>
      </c>
      <c r="DR27" s="604">
        <f t="shared" si="114"/>
        <v>0</v>
      </c>
      <c r="DS27" s="44">
        <f t="shared" si="115"/>
        <v>0</v>
      </c>
      <c r="DT27" s="44">
        <f t="shared" si="116"/>
        <v>0</v>
      </c>
      <c r="DU27" s="44">
        <f t="shared" si="117"/>
        <v>0</v>
      </c>
      <c r="DV27" s="44">
        <f t="shared" si="118"/>
        <v>360000</v>
      </c>
      <c r="DW27" s="44">
        <f t="shared" si="119"/>
        <v>360000</v>
      </c>
      <c r="DX27" s="44">
        <f t="shared" si="45"/>
        <v>7200</v>
      </c>
      <c r="DY27" s="44">
        <f t="shared" si="120"/>
        <v>7200</v>
      </c>
      <c r="DZ27" s="44">
        <f t="shared" si="46"/>
        <v>241200</v>
      </c>
      <c r="EA27" s="44">
        <f t="shared" si="121"/>
        <v>241200</v>
      </c>
      <c r="EB27" s="44">
        <f t="shared" si="47"/>
        <v>118800</v>
      </c>
      <c r="EC27" s="46">
        <f t="shared" si="48"/>
        <v>0</v>
      </c>
      <c r="ED27" s="47">
        <f t="shared" si="49"/>
        <v>0</v>
      </c>
    </row>
    <row r="28" spans="1:134" x14ac:dyDescent="0.35">
      <c r="A28" s="81">
        <v>2006</v>
      </c>
      <c r="B28" s="82" t="s">
        <v>201</v>
      </c>
      <c r="C28" s="82"/>
      <c r="D28" s="83" t="s">
        <v>18</v>
      </c>
      <c r="E28" s="87">
        <v>80000</v>
      </c>
      <c r="F28" s="85">
        <v>38899</v>
      </c>
      <c r="G28" s="88">
        <v>50</v>
      </c>
      <c r="H28" s="179"/>
      <c r="I28" s="180"/>
      <c r="J28" s="181"/>
      <c r="K28" s="42">
        <f t="shared" si="0"/>
        <v>0.02</v>
      </c>
      <c r="L28" s="43">
        <f t="shared" si="1"/>
        <v>1600</v>
      </c>
      <c r="M28" s="44">
        <f t="shared" si="2"/>
        <v>71200</v>
      </c>
      <c r="N28" s="44"/>
      <c r="O28" s="44">
        <f t="shared" si="3"/>
        <v>8800</v>
      </c>
      <c r="P28" s="45"/>
      <c r="Q28" s="44">
        <f t="shared" si="4"/>
        <v>80000</v>
      </c>
      <c r="R28" s="604">
        <f t="shared" si="50"/>
        <v>0</v>
      </c>
      <c r="S28" s="44">
        <f t="shared" si="51"/>
        <v>0</v>
      </c>
      <c r="T28" s="44">
        <f t="shared" si="52"/>
        <v>0</v>
      </c>
      <c r="U28" s="44">
        <f t="shared" si="53"/>
        <v>0</v>
      </c>
      <c r="V28" s="44">
        <f t="shared" si="54"/>
        <v>80000</v>
      </c>
      <c r="W28" s="44">
        <f t="shared" si="55"/>
        <v>80000</v>
      </c>
      <c r="X28" s="44">
        <f t="shared" si="5"/>
        <v>1600</v>
      </c>
      <c r="Y28" s="44">
        <f t="shared" si="56"/>
        <v>1600</v>
      </c>
      <c r="Z28" s="44">
        <f t="shared" si="6"/>
        <v>69600</v>
      </c>
      <c r="AA28" s="44">
        <f t="shared" si="57"/>
        <v>69600</v>
      </c>
      <c r="AB28" s="44">
        <f t="shared" si="7"/>
        <v>10400</v>
      </c>
      <c r="AC28" s="46">
        <f t="shared" si="8"/>
        <v>0</v>
      </c>
      <c r="AD28" s="47">
        <f t="shared" si="9"/>
        <v>0</v>
      </c>
      <c r="AE28" s="604">
        <f t="shared" si="58"/>
        <v>0</v>
      </c>
      <c r="AF28" s="44">
        <f t="shared" si="59"/>
        <v>0</v>
      </c>
      <c r="AG28" s="44">
        <f t="shared" si="60"/>
        <v>0</v>
      </c>
      <c r="AH28" s="44">
        <f t="shared" si="61"/>
        <v>0</v>
      </c>
      <c r="AI28" s="44">
        <f t="shared" si="62"/>
        <v>80000</v>
      </c>
      <c r="AJ28" s="44">
        <f t="shared" si="63"/>
        <v>80000</v>
      </c>
      <c r="AK28" s="44">
        <f t="shared" si="10"/>
        <v>1600</v>
      </c>
      <c r="AL28" s="44">
        <f t="shared" si="64"/>
        <v>1600</v>
      </c>
      <c r="AM28" s="44">
        <f t="shared" si="11"/>
        <v>68000</v>
      </c>
      <c r="AN28" s="44">
        <f t="shared" si="65"/>
        <v>68000</v>
      </c>
      <c r="AO28" s="44">
        <f t="shared" si="12"/>
        <v>12000</v>
      </c>
      <c r="AP28" s="46">
        <f t="shared" si="13"/>
        <v>0</v>
      </c>
      <c r="AQ28" s="47">
        <f t="shared" si="14"/>
        <v>0</v>
      </c>
      <c r="AR28" s="604">
        <f t="shared" si="66"/>
        <v>0</v>
      </c>
      <c r="AS28" s="44">
        <f t="shared" si="67"/>
        <v>0</v>
      </c>
      <c r="AT28" s="44">
        <f t="shared" si="68"/>
        <v>0</v>
      </c>
      <c r="AU28" s="44">
        <f t="shared" si="69"/>
        <v>0</v>
      </c>
      <c r="AV28" s="44">
        <f t="shared" si="70"/>
        <v>80000</v>
      </c>
      <c r="AW28" s="44">
        <f t="shared" si="71"/>
        <v>80000</v>
      </c>
      <c r="AX28" s="44">
        <f t="shared" si="15"/>
        <v>1600</v>
      </c>
      <c r="AY28" s="44">
        <f t="shared" si="72"/>
        <v>1600</v>
      </c>
      <c r="AZ28" s="44">
        <f t="shared" si="16"/>
        <v>66400</v>
      </c>
      <c r="BA28" s="44">
        <f t="shared" si="73"/>
        <v>66400</v>
      </c>
      <c r="BB28" s="44">
        <f t="shared" si="17"/>
        <v>13600</v>
      </c>
      <c r="BC28" s="46">
        <f t="shared" si="18"/>
        <v>0</v>
      </c>
      <c r="BD28" s="47">
        <f t="shared" si="19"/>
        <v>0</v>
      </c>
      <c r="BE28" s="604">
        <f t="shared" si="74"/>
        <v>0</v>
      </c>
      <c r="BF28" s="44">
        <f t="shared" si="75"/>
        <v>0</v>
      </c>
      <c r="BG28" s="44">
        <f t="shared" si="76"/>
        <v>0</v>
      </c>
      <c r="BH28" s="44">
        <f t="shared" si="77"/>
        <v>0</v>
      </c>
      <c r="BI28" s="44">
        <f t="shared" si="78"/>
        <v>80000</v>
      </c>
      <c r="BJ28" s="44">
        <f t="shared" si="79"/>
        <v>80000</v>
      </c>
      <c r="BK28" s="44">
        <f t="shared" si="20"/>
        <v>1600</v>
      </c>
      <c r="BL28" s="44">
        <f t="shared" si="80"/>
        <v>1600</v>
      </c>
      <c r="BM28" s="44">
        <f t="shared" si="21"/>
        <v>64800</v>
      </c>
      <c r="BN28" s="44">
        <f t="shared" si="81"/>
        <v>64800</v>
      </c>
      <c r="BO28" s="44">
        <f t="shared" si="22"/>
        <v>15200</v>
      </c>
      <c r="BP28" s="46">
        <f t="shared" si="23"/>
        <v>0</v>
      </c>
      <c r="BQ28" s="47">
        <f t="shared" si="24"/>
        <v>0</v>
      </c>
      <c r="BR28" s="604">
        <f t="shared" si="82"/>
        <v>0</v>
      </c>
      <c r="BS28" s="44">
        <f t="shared" si="83"/>
        <v>0</v>
      </c>
      <c r="BT28" s="44">
        <f t="shared" si="84"/>
        <v>0</v>
      </c>
      <c r="BU28" s="44">
        <f t="shared" si="85"/>
        <v>0</v>
      </c>
      <c r="BV28" s="44">
        <f t="shared" si="86"/>
        <v>80000</v>
      </c>
      <c r="BW28" s="44">
        <f t="shared" si="87"/>
        <v>80000</v>
      </c>
      <c r="BX28" s="44">
        <f t="shared" si="25"/>
        <v>1600</v>
      </c>
      <c r="BY28" s="44">
        <f t="shared" si="88"/>
        <v>1600</v>
      </c>
      <c r="BZ28" s="44">
        <f t="shared" si="26"/>
        <v>63200</v>
      </c>
      <c r="CA28" s="44">
        <f t="shared" si="89"/>
        <v>63200</v>
      </c>
      <c r="CB28" s="44">
        <f t="shared" si="27"/>
        <v>16800</v>
      </c>
      <c r="CC28" s="46">
        <f t="shared" si="28"/>
        <v>0</v>
      </c>
      <c r="CD28" s="47">
        <f t="shared" si="29"/>
        <v>0</v>
      </c>
      <c r="CE28" s="604">
        <f t="shared" si="90"/>
        <v>0</v>
      </c>
      <c r="CF28" s="44">
        <f t="shared" si="91"/>
        <v>0</v>
      </c>
      <c r="CG28" s="44">
        <f t="shared" si="92"/>
        <v>0</v>
      </c>
      <c r="CH28" s="44">
        <f t="shared" si="93"/>
        <v>0</v>
      </c>
      <c r="CI28" s="44">
        <f t="shared" si="94"/>
        <v>80000</v>
      </c>
      <c r="CJ28" s="44">
        <f t="shared" si="95"/>
        <v>80000</v>
      </c>
      <c r="CK28" s="44">
        <f t="shared" si="30"/>
        <v>1600</v>
      </c>
      <c r="CL28" s="44">
        <f t="shared" si="96"/>
        <v>1600</v>
      </c>
      <c r="CM28" s="44">
        <f t="shared" si="31"/>
        <v>61600</v>
      </c>
      <c r="CN28" s="44">
        <f t="shared" si="97"/>
        <v>61600</v>
      </c>
      <c r="CO28" s="44">
        <f t="shared" si="32"/>
        <v>18400</v>
      </c>
      <c r="CP28" s="46">
        <f t="shared" si="33"/>
        <v>0</v>
      </c>
      <c r="CQ28" s="47">
        <f t="shared" si="34"/>
        <v>0</v>
      </c>
      <c r="CR28" s="604">
        <f t="shared" si="98"/>
        <v>0</v>
      </c>
      <c r="CS28" s="44">
        <f t="shared" si="99"/>
        <v>0</v>
      </c>
      <c r="CT28" s="44">
        <f t="shared" si="100"/>
        <v>0</v>
      </c>
      <c r="CU28" s="44">
        <f t="shared" si="101"/>
        <v>0</v>
      </c>
      <c r="CV28" s="44">
        <f t="shared" si="102"/>
        <v>80000</v>
      </c>
      <c r="CW28" s="44">
        <f t="shared" si="103"/>
        <v>80000</v>
      </c>
      <c r="CX28" s="44">
        <f t="shared" si="35"/>
        <v>1600</v>
      </c>
      <c r="CY28" s="44">
        <f t="shared" si="104"/>
        <v>1600</v>
      </c>
      <c r="CZ28" s="44">
        <f t="shared" si="36"/>
        <v>60000</v>
      </c>
      <c r="DA28" s="44">
        <f t="shared" si="105"/>
        <v>60000</v>
      </c>
      <c r="DB28" s="44">
        <f t="shared" si="37"/>
        <v>20000</v>
      </c>
      <c r="DC28" s="46">
        <f t="shared" si="38"/>
        <v>0</v>
      </c>
      <c r="DD28" s="47">
        <f t="shared" si="39"/>
        <v>0</v>
      </c>
      <c r="DE28" s="604">
        <f t="shared" si="106"/>
        <v>0</v>
      </c>
      <c r="DF28" s="44">
        <f t="shared" si="107"/>
        <v>0</v>
      </c>
      <c r="DG28" s="44">
        <f t="shared" si="108"/>
        <v>0</v>
      </c>
      <c r="DH28" s="44">
        <f t="shared" si="109"/>
        <v>0</v>
      </c>
      <c r="DI28" s="44">
        <f t="shared" si="110"/>
        <v>80000</v>
      </c>
      <c r="DJ28" s="44">
        <f t="shared" si="111"/>
        <v>80000</v>
      </c>
      <c r="DK28" s="44">
        <f t="shared" si="40"/>
        <v>1600</v>
      </c>
      <c r="DL28" s="44">
        <f t="shared" si="112"/>
        <v>1600</v>
      </c>
      <c r="DM28" s="44">
        <f t="shared" si="41"/>
        <v>58400</v>
      </c>
      <c r="DN28" s="44">
        <f t="shared" si="113"/>
        <v>58400</v>
      </c>
      <c r="DO28" s="44">
        <f t="shared" si="42"/>
        <v>21600</v>
      </c>
      <c r="DP28" s="46">
        <f t="shared" si="43"/>
        <v>0</v>
      </c>
      <c r="DQ28" s="47">
        <f t="shared" si="44"/>
        <v>0</v>
      </c>
      <c r="DR28" s="604">
        <f t="shared" si="114"/>
        <v>0</v>
      </c>
      <c r="DS28" s="44">
        <f t="shared" si="115"/>
        <v>0</v>
      </c>
      <c r="DT28" s="44">
        <f t="shared" si="116"/>
        <v>0</v>
      </c>
      <c r="DU28" s="44">
        <f t="shared" si="117"/>
        <v>0</v>
      </c>
      <c r="DV28" s="44">
        <f t="shared" si="118"/>
        <v>80000</v>
      </c>
      <c r="DW28" s="44">
        <f t="shared" si="119"/>
        <v>80000</v>
      </c>
      <c r="DX28" s="44">
        <f t="shared" si="45"/>
        <v>1600</v>
      </c>
      <c r="DY28" s="44">
        <f t="shared" si="120"/>
        <v>1600</v>
      </c>
      <c r="DZ28" s="44">
        <f t="shared" si="46"/>
        <v>56800</v>
      </c>
      <c r="EA28" s="44">
        <f t="shared" si="121"/>
        <v>56800</v>
      </c>
      <c r="EB28" s="44">
        <f t="shared" si="47"/>
        <v>23200</v>
      </c>
      <c r="EC28" s="46">
        <f t="shared" si="48"/>
        <v>0</v>
      </c>
      <c r="ED28" s="47">
        <f t="shared" si="49"/>
        <v>0</v>
      </c>
    </row>
    <row r="29" spans="1:134" x14ac:dyDescent="0.35">
      <c r="A29" s="81">
        <v>2008</v>
      </c>
      <c r="B29" s="82" t="s">
        <v>202</v>
      </c>
      <c r="C29" s="82"/>
      <c r="D29" s="83" t="s">
        <v>18</v>
      </c>
      <c r="E29" s="87">
        <v>310000</v>
      </c>
      <c r="F29" s="85">
        <v>39630</v>
      </c>
      <c r="G29" s="88">
        <v>50</v>
      </c>
      <c r="H29" s="179"/>
      <c r="I29" s="180"/>
      <c r="J29" s="181"/>
      <c r="K29" s="42">
        <f t="shared" si="0"/>
        <v>0.02</v>
      </c>
      <c r="L29" s="43">
        <f t="shared" si="1"/>
        <v>6200</v>
      </c>
      <c r="M29" s="44">
        <f t="shared" si="2"/>
        <v>288300</v>
      </c>
      <c r="N29" s="44"/>
      <c r="O29" s="44">
        <f t="shared" si="3"/>
        <v>21700</v>
      </c>
      <c r="P29" s="45"/>
      <c r="Q29" s="44">
        <f t="shared" si="4"/>
        <v>310000</v>
      </c>
      <c r="R29" s="604">
        <f t="shared" si="50"/>
        <v>0</v>
      </c>
      <c r="S29" s="44">
        <f t="shared" si="51"/>
        <v>0</v>
      </c>
      <c r="T29" s="44">
        <f t="shared" si="52"/>
        <v>0</v>
      </c>
      <c r="U29" s="44">
        <f t="shared" si="53"/>
        <v>0</v>
      </c>
      <c r="V29" s="44">
        <f t="shared" si="54"/>
        <v>310000</v>
      </c>
      <c r="W29" s="44">
        <f t="shared" si="55"/>
        <v>310000</v>
      </c>
      <c r="X29" s="44">
        <f t="shared" si="5"/>
        <v>6200</v>
      </c>
      <c r="Y29" s="44">
        <f t="shared" si="56"/>
        <v>6200</v>
      </c>
      <c r="Z29" s="44">
        <f t="shared" si="6"/>
        <v>282100</v>
      </c>
      <c r="AA29" s="44">
        <f t="shared" si="57"/>
        <v>282100</v>
      </c>
      <c r="AB29" s="44">
        <f t="shared" si="7"/>
        <v>27900</v>
      </c>
      <c r="AC29" s="46">
        <f t="shared" si="8"/>
        <v>0</v>
      </c>
      <c r="AD29" s="47">
        <f t="shared" si="9"/>
        <v>0</v>
      </c>
      <c r="AE29" s="604">
        <f t="shared" si="58"/>
        <v>0</v>
      </c>
      <c r="AF29" s="44">
        <f t="shared" si="59"/>
        <v>0</v>
      </c>
      <c r="AG29" s="44">
        <f t="shared" si="60"/>
        <v>0</v>
      </c>
      <c r="AH29" s="44">
        <f t="shared" si="61"/>
        <v>0</v>
      </c>
      <c r="AI29" s="44">
        <f t="shared" si="62"/>
        <v>310000</v>
      </c>
      <c r="AJ29" s="44">
        <f t="shared" si="63"/>
        <v>310000</v>
      </c>
      <c r="AK29" s="44">
        <f t="shared" si="10"/>
        <v>6200</v>
      </c>
      <c r="AL29" s="44">
        <f t="shared" si="64"/>
        <v>6200</v>
      </c>
      <c r="AM29" s="44">
        <f t="shared" si="11"/>
        <v>275900</v>
      </c>
      <c r="AN29" s="44">
        <f t="shared" si="65"/>
        <v>275900</v>
      </c>
      <c r="AO29" s="44">
        <f t="shared" si="12"/>
        <v>34100</v>
      </c>
      <c r="AP29" s="46">
        <f t="shared" si="13"/>
        <v>0</v>
      </c>
      <c r="AQ29" s="47">
        <f t="shared" si="14"/>
        <v>0</v>
      </c>
      <c r="AR29" s="604">
        <f t="shared" si="66"/>
        <v>0</v>
      </c>
      <c r="AS29" s="44">
        <f t="shared" si="67"/>
        <v>0</v>
      </c>
      <c r="AT29" s="44">
        <f t="shared" si="68"/>
        <v>0</v>
      </c>
      <c r="AU29" s="44">
        <f t="shared" si="69"/>
        <v>0</v>
      </c>
      <c r="AV29" s="44">
        <f t="shared" si="70"/>
        <v>310000</v>
      </c>
      <c r="AW29" s="44">
        <f t="shared" si="71"/>
        <v>310000</v>
      </c>
      <c r="AX29" s="44">
        <f t="shared" si="15"/>
        <v>6200</v>
      </c>
      <c r="AY29" s="44">
        <f t="shared" si="72"/>
        <v>6200</v>
      </c>
      <c r="AZ29" s="44">
        <f t="shared" si="16"/>
        <v>269700</v>
      </c>
      <c r="BA29" s="44">
        <f t="shared" si="73"/>
        <v>269700</v>
      </c>
      <c r="BB29" s="44">
        <f t="shared" si="17"/>
        <v>40300</v>
      </c>
      <c r="BC29" s="46">
        <f t="shared" si="18"/>
        <v>0</v>
      </c>
      <c r="BD29" s="47">
        <f t="shared" si="19"/>
        <v>0</v>
      </c>
      <c r="BE29" s="604">
        <f t="shared" si="74"/>
        <v>0</v>
      </c>
      <c r="BF29" s="44">
        <f t="shared" si="75"/>
        <v>0</v>
      </c>
      <c r="BG29" s="44">
        <f t="shared" si="76"/>
        <v>0</v>
      </c>
      <c r="BH29" s="44">
        <f t="shared" si="77"/>
        <v>0</v>
      </c>
      <c r="BI29" s="44">
        <f t="shared" si="78"/>
        <v>310000</v>
      </c>
      <c r="BJ29" s="44">
        <f t="shared" si="79"/>
        <v>310000</v>
      </c>
      <c r="BK29" s="44">
        <f t="shared" si="20"/>
        <v>6200</v>
      </c>
      <c r="BL29" s="44">
        <f t="shared" si="80"/>
        <v>6200</v>
      </c>
      <c r="BM29" s="44">
        <f t="shared" si="21"/>
        <v>263500</v>
      </c>
      <c r="BN29" s="44">
        <f t="shared" si="81"/>
        <v>263500</v>
      </c>
      <c r="BO29" s="44">
        <f t="shared" si="22"/>
        <v>46500</v>
      </c>
      <c r="BP29" s="46">
        <f t="shared" si="23"/>
        <v>0</v>
      </c>
      <c r="BQ29" s="47">
        <f t="shared" si="24"/>
        <v>0</v>
      </c>
      <c r="BR29" s="604">
        <f t="shared" si="82"/>
        <v>0</v>
      </c>
      <c r="BS29" s="44">
        <f t="shared" si="83"/>
        <v>0</v>
      </c>
      <c r="BT29" s="44">
        <f t="shared" si="84"/>
        <v>0</v>
      </c>
      <c r="BU29" s="44">
        <f t="shared" si="85"/>
        <v>0</v>
      </c>
      <c r="BV29" s="44">
        <f t="shared" si="86"/>
        <v>310000</v>
      </c>
      <c r="BW29" s="44">
        <f t="shared" si="87"/>
        <v>310000</v>
      </c>
      <c r="BX29" s="44">
        <f t="shared" si="25"/>
        <v>6200</v>
      </c>
      <c r="BY29" s="44">
        <f t="shared" si="88"/>
        <v>6200</v>
      </c>
      <c r="BZ29" s="44">
        <f t="shared" si="26"/>
        <v>257300</v>
      </c>
      <c r="CA29" s="44">
        <f t="shared" si="89"/>
        <v>257300</v>
      </c>
      <c r="CB29" s="44">
        <f t="shared" si="27"/>
        <v>52700</v>
      </c>
      <c r="CC29" s="46">
        <f t="shared" si="28"/>
        <v>0</v>
      </c>
      <c r="CD29" s="47">
        <f t="shared" si="29"/>
        <v>0</v>
      </c>
      <c r="CE29" s="604">
        <f t="shared" si="90"/>
        <v>0</v>
      </c>
      <c r="CF29" s="44">
        <f t="shared" si="91"/>
        <v>0</v>
      </c>
      <c r="CG29" s="44">
        <f t="shared" si="92"/>
        <v>0</v>
      </c>
      <c r="CH29" s="44">
        <f t="shared" si="93"/>
        <v>0</v>
      </c>
      <c r="CI29" s="44">
        <f t="shared" si="94"/>
        <v>310000</v>
      </c>
      <c r="CJ29" s="44">
        <f t="shared" si="95"/>
        <v>310000</v>
      </c>
      <c r="CK29" s="44">
        <f t="shared" si="30"/>
        <v>6200</v>
      </c>
      <c r="CL29" s="44">
        <f t="shared" si="96"/>
        <v>6200</v>
      </c>
      <c r="CM29" s="44">
        <f t="shared" si="31"/>
        <v>251100</v>
      </c>
      <c r="CN29" s="44">
        <f t="shared" si="97"/>
        <v>251100</v>
      </c>
      <c r="CO29" s="44">
        <f t="shared" si="32"/>
        <v>58900</v>
      </c>
      <c r="CP29" s="46">
        <f t="shared" si="33"/>
        <v>0</v>
      </c>
      <c r="CQ29" s="47">
        <f t="shared" si="34"/>
        <v>0</v>
      </c>
      <c r="CR29" s="604">
        <f t="shared" si="98"/>
        <v>0</v>
      </c>
      <c r="CS29" s="44">
        <f t="shared" si="99"/>
        <v>0</v>
      </c>
      <c r="CT29" s="44">
        <f t="shared" si="100"/>
        <v>0</v>
      </c>
      <c r="CU29" s="44">
        <f t="shared" si="101"/>
        <v>0</v>
      </c>
      <c r="CV29" s="44">
        <f t="shared" si="102"/>
        <v>310000</v>
      </c>
      <c r="CW29" s="44">
        <f t="shared" si="103"/>
        <v>310000</v>
      </c>
      <c r="CX29" s="44">
        <f t="shared" si="35"/>
        <v>6200</v>
      </c>
      <c r="CY29" s="44">
        <f t="shared" si="104"/>
        <v>6200</v>
      </c>
      <c r="CZ29" s="44">
        <f t="shared" si="36"/>
        <v>244900</v>
      </c>
      <c r="DA29" s="44">
        <f t="shared" si="105"/>
        <v>244900</v>
      </c>
      <c r="DB29" s="44">
        <f t="shared" si="37"/>
        <v>65100</v>
      </c>
      <c r="DC29" s="46">
        <f t="shared" si="38"/>
        <v>0</v>
      </c>
      <c r="DD29" s="47">
        <f t="shared" si="39"/>
        <v>0</v>
      </c>
      <c r="DE29" s="604">
        <f t="shared" si="106"/>
        <v>0</v>
      </c>
      <c r="DF29" s="44">
        <f t="shared" si="107"/>
        <v>0</v>
      </c>
      <c r="DG29" s="44">
        <f t="shared" si="108"/>
        <v>0</v>
      </c>
      <c r="DH29" s="44">
        <f t="shared" si="109"/>
        <v>0</v>
      </c>
      <c r="DI29" s="44">
        <f t="shared" si="110"/>
        <v>310000</v>
      </c>
      <c r="DJ29" s="44">
        <f t="shared" si="111"/>
        <v>310000</v>
      </c>
      <c r="DK29" s="44">
        <f t="shared" si="40"/>
        <v>6200</v>
      </c>
      <c r="DL29" s="44">
        <f t="shared" si="112"/>
        <v>6200</v>
      </c>
      <c r="DM29" s="44">
        <f t="shared" si="41"/>
        <v>238700</v>
      </c>
      <c r="DN29" s="44">
        <f t="shared" si="113"/>
        <v>238700</v>
      </c>
      <c r="DO29" s="44">
        <f t="shared" si="42"/>
        <v>71300</v>
      </c>
      <c r="DP29" s="46">
        <f t="shared" si="43"/>
        <v>0</v>
      </c>
      <c r="DQ29" s="47">
        <f t="shared" si="44"/>
        <v>0</v>
      </c>
      <c r="DR29" s="604">
        <f t="shared" si="114"/>
        <v>0</v>
      </c>
      <c r="DS29" s="44">
        <f t="shared" si="115"/>
        <v>0</v>
      </c>
      <c r="DT29" s="44">
        <f t="shared" si="116"/>
        <v>0</v>
      </c>
      <c r="DU29" s="44">
        <f t="shared" si="117"/>
        <v>0</v>
      </c>
      <c r="DV29" s="44">
        <f t="shared" si="118"/>
        <v>310000</v>
      </c>
      <c r="DW29" s="44">
        <f t="shared" si="119"/>
        <v>310000</v>
      </c>
      <c r="DX29" s="44">
        <f t="shared" si="45"/>
        <v>6200</v>
      </c>
      <c r="DY29" s="44">
        <f t="shared" si="120"/>
        <v>6200</v>
      </c>
      <c r="DZ29" s="44">
        <f t="shared" si="46"/>
        <v>232500</v>
      </c>
      <c r="EA29" s="44">
        <f t="shared" si="121"/>
        <v>232500</v>
      </c>
      <c r="EB29" s="44">
        <f t="shared" si="47"/>
        <v>77500</v>
      </c>
      <c r="EC29" s="46">
        <f t="shared" si="48"/>
        <v>0</v>
      </c>
      <c r="ED29" s="47">
        <f t="shared" si="49"/>
        <v>0</v>
      </c>
    </row>
    <row r="30" spans="1:134" x14ac:dyDescent="0.35">
      <c r="A30" s="81">
        <v>2009</v>
      </c>
      <c r="B30" s="82" t="s">
        <v>203</v>
      </c>
      <c r="C30" s="82"/>
      <c r="D30" s="83" t="s">
        <v>18</v>
      </c>
      <c r="E30" s="87">
        <v>190000</v>
      </c>
      <c r="F30" s="85">
        <v>39995</v>
      </c>
      <c r="G30" s="88">
        <v>50</v>
      </c>
      <c r="H30" s="179"/>
      <c r="I30" s="180"/>
      <c r="J30" s="181"/>
      <c r="K30" s="42">
        <f t="shared" si="0"/>
        <v>0.02</v>
      </c>
      <c r="L30" s="43">
        <f t="shared" si="1"/>
        <v>3800</v>
      </c>
      <c r="M30" s="44">
        <f t="shared" si="2"/>
        <v>180500</v>
      </c>
      <c r="N30" s="44"/>
      <c r="O30" s="44">
        <f t="shared" si="3"/>
        <v>9500</v>
      </c>
      <c r="P30" s="45"/>
      <c r="Q30" s="44">
        <f t="shared" si="4"/>
        <v>190000</v>
      </c>
      <c r="R30" s="604">
        <f t="shared" si="50"/>
        <v>0</v>
      </c>
      <c r="S30" s="44">
        <f t="shared" si="51"/>
        <v>0</v>
      </c>
      <c r="T30" s="44">
        <f t="shared" si="52"/>
        <v>0</v>
      </c>
      <c r="U30" s="44">
        <f t="shared" si="53"/>
        <v>0</v>
      </c>
      <c r="V30" s="44">
        <f t="shared" si="54"/>
        <v>190000</v>
      </c>
      <c r="W30" s="44">
        <f t="shared" si="55"/>
        <v>190000</v>
      </c>
      <c r="X30" s="44">
        <f t="shared" si="5"/>
        <v>3800</v>
      </c>
      <c r="Y30" s="44">
        <f t="shared" si="56"/>
        <v>3800</v>
      </c>
      <c r="Z30" s="44">
        <f t="shared" si="6"/>
        <v>176700</v>
      </c>
      <c r="AA30" s="44">
        <f t="shared" si="57"/>
        <v>176700</v>
      </c>
      <c r="AB30" s="44">
        <f t="shared" si="7"/>
        <v>13300</v>
      </c>
      <c r="AC30" s="46">
        <f t="shared" si="8"/>
        <v>0</v>
      </c>
      <c r="AD30" s="47">
        <f t="shared" si="9"/>
        <v>0</v>
      </c>
      <c r="AE30" s="604">
        <f t="shared" si="58"/>
        <v>0</v>
      </c>
      <c r="AF30" s="44">
        <f t="shared" si="59"/>
        <v>0</v>
      </c>
      <c r="AG30" s="44">
        <f t="shared" si="60"/>
        <v>0</v>
      </c>
      <c r="AH30" s="44">
        <f t="shared" si="61"/>
        <v>0</v>
      </c>
      <c r="AI30" s="44">
        <f t="shared" si="62"/>
        <v>190000</v>
      </c>
      <c r="AJ30" s="44">
        <f t="shared" si="63"/>
        <v>190000</v>
      </c>
      <c r="AK30" s="44">
        <f t="shared" si="10"/>
        <v>3800</v>
      </c>
      <c r="AL30" s="44">
        <f t="shared" si="64"/>
        <v>3800</v>
      </c>
      <c r="AM30" s="44">
        <f t="shared" si="11"/>
        <v>172900</v>
      </c>
      <c r="AN30" s="44">
        <f t="shared" si="65"/>
        <v>172900</v>
      </c>
      <c r="AO30" s="44">
        <f t="shared" si="12"/>
        <v>17100</v>
      </c>
      <c r="AP30" s="46">
        <f t="shared" si="13"/>
        <v>0</v>
      </c>
      <c r="AQ30" s="47">
        <f t="shared" si="14"/>
        <v>0</v>
      </c>
      <c r="AR30" s="604">
        <f t="shared" si="66"/>
        <v>0</v>
      </c>
      <c r="AS30" s="44">
        <f t="shared" si="67"/>
        <v>0</v>
      </c>
      <c r="AT30" s="44">
        <f t="shared" si="68"/>
        <v>0</v>
      </c>
      <c r="AU30" s="44">
        <f t="shared" si="69"/>
        <v>0</v>
      </c>
      <c r="AV30" s="44">
        <f t="shared" si="70"/>
        <v>190000</v>
      </c>
      <c r="AW30" s="44">
        <f t="shared" si="71"/>
        <v>190000</v>
      </c>
      <c r="AX30" s="44">
        <f t="shared" si="15"/>
        <v>3800</v>
      </c>
      <c r="AY30" s="44">
        <f t="shared" si="72"/>
        <v>3800</v>
      </c>
      <c r="AZ30" s="44">
        <f t="shared" si="16"/>
        <v>169100</v>
      </c>
      <c r="BA30" s="44">
        <f t="shared" si="73"/>
        <v>169100</v>
      </c>
      <c r="BB30" s="44">
        <f t="shared" si="17"/>
        <v>20900</v>
      </c>
      <c r="BC30" s="46">
        <f t="shared" si="18"/>
        <v>0</v>
      </c>
      <c r="BD30" s="47">
        <f t="shared" si="19"/>
        <v>0</v>
      </c>
      <c r="BE30" s="604">
        <f t="shared" si="74"/>
        <v>0</v>
      </c>
      <c r="BF30" s="44">
        <f t="shared" si="75"/>
        <v>0</v>
      </c>
      <c r="BG30" s="44">
        <f t="shared" si="76"/>
        <v>0</v>
      </c>
      <c r="BH30" s="44">
        <f t="shared" si="77"/>
        <v>0</v>
      </c>
      <c r="BI30" s="44">
        <f t="shared" si="78"/>
        <v>190000</v>
      </c>
      <c r="BJ30" s="44">
        <f t="shared" si="79"/>
        <v>190000</v>
      </c>
      <c r="BK30" s="44">
        <f t="shared" si="20"/>
        <v>3800</v>
      </c>
      <c r="BL30" s="44">
        <f t="shared" si="80"/>
        <v>3800</v>
      </c>
      <c r="BM30" s="44">
        <f t="shared" si="21"/>
        <v>165300</v>
      </c>
      <c r="BN30" s="44">
        <f t="shared" si="81"/>
        <v>165300</v>
      </c>
      <c r="BO30" s="44">
        <f t="shared" si="22"/>
        <v>24700</v>
      </c>
      <c r="BP30" s="46">
        <f t="shared" si="23"/>
        <v>0</v>
      </c>
      <c r="BQ30" s="47">
        <f t="shared" si="24"/>
        <v>0</v>
      </c>
      <c r="BR30" s="604">
        <f t="shared" si="82"/>
        <v>0</v>
      </c>
      <c r="BS30" s="44">
        <f t="shared" si="83"/>
        <v>0</v>
      </c>
      <c r="BT30" s="44">
        <f t="shared" si="84"/>
        <v>0</v>
      </c>
      <c r="BU30" s="44">
        <f t="shared" si="85"/>
        <v>0</v>
      </c>
      <c r="BV30" s="44">
        <f t="shared" si="86"/>
        <v>190000</v>
      </c>
      <c r="BW30" s="44">
        <f t="shared" si="87"/>
        <v>190000</v>
      </c>
      <c r="BX30" s="44">
        <f t="shared" si="25"/>
        <v>3800</v>
      </c>
      <c r="BY30" s="44">
        <f t="shared" si="88"/>
        <v>3800</v>
      </c>
      <c r="BZ30" s="44">
        <f t="shared" si="26"/>
        <v>161500</v>
      </c>
      <c r="CA30" s="44">
        <f t="shared" si="89"/>
        <v>161500</v>
      </c>
      <c r="CB30" s="44">
        <f t="shared" si="27"/>
        <v>28500</v>
      </c>
      <c r="CC30" s="46">
        <f t="shared" si="28"/>
        <v>0</v>
      </c>
      <c r="CD30" s="47">
        <f t="shared" si="29"/>
        <v>0</v>
      </c>
      <c r="CE30" s="604">
        <f t="shared" si="90"/>
        <v>0</v>
      </c>
      <c r="CF30" s="44">
        <f t="shared" si="91"/>
        <v>0</v>
      </c>
      <c r="CG30" s="44">
        <f t="shared" si="92"/>
        <v>0</v>
      </c>
      <c r="CH30" s="44">
        <f t="shared" si="93"/>
        <v>0</v>
      </c>
      <c r="CI30" s="44">
        <f t="shared" si="94"/>
        <v>190000</v>
      </c>
      <c r="CJ30" s="44">
        <f t="shared" si="95"/>
        <v>190000</v>
      </c>
      <c r="CK30" s="44">
        <f t="shared" si="30"/>
        <v>3800</v>
      </c>
      <c r="CL30" s="44">
        <f t="shared" si="96"/>
        <v>3800</v>
      </c>
      <c r="CM30" s="44">
        <f t="shared" si="31"/>
        <v>157700</v>
      </c>
      <c r="CN30" s="44">
        <f t="shared" si="97"/>
        <v>157700</v>
      </c>
      <c r="CO30" s="44">
        <f t="shared" si="32"/>
        <v>32300</v>
      </c>
      <c r="CP30" s="46">
        <f t="shared" si="33"/>
        <v>0</v>
      </c>
      <c r="CQ30" s="47">
        <f t="shared" si="34"/>
        <v>0</v>
      </c>
      <c r="CR30" s="604">
        <f t="shared" si="98"/>
        <v>0</v>
      </c>
      <c r="CS30" s="44">
        <f t="shared" si="99"/>
        <v>0</v>
      </c>
      <c r="CT30" s="44">
        <f t="shared" si="100"/>
        <v>0</v>
      </c>
      <c r="CU30" s="44">
        <f t="shared" si="101"/>
        <v>0</v>
      </c>
      <c r="CV30" s="44">
        <f t="shared" si="102"/>
        <v>190000</v>
      </c>
      <c r="CW30" s="44">
        <f t="shared" si="103"/>
        <v>190000</v>
      </c>
      <c r="CX30" s="44">
        <f t="shared" si="35"/>
        <v>3800</v>
      </c>
      <c r="CY30" s="44">
        <f t="shared" si="104"/>
        <v>3800</v>
      </c>
      <c r="CZ30" s="44">
        <f t="shared" si="36"/>
        <v>153900</v>
      </c>
      <c r="DA30" s="44">
        <f t="shared" si="105"/>
        <v>153900</v>
      </c>
      <c r="DB30" s="44">
        <f t="shared" si="37"/>
        <v>36100</v>
      </c>
      <c r="DC30" s="46">
        <f t="shared" si="38"/>
        <v>0</v>
      </c>
      <c r="DD30" s="47">
        <f t="shared" si="39"/>
        <v>0</v>
      </c>
      <c r="DE30" s="604">
        <f t="shared" si="106"/>
        <v>0</v>
      </c>
      <c r="DF30" s="44">
        <f t="shared" si="107"/>
        <v>0</v>
      </c>
      <c r="DG30" s="44">
        <f t="shared" si="108"/>
        <v>0</v>
      </c>
      <c r="DH30" s="44">
        <f t="shared" si="109"/>
        <v>0</v>
      </c>
      <c r="DI30" s="44">
        <f t="shared" si="110"/>
        <v>190000</v>
      </c>
      <c r="DJ30" s="44">
        <f t="shared" si="111"/>
        <v>190000</v>
      </c>
      <c r="DK30" s="44">
        <f t="shared" si="40"/>
        <v>3800</v>
      </c>
      <c r="DL30" s="44">
        <f t="shared" si="112"/>
        <v>3800</v>
      </c>
      <c r="DM30" s="44">
        <f t="shared" si="41"/>
        <v>150100</v>
      </c>
      <c r="DN30" s="44">
        <f t="shared" si="113"/>
        <v>150100</v>
      </c>
      <c r="DO30" s="44">
        <f t="shared" si="42"/>
        <v>39900</v>
      </c>
      <c r="DP30" s="46">
        <f t="shared" si="43"/>
        <v>0</v>
      </c>
      <c r="DQ30" s="47">
        <f t="shared" si="44"/>
        <v>0</v>
      </c>
      <c r="DR30" s="604">
        <f t="shared" si="114"/>
        <v>0</v>
      </c>
      <c r="DS30" s="44">
        <f t="shared" si="115"/>
        <v>0</v>
      </c>
      <c r="DT30" s="44">
        <f t="shared" si="116"/>
        <v>0</v>
      </c>
      <c r="DU30" s="44">
        <f t="shared" si="117"/>
        <v>0</v>
      </c>
      <c r="DV30" s="44">
        <f t="shared" si="118"/>
        <v>190000</v>
      </c>
      <c r="DW30" s="44">
        <f t="shared" si="119"/>
        <v>190000</v>
      </c>
      <c r="DX30" s="44">
        <f t="shared" si="45"/>
        <v>3800</v>
      </c>
      <c r="DY30" s="44">
        <f t="shared" si="120"/>
        <v>3800</v>
      </c>
      <c r="DZ30" s="44">
        <f t="shared" si="46"/>
        <v>146300</v>
      </c>
      <c r="EA30" s="44">
        <f t="shared" si="121"/>
        <v>146300</v>
      </c>
      <c r="EB30" s="44">
        <f t="shared" si="47"/>
        <v>43700</v>
      </c>
      <c r="EC30" s="46">
        <f t="shared" si="48"/>
        <v>0</v>
      </c>
      <c r="ED30" s="47">
        <f t="shared" si="49"/>
        <v>0</v>
      </c>
    </row>
    <row r="31" spans="1:134" x14ac:dyDescent="0.35">
      <c r="A31" s="81"/>
      <c r="B31" s="82"/>
      <c r="C31" s="82"/>
      <c r="D31" s="83"/>
      <c r="E31" s="87"/>
      <c r="F31" s="85"/>
      <c r="G31" s="88"/>
      <c r="H31" s="179"/>
      <c r="I31" s="180"/>
      <c r="J31" s="181"/>
      <c r="K31" s="42">
        <f t="shared" si="0"/>
        <v>0</v>
      </c>
      <c r="L31" s="43">
        <f t="shared" si="1"/>
        <v>0</v>
      </c>
      <c r="M31" s="44">
        <f t="shared" si="2"/>
        <v>0</v>
      </c>
      <c r="N31" s="44"/>
      <c r="O31" s="44">
        <f t="shared" si="3"/>
        <v>0</v>
      </c>
      <c r="P31" s="45"/>
      <c r="Q31" s="44">
        <f t="shared" si="4"/>
        <v>0</v>
      </c>
      <c r="R31" s="604">
        <f t="shared" si="50"/>
        <v>0</v>
      </c>
      <c r="S31" s="44">
        <f t="shared" si="51"/>
        <v>0</v>
      </c>
      <c r="T31" s="44">
        <f t="shared" si="52"/>
        <v>0</v>
      </c>
      <c r="U31" s="44">
        <f t="shared" si="53"/>
        <v>0</v>
      </c>
      <c r="V31" s="44">
        <f t="shared" si="54"/>
        <v>0</v>
      </c>
      <c r="W31" s="44">
        <f t="shared" si="55"/>
        <v>0</v>
      </c>
      <c r="X31" s="44">
        <f t="shared" si="5"/>
        <v>0</v>
      </c>
      <c r="Y31" s="44">
        <f t="shared" si="56"/>
        <v>0</v>
      </c>
      <c r="Z31" s="44">
        <f t="shared" si="6"/>
        <v>0</v>
      </c>
      <c r="AA31" s="44">
        <f t="shared" si="57"/>
        <v>0</v>
      </c>
      <c r="AB31" s="44">
        <f t="shared" si="7"/>
        <v>0</v>
      </c>
      <c r="AC31" s="46">
        <f t="shared" si="8"/>
        <v>0</v>
      </c>
      <c r="AD31" s="47">
        <f t="shared" si="9"/>
        <v>0</v>
      </c>
      <c r="AE31" s="604">
        <f t="shared" si="58"/>
        <v>0</v>
      </c>
      <c r="AF31" s="44">
        <f t="shared" si="59"/>
        <v>0</v>
      </c>
      <c r="AG31" s="44">
        <f t="shared" si="60"/>
        <v>0</v>
      </c>
      <c r="AH31" s="44">
        <f t="shared" si="61"/>
        <v>0</v>
      </c>
      <c r="AI31" s="44">
        <f t="shared" si="62"/>
        <v>0</v>
      </c>
      <c r="AJ31" s="44">
        <f t="shared" si="63"/>
        <v>0</v>
      </c>
      <c r="AK31" s="44">
        <f t="shared" si="10"/>
        <v>0</v>
      </c>
      <c r="AL31" s="44">
        <f t="shared" si="64"/>
        <v>0</v>
      </c>
      <c r="AM31" s="44">
        <f t="shared" si="11"/>
        <v>0</v>
      </c>
      <c r="AN31" s="44">
        <f t="shared" si="65"/>
        <v>0</v>
      </c>
      <c r="AO31" s="44">
        <f t="shared" si="12"/>
        <v>0</v>
      </c>
      <c r="AP31" s="46">
        <f t="shared" si="13"/>
        <v>0</v>
      </c>
      <c r="AQ31" s="47">
        <f t="shared" si="14"/>
        <v>0</v>
      </c>
      <c r="AR31" s="604">
        <f t="shared" si="66"/>
        <v>0</v>
      </c>
      <c r="AS31" s="44">
        <f t="shared" si="67"/>
        <v>0</v>
      </c>
      <c r="AT31" s="44">
        <f t="shared" si="68"/>
        <v>0</v>
      </c>
      <c r="AU31" s="44">
        <f t="shared" si="69"/>
        <v>0</v>
      </c>
      <c r="AV31" s="44">
        <f t="shared" si="70"/>
        <v>0</v>
      </c>
      <c r="AW31" s="44">
        <f t="shared" si="71"/>
        <v>0</v>
      </c>
      <c r="AX31" s="44">
        <f t="shared" si="15"/>
        <v>0</v>
      </c>
      <c r="AY31" s="44">
        <f t="shared" si="72"/>
        <v>0</v>
      </c>
      <c r="AZ31" s="44">
        <f t="shared" si="16"/>
        <v>0</v>
      </c>
      <c r="BA31" s="44">
        <f t="shared" si="73"/>
        <v>0</v>
      </c>
      <c r="BB31" s="44">
        <f t="shared" si="17"/>
        <v>0</v>
      </c>
      <c r="BC31" s="46">
        <f t="shared" si="18"/>
        <v>0</v>
      </c>
      <c r="BD31" s="47">
        <f t="shared" si="19"/>
        <v>0</v>
      </c>
      <c r="BE31" s="604">
        <f t="shared" si="74"/>
        <v>0</v>
      </c>
      <c r="BF31" s="44">
        <f t="shared" si="75"/>
        <v>0</v>
      </c>
      <c r="BG31" s="44">
        <f t="shared" si="76"/>
        <v>0</v>
      </c>
      <c r="BH31" s="44">
        <f t="shared" si="77"/>
        <v>0</v>
      </c>
      <c r="BI31" s="44">
        <f t="shared" si="78"/>
        <v>0</v>
      </c>
      <c r="BJ31" s="44">
        <f t="shared" si="79"/>
        <v>0</v>
      </c>
      <c r="BK31" s="44">
        <f t="shared" si="20"/>
        <v>0</v>
      </c>
      <c r="BL31" s="44">
        <f t="shared" si="80"/>
        <v>0</v>
      </c>
      <c r="BM31" s="44">
        <f t="shared" si="21"/>
        <v>0</v>
      </c>
      <c r="BN31" s="44">
        <f t="shared" si="81"/>
        <v>0</v>
      </c>
      <c r="BO31" s="44">
        <f t="shared" si="22"/>
        <v>0</v>
      </c>
      <c r="BP31" s="46">
        <f t="shared" si="23"/>
        <v>0</v>
      </c>
      <c r="BQ31" s="47">
        <f t="shared" si="24"/>
        <v>0</v>
      </c>
      <c r="BR31" s="604">
        <f t="shared" si="82"/>
        <v>0</v>
      </c>
      <c r="BS31" s="44">
        <f t="shared" si="83"/>
        <v>0</v>
      </c>
      <c r="BT31" s="44">
        <f t="shared" si="84"/>
        <v>0</v>
      </c>
      <c r="BU31" s="44">
        <f t="shared" si="85"/>
        <v>0</v>
      </c>
      <c r="BV31" s="44">
        <f t="shared" si="86"/>
        <v>0</v>
      </c>
      <c r="BW31" s="44">
        <f t="shared" si="87"/>
        <v>0</v>
      </c>
      <c r="BX31" s="44">
        <f t="shared" si="25"/>
        <v>0</v>
      </c>
      <c r="BY31" s="44">
        <f t="shared" si="88"/>
        <v>0</v>
      </c>
      <c r="BZ31" s="44">
        <f t="shared" si="26"/>
        <v>0</v>
      </c>
      <c r="CA31" s="44">
        <f t="shared" si="89"/>
        <v>0</v>
      </c>
      <c r="CB31" s="44">
        <f t="shared" si="27"/>
        <v>0</v>
      </c>
      <c r="CC31" s="46">
        <f t="shared" si="28"/>
        <v>0</v>
      </c>
      <c r="CD31" s="47">
        <f t="shared" si="29"/>
        <v>0</v>
      </c>
      <c r="CE31" s="604">
        <f t="shared" si="90"/>
        <v>0</v>
      </c>
      <c r="CF31" s="44">
        <f t="shared" si="91"/>
        <v>0</v>
      </c>
      <c r="CG31" s="44">
        <f t="shared" si="92"/>
        <v>0</v>
      </c>
      <c r="CH31" s="44">
        <f t="shared" si="93"/>
        <v>0</v>
      </c>
      <c r="CI31" s="44">
        <f t="shared" si="94"/>
        <v>0</v>
      </c>
      <c r="CJ31" s="44">
        <f t="shared" si="95"/>
        <v>0</v>
      </c>
      <c r="CK31" s="44">
        <f t="shared" si="30"/>
        <v>0</v>
      </c>
      <c r="CL31" s="44">
        <f t="shared" si="96"/>
        <v>0</v>
      </c>
      <c r="CM31" s="44">
        <f t="shared" si="31"/>
        <v>0</v>
      </c>
      <c r="CN31" s="44">
        <f t="shared" si="97"/>
        <v>0</v>
      </c>
      <c r="CO31" s="44">
        <f t="shared" si="32"/>
        <v>0</v>
      </c>
      <c r="CP31" s="46">
        <f t="shared" si="33"/>
        <v>0</v>
      </c>
      <c r="CQ31" s="47">
        <f t="shared" si="34"/>
        <v>0</v>
      </c>
      <c r="CR31" s="604">
        <f t="shared" si="98"/>
        <v>0</v>
      </c>
      <c r="CS31" s="44">
        <f t="shared" si="99"/>
        <v>0</v>
      </c>
      <c r="CT31" s="44">
        <f t="shared" si="100"/>
        <v>0</v>
      </c>
      <c r="CU31" s="44">
        <f t="shared" si="101"/>
        <v>0</v>
      </c>
      <c r="CV31" s="44">
        <f t="shared" si="102"/>
        <v>0</v>
      </c>
      <c r="CW31" s="44">
        <f t="shared" si="103"/>
        <v>0</v>
      </c>
      <c r="CX31" s="44">
        <f t="shared" si="35"/>
        <v>0</v>
      </c>
      <c r="CY31" s="44">
        <f t="shared" si="104"/>
        <v>0</v>
      </c>
      <c r="CZ31" s="44">
        <f t="shared" si="36"/>
        <v>0</v>
      </c>
      <c r="DA31" s="44">
        <f t="shared" si="105"/>
        <v>0</v>
      </c>
      <c r="DB31" s="44">
        <f t="shared" si="37"/>
        <v>0</v>
      </c>
      <c r="DC31" s="46">
        <f t="shared" si="38"/>
        <v>0</v>
      </c>
      <c r="DD31" s="47">
        <f t="shared" si="39"/>
        <v>0</v>
      </c>
      <c r="DE31" s="604">
        <f t="shared" si="106"/>
        <v>0</v>
      </c>
      <c r="DF31" s="44">
        <f t="shared" si="107"/>
        <v>0</v>
      </c>
      <c r="DG31" s="44">
        <f t="shared" si="108"/>
        <v>0</v>
      </c>
      <c r="DH31" s="44">
        <f t="shared" si="109"/>
        <v>0</v>
      </c>
      <c r="DI31" s="44">
        <f t="shared" si="110"/>
        <v>0</v>
      </c>
      <c r="DJ31" s="44">
        <f t="shared" si="111"/>
        <v>0</v>
      </c>
      <c r="DK31" s="44">
        <f t="shared" si="40"/>
        <v>0</v>
      </c>
      <c r="DL31" s="44">
        <f t="shared" si="112"/>
        <v>0</v>
      </c>
      <c r="DM31" s="44">
        <f t="shared" si="41"/>
        <v>0</v>
      </c>
      <c r="DN31" s="44">
        <f t="shared" si="113"/>
        <v>0</v>
      </c>
      <c r="DO31" s="44">
        <f t="shared" si="42"/>
        <v>0</v>
      </c>
      <c r="DP31" s="46">
        <f t="shared" si="43"/>
        <v>0</v>
      </c>
      <c r="DQ31" s="47">
        <f t="shared" si="44"/>
        <v>0</v>
      </c>
      <c r="DR31" s="604">
        <f t="shared" si="114"/>
        <v>0</v>
      </c>
      <c r="DS31" s="44">
        <f t="shared" si="115"/>
        <v>0</v>
      </c>
      <c r="DT31" s="44">
        <f t="shared" si="116"/>
        <v>0</v>
      </c>
      <c r="DU31" s="44">
        <f t="shared" si="117"/>
        <v>0</v>
      </c>
      <c r="DV31" s="44">
        <f t="shared" si="118"/>
        <v>0</v>
      </c>
      <c r="DW31" s="44">
        <f t="shared" si="119"/>
        <v>0</v>
      </c>
      <c r="DX31" s="44">
        <f t="shared" si="45"/>
        <v>0</v>
      </c>
      <c r="DY31" s="44">
        <f t="shared" si="120"/>
        <v>0</v>
      </c>
      <c r="DZ31" s="44">
        <f t="shared" si="46"/>
        <v>0</v>
      </c>
      <c r="EA31" s="44">
        <f t="shared" si="121"/>
        <v>0</v>
      </c>
      <c r="EB31" s="44">
        <f t="shared" si="47"/>
        <v>0</v>
      </c>
      <c r="EC31" s="46">
        <f t="shared" si="48"/>
        <v>0</v>
      </c>
      <c r="ED31" s="47">
        <f t="shared" si="49"/>
        <v>0</v>
      </c>
    </row>
    <row r="32" spans="1:134" x14ac:dyDescent="0.35">
      <c r="A32" s="182"/>
      <c r="B32" s="183" t="s">
        <v>204</v>
      </c>
      <c r="C32" s="183"/>
      <c r="D32" s="175"/>
      <c r="E32" s="87"/>
      <c r="F32" s="85"/>
      <c r="G32" s="88"/>
      <c r="H32" s="179"/>
      <c r="I32" s="180"/>
      <c r="J32" s="181"/>
      <c r="K32" s="42">
        <f t="shared" si="0"/>
        <v>0</v>
      </c>
      <c r="L32" s="43">
        <f t="shared" si="1"/>
        <v>0</v>
      </c>
      <c r="M32" s="44">
        <f t="shared" si="2"/>
        <v>0</v>
      </c>
      <c r="N32" s="44"/>
      <c r="O32" s="44">
        <f t="shared" si="3"/>
        <v>0</v>
      </c>
      <c r="P32" s="45"/>
      <c r="Q32" s="44">
        <f t="shared" si="4"/>
        <v>0</v>
      </c>
      <c r="R32" s="604">
        <f t="shared" si="50"/>
        <v>0</v>
      </c>
      <c r="S32" s="44">
        <f t="shared" si="51"/>
        <v>0</v>
      </c>
      <c r="T32" s="44">
        <f t="shared" si="52"/>
        <v>0</v>
      </c>
      <c r="U32" s="44">
        <f t="shared" si="53"/>
        <v>0</v>
      </c>
      <c r="V32" s="44">
        <f t="shared" si="54"/>
        <v>0</v>
      </c>
      <c r="W32" s="44">
        <f t="shared" si="55"/>
        <v>0</v>
      </c>
      <c r="X32" s="44">
        <f t="shared" si="5"/>
        <v>0</v>
      </c>
      <c r="Y32" s="44">
        <f t="shared" si="56"/>
        <v>0</v>
      </c>
      <c r="Z32" s="44">
        <f t="shared" si="6"/>
        <v>0</v>
      </c>
      <c r="AA32" s="44">
        <f t="shared" si="57"/>
        <v>0</v>
      </c>
      <c r="AB32" s="44">
        <f t="shared" si="7"/>
        <v>0</v>
      </c>
      <c r="AC32" s="46">
        <f t="shared" si="8"/>
        <v>0</v>
      </c>
      <c r="AD32" s="47">
        <f t="shared" si="9"/>
        <v>0</v>
      </c>
      <c r="AE32" s="604">
        <f t="shared" si="58"/>
        <v>0</v>
      </c>
      <c r="AF32" s="44">
        <f t="shared" si="59"/>
        <v>0</v>
      </c>
      <c r="AG32" s="44">
        <f t="shared" si="60"/>
        <v>0</v>
      </c>
      <c r="AH32" s="44">
        <f t="shared" si="61"/>
        <v>0</v>
      </c>
      <c r="AI32" s="44">
        <f t="shared" si="62"/>
        <v>0</v>
      </c>
      <c r="AJ32" s="44">
        <f t="shared" si="63"/>
        <v>0</v>
      </c>
      <c r="AK32" s="44">
        <f t="shared" si="10"/>
        <v>0</v>
      </c>
      <c r="AL32" s="44">
        <f t="shared" si="64"/>
        <v>0</v>
      </c>
      <c r="AM32" s="44">
        <f t="shared" si="11"/>
        <v>0</v>
      </c>
      <c r="AN32" s="44">
        <f t="shared" si="65"/>
        <v>0</v>
      </c>
      <c r="AO32" s="44">
        <f t="shared" si="12"/>
        <v>0</v>
      </c>
      <c r="AP32" s="46">
        <f t="shared" si="13"/>
        <v>0</v>
      </c>
      <c r="AQ32" s="47">
        <f t="shared" si="14"/>
        <v>0</v>
      </c>
      <c r="AR32" s="604">
        <f t="shared" si="66"/>
        <v>0</v>
      </c>
      <c r="AS32" s="44">
        <f t="shared" si="67"/>
        <v>0</v>
      </c>
      <c r="AT32" s="44">
        <f t="shared" si="68"/>
        <v>0</v>
      </c>
      <c r="AU32" s="44">
        <f t="shared" si="69"/>
        <v>0</v>
      </c>
      <c r="AV32" s="44">
        <f t="shared" si="70"/>
        <v>0</v>
      </c>
      <c r="AW32" s="44">
        <f t="shared" si="71"/>
        <v>0</v>
      </c>
      <c r="AX32" s="44">
        <f t="shared" si="15"/>
        <v>0</v>
      </c>
      <c r="AY32" s="44">
        <f t="shared" si="72"/>
        <v>0</v>
      </c>
      <c r="AZ32" s="44">
        <f t="shared" si="16"/>
        <v>0</v>
      </c>
      <c r="BA32" s="44">
        <f t="shared" si="73"/>
        <v>0</v>
      </c>
      <c r="BB32" s="44">
        <f t="shared" si="17"/>
        <v>0</v>
      </c>
      <c r="BC32" s="46">
        <f t="shared" si="18"/>
        <v>0</v>
      </c>
      <c r="BD32" s="47">
        <f t="shared" si="19"/>
        <v>0</v>
      </c>
      <c r="BE32" s="604">
        <f t="shared" si="74"/>
        <v>0</v>
      </c>
      <c r="BF32" s="44">
        <f t="shared" si="75"/>
        <v>0</v>
      </c>
      <c r="BG32" s="44">
        <f t="shared" si="76"/>
        <v>0</v>
      </c>
      <c r="BH32" s="44">
        <f t="shared" si="77"/>
        <v>0</v>
      </c>
      <c r="BI32" s="44">
        <f t="shared" si="78"/>
        <v>0</v>
      </c>
      <c r="BJ32" s="44">
        <f t="shared" si="79"/>
        <v>0</v>
      </c>
      <c r="BK32" s="44">
        <f t="shared" si="20"/>
        <v>0</v>
      </c>
      <c r="BL32" s="44">
        <f t="shared" si="80"/>
        <v>0</v>
      </c>
      <c r="BM32" s="44">
        <f t="shared" si="21"/>
        <v>0</v>
      </c>
      <c r="BN32" s="44">
        <f t="shared" si="81"/>
        <v>0</v>
      </c>
      <c r="BO32" s="44">
        <f t="shared" si="22"/>
        <v>0</v>
      </c>
      <c r="BP32" s="46">
        <f t="shared" si="23"/>
        <v>0</v>
      </c>
      <c r="BQ32" s="47">
        <f t="shared" si="24"/>
        <v>0</v>
      </c>
      <c r="BR32" s="604">
        <f t="shared" si="82"/>
        <v>0</v>
      </c>
      <c r="BS32" s="44">
        <f t="shared" si="83"/>
        <v>0</v>
      </c>
      <c r="BT32" s="44">
        <f t="shared" si="84"/>
        <v>0</v>
      </c>
      <c r="BU32" s="44">
        <f t="shared" si="85"/>
        <v>0</v>
      </c>
      <c r="BV32" s="44">
        <f t="shared" si="86"/>
        <v>0</v>
      </c>
      <c r="BW32" s="44">
        <f t="shared" si="87"/>
        <v>0</v>
      </c>
      <c r="BX32" s="44">
        <f t="shared" si="25"/>
        <v>0</v>
      </c>
      <c r="BY32" s="44">
        <f t="shared" si="88"/>
        <v>0</v>
      </c>
      <c r="BZ32" s="44">
        <f t="shared" si="26"/>
        <v>0</v>
      </c>
      <c r="CA32" s="44">
        <f t="shared" si="89"/>
        <v>0</v>
      </c>
      <c r="CB32" s="44">
        <f t="shared" si="27"/>
        <v>0</v>
      </c>
      <c r="CC32" s="46">
        <f t="shared" si="28"/>
        <v>0</v>
      </c>
      <c r="CD32" s="47">
        <f t="shared" si="29"/>
        <v>0</v>
      </c>
      <c r="CE32" s="604">
        <f t="shared" si="90"/>
        <v>0</v>
      </c>
      <c r="CF32" s="44">
        <f t="shared" si="91"/>
        <v>0</v>
      </c>
      <c r="CG32" s="44">
        <f t="shared" si="92"/>
        <v>0</v>
      </c>
      <c r="CH32" s="44">
        <f t="shared" si="93"/>
        <v>0</v>
      </c>
      <c r="CI32" s="44">
        <f t="shared" si="94"/>
        <v>0</v>
      </c>
      <c r="CJ32" s="44">
        <f t="shared" si="95"/>
        <v>0</v>
      </c>
      <c r="CK32" s="44">
        <f t="shared" si="30"/>
        <v>0</v>
      </c>
      <c r="CL32" s="44">
        <f t="shared" si="96"/>
        <v>0</v>
      </c>
      <c r="CM32" s="44">
        <f t="shared" si="31"/>
        <v>0</v>
      </c>
      <c r="CN32" s="44">
        <f t="shared" si="97"/>
        <v>0</v>
      </c>
      <c r="CO32" s="44">
        <f t="shared" si="32"/>
        <v>0</v>
      </c>
      <c r="CP32" s="46">
        <f t="shared" si="33"/>
        <v>0</v>
      </c>
      <c r="CQ32" s="47">
        <f t="shared" si="34"/>
        <v>0</v>
      </c>
      <c r="CR32" s="604">
        <f t="shared" si="98"/>
        <v>0</v>
      </c>
      <c r="CS32" s="44">
        <f t="shared" si="99"/>
        <v>0</v>
      </c>
      <c r="CT32" s="44">
        <f t="shared" si="100"/>
        <v>0</v>
      </c>
      <c r="CU32" s="44">
        <f t="shared" si="101"/>
        <v>0</v>
      </c>
      <c r="CV32" s="44">
        <f t="shared" si="102"/>
        <v>0</v>
      </c>
      <c r="CW32" s="44">
        <f t="shared" si="103"/>
        <v>0</v>
      </c>
      <c r="CX32" s="44">
        <f t="shared" si="35"/>
        <v>0</v>
      </c>
      <c r="CY32" s="44">
        <f t="shared" si="104"/>
        <v>0</v>
      </c>
      <c r="CZ32" s="44">
        <f t="shared" si="36"/>
        <v>0</v>
      </c>
      <c r="DA32" s="44">
        <f t="shared" si="105"/>
        <v>0</v>
      </c>
      <c r="DB32" s="44">
        <f t="shared" si="37"/>
        <v>0</v>
      </c>
      <c r="DC32" s="46">
        <f t="shared" si="38"/>
        <v>0</v>
      </c>
      <c r="DD32" s="47">
        <f t="shared" si="39"/>
        <v>0</v>
      </c>
      <c r="DE32" s="604">
        <f t="shared" si="106"/>
        <v>0</v>
      </c>
      <c r="DF32" s="44">
        <f t="shared" si="107"/>
        <v>0</v>
      </c>
      <c r="DG32" s="44">
        <f t="shared" si="108"/>
        <v>0</v>
      </c>
      <c r="DH32" s="44">
        <f t="shared" si="109"/>
        <v>0</v>
      </c>
      <c r="DI32" s="44">
        <f t="shared" si="110"/>
        <v>0</v>
      </c>
      <c r="DJ32" s="44">
        <f t="shared" si="111"/>
        <v>0</v>
      </c>
      <c r="DK32" s="44">
        <f t="shared" si="40"/>
        <v>0</v>
      </c>
      <c r="DL32" s="44">
        <f t="shared" si="112"/>
        <v>0</v>
      </c>
      <c r="DM32" s="44">
        <f t="shared" si="41"/>
        <v>0</v>
      </c>
      <c r="DN32" s="44">
        <f t="shared" si="113"/>
        <v>0</v>
      </c>
      <c r="DO32" s="44">
        <f t="shared" si="42"/>
        <v>0</v>
      </c>
      <c r="DP32" s="46">
        <f t="shared" si="43"/>
        <v>0</v>
      </c>
      <c r="DQ32" s="47">
        <f t="shared" si="44"/>
        <v>0</v>
      </c>
      <c r="DR32" s="604">
        <f t="shared" si="114"/>
        <v>0</v>
      </c>
      <c r="DS32" s="44">
        <f t="shared" si="115"/>
        <v>0</v>
      </c>
      <c r="DT32" s="44">
        <f t="shared" si="116"/>
        <v>0</v>
      </c>
      <c r="DU32" s="44">
        <f t="shared" si="117"/>
        <v>0</v>
      </c>
      <c r="DV32" s="44">
        <f t="shared" si="118"/>
        <v>0</v>
      </c>
      <c r="DW32" s="44">
        <f t="shared" si="119"/>
        <v>0</v>
      </c>
      <c r="DX32" s="44">
        <f t="shared" si="45"/>
        <v>0</v>
      </c>
      <c r="DY32" s="44">
        <f t="shared" si="120"/>
        <v>0</v>
      </c>
      <c r="DZ32" s="44">
        <f t="shared" si="46"/>
        <v>0</v>
      </c>
      <c r="EA32" s="44">
        <f t="shared" si="121"/>
        <v>0</v>
      </c>
      <c r="EB32" s="44">
        <f t="shared" si="47"/>
        <v>0</v>
      </c>
      <c r="EC32" s="46">
        <f t="shared" si="48"/>
        <v>0</v>
      </c>
      <c r="ED32" s="47">
        <f t="shared" si="49"/>
        <v>0</v>
      </c>
    </row>
    <row r="33" spans="1:134" x14ac:dyDescent="0.35">
      <c r="A33" s="182">
        <v>1998</v>
      </c>
      <c r="B33" s="183" t="s">
        <v>205</v>
      </c>
      <c r="C33" s="183"/>
      <c r="D33" s="175" t="s">
        <v>21</v>
      </c>
      <c r="E33" s="87">
        <v>180000</v>
      </c>
      <c r="F33" s="85">
        <v>35977</v>
      </c>
      <c r="G33" s="88">
        <v>50</v>
      </c>
      <c r="H33" s="179"/>
      <c r="I33" s="180"/>
      <c r="J33" s="181"/>
      <c r="K33" s="42">
        <f t="shared" si="0"/>
        <v>0.02</v>
      </c>
      <c r="L33" s="43">
        <f t="shared" si="1"/>
        <v>3600</v>
      </c>
      <c r="M33" s="44">
        <f t="shared" si="2"/>
        <v>131400</v>
      </c>
      <c r="N33" s="44"/>
      <c r="O33" s="44">
        <f t="shared" si="3"/>
        <v>48600</v>
      </c>
      <c r="P33" s="45"/>
      <c r="Q33" s="44">
        <f t="shared" si="4"/>
        <v>180000</v>
      </c>
      <c r="R33" s="604">
        <f t="shared" si="50"/>
        <v>0</v>
      </c>
      <c r="S33" s="44">
        <f t="shared" si="51"/>
        <v>0</v>
      </c>
      <c r="T33" s="44">
        <f t="shared" si="52"/>
        <v>0</v>
      </c>
      <c r="U33" s="44">
        <f t="shared" si="53"/>
        <v>0</v>
      </c>
      <c r="V33" s="44">
        <f t="shared" si="54"/>
        <v>180000</v>
      </c>
      <c r="W33" s="44">
        <f t="shared" si="55"/>
        <v>180000</v>
      </c>
      <c r="X33" s="44">
        <f t="shared" si="5"/>
        <v>3600</v>
      </c>
      <c r="Y33" s="44">
        <f t="shared" si="56"/>
        <v>3600</v>
      </c>
      <c r="Z33" s="44">
        <f t="shared" si="6"/>
        <v>127800</v>
      </c>
      <c r="AA33" s="44">
        <f t="shared" si="57"/>
        <v>127800</v>
      </c>
      <c r="AB33" s="44">
        <f t="shared" si="7"/>
        <v>52200</v>
      </c>
      <c r="AC33" s="46">
        <f t="shared" si="8"/>
        <v>0</v>
      </c>
      <c r="AD33" s="47">
        <f t="shared" si="9"/>
        <v>0</v>
      </c>
      <c r="AE33" s="604">
        <f t="shared" si="58"/>
        <v>0</v>
      </c>
      <c r="AF33" s="44">
        <f t="shared" si="59"/>
        <v>0</v>
      </c>
      <c r="AG33" s="44">
        <f t="shared" si="60"/>
        <v>0</v>
      </c>
      <c r="AH33" s="44">
        <f t="shared" si="61"/>
        <v>0</v>
      </c>
      <c r="AI33" s="44">
        <f t="shared" si="62"/>
        <v>180000</v>
      </c>
      <c r="AJ33" s="44">
        <f t="shared" si="63"/>
        <v>180000</v>
      </c>
      <c r="AK33" s="44">
        <f t="shared" si="10"/>
        <v>3600</v>
      </c>
      <c r="AL33" s="44">
        <f t="shared" si="64"/>
        <v>3600</v>
      </c>
      <c r="AM33" s="44">
        <f t="shared" si="11"/>
        <v>124200</v>
      </c>
      <c r="AN33" s="44">
        <f t="shared" si="65"/>
        <v>124200</v>
      </c>
      <c r="AO33" s="44">
        <f t="shared" si="12"/>
        <v>55800</v>
      </c>
      <c r="AP33" s="46">
        <f t="shared" si="13"/>
        <v>0</v>
      </c>
      <c r="AQ33" s="47">
        <f t="shared" si="14"/>
        <v>0</v>
      </c>
      <c r="AR33" s="604">
        <f t="shared" si="66"/>
        <v>0</v>
      </c>
      <c r="AS33" s="44">
        <f t="shared" si="67"/>
        <v>0</v>
      </c>
      <c r="AT33" s="44">
        <f t="shared" si="68"/>
        <v>0</v>
      </c>
      <c r="AU33" s="44">
        <f t="shared" si="69"/>
        <v>0</v>
      </c>
      <c r="AV33" s="44">
        <f t="shared" si="70"/>
        <v>180000</v>
      </c>
      <c r="AW33" s="44">
        <f t="shared" si="71"/>
        <v>180000</v>
      </c>
      <c r="AX33" s="44">
        <f t="shared" si="15"/>
        <v>3600</v>
      </c>
      <c r="AY33" s="44">
        <f t="shared" si="72"/>
        <v>3600</v>
      </c>
      <c r="AZ33" s="44">
        <f t="shared" si="16"/>
        <v>120600</v>
      </c>
      <c r="BA33" s="44">
        <f t="shared" si="73"/>
        <v>120600</v>
      </c>
      <c r="BB33" s="44">
        <f t="shared" si="17"/>
        <v>59400</v>
      </c>
      <c r="BC33" s="46">
        <f t="shared" si="18"/>
        <v>0</v>
      </c>
      <c r="BD33" s="47">
        <f t="shared" si="19"/>
        <v>0</v>
      </c>
      <c r="BE33" s="604">
        <f t="shared" si="74"/>
        <v>0</v>
      </c>
      <c r="BF33" s="44">
        <f t="shared" si="75"/>
        <v>0</v>
      </c>
      <c r="BG33" s="44">
        <f t="shared" si="76"/>
        <v>0</v>
      </c>
      <c r="BH33" s="44">
        <f t="shared" si="77"/>
        <v>0</v>
      </c>
      <c r="BI33" s="44">
        <f t="shared" si="78"/>
        <v>180000</v>
      </c>
      <c r="BJ33" s="44">
        <f t="shared" si="79"/>
        <v>180000</v>
      </c>
      <c r="BK33" s="44">
        <f t="shared" si="20"/>
        <v>3600</v>
      </c>
      <c r="BL33" s="44">
        <f t="shared" si="80"/>
        <v>3600</v>
      </c>
      <c r="BM33" s="44">
        <f t="shared" si="21"/>
        <v>117000</v>
      </c>
      <c r="BN33" s="44">
        <f t="shared" si="81"/>
        <v>117000</v>
      </c>
      <c r="BO33" s="44">
        <f t="shared" si="22"/>
        <v>63000</v>
      </c>
      <c r="BP33" s="46">
        <f t="shared" si="23"/>
        <v>0</v>
      </c>
      <c r="BQ33" s="47">
        <f t="shared" si="24"/>
        <v>0</v>
      </c>
      <c r="BR33" s="604">
        <f t="shared" si="82"/>
        <v>0</v>
      </c>
      <c r="BS33" s="44">
        <f t="shared" si="83"/>
        <v>0</v>
      </c>
      <c r="BT33" s="44">
        <f t="shared" si="84"/>
        <v>0</v>
      </c>
      <c r="BU33" s="44">
        <f t="shared" si="85"/>
        <v>0</v>
      </c>
      <c r="BV33" s="44">
        <f t="shared" si="86"/>
        <v>180000</v>
      </c>
      <c r="BW33" s="44">
        <f t="shared" si="87"/>
        <v>180000</v>
      </c>
      <c r="BX33" s="44">
        <f t="shared" si="25"/>
        <v>3600</v>
      </c>
      <c r="BY33" s="44">
        <f t="shared" si="88"/>
        <v>3600</v>
      </c>
      <c r="BZ33" s="44">
        <f t="shared" si="26"/>
        <v>113400</v>
      </c>
      <c r="CA33" s="44">
        <f t="shared" si="89"/>
        <v>113400</v>
      </c>
      <c r="CB33" s="44">
        <f t="shared" si="27"/>
        <v>66600</v>
      </c>
      <c r="CC33" s="46">
        <f t="shared" si="28"/>
        <v>0</v>
      </c>
      <c r="CD33" s="47">
        <f t="shared" si="29"/>
        <v>0</v>
      </c>
      <c r="CE33" s="604">
        <f t="shared" si="90"/>
        <v>0</v>
      </c>
      <c r="CF33" s="44">
        <f t="shared" si="91"/>
        <v>0</v>
      </c>
      <c r="CG33" s="44">
        <f t="shared" si="92"/>
        <v>0</v>
      </c>
      <c r="CH33" s="44">
        <f t="shared" si="93"/>
        <v>0</v>
      </c>
      <c r="CI33" s="44">
        <f t="shared" si="94"/>
        <v>180000</v>
      </c>
      <c r="CJ33" s="44">
        <f t="shared" si="95"/>
        <v>180000</v>
      </c>
      <c r="CK33" s="44">
        <f t="shared" si="30"/>
        <v>3600</v>
      </c>
      <c r="CL33" s="44">
        <f t="shared" si="96"/>
        <v>3600</v>
      </c>
      <c r="CM33" s="44">
        <f t="shared" si="31"/>
        <v>109800</v>
      </c>
      <c r="CN33" s="44">
        <f t="shared" si="97"/>
        <v>109800</v>
      </c>
      <c r="CO33" s="44">
        <f t="shared" si="32"/>
        <v>70200</v>
      </c>
      <c r="CP33" s="46">
        <f t="shared" si="33"/>
        <v>0</v>
      </c>
      <c r="CQ33" s="47">
        <f t="shared" si="34"/>
        <v>0</v>
      </c>
      <c r="CR33" s="604">
        <f t="shared" si="98"/>
        <v>0</v>
      </c>
      <c r="CS33" s="44">
        <f t="shared" si="99"/>
        <v>0</v>
      </c>
      <c r="CT33" s="44">
        <f t="shared" si="100"/>
        <v>0</v>
      </c>
      <c r="CU33" s="44">
        <f t="shared" si="101"/>
        <v>0</v>
      </c>
      <c r="CV33" s="44">
        <f t="shared" si="102"/>
        <v>180000</v>
      </c>
      <c r="CW33" s="44">
        <f t="shared" si="103"/>
        <v>180000</v>
      </c>
      <c r="CX33" s="44">
        <f t="shared" si="35"/>
        <v>3600</v>
      </c>
      <c r="CY33" s="44">
        <f t="shared" si="104"/>
        <v>3600</v>
      </c>
      <c r="CZ33" s="44">
        <f t="shared" si="36"/>
        <v>106200</v>
      </c>
      <c r="DA33" s="44">
        <f t="shared" si="105"/>
        <v>106200</v>
      </c>
      <c r="DB33" s="44">
        <f t="shared" si="37"/>
        <v>73800</v>
      </c>
      <c r="DC33" s="46">
        <f t="shared" si="38"/>
        <v>0</v>
      </c>
      <c r="DD33" s="47">
        <f t="shared" si="39"/>
        <v>0</v>
      </c>
      <c r="DE33" s="604">
        <f t="shared" si="106"/>
        <v>0</v>
      </c>
      <c r="DF33" s="44">
        <f t="shared" si="107"/>
        <v>0</v>
      </c>
      <c r="DG33" s="44">
        <f t="shared" si="108"/>
        <v>0</v>
      </c>
      <c r="DH33" s="44">
        <f t="shared" si="109"/>
        <v>0</v>
      </c>
      <c r="DI33" s="44">
        <f t="shared" si="110"/>
        <v>180000</v>
      </c>
      <c r="DJ33" s="44">
        <f t="shared" si="111"/>
        <v>180000</v>
      </c>
      <c r="DK33" s="44">
        <f t="shared" si="40"/>
        <v>3600</v>
      </c>
      <c r="DL33" s="44">
        <f t="shared" si="112"/>
        <v>3600</v>
      </c>
      <c r="DM33" s="44">
        <f t="shared" si="41"/>
        <v>102600</v>
      </c>
      <c r="DN33" s="44">
        <f t="shared" si="113"/>
        <v>102600</v>
      </c>
      <c r="DO33" s="44">
        <f t="shared" si="42"/>
        <v>77400</v>
      </c>
      <c r="DP33" s="46">
        <f t="shared" si="43"/>
        <v>0</v>
      </c>
      <c r="DQ33" s="47">
        <f t="shared" si="44"/>
        <v>0</v>
      </c>
      <c r="DR33" s="604">
        <f t="shared" si="114"/>
        <v>0</v>
      </c>
      <c r="DS33" s="44">
        <f t="shared" si="115"/>
        <v>0</v>
      </c>
      <c r="DT33" s="44">
        <f t="shared" si="116"/>
        <v>0</v>
      </c>
      <c r="DU33" s="44">
        <f t="shared" si="117"/>
        <v>0</v>
      </c>
      <c r="DV33" s="44">
        <f t="shared" si="118"/>
        <v>180000</v>
      </c>
      <c r="DW33" s="44">
        <f t="shared" si="119"/>
        <v>180000</v>
      </c>
      <c r="DX33" s="44">
        <f t="shared" si="45"/>
        <v>3600</v>
      </c>
      <c r="DY33" s="44">
        <f t="shared" si="120"/>
        <v>3600</v>
      </c>
      <c r="DZ33" s="44">
        <f t="shared" si="46"/>
        <v>99000</v>
      </c>
      <c r="EA33" s="44">
        <f t="shared" si="121"/>
        <v>99000</v>
      </c>
      <c r="EB33" s="44">
        <f t="shared" si="47"/>
        <v>81000</v>
      </c>
      <c r="EC33" s="46">
        <f t="shared" si="48"/>
        <v>0</v>
      </c>
      <c r="ED33" s="47">
        <f t="shared" si="49"/>
        <v>0</v>
      </c>
    </row>
    <row r="34" spans="1:134" x14ac:dyDescent="0.35">
      <c r="A34" s="182">
        <v>2000</v>
      </c>
      <c r="B34" s="183" t="s">
        <v>206</v>
      </c>
      <c r="C34" s="183"/>
      <c r="D34" s="175" t="s">
        <v>21</v>
      </c>
      <c r="E34" s="87">
        <v>80000</v>
      </c>
      <c r="F34" s="85">
        <v>36708</v>
      </c>
      <c r="G34" s="88">
        <v>50</v>
      </c>
      <c r="H34" s="179"/>
      <c r="I34" s="180"/>
      <c r="J34" s="181"/>
      <c r="K34" s="42">
        <f t="shared" si="0"/>
        <v>0.02</v>
      </c>
      <c r="L34" s="43">
        <f t="shared" si="1"/>
        <v>1600</v>
      </c>
      <c r="M34" s="44">
        <f t="shared" si="2"/>
        <v>61600</v>
      </c>
      <c r="N34" s="44"/>
      <c r="O34" s="44">
        <f t="shared" si="3"/>
        <v>18400</v>
      </c>
      <c r="P34" s="45"/>
      <c r="Q34" s="44">
        <f t="shared" si="4"/>
        <v>80000</v>
      </c>
      <c r="R34" s="604">
        <f t="shared" si="50"/>
        <v>0</v>
      </c>
      <c r="S34" s="44">
        <f t="shared" si="51"/>
        <v>0</v>
      </c>
      <c r="T34" s="44">
        <f t="shared" si="52"/>
        <v>0</v>
      </c>
      <c r="U34" s="44">
        <f t="shared" si="53"/>
        <v>0</v>
      </c>
      <c r="V34" s="44">
        <f t="shared" si="54"/>
        <v>80000</v>
      </c>
      <c r="W34" s="44">
        <f t="shared" si="55"/>
        <v>80000</v>
      </c>
      <c r="X34" s="44">
        <f t="shared" si="5"/>
        <v>1600</v>
      </c>
      <c r="Y34" s="44">
        <f t="shared" si="56"/>
        <v>1600</v>
      </c>
      <c r="Z34" s="44">
        <f t="shared" si="6"/>
        <v>60000</v>
      </c>
      <c r="AA34" s="44">
        <f t="shared" si="57"/>
        <v>60000</v>
      </c>
      <c r="AB34" s="44">
        <f t="shared" si="7"/>
        <v>20000</v>
      </c>
      <c r="AC34" s="46">
        <f t="shared" si="8"/>
        <v>0</v>
      </c>
      <c r="AD34" s="47">
        <f t="shared" si="9"/>
        <v>0</v>
      </c>
      <c r="AE34" s="604">
        <f t="shared" si="58"/>
        <v>0</v>
      </c>
      <c r="AF34" s="44">
        <f t="shared" si="59"/>
        <v>0</v>
      </c>
      <c r="AG34" s="44">
        <f t="shared" si="60"/>
        <v>0</v>
      </c>
      <c r="AH34" s="44">
        <f t="shared" si="61"/>
        <v>0</v>
      </c>
      <c r="AI34" s="44">
        <f t="shared" si="62"/>
        <v>80000</v>
      </c>
      <c r="AJ34" s="44">
        <f t="shared" si="63"/>
        <v>80000</v>
      </c>
      <c r="AK34" s="44">
        <f t="shared" si="10"/>
        <v>1600</v>
      </c>
      <c r="AL34" s="44">
        <f t="shared" si="64"/>
        <v>1600</v>
      </c>
      <c r="AM34" s="44">
        <f t="shared" si="11"/>
        <v>58400</v>
      </c>
      <c r="AN34" s="44">
        <f t="shared" si="65"/>
        <v>58400</v>
      </c>
      <c r="AO34" s="44">
        <f t="shared" si="12"/>
        <v>21600</v>
      </c>
      <c r="AP34" s="46">
        <f t="shared" si="13"/>
        <v>0</v>
      </c>
      <c r="AQ34" s="47">
        <f t="shared" si="14"/>
        <v>0</v>
      </c>
      <c r="AR34" s="604">
        <f t="shared" si="66"/>
        <v>0</v>
      </c>
      <c r="AS34" s="44">
        <f t="shared" si="67"/>
        <v>0</v>
      </c>
      <c r="AT34" s="44">
        <f t="shared" si="68"/>
        <v>0</v>
      </c>
      <c r="AU34" s="44">
        <f t="shared" si="69"/>
        <v>0</v>
      </c>
      <c r="AV34" s="44">
        <f t="shared" si="70"/>
        <v>80000</v>
      </c>
      <c r="AW34" s="44">
        <f t="shared" si="71"/>
        <v>80000</v>
      </c>
      <c r="AX34" s="44">
        <f t="shared" si="15"/>
        <v>1600</v>
      </c>
      <c r="AY34" s="44">
        <f t="shared" si="72"/>
        <v>1600</v>
      </c>
      <c r="AZ34" s="44">
        <f t="shared" si="16"/>
        <v>56800</v>
      </c>
      <c r="BA34" s="44">
        <f t="shared" si="73"/>
        <v>56800</v>
      </c>
      <c r="BB34" s="44">
        <f t="shared" si="17"/>
        <v>23200</v>
      </c>
      <c r="BC34" s="46">
        <f t="shared" si="18"/>
        <v>0</v>
      </c>
      <c r="BD34" s="47">
        <f t="shared" si="19"/>
        <v>0</v>
      </c>
      <c r="BE34" s="604">
        <f t="shared" si="74"/>
        <v>0</v>
      </c>
      <c r="BF34" s="44">
        <f t="shared" si="75"/>
        <v>0</v>
      </c>
      <c r="BG34" s="44">
        <f t="shared" si="76"/>
        <v>0</v>
      </c>
      <c r="BH34" s="44">
        <f t="shared" si="77"/>
        <v>0</v>
      </c>
      <c r="BI34" s="44">
        <f t="shared" si="78"/>
        <v>80000</v>
      </c>
      <c r="BJ34" s="44">
        <f t="shared" si="79"/>
        <v>80000</v>
      </c>
      <c r="BK34" s="44">
        <f t="shared" si="20"/>
        <v>1600</v>
      </c>
      <c r="BL34" s="44">
        <f t="shared" si="80"/>
        <v>1600</v>
      </c>
      <c r="BM34" s="44">
        <f t="shared" si="21"/>
        <v>55200</v>
      </c>
      <c r="BN34" s="44">
        <f t="shared" si="81"/>
        <v>55200</v>
      </c>
      <c r="BO34" s="44">
        <f t="shared" si="22"/>
        <v>24800</v>
      </c>
      <c r="BP34" s="46">
        <f t="shared" si="23"/>
        <v>0</v>
      </c>
      <c r="BQ34" s="47">
        <f t="shared" si="24"/>
        <v>0</v>
      </c>
      <c r="BR34" s="604">
        <f t="shared" si="82"/>
        <v>0</v>
      </c>
      <c r="BS34" s="44">
        <f t="shared" si="83"/>
        <v>0</v>
      </c>
      <c r="BT34" s="44">
        <f t="shared" si="84"/>
        <v>0</v>
      </c>
      <c r="BU34" s="44">
        <f t="shared" si="85"/>
        <v>0</v>
      </c>
      <c r="BV34" s="44">
        <f t="shared" si="86"/>
        <v>80000</v>
      </c>
      <c r="BW34" s="44">
        <f t="shared" si="87"/>
        <v>80000</v>
      </c>
      <c r="BX34" s="44">
        <f t="shared" si="25"/>
        <v>1600</v>
      </c>
      <c r="BY34" s="44">
        <f t="shared" si="88"/>
        <v>1600</v>
      </c>
      <c r="BZ34" s="44">
        <f t="shared" si="26"/>
        <v>53600</v>
      </c>
      <c r="CA34" s="44">
        <f t="shared" si="89"/>
        <v>53600</v>
      </c>
      <c r="CB34" s="44">
        <f t="shared" si="27"/>
        <v>26400</v>
      </c>
      <c r="CC34" s="46">
        <f t="shared" si="28"/>
        <v>0</v>
      </c>
      <c r="CD34" s="47">
        <f t="shared" si="29"/>
        <v>0</v>
      </c>
      <c r="CE34" s="604">
        <f t="shared" si="90"/>
        <v>0</v>
      </c>
      <c r="CF34" s="44">
        <f t="shared" si="91"/>
        <v>0</v>
      </c>
      <c r="CG34" s="44">
        <f t="shared" si="92"/>
        <v>0</v>
      </c>
      <c r="CH34" s="44">
        <f t="shared" si="93"/>
        <v>0</v>
      </c>
      <c r="CI34" s="44">
        <f t="shared" si="94"/>
        <v>80000</v>
      </c>
      <c r="CJ34" s="44">
        <f t="shared" si="95"/>
        <v>80000</v>
      </c>
      <c r="CK34" s="44">
        <f t="shared" si="30"/>
        <v>1600</v>
      </c>
      <c r="CL34" s="44">
        <f t="shared" si="96"/>
        <v>1600</v>
      </c>
      <c r="CM34" s="44">
        <f t="shared" si="31"/>
        <v>52000</v>
      </c>
      <c r="CN34" s="44">
        <f t="shared" si="97"/>
        <v>52000</v>
      </c>
      <c r="CO34" s="44">
        <f t="shared" si="32"/>
        <v>28000</v>
      </c>
      <c r="CP34" s="46">
        <f t="shared" si="33"/>
        <v>0</v>
      </c>
      <c r="CQ34" s="47">
        <f t="shared" si="34"/>
        <v>0</v>
      </c>
      <c r="CR34" s="604">
        <f t="shared" si="98"/>
        <v>0</v>
      </c>
      <c r="CS34" s="44">
        <f t="shared" si="99"/>
        <v>0</v>
      </c>
      <c r="CT34" s="44">
        <f t="shared" si="100"/>
        <v>0</v>
      </c>
      <c r="CU34" s="44">
        <f t="shared" si="101"/>
        <v>0</v>
      </c>
      <c r="CV34" s="44">
        <f t="shared" si="102"/>
        <v>80000</v>
      </c>
      <c r="CW34" s="44">
        <f t="shared" si="103"/>
        <v>80000</v>
      </c>
      <c r="CX34" s="44">
        <f t="shared" si="35"/>
        <v>1600</v>
      </c>
      <c r="CY34" s="44">
        <f t="shared" si="104"/>
        <v>1600</v>
      </c>
      <c r="CZ34" s="44">
        <f t="shared" si="36"/>
        <v>50400</v>
      </c>
      <c r="DA34" s="44">
        <f t="shared" si="105"/>
        <v>50400</v>
      </c>
      <c r="DB34" s="44">
        <f t="shared" si="37"/>
        <v>29600</v>
      </c>
      <c r="DC34" s="46">
        <f t="shared" si="38"/>
        <v>0</v>
      </c>
      <c r="DD34" s="47">
        <f t="shared" si="39"/>
        <v>0</v>
      </c>
      <c r="DE34" s="604">
        <f t="shared" si="106"/>
        <v>0</v>
      </c>
      <c r="DF34" s="44">
        <f t="shared" si="107"/>
        <v>0</v>
      </c>
      <c r="DG34" s="44">
        <f t="shared" si="108"/>
        <v>0</v>
      </c>
      <c r="DH34" s="44">
        <f t="shared" si="109"/>
        <v>0</v>
      </c>
      <c r="DI34" s="44">
        <f t="shared" si="110"/>
        <v>80000</v>
      </c>
      <c r="DJ34" s="44">
        <f t="shared" si="111"/>
        <v>80000</v>
      </c>
      <c r="DK34" s="44">
        <f t="shared" si="40"/>
        <v>1600</v>
      </c>
      <c r="DL34" s="44">
        <f t="shared" si="112"/>
        <v>1600</v>
      </c>
      <c r="DM34" s="44">
        <f t="shared" si="41"/>
        <v>48800</v>
      </c>
      <c r="DN34" s="44">
        <f t="shared" si="113"/>
        <v>48800</v>
      </c>
      <c r="DO34" s="44">
        <f t="shared" si="42"/>
        <v>31200</v>
      </c>
      <c r="DP34" s="46">
        <f t="shared" si="43"/>
        <v>0</v>
      </c>
      <c r="DQ34" s="47">
        <f t="shared" si="44"/>
        <v>0</v>
      </c>
      <c r="DR34" s="604">
        <f t="shared" si="114"/>
        <v>0</v>
      </c>
      <c r="DS34" s="44">
        <f t="shared" si="115"/>
        <v>0</v>
      </c>
      <c r="DT34" s="44">
        <f t="shared" si="116"/>
        <v>0</v>
      </c>
      <c r="DU34" s="44">
        <f t="shared" si="117"/>
        <v>0</v>
      </c>
      <c r="DV34" s="44">
        <f t="shared" si="118"/>
        <v>80000</v>
      </c>
      <c r="DW34" s="44">
        <f t="shared" si="119"/>
        <v>80000</v>
      </c>
      <c r="DX34" s="44">
        <f t="shared" si="45"/>
        <v>1600</v>
      </c>
      <c r="DY34" s="44">
        <f t="shared" si="120"/>
        <v>1600</v>
      </c>
      <c r="DZ34" s="44">
        <f t="shared" si="46"/>
        <v>47200</v>
      </c>
      <c r="EA34" s="44">
        <f t="shared" si="121"/>
        <v>47200</v>
      </c>
      <c r="EB34" s="44">
        <f t="shared" si="47"/>
        <v>32800</v>
      </c>
      <c r="EC34" s="46">
        <f t="shared" si="48"/>
        <v>0</v>
      </c>
      <c r="ED34" s="47">
        <f t="shared" si="49"/>
        <v>0</v>
      </c>
    </row>
    <row r="35" spans="1:134" x14ac:dyDescent="0.35">
      <c r="A35" s="182">
        <v>2002</v>
      </c>
      <c r="B35" s="183" t="s">
        <v>207</v>
      </c>
      <c r="C35" s="183"/>
      <c r="D35" s="175" t="s">
        <v>21</v>
      </c>
      <c r="E35" s="87">
        <v>90000</v>
      </c>
      <c r="F35" s="85">
        <v>37438</v>
      </c>
      <c r="G35" s="88">
        <v>50</v>
      </c>
      <c r="H35" s="179"/>
      <c r="I35" s="180"/>
      <c r="J35" s="181"/>
      <c r="K35" s="42">
        <f t="shared" si="0"/>
        <v>0.02</v>
      </c>
      <c r="L35" s="43">
        <f t="shared" si="1"/>
        <v>1800</v>
      </c>
      <c r="M35" s="44">
        <f t="shared" si="2"/>
        <v>72900</v>
      </c>
      <c r="N35" s="44"/>
      <c r="O35" s="44">
        <f t="shared" si="3"/>
        <v>17100</v>
      </c>
      <c r="P35" s="45"/>
      <c r="Q35" s="44">
        <f t="shared" si="4"/>
        <v>90000</v>
      </c>
      <c r="R35" s="604">
        <f t="shared" si="50"/>
        <v>0</v>
      </c>
      <c r="S35" s="44">
        <f t="shared" si="51"/>
        <v>0</v>
      </c>
      <c r="T35" s="44">
        <f t="shared" si="52"/>
        <v>0</v>
      </c>
      <c r="U35" s="44">
        <f t="shared" si="53"/>
        <v>0</v>
      </c>
      <c r="V35" s="44">
        <f t="shared" si="54"/>
        <v>90000</v>
      </c>
      <c r="W35" s="44">
        <f t="shared" si="55"/>
        <v>90000</v>
      </c>
      <c r="X35" s="44">
        <f t="shared" si="5"/>
        <v>1800</v>
      </c>
      <c r="Y35" s="44">
        <f t="shared" si="56"/>
        <v>1800</v>
      </c>
      <c r="Z35" s="44">
        <f t="shared" si="6"/>
        <v>71100</v>
      </c>
      <c r="AA35" s="44">
        <f t="shared" si="57"/>
        <v>71100</v>
      </c>
      <c r="AB35" s="44">
        <f t="shared" si="7"/>
        <v>18900</v>
      </c>
      <c r="AC35" s="46">
        <f t="shared" si="8"/>
        <v>0</v>
      </c>
      <c r="AD35" s="47">
        <f t="shared" si="9"/>
        <v>0</v>
      </c>
      <c r="AE35" s="604">
        <f t="shared" si="58"/>
        <v>0</v>
      </c>
      <c r="AF35" s="44">
        <f t="shared" si="59"/>
        <v>0</v>
      </c>
      <c r="AG35" s="44">
        <f t="shared" si="60"/>
        <v>0</v>
      </c>
      <c r="AH35" s="44">
        <f t="shared" si="61"/>
        <v>0</v>
      </c>
      <c r="AI35" s="44">
        <f t="shared" si="62"/>
        <v>90000</v>
      </c>
      <c r="AJ35" s="44">
        <f t="shared" si="63"/>
        <v>90000</v>
      </c>
      <c r="AK35" s="44">
        <f t="shared" si="10"/>
        <v>1800</v>
      </c>
      <c r="AL35" s="44">
        <f t="shared" si="64"/>
        <v>1800</v>
      </c>
      <c r="AM35" s="44">
        <f t="shared" si="11"/>
        <v>69300</v>
      </c>
      <c r="AN35" s="44">
        <f t="shared" si="65"/>
        <v>69300</v>
      </c>
      <c r="AO35" s="44">
        <f t="shared" si="12"/>
        <v>20700</v>
      </c>
      <c r="AP35" s="46">
        <f t="shared" si="13"/>
        <v>0</v>
      </c>
      <c r="AQ35" s="47">
        <f t="shared" si="14"/>
        <v>0</v>
      </c>
      <c r="AR35" s="604">
        <f t="shared" si="66"/>
        <v>0</v>
      </c>
      <c r="AS35" s="44">
        <f t="shared" si="67"/>
        <v>0</v>
      </c>
      <c r="AT35" s="44">
        <f t="shared" si="68"/>
        <v>0</v>
      </c>
      <c r="AU35" s="44">
        <f t="shared" si="69"/>
        <v>0</v>
      </c>
      <c r="AV35" s="44">
        <f t="shared" si="70"/>
        <v>90000</v>
      </c>
      <c r="AW35" s="44">
        <f t="shared" si="71"/>
        <v>90000</v>
      </c>
      <c r="AX35" s="44">
        <f t="shared" si="15"/>
        <v>1800</v>
      </c>
      <c r="AY35" s="44">
        <f t="shared" si="72"/>
        <v>1800</v>
      </c>
      <c r="AZ35" s="44">
        <f t="shared" si="16"/>
        <v>67500</v>
      </c>
      <c r="BA35" s="44">
        <f t="shared" si="73"/>
        <v>67500</v>
      </c>
      <c r="BB35" s="44">
        <f t="shared" si="17"/>
        <v>22500</v>
      </c>
      <c r="BC35" s="46">
        <f t="shared" si="18"/>
        <v>0</v>
      </c>
      <c r="BD35" s="47">
        <f t="shared" si="19"/>
        <v>0</v>
      </c>
      <c r="BE35" s="604">
        <f t="shared" si="74"/>
        <v>0</v>
      </c>
      <c r="BF35" s="44">
        <f t="shared" si="75"/>
        <v>0</v>
      </c>
      <c r="BG35" s="44">
        <f t="shared" si="76"/>
        <v>0</v>
      </c>
      <c r="BH35" s="44">
        <f t="shared" si="77"/>
        <v>0</v>
      </c>
      <c r="BI35" s="44">
        <f t="shared" si="78"/>
        <v>90000</v>
      </c>
      <c r="BJ35" s="44">
        <f t="shared" si="79"/>
        <v>90000</v>
      </c>
      <c r="BK35" s="44">
        <f t="shared" si="20"/>
        <v>1800</v>
      </c>
      <c r="BL35" s="44">
        <f t="shared" si="80"/>
        <v>1800</v>
      </c>
      <c r="BM35" s="44">
        <f t="shared" si="21"/>
        <v>65700</v>
      </c>
      <c r="BN35" s="44">
        <f t="shared" si="81"/>
        <v>65700</v>
      </c>
      <c r="BO35" s="44">
        <f t="shared" si="22"/>
        <v>24300</v>
      </c>
      <c r="BP35" s="46">
        <f t="shared" si="23"/>
        <v>0</v>
      </c>
      <c r="BQ35" s="47">
        <f t="shared" si="24"/>
        <v>0</v>
      </c>
      <c r="BR35" s="604">
        <f t="shared" si="82"/>
        <v>0</v>
      </c>
      <c r="BS35" s="44">
        <f t="shared" si="83"/>
        <v>0</v>
      </c>
      <c r="BT35" s="44">
        <f t="shared" si="84"/>
        <v>0</v>
      </c>
      <c r="BU35" s="44">
        <f t="shared" si="85"/>
        <v>0</v>
      </c>
      <c r="BV35" s="44">
        <f t="shared" si="86"/>
        <v>90000</v>
      </c>
      <c r="BW35" s="44">
        <f t="shared" si="87"/>
        <v>90000</v>
      </c>
      <c r="BX35" s="44">
        <f t="shared" si="25"/>
        <v>1800</v>
      </c>
      <c r="BY35" s="44">
        <f t="shared" si="88"/>
        <v>1800</v>
      </c>
      <c r="BZ35" s="44">
        <f t="shared" si="26"/>
        <v>63900</v>
      </c>
      <c r="CA35" s="44">
        <f t="shared" si="89"/>
        <v>63900</v>
      </c>
      <c r="CB35" s="44">
        <f t="shared" si="27"/>
        <v>26100</v>
      </c>
      <c r="CC35" s="46">
        <f t="shared" si="28"/>
        <v>0</v>
      </c>
      <c r="CD35" s="47">
        <f t="shared" si="29"/>
        <v>0</v>
      </c>
      <c r="CE35" s="604">
        <f t="shared" si="90"/>
        <v>0</v>
      </c>
      <c r="CF35" s="44">
        <f t="shared" si="91"/>
        <v>0</v>
      </c>
      <c r="CG35" s="44">
        <f t="shared" si="92"/>
        <v>0</v>
      </c>
      <c r="CH35" s="44">
        <f t="shared" si="93"/>
        <v>0</v>
      </c>
      <c r="CI35" s="44">
        <f t="shared" si="94"/>
        <v>90000</v>
      </c>
      <c r="CJ35" s="44">
        <f t="shared" si="95"/>
        <v>90000</v>
      </c>
      <c r="CK35" s="44">
        <f t="shared" si="30"/>
        <v>1800</v>
      </c>
      <c r="CL35" s="44">
        <f t="shared" si="96"/>
        <v>1800</v>
      </c>
      <c r="CM35" s="44">
        <f t="shared" si="31"/>
        <v>62100</v>
      </c>
      <c r="CN35" s="44">
        <f t="shared" si="97"/>
        <v>62100</v>
      </c>
      <c r="CO35" s="44">
        <f t="shared" si="32"/>
        <v>27900</v>
      </c>
      <c r="CP35" s="46">
        <f t="shared" si="33"/>
        <v>0</v>
      </c>
      <c r="CQ35" s="47">
        <f t="shared" si="34"/>
        <v>0</v>
      </c>
      <c r="CR35" s="604">
        <f t="shared" si="98"/>
        <v>0</v>
      </c>
      <c r="CS35" s="44">
        <f t="shared" si="99"/>
        <v>0</v>
      </c>
      <c r="CT35" s="44">
        <f t="shared" si="100"/>
        <v>0</v>
      </c>
      <c r="CU35" s="44">
        <f t="shared" si="101"/>
        <v>0</v>
      </c>
      <c r="CV35" s="44">
        <f t="shared" si="102"/>
        <v>90000</v>
      </c>
      <c r="CW35" s="44">
        <f t="shared" si="103"/>
        <v>90000</v>
      </c>
      <c r="CX35" s="44">
        <f t="shared" si="35"/>
        <v>1800</v>
      </c>
      <c r="CY35" s="44">
        <f t="shared" si="104"/>
        <v>1800</v>
      </c>
      <c r="CZ35" s="44">
        <f t="shared" si="36"/>
        <v>60300</v>
      </c>
      <c r="DA35" s="44">
        <f t="shared" si="105"/>
        <v>60300</v>
      </c>
      <c r="DB35" s="44">
        <f t="shared" si="37"/>
        <v>29700</v>
      </c>
      <c r="DC35" s="46">
        <f t="shared" si="38"/>
        <v>0</v>
      </c>
      <c r="DD35" s="47">
        <f t="shared" si="39"/>
        <v>0</v>
      </c>
      <c r="DE35" s="604">
        <f t="shared" si="106"/>
        <v>0</v>
      </c>
      <c r="DF35" s="44">
        <f t="shared" si="107"/>
        <v>0</v>
      </c>
      <c r="DG35" s="44">
        <f t="shared" si="108"/>
        <v>0</v>
      </c>
      <c r="DH35" s="44">
        <f t="shared" si="109"/>
        <v>0</v>
      </c>
      <c r="DI35" s="44">
        <f t="shared" si="110"/>
        <v>90000</v>
      </c>
      <c r="DJ35" s="44">
        <f t="shared" si="111"/>
        <v>90000</v>
      </c>
      <c r="DK35" s="44">
        <f t="shared" si="40"/>
        <v>1800</v>
      </c>
      <c r="DL35" s="44">
        <f t="shared" si="112"/>
        <v>1800</v>
      </c>
      <c r="DM35" s="44">
        <f t="shared" si="41"/>
        <v>58500</v>
      </c>
      <c r="DN35" s="44">
        <f t="shared" si="113"/>
        <v>58500</v>
      </c>
      <c r="DO35" s="44">
        <f t="shared" si="42"/>
        <v>31500</v>
      </c>
      <c r="DP35" s="46">
        <f t="shared" si="43"/>
        <v>0</v>
      </c>
      <c r="DQ35" s="47">
        <f t="shared" si="44"/>
        <v>0</v>
      </c>
      <c r="DR35" s="604">
        <f t="shared" si="114"/>
        <v>0</v>
      </c>
      <c r="DS35" s="44">
        <f t="shared" si="115"/>
        <v>0</v>
      </c>
      <c r="DT35" s="44">
        <f t="shared" si="116"/>
        <v>0</v>
      </c>
      <c r="DU35" s="44">
        <f t="shared" si="117"/>
        <v>0</v>
      </c>
      <c r="DV35" s="44">
        <f t="shared" si="118"/>
        <v>90000</v>
      </c>
      <c r="DW35" s="44">
        <f t="shared" si="119"/>
        <v>90000</v>
      </c>
      <c r="DX35" s="44">
        <f t="shared" si="45"/>
        <v>1800</v>
      </c>
      <c r="DY35" s="44">
        <f t="shared" si="120"/>
        <v>1800</v>
      </c>
      <c r="DZ35" s="44">
        <f t="shared" si="46"/>
        <v>56700</v>
      </c>
      <c r="EA35" s="44">
        <f t="shared" si="121"/>
        <v>56700</v>
      </c>
      <c r="EB35" s="44">
        <f t="shared" si="47"/>
        <v>33300</v>
      </c>
      <c r="EC35" s="46">
        <f t="shared" si="48"/>
        <v>0</v>
      </c>
      <c r="ED35" s="47">
        <f t="shared" si="49"/>
        <v>0</v>
      </c>
    </row>
    <row r="36" spans="1:134" x14ac:dyDescent="0.35">
      <c r="A36" s="182">
        <v>2003</v>
      </c>
      <c r="B36" s="183" t="s">
        <v>208</v>
      </c>
      <c r="C36" s="183"/>
      <c r="D36" s="175" t="s">
        <v>21</v>
      </c>
      <c r="E36" s="87">
        <v>70000</v>
      </c>
      <c r="F36" s="85">
        <v>37803</v>
      </c>
      <c r="G36" s="88">
        <v>50</v>
      </c>
      <c r="H36" s="179"/>
      <c r="I36" s="180"/>
      <c r="J36" s="181"/>
      <c r="K36" s="42">
        <f t="shared" si="0"/>
        <v>0.02</v>
      </c>
      <c r="L36" s="43">
        <f t="shared" si="1"/>
        <v>1400</v>
      </c>
      <c r="M36" s="44">
        <f t="shared" si="2"/>
        <v>58100</v>
      </c>
      <c r="N36" s="44"/>
      <c r="O36" s="44">
        <f t="shared" si="3"/>
        <v>11900</v>
      </c>
      <c r="P36" s="45"/>
      <c r="Q36" s="44">
        <f t="shared" si="4"/>
        <v>70000</v>
      </c>
      <c r="R36" s="604">
        <f t="shared" si="50"/>
        <v>0</v>
      </c>
      <c r="S36" s="44">
        <f t="shared" si="51"/>
        <v>0</v>
      </c>
      <c r="T36" s="44">
        <f t="shared" si="52"/>
        <v>0</v>
      </c>
      <c r="U36" s="44">
        <f t="shared" si="53"/>
        <v>0</v>
      </c>
      <c r="V36" s="44">
        <f t="shared" si="54"/>
        <v>70000</v>
      </c>
      <c r="W36" s="44">
        <f t="shared" si="55"/>
        <v>70000</v>
      </c>
      <c r="X36" s="44">
        <f t="shared" si="5"/>
        <v>1400</v>
      </c>
      <c r="Y36" s="44">
        <f t="shared" si="56"/>
        <v>1400</v>
      </c>
      <c r="Z36" s="44">
        <f t="shared" si="6"/>
        <v>56700</v>
      </c>
      <c r="AA36" s="44">
        <f t="shared" si="57"/>
        <v>56700</v>
      </c>
      <c r="AB36" s="44">
        <f t="shared" si="7"/>
        <v>13300</v>
      </c>
      <c r="AC36" s="46">
        <f t="shared" si="8"/>
        <v>0</v>
      </c>
      <c r="AD36" s="47">
        <f t="shared" si="9"/>
        <v>0</v>
      </c>
      <c r="AE36" s="604">
        <f t="shared" si="58"/>
        <v>0</v>
      </c>
      <c r="AF36" s="44">
        <f t="shared" si="59"/>
        <v>0</v>
      </c>
      <c r="AG36" s="44">
        <f t="shared" si="60"/>
        <v>0</v>
      </c>
      <c r="AH36" s="44">
        <f t="shared" si="61"/>
        <v>0</v>
      </c>
      <c r="AI36" s="44">
        <f t="shared" si="62"/>
        <v>70000</v>
      </c>
      <c r="AJ36" s="44">
        <f t="shared" si="63"/>
        <v>70000</v>
      </c>
      <c r="AK36" s="44">
        <f t="shared" si="10"/>
        <v>1400</v>
      </c>
      <c r="AL36" s="44">
        <f t="shared" si="64"/>
        <v>1400</v>
      </c>
      <c r="AM36" s="44">
        <f t="shared" si="11"/>
        <v>55300</v>
      </c>
      <c r="AN36" s="44">
        <f t="shared" si="65"/>
        <v>55300</v>
      </c>
      <c r="AO36" s="44">
        <f t="shared" si="12"/>
        <v>14700</v>
      </c>
      <c r="AP36" s="46">
        <f t="shared" si="13"/>
        <v>0</v>
      </c>
      <c r="AQ36" s="47">
        <f t="shared" si="14"/>
        <v>0</v>
      </c>
      <c r="AR36" s="604">
        <f t="shared" si="66"/>
        <v>0</v>
      </c>
      <c r="AS36" s="44">
        <f t="shared" si="67"/>
        <v>0</v>
      </c>
      <c r="AT36" s="44">
        <f t="shared" si="68"/>
        <v>0</v>
      </c>
      <c r="AU36" s="44">
        <f t="shared" si="69"/>
        <v>0</v>
      </c>
      <c r="AV36" s="44">
        <f t="shared" si="70"/>
        <v>70000</v>
      </c>
      <c r="AW36" s="44">
        <f t="shared" si="71"/>
        <v>70000</v>
      </c>
      <c r="AX36" s="44">
        <f t="shared" si="15"/>
        <v>1400</v>
      </c>
      <c r="AY36" s="44">
        <f t="shared" si="72"/>
        <v>1400</v>
      </c>
      <c r="AZ36" s="44">
        <f t="shared" si="16"/>
        <v>53900</v>
      </c>
      <c r="BA36" s="44">
        <f t="shared" si="73"/>
        <v>53900</v>
      </c>
      <c r="BB36" s="44">
        <f t="shared" si="17"/>
        <v>16100</v>
      </c>
      <c r="BC36" s="46">
        <f t="shared" si="18"/>
        <v>0</v>
      </c>
      <c r="BD36" s="47">
        <f t="shared" si="19"/>
        <v>0</v>
      </c>
      <c r="BE36" s="604">
        <f t="shared" si="74"/>
        <v>0</v>
      </c>
      <c r="BF36" s="44">
        <f t="shared" si="75"/>
        <v>0</v>
      </c>
      <c r="BG36" s="44">
        <f t="shared" si="76"/>
        <v>0</v>
      </c>
      <c r="BH36" s="44">
        <f t="shared" si="77"/>
        <v>0</v>
      </c>
      <c r="BI36" s="44">
        <f t="shared" si="78"/>
        <v>70000</v>
      </c>
      <c r="BJ36" s="44">
        <f t="shared" si="79"/>
        <v>70000</v>
      </c>
      <c r="BK36" s="44">
        <f t="shared" si="20"/>
        <v>1400</v>
      </c>
      <c r="BL36" s="44">
        <f t="shared" si="80"/>
        <v>1400</v>
      </c>
      <c r="BM36" s="44">
        <f t="shared" si="21"/>
        <v>52500</v>
      </c>
      <c r="BN36" s="44">
        <f t="shared" si="81"/>
        <v>52500</v>
      </c>
      <c r="BO36" s="44">
        <f t="shared" si="22"/>
        <v>17500</v>
      </c>
      <c r="BP36" s="46">
        <f t="shared" si="23"/>
        <v>0</v>
      </c>
      <c r="BQ36" s="47">
        <f t="shared" si="24"/>
        <v>0</v>
      </c>
      <c r="BR36" s="604">
        <f t="shared" si="82"/>
        <v>0</v>
      </c>
      <c r="BS36" s="44">
        <f t="shared" si="83"/>
        <v>0</v>
      </c>
      <c r="BT36" s="44">
        <f t="shared" si="84"/>
        <v>0</v>
      </c>
      <c r="BU36" s="44">
        <f t="shared" si="85"/>
        <v>0</v>
      </c>
      <c r="BV36" s="44">
        <f t="shared" si="86"/>
        <v>70000</v>
      </c>
      <c r="BW36" s="44">
        <f t="shared" si="87"/>
        <v>70000</v>
      </c>
      <c r="BX36" s="44">
        <f t="shared" si="25"/>
        <v>1400</v>
      </c>
      <c r="BY36" s="44">
        <f t="shared" si="88"/>
        <v>1400</v>
      </c>
      <c r="BZ36" s="44">
        <f t="shared" si="26"/>
        <v>51100</v>
      </c>
      <c r="CA36" s="44">
        <f t="shared" si="89"/>
        <v>51100</v>
      </c>
      <c r="CB36" s="44">
        <f t="shared" si="27"/>
        <v>18900</v>
      </c>
      <c r="CC36" s="46">
        <f t="shared" si="28"/>
        <v>0</v>
      </c>
      <c r="CD36" s="47">
        <f t="shared" si="29"/>
        <v>0</v>
      </c>
      <c r="CE36" s="604">
        <f t="shared" si="90"/>
        <v>0</v>
      </c>
      <c r="CF36" s="44">
        <f t="shared" si="91"/>
        <v>0</v>
      </c>
      <c r="CG36" s="44">
        <f t="shared" si="92"/>
        <v>0</v>
      </c>
      <c r="CH36" s="44">
        <f t="shared" si="93"/>
        <v>0</v>
      </c>
      <c r="CI36" s="44">
        <f t="shared" si="94"/>
        <v>70000</v>
      </c>
      <c r="CJ36" s="44">
        <f t="shared" si="95"/>
        <v>70000</v>
      </c>
      <c r="CK36" s="44">
        <f t="shared" si="30"/>
        <v>1400</v>
      </c>
      <c r="CL36" s="44">
        <f t="shared" si="96"/>
        <v>1400</v>
      </c>
      <c r="CM36" s="44">
        <f t="shared" si="31"/>
        <v>49700</v>
      </c>
      <c r="CN36" s="44">
        <f t="shared" si="97"/>
        <v>49700</v>
      </c>
      <c r="CO36" s="44">
        <f t="shared" si="32"/>
        <v>20300</v>
      </c>
      <c r="CP36" s="46">
        <f t="shared" si="33"/>
        <v>0</v>
      </c>
      <c r="CQ36" s="47">
        <f t="shared" si="34"/>
        <v>0</v>
      </c>
      <c r="CR36" s="604">
        <f t="shared" si="98"/>
        <v>0</v>
      </c>
      <c r="CS36" s="44">
        <f t="shared" si="99"/>
        <v>0</v>
      </c>
      <c r="CT36" s="44">
        <f t="shared" si="100"/>
        <v>0</v>
      </c>
      <c r="CU36" s="44">
        <f t="shared" si="101"/>
        <v>0</v>
      </c>
      <c r="CV36" s="44">
        <f t="shared" si="102"/>
        <v>70000</v>
      </c>
      <c r="CW36" s="44">
        <f t="shared" si="103"/>
        <v>70000</v>
      </c>
      <c r="CX36" s="44">
        <f t="shared" si="35"/>
        <v>1400</v>
      </c>
      <c r="CY36" s="44">
        <f t="shared" si="104"/>
        <v>1400</v>
      </c>
      <c r="CZ36" s="44">
        <f t="shared" si="36"/>
        <v>48300</v>
      </c>
      <c r="DA36" s="44">
        <f t="shared" si="105"/>
        <v>48300</v>
      </c>
      <c r="DB36" s="44">
        <f t="shared" si="37"/>
        <v>21700</v>
      </c>
      <c r="DC36" s="46">
        <f t="shared" si="38"/>
        <v>0</v>
      </c>
      <c r="DD36" s="47">
        <f t="shared" si="39"/>
        <v>0</v>
      </c>
      <c r="DE36" s="604">
        <f t="shared" si="106"/>
        <v>0</v>
      </c>
      <c r="DF36" s="44">
        <f t="shared" si="107"/>
        <v>0</v>
      </c>
      <c r="DG36" s="44">
        <f t="shared" si="108"/>
        <v>0</v>
      </c>
      <c r="DH36" s="44">
        <f t="shared" si="109"/>
        <v>0</v>
      </c>
      <c r="DI36" s="44">
        <f t="shared" si="110"/>
        <v>70000</v>
      </c>
      <c r="DJ36" s="44">
        <f t="shared" si="111"/>
        <v>70000</v>
      </c>
      <c r="DK36" s="44">
        <f t="shared" si="40"/>
        <v>1400</v>
      </c>
      <c r="DL36" s="44">
        <f t="shared" si="112"/>
        <v>1400</v>
      </c>
      <c r="DM36" s="44">
        <f t="shared" si="41"/>
        <v>46900</v>
      </c>
      <c r="DN36" s="44">
        <f t="shared" si="113"/>
        <v>46900</v>
      </c>
      <c r="DO36" s="44">
        <f t="shared" si="42"/>
        <v>23100</v>
      </c>
      <c r="DP36" s="46">
        <f t="shared" si="43"/>
        <v>0</v>
      </c>
      <c r="DQ36" s="47">
        <f t="shared" si="44"/>
        <v>0</v>
      </c>
      <c r="DR36" s="604">
        <f t="shared" si="114"/>
        <v>0</v>
      </c>
      <c r="DS36" s="44">
        <f t="shared" si="115"/>
        <v>0</v>
      </c>
      <c r="DT36" s="44">
        <f t="shared" si="116"/>
        <v>0</v>
      </c>
      <c r="DU36" s="44">
        <f t="shared" si="117"/>
        <v>0</v>
      </c>
      <c r="DV36" s="44">
        <f t="shared" si="118"/>
        <v>70000</v>
      </c>
      <c r="DW36" s="44">
        <f t="shared" si="119"/>
        <v>70000</v>
      </c>
      <c r="DX36" s="44">
        <f t="shared" si="45"/>
        <v>1400</v>
      </c>
      <c r="DY36" s="44">
        <f t="shared" si="120"/>
        <v>1400</v>
      </c>
      <c r="DZ36" s="44">
        <f t="shared" si="46"/>
        <v>45500</v>
      </c>
      <c r="EA36" s="44">
        <f t="shared" si="121"/>
        <v>45500</v>
      </c>
      <c r="EB36" s="44">
        <f t="shared" si="47"/>
        <v>24500</v>
      </c>
      <c r="EC36" s="46">
        <f t="shared" si="48"/>
        <v>0</v>
      </c>
      <c r="ED36" s="47">
        <f t="shared" si="49"/>
        <v>0</v>
      </c>
    </row>
    <row r="37" spans="1:134" x14ac:dyDescent="0.35">
      <c r="A37" s="182">
        <v>2006</v>
      </c>
      <c r="B37" s="183" t="s">
        <v>209</v>
      </c>
      <c r="C37" s="183"/>
      <c r="D37" s="175" t="s">
        <v>21</v>
      </c>
      <c r="E37" s="87">
        <v>600000</v>
      </c>
      <c r="F37" s="85">
        <v>38899</v>
      </c>
      <c r="G37" s="88">
        <v>50</v>
      </c>
      <c r="H37" s="179"/>
      <c r="I37" s="180"/>
      <c r="J37" s="181"/>
      <c r="K37" s="42">
        <f t="shared" si="0"/>
        <v>0.02</v>
      </c>
      <c r="L37" s="43">
        <f t="shared" si="1"/>
        <v>12000</v>
      </c>
      <c r="M37" s="44">
        <f t="shared" si="2"/>
        <v>534000</v>
      </c>
      <c r="N37" s="44"/>
      <c r="O37" s="44">
        <f t="shared" si="3"/>
        <v>66000</v>
      </c>
      <c r="P37" s="45"/>
      <c r="Q37" s="44">
        <f t="shared" si="4"/>
        <v>600000</v>
      </c>
      <c r="R37" s="604">
        <f t="shared" si="50"/>
        <v>0</v>
      </c>
      <c r="S37" s="44">
        <f t="shared" si="51"/>
        <v>0</v>
      </c>
      <c r="T37" s="44">
        <f t="shared" si="52"/>
        <v>0</v>
      </c>
      <c r="U37" s="44">
        <f t="shared" si="53"/>
        <v>0</v>
      </c>
      <c r="V37" s="44">
        <f t="shared" si="54"/>
        <v>600000</v>
      </c>
      <c r="W37" s="44">
        <f t="shared" si="55"/>
        <v>600000</v>
      </c>
      <c r="X37" s="44">
        <f t="shared" si="5"/>
        <v>12000</v>
      </c>
      <c r="Y37" s="44">
        <f t="shared" si="56"/>
        <v>12000</v>
      </c>
      <c r="Z37" s="44">
        <f t="shared" si="6"/>
        <v>522000</v>
      </c>
      <c r="AA37" s="44">
        <f t="shared" si="57"/>
        <v>522000</v>
      </c>
      <c r="AB37" s="44">
        <f t="shared" si="7"/>
        <v>78000</v>
      </c>
      <c r="AC37" s="46">
        <f t="shared" si="8"/>
        <v>0</v>
      </c>
      <c r="AD37" s="47">
        <f t="shared" si="9"/>
        <v>0</v>
      </c>
      <c r="AE37" s="604">
        <f t="shared" si="58"/>
        <v>0</v>
      </c>
      <c r="AF37" s="44">
        <f t="shared" si="59"/>
        <v>0</v>
      </c>
      <c r="AG37" s="44">
        <f t="shared" si="60"/>
        <v>0</v>
      </c>
      <c r="AH37" s="44">
        <f t="shared" si="61"/>
        <v>0</v>
      </c>
      <c r="AI37" s="44">
        <f t="shared" si="62"/>
        <v>600000</v>
      </c>
      <c r="AJ37" s="44">
        <f t="shared" si="63"/>
        <v>600000</v>
      </c>
      <c r="AK37" s="44">
        <f t="shared" si="10"/>
        <v>12000</v>
      </c>
      <c r="AL37" s="44">
        <f t="shared" si="64"/>
        <v>12000</v>
      </c>
      <c r="AM37" s="44">
        <f t="shared" si="11"/>
        <v>510000</v>
      </c>
      <c r="AN37" s="44">
        <f t="shared" si="65"/>
        <v>510000</v>
      </c>
      <c r="AO37" s="44">
        <f t="shared" si="12"/>
        <v>90000</v>
      </c>
      <c r="AP37" s="46">
        <f t="shared" si="13"/>
        <v>0</v>
      </c>
      <c r="AQ37" s="47">
        <f t="shared" si="14"/>
        <v>0</v>
      </c>
      <c r="AR37" s="604">
        <f t="shared" si="66"/>
        <v>0</v>
      </c>
      <c r="AS37" s="44">
        <f t="shared" si="67"/>
        <v>0</v>
      </c>
      <c r="AT37" s="44">
        <f t="shared" si="68"/>
        <v>0</v>
      </c>
      <c r="AU37" s="44">
        <f t="shared" si="69"/>
        <v>0</v>
      </c>
      <c r="AV37" s="44">
        <f t="shared" si="70"/>
        <v>600000</v>
      </c>
      <c r="AW37" s="44">
        <f t="shared" si="71"/>
        <v>600000</v>
      </c>
      <c r="AX37" s="44">
        <f t="shared" si="15"/>
        <v>12000</v>
      </c>
      <c r="AY37" s="44">
        <f t="shared" si="72"/>
        <v>12000</v>
      </c>
      <c r="AZ37" s="44">
        <f t="shared" si="16"/>
        <v>498000</v>
      </c>
      <c r="BA37" s="44">
        <f t="shared" si="73"/>
        <v>498000</v>
      </c>
      <c r="BB37" s="44">
        <f t="shared" si="17"/>
        <v>102000</v>
      </c>
      <c r="BC37" s="46">
        <f t="shared" si="18"/>
        <v>0</v>
      </c>
      <c r="BD37" s="47">
        <f t="shared" si="19"/>
        <v>0</v>
      </c>
      <c r="BE37" s="604">
        <f t="shared" si="74"/>
        <v>0</v>
      </c>
      <c r="BF37" s="44">
        <f t="shared" si="75"/>
        <v>0</v>
      </c>
      <c r="BG37" s="44">
        <f t="shared" si="76"/>
        <v>0</v>
      </c>
      <c r="BH37" s="44">
        <f t="shared" si="77"/>
        <v>0</v>
      </c>
      <c r="BI37" s="44">
        <f t="shared" si="78"/>
        <v>600000</v>
      </c>
      <c r="BJ37" s="44">
        <f t="shared" si="79"/>
        <v>600000</v>
      </c>
      <c r="BK37" s="44">
        <f t="shared" si="20"/>
        <v>12000</v>
      </c>
      <c r="BL37" s="44">
        <f t="shared" si="80"/>
        <v>12000</v>
      </c>
      <c r="BM37" s="44">
        <f t="shared" si="21"/>
        <v>486000</v>
      </c>
      <c r="BN37" s="44">
        <f t="shared" si="81"/>
        <v>486000</v>
      </c>
      <c r="BO37" s="44">
        <f t="shared" si="22"/>
        <v>114000</v>
      </c>
      <c r="BP37" s="46">
        <f t="shared" si="23"/>
        <v>0</v>
      </c>
      <c r="BQ37" s="47">
        <f t="shared" si="24"/>
        <v>0</v>
      </c>
      <c r="BR37" s="604">
        <f t="shared" si="82"/>
        <v>0</v>
      </c>
      <c r="BS37" s="44">
        <f t="shared" si="83"/>
        <v>0</v>
      </c>
      <c r="BT37" s="44">
        <f t="shared" si="84"/>
        <v>0</v>
      </c>
      <c r="BU37" s="44">
        <f t="shared" si="85"/>
        <v>0</v>
      </c>
      <c r="BV37" s="44">
        <f t="shared" si="86"/>
        <v>600000</v>
      </c>
      <c r="BW37" s="44">
        <f t="shared" si="87"/>
        <v>600000</v>
      </c>
      <c r="BX37" s="44">
        <f t="shared" si="25"/>
        <v>12000</v>
      </c>
      <c r="BY37" s="44">
        <f t="shared" si="88"/>
        <v>12000</v>
      </c>
      <c r="BZ37" s="44">
        <f t="shared" si="26"/>
        <v>474000</v>
      </c>
      <c r="CA37" s="44">
        <f t="shared" si="89"/>
        <v>474000</v>
      </c>
      <c r="CB37" s="44">
        <f t="shared" si="27"/>
        <v>126000</v>
      </c>
      <c r="CC37" s="46">
        <f t="shared" si="28"/>
        <v>0</v>
      </c>
      <c r="CD37" s="47">
        <f t="shared" si="29"/>
        <v>0</v>
      </c>
      <c r="CE37" s="604">
        <f t="shared" si="90"/>
        <v>0</v>
      </c>
      <c r="CF37" s="44">
        <f t="shared" si="91"/>
        <v>0</v>
      </c>
      <c r="CG37" s="44">
        <f t="shared" si="92"/>
        <v>0</v>
      </c>
      <c r="CH37" s="44">
        <f t="shared" si="93"/>
        <v>0</v>
      </c>
      <c r="CI37" s="44">
        <f t="shared" si="94"/>
        <v>600000</v>
      </c>
      <c r="CJ37" s="44">
        <f t="shared" si="95"/>
        <v>600000</v>
      </c>
      <c r="CK37" s="44">
        <f t="shared" si="30"/>
        <v>12000</v>
      </c>
      <c r="CL37" s="44">
        <f t="shared" si="96"/>
        <v>12000</v>
      </c>
      <c r="CM37" s="44">
        <f t="shared" si="31"/>
        <v>462000</v>
      </c>
      <c r="CN37" s="44">
        <f t="shared" si="97"/>
        <v>462000</v>
      </c>
      <c r="CO37" s="44">
        <f t="shared" si="32"/>
        <v>138000</v>
      </c>
      <c r="CP37" s="46">
        <f t="shared" si="33"/>
        <v>0</v>
      </c>
      <c r="CQ37" s="47">
        <f t="shared" si="34"/>
        <v>0</v>
      </c>
      <c r="CR37" s="604">
        <f t="shared" si="98"/>
        <v>0</v>
      </c>
      <c r="CS37" s="44">
        <f t="shared" si="99"/>
        <v>0</v>
      </c>
      <c r="CT37" s="44">
        <f t="shared" si="100"/>
        <v>0</v>
      </c>
      <c r="CU37" s="44">
        <f t="shared" si="101"/>
        <v>0</v>
      </c>
      <c r="CV37" s="44">
        <f t="shared" si="102"/>
        <v>600000</v>
      </c>
      <c r="CW37" s="44">
        <f t="shared" si="103"/>
        <v>600000</v>
      </c>
      <c r="CX37" s="44">
        <f t="shared" si="35"/>
        <v>12000</v>
      </c>
      <c r="CY37" s="44">
        <f t="shared" si="104"/>
        <v>12000</v>
      </c>
      <c r="CZ37" s="44">
        <f t="shared" si="36"/>
        <v>450000</v>
      </c>
      <c r="DA37" s="44">
        <f t="shared" si="105"/>
        <v>450000</v>
      </c>
      <c r="DB37" s="44">
        <f t="shared" si="37"/>
        <v>150000</v>
      </c>
      <c r="DC37" s="46">
        <f t="shared" si="38"/>
        <v>0</v>
      </c>
      <c r="DD37" s="47">
        <f t="shared" si="39"/>
        <v>0</v>
      </c>
      <c r="DE37" s="604">
        <f t="shared" si="106"/>
        <v>0</v>
      </c>
      <c r="DF37" s="44">
        <f t="shared" si="107"/>
        <v>0</v>
      </c>
      <c r="DG37" s="44">
        <f t="shared" si="108"/>
        <v>0</v>
      </c>
      <c r="DH37" s="44">
        <f t="shared" si="109"/>
        <v>0</v>
      </c>
      <c r="DI37" s="44">
        <f t="shared" si="110"/>
        <v>600000</v>
      </c>
      <c r="DJ37" s="44">
        <f t="shared" si="111"/>
        <v>600000</v>
      </c>
      <c r="DK37" s="44">
        <f t="shared" si="40"/>
        <v>12000</v>
      </c>
      <c r="DL37" s="44">
        <f t="shared" si="112"/>
        <v>12000</v>
      </c>
      <c r="DM37" s="44">
        <f t="shared" si="41"/>
        <v>438000</v>
      </c>
      <c r="DN37" s="44">
        <f t="shared" si="113"/>
        <v>438000</v>
      </c>
      <c r="DO37" s="44">
        <f t="shared" si="42"/>
        <v>162000</v>
      </c>
      <c r="DP37" s="46">
        <f t="shared" si="43"/>
        <v>0</v>
      </c>
      <c r="DQ37" s="47">
        <f t="shared" si="44"/>
        <v>0</v>
      </c>
      <c r="DR37" s="604">
        <f t="shared" si="114"/>
        <v>0</v>
      </c>
      <c r="DS37" s="44">
        <f t="shared" si="115"/>
        <v>0</v>
      </c>
      <c r="DT37" s="44">
        <f t="shared" si="116"/>
        <v>0</v>
      </c>
      <c r="DU37" s="44">
        <f t="shared" si="117"/>
        <v>0</v>
      </c>
      <c r="DV37" s="44">
        <f t="shared" si="118"/>
        <v>600000</v>
      </c>
      <c r="DW37" s="44">
        <f t="shared" si="119"/>
        <v>600000</v>
      </c>
      <c r="DX37" s="44">
        <f t="shared" si="45"/>
        <v>12000</v>
      </c>
      <c r="DY37" s="44">
        <f t="shared" si="120"/>
        <v>12000</v>
      </c>
      <c r="DZ37" s="44">
        <f t="shared" si="46"/>
        <v>426000</v>
      </c>
      <c r="EA37" s="44">
        <f t="shared" si="121"/>
        <v>426000</v>
      </c>
      <c r="EB37" s="44">
        <f t="shared" si="47"/>
        <v>174000</v>
      </c>
      <c r="EC37" s="46">
        <f t="shared" si="48"/>
        <v>0</v>
      </c>
      <c r="ED37" s="47">
        <f t="shared" si="49"/>
        <v>0</v>
      </c>
    </row>
    <row r="38" spans="1:134" x14ac:dyDescent="0.35">
      <c r="A38" s="182">
        <v>2008</v>
      </c>
      <c r="B38" s="183" t="s">
        <v>210</v>
      </c>
      <c r="C38" s="183"/>
      <c r="D38" s="175" t="s">
        <v>21</v>
      </c>
      <c r="E38" s="87">
        <v>150000</v>
      </c>
      <c r="F38" s="85">
        <v>39630</v>
      </c>
      <c r="G38" s="88">
        <v>50</v>
      </c>
      <c r="H38" s="179"/>
      <c r="I38" s="180"/>
      <c r="J38" s="181"/>
      <c r="K38" s="42">
        <f t="shared" si="0"/>
        <v>0.02</v>
      </c>
      <c r="L38" s="43">
        <f t="shared" si="1"/>
        <v>3000</v>
      </c>
      <c r="M38" s="44">
        <f t="shared" si="2"/>
        <v>139500</v>
      </c>
      <c r="N38" s="44"/>
      <c r="O38" s="44">
        <f t="shared" si="3"/>
        <v>10500</v>
      </c>
      <c r="P38" s="45"/>
      <c r="Q38" s="44">
        <f t="shared" si="4"/>
        <v>150000</v>
      </c>
      <c r="R38" s="604">
        <f t="shared" si="50"/>
        <v>0</v>
      </c>
      <c r="S38" s="44">
        <f t="shared" si="51"/>
        <v>0</v>
      </c>
      <c r="T38" s="44">
        <f t="shared" si="52"/>
        <v>0</v>
      </c>
      <c r="U38" s="44">
        <f t="shared" si="53"/>
        <v>0</v>
      </c>
      <c r="V38" s="44">
        <f t="shared" si="54"/>
        <v>150000</v>
      </c>
      <c r="W38" s="44">
        <f t="shared" si="55"/>
        <v>150000</v>
      </c>
      <c r="X38" s="44">
        <f t="shared" si="5"/>
        <v>3000</v>
      </c>
      <c r="Y38" s="44">
        <f t="shared" si="56"/>
        <v>3000</v>
      </c>
      <c r="Z38" s="44">
        <f t="shared" si="6"/>
        <v>136500</v>
      </c>
      <c r="AA38" s="44">
        <f t="shared" si="57"/>
        <v>136500</v>
      </c>
      <c r="AB38" s="44">
        <f t="shared" si="7"/>
        <v>13500</v>
      </c>
      <c r="AC38" s="46">
        <f t="shared" si="8"/>
        <v>0</v>
      </c>
      <c r="AD38" s="47">
        <f t="shared" si="9"/>
        <v>0</v>
      </c>
      <c r="AE38" s="604">
        <f t="shared" si="58"/>
        <v>0</v>
      </c>
      <c r="AF38" s="44">
        <f t="shared" si="59"/>
        <v>0</v>
      </c>
      <c r="AG38" s="44">
        <f t="shared" si="60"/>
        <v>0</v>
      </c>
      <c r="AH38" s="44">
        <f t="shared" si="61"/>
        <v>0</v>
      </c>
      <c r="AI38" s="44">
        <f t="shared" si="62"/>
        <v>150000</v>
      </c>
      <c r="AJ38" s="44">
        <f t="shared" si="63"/>
        <v>150000</v>
      </c>
      <c r="AK38" s="44">
        <f t="shared" si="10"/>
        <v>3000</v>
      </c>
      <c r="AL38" s="44">
        <f t="shared" si="64"/>
        <v>3000</v>
      </c>
      <c r="AM38" s="44">
        <f t="shared" si="11"/>
        <v>133500</v>
      </c>
      <c r="AN38" s="44">
        <f t="shared" si="65"/>
        <v>133500</v>
      </c>
      <c r="AO38" s="44">
        <f t="shared" si="12"/>
        <v>16500</v>
      </c>
      <c r="AP38" s="46">
        <f t="shared" si="13"/>
        <v>0</v>
      </c>
      <c r="AQ38" s="47">
        <f t="shared" si="14"/>
        <v>0</v>
      </c>
      <c r="AR38" s="604">
        <f t="shared" si="66"/>
        <v>0</v>
      </c>
      <c r="AS38" s="44">
        <f t="shared" si="67"/>
        <v>0</v>
      </c>
      <c r="AT38" s="44">
        <f t="shared" si="68"/>
        <v>0</v>
      </c>
      <c r="AU38" s="44">
        <f t="shared" si="69"/>
        <v>0</v>
      </c>
      <c r="AV38" s="44">
        <f t="shared" si="70"/>
        <v>150000</v>
      </c>
      <c r="AW38" s="44">
        <f t="shared" si="71"/>
        <v>150000</v>
      </c>
      <c r="AX38" s="44">
        <f t="shared" si="15"/>
        <v>3000</v>
      </c>
      <c r="AY38" s="44">
        <f t="shared" si="72"/>
        <v>3000</v>
      </c>
      <c r="AZ38" s="44">
        <f t="shared" si="16"/>
        <v>130500</v>
      </c>
      <c r="BA38" s="44">
        <f t="shared" si="73"/>
        <v>130500</v>
      </c>
      <c r="BB38" s="44">
        <f t="shared" si="17"/>
        <v>19500</v>
      </c>
      <c r="BC38" s="46">
        <f t="shared" si="18"/>
        <v>0</v>
      </c>
      <c r="BD38" s="47">
        <f t="shared" si="19"/>
        <v>0</v>
      </c>
      <c r="BE38" s="604">
        <f t="shared" si="74"/>
        <v>0</v>
      </c>
      <c r="BF38" s="44">
        <f t="shared" si="75"/>
        <v>0</v>
      </c>
      <c r="BG38" s="44">
        <f t="shared" si="76"/>
        <v>0</v>
      </c>
      <c r="BH38" s="44">
        <f t="shared" si="77"/>
        <v>0</v>
      </c>
      <c r="BI38" s="44">
        <f t="shared" si="78"/>
        <v>150000</v>
      </c>
      <c r="BJ38" s="44">
        <f t="shared" si="79"/>
        <v>150000</v>
      </c>
      <c r="BK38" s="44">
        <f t="shared" si="20"/>
        <v>3000</v>
      </c>
      <c r="BL38" s="44">
        <f t="shared" si="80"/>
        <v>3000</v>
      </c>
      <c r="BM38" s="44">
        <f t="shared" si="21"/>
        <v>127500</v>
      </c>
      <c r="BN38" s="44">
        <f t="shared" si="81"/>
        <v>127500</v>
      </c>
      <c r="BO38" s="44">
        <f t="shared" si="22"/>
        <v>22500</v>
      </c>
      <c r="BP38" s="46">
        <f t="shared" si="23"/>
        <v>0</v>
      </c>
      <c r="BQ38" s="47">
        <f t="shared" si="24"/>
        <v>0</v>
      </c>
      <c r="BR38" s="604">
        <f t="shared" si="82"/>
        <v>0</v>
      </c>
      <c r="BS38" s="44">
        <f t="shared" si="83"/>
        <v>0</v>
      </c>
      <c r="BT38" s="44">
        <f t="shared" si="84"/>
        <v>0</v>
      </c>
      <c r="BU38" s="44">
        <f t="shared" si="85"/>
        <v>0</v>
      </c>
      <c r="BV38" s="44">
        <f t="shared" si="86"/>
        <v>150000</v>
      </c>
      <c r="BW38" s="44">
        <f t="shared" si="87"/>
        <v>150000</v>
      </c>
      <c r="BX38" s="44">
        <f t="shared" si="25"/>
        <v>3000</v>
      </c>
      <c r="BY38" s="44">
        <f t="shared" si="88"/>
        <v>3000</v>
      </c>
      <c r="BZ38" s="44">
        <f t="shared" si="26"/>
        <v>124500</v>
      </c>
      <c r="CA38" s="44">
        <f t="shared" si="89"/>
        <v>124500</v>
      </c>
      <c r="CB38" s="44">
        <f t="shared" si="27"/>
        <v>25500</v>
      </c>
      <c r="CC38" s="46">
        <f t="shared" si="28"/>
        <v>0</v>
      </c>
      <c r="CD38" s="47">
        <f t="shared" si="29"/>
        <v>0</v>
      </c>
      <c r="CE38" s="604">
        <f t="shared" si="90"/>
        <v>0</v>
      </c>
      <c r="CF38" s="44">
        <f t="shared" si="91"/>
        <v>0</v>
      </c>
      <c r="CG38" s="44">
        <f t="shared" si="92"/>
        <v>0</v>
      </c>
      <c r="CH38" s="44">
        <f t="shared" si="93"/>
        <v>0</v>
      </c>
      <c r="CI38" s="44">
        <f t="shared" si="94"/>
        <v>150000</v>
      </c>
      <c r="CJ38" s="44">
        <f t="shared" si="95"/>
        <v>150000</v>
      </c>
      <c r="CK38" s="44">
        <f t="shared" si="30"/>
        <v>3000</v>
      </c>
      <c r="CL38" s="44">
        <f t="shared" si="96"/>
        <v>3000</v>
      </c>
      <c r="CM38" s="44">
        <f t="shared" si="31"/>
        <v>121500</v>
      </c>
      <c r="CN38" s="44">
        <f t="shared" si="97"/>
        <v>121500</v>
      </c>
      <c r="CO38" s="44">
        <f t="shared" si="32"/>
        <v>28500</v>
      </c>
      <c r="CP38" s="46">
        <f t="shared" si="33"/>
        <v>0</v>
      </c>
      <c r="CQ38" s="47">
        <f t="shared" si="34"/>
        <v>0</v>
      </c>
      <c r="CR38" s="604">
        <f t="shared" si="98"/>
        <v>0</v>
      </c>
      <c r="CS38" s="44">
        <f t="shared" si="99"/>
        <v>0</v>
      </c>
      <c r="CT38" s="44">
        <f t="shared" si="100"/>
        <v>0</v>
      </c>
      <c r="CU38" s="44">
        <f t="shared" si="101"/>
        <v>0</v>
      </c>
      <c r="CV38" s="44">
        <f t="shared" si="102"/>
        <v>150000</v>
      </c>
      <c r="CW38" s="44">
        <f t="shared" si="103"/>
        <v>150000</v>
      </c>
      <c r="CX38" s="44">
        <f t="shared" si="35"/>
        <v>3000</v>
      </c>
      <c r="CY38" s="44">
        <f t="shared" si="104"/>
        <v>3000</v>
      </c>
      <c r="CZ38" s="44">
        <f t="shared" si="36"/>
        <v>118500</v>
      </c>
      <c r="DA38" s="44">
        <f t="shared" si="105"/>
        <v>118500</v>
      </c>
      <c r="DB38" s="44">
        <f t="shared" si="37"/>
        <v>31500</v>
      </c>
      <c r="DC38" s="46">
        <f t="shared" si="38"/>
        <v>0</v>
      </c>
      <c r="DD38" s="47">
        <f t="shared" si="39"/>
        <v>0</v>
      </c>
      <c r="DE38" s="604">
        <f t="shared" si="106"/>
        <v>0</v>
      </c>
      <c r="DF38" s="44">
        <f t="shared" si="107"/>
        <v>0</v>
      </c>
      <c r="DG38" s="44">
        <f t="shared" si="108"/>
        <v>0</v>
      </c>
      <c r="DH38" s="44">
        <f t="shared" si="109"/>
        <v>0</v>
      </c>
      <c r="DI38" s="44">
        <f t="shared" si="110"/>
        <v>150000</v>
      </c>
      <c r="DJ38" s="44">
        <f t="shared" si="111"/>
        <v>150000</v>
      </c>
      <c r="DK38" s="44">
        <f t="shared" si="40"/>
        <v>3000</v>
      </c>
      <c r="DL38" s="44">
        <f t="shared" si="112"/>
        <v>3000</v>
      </c>
      <c r="DM38" s="44">
        <f t="shared" si="41"/>
        <v>115500</v>
      </c>
      <c r="DN38" s="44">
        <f t="shared" si="113"/>
        <v>115500</v>
      </c>
      <c r="DO38" s="44">
        <f t="shared" si="42"/>
        <v>34500</v>
      </c>
      <c r="DP38" s="46">
        <f t="shared" si="43"/>
        <v>0</v>
      </c>
      <c r="DQ38" s="47">
        <f t="shared" si="44"/>
        <v>0</v>
      </c>
      <c r="DR38" s="604">
        <f t="shared" si="114"/>
        <v>0</v>
      </c>
      <c r="DS38" s="44">
        <f t="shared" si="115"/>
        <v>0</v>
      </c>
      <c r="DT38" s="44">
        <f t="shared" si="116"/>
        <v>0</v>
      </c>
      <c r="DU38" s="44">
        <f t="shared" si="117"/>
        <v>0</v>
      </c>
      <c r="DV38" s="44">
        <f t="shared" si="118"/>
        <v>150000</v>
      </c>
      <c r="DW38" s="44">
        <f t="shared" si="119"/>
        <v>150000</v>
      </c>
      <c r="DX38" s="44">
        <f t="shared" si="45"/>
        <v>3000</v>
      </c>
      <c r="DY38" s="44">
        <f t="shared" si="120"/>
        <v>3000</v>
      </c>
      <c r="DZ38" s="44">
        <f t="shared" si="46"/>
        <v>112500</v>
      </c>
      <c r="EA38" s="44">
        <f t="shared" si="121"/>
        <v>112500</v>
      </c>
      <c r="EB38" s="44">
        <f t="shared" si="47"/>
        <v>37500</v>
      </c>
      <c r="EC38" s="46">
        <f t="shared" si="48"/>
        <v>0</v>
      </c>
      <c r="ED38" s="47">
        <f t="shared" si="49"/>
        <v>0</v>
      </c>
    </row>
    <row r="39" spans="1:134" x14ac:dyDescent="0.35">
      <c r="A39" s="182">
        <v>2009</v>
      </c>
      <c r="B39" s="183" t="s">
        <v>211</v>
      </c>
      <c r="C39" s="183"/>
      <c r="D39" s="175" t="s">
        <v>21</v>
      </c>
      <c r="E39" s="87">
        <v>220000</v>
      </c>
      <c r="F39" s="85">
        <v>39995</v>
      </c>
      <c r="G39" s="88">
        <v>50</v>
      </c>
      <c r="H39" s="179"/>
      <c r="I39" s="180"/>
      <c r="J39" s="181"/>
      <c r="K39" s="42">
        <f t="shared" si="0"/>
        <v>0.02</v>
      </c>
      <c r="L39" s="43">
        <f t="shared" si="1"/>
        <v>4400</v>
      </c>
      <c r="M39" s="44">
        <f t="shared" si="2"/>
        <v>209000</v>
      </c>
      <c r="N39" s="44"/>
      <c r="O39" s="44">
        <f t="shared" si="3"/>
        <v>11000</v>
      </c>
      <c r="P39" s="45"/>
      <c r="Q39" s="44">
        <f t="shared" si="4"/>
        <v>220000</v>
      </c>
      <c r="R39" s="604">
        <f t="shared" si="50"/>
        <v>0</v>
      </c>
      <c r="S39" s="44">
        <f t="shared" si="51"/>
        <v>0</v>
      </c>
      <c r="T39" s="44">
        <f t="shared" si="52"/>
        <v>0</v>
      </c>
      <c r="U39" s="44">
        <f t="shared" si="53"/>
        <v>0</v>
      </c>
      <c r="V39" s="44">
        <f t="shared" si="54"/>
        <v>220000</v>
      </c>
      <c r="W39" s="44">
        <f t="shared" si="55"/>
        <v>220000</v>
      </c>
      <c r="X39" s="44">
        <f t="shared" si="5"/>
        <v>4400</v>
      </c>
      <c r="Y39" s="44">
        <f t="shared" si="56"/>
        <v>4400</v>
      </c>
      <c r="Z39" s="44">
        <f t="shared" si="6"/>
        <v>204600</v>
      </c>
      <c r="AA39" s="44">
        <f t="shared" si="57"/>
        <v>204600</v>
      </c>
      <c r="AB39" s="44">
        <f t="shared" si="7"/>
        <v>15400</v>
      </c>
      <c r="AC39" s="46">
        <f t="shared" si="8"/>
        <v>0</v>
      </c>
      <c r="AD39" s="47">
        <f t="shared" si="9"/>
        <v>0</v>
      </c>
      <c r="AE39" s="604">
        <f t="shared" si="58"/>
        <v>0</v>
      </c>
      <c r="AF39" s="44">
        <f t="shared" si="59"/>
        <v>0</v>
      </c>
      <c r="AG39" s="44">
        <f t="shared" si="60"/>
        <v>0</v>
      </c>
      <c r="AH39" s="44">
        <f t="shared" si="61"/>
        <v>0</v>
      </c>
      <c r="AI39" s="44">
        <f t="shared" si="62"/>
        <v>220000</v>
      </c>
      <c r="AJ39" s="44">
        <f t="shared" si="63"/>
        <v>220000</v>
      </c>
      <c r="AK39" s="44">
        <f t="shared" si="10"/>
        <v>4400</v>
      </c>
      <c r="AL39" s="44">
        <f t="shared" si="64"/>
        <v>4400</v>
      </c>
      <c r="AM39" s="44">
        <f t="shared" si="11"/>
        <v>200200</v>
      </c>
      <c r="AN39" s="44">
        <f t="shared" si="65"/>
        <v>200200</v>
      </c>
      <c r="AO39" s="44">
        <f t="shared" si="12"/>
        <v>19800</v>
      </c>
      <c r="AP39" s="46">
        <f t="shared" si="13"/>
        <v>0</v>
      </c>
      <c r="AQ39" s="47">
        <f t="shared" si="14"/>
        <v>0</v>
      </c>
      <c r="AR39" s="604">
        <f t="shared" si="66"/>
        <v>0</v>
      </c>
      <c r="AS39" s="44">
        <f t="shared" si="67"/>
        <v>0</v>
      </c>
      <c r="AT39" s="44">
        <f t="shared" si="68"/>
        <v>0</v>
      </c>
      <c r="AU39" s="44">
        <f t="shared" si="69"/>
        <v>0</v>
      </c>
      <c r="AV39" s="44">
        <f t="shared" si="70"/>
        <v>220000</v>
      </c>
      <c r="AW39" s="44">
        <f t="shared" si="71"/>
        <v>220000</v>
      </c>
      <c r="AX39" s="44">
        <f t="shared" si="15"/>
        <v>4400</v>
      </c>
      <c r="AY39" s="44">
        <f t="shared" si="72"/>
        <v>4400</v>
      </c>
      <c r="AZ39" s="44">
        <f t="shared" si="16"/>
        <v>195800</v>
      </c>
      <c r="BA39" s="44">
        <f t="shared" si="73"/>
        <v>195800</v>
      </c>
      <c r="BB39" s="44">
        <f t="shared" si="17"/>
        <v>24200</v>
      </c>
      <c r="BC39" s="46">
        <f t="shared" si="18"/>
        <v>0</v>
      </c>
      <c r="BD39" s="47">
        <f t="shared" si="19"/>
        <v>0</v>
      </c>
      <c r="BE39" s="604">
        <f t="shared" si="74"/>
        <v>0</v>
      </c>
      <c r="BF39" s="44">
        <f t="shared" si="75"/>
        <v>0</v>
      </c>
      <c r="BG39" s="44">
        <f t="shared" si="76"/>
        <v>0</v>
      </c>
      <c r="BH39" s="44">
        <f t="shared" si="77"/>
        <v>0</v>
      </c>
      <c r="BI39" s="44">
        <f t="shared" si="78"/>
        <v>220000</v>
      </c>
      <c r="BJ39" s="44">
        <f t="shared" si="79"/>
        <v>220000</v>
      </c>
      <c r="BK39" s="44">
        <f t="shared" si="20"/>
        <v>4400</v>
      </c>
      <c r="BL39" s="44">
        <f t="shared" si="80"/>
        <v>4400</v>
      </c>
      <c r="BM39" s="44">
        <f t="shared" si="21"/>
        <v>191400</v>
      </c>
      <c r="BN39" s="44">
        <f t="shared" si="81"/>
        <v>191400</v>
      </c>
      <c r="BO39" s="44">
        <f t="shared" si="22"/>
        <v>28600</v>
      </c>
      <c r="BP39" s="46">
        <f t="shared" si="23"/>
        <v>0</v>
      </c>
      <c r="BQ39" s="47">
        <f t="shared" si="24"/>
        <v>0</v>
      </c>
      <c r="BR39" s="604">
        <f t="shared" si="82"/>
        <v>0</v>
      </c>
      <c r="BS39" s="44">
        <f t="shared" si="83"/>
        <v>0</v>
      </c>
      <c r="BT39" s="44">
        <f t="shared" si="84"/>
        <v>0</v>
      </c>
      <c r="BU39" s="44">
        <f t="shared" si="85"/>
        <v>0</v>
      </c>
      <c r="BV39" s="44">
        <f t="shared" si="86"/>
        <v>220000</v>
      </c>
      <c r="BW39" s="44">
        <f t="shared" si="87"/>
        <v>220000</v>
      </c>
      <c r="BX39" s="44">
        <f t="shared" si="25"/>
        <v>4400</v>
      </c>
      <c r="BY39" s="44">
        <f t="shared" si="88"/>
        <v>4400</v>
      </c>
      <c r="BZ39" s="44">
        <f t="shared" si="26"/>
        <v>187000</v>
      </c>
      <c r="CA39" s="44">
        <f t="shared" si="89"/>
        <v>187000</v>
      </c>
      <c r="CB39" s="44">
        <f t="shared" si="27"/>
        <v>33000</v>
      </c>
      <c r="CC39" s="46">
        <f t="shared" si="28"/>
        <v>0</v>
      </c>
      <c r="CD39" s="47">
        <f t="shared" si="29"/>
        <v>0</v>
      </c>
      <c r="CE39" s="604">
        <f t="shared" si="90"/>
        <v>0</v>
      </c>
      <c r="CF39" s="44">
        <f t="shared" si="91"/>
        <v>0</v>
      </c>
      <c r="CG39" s="44">
        <f t="shared" si="92"/>
        <v>0</v>
      </c>
      <c r="CH39" s="44">
        <f t="shared" si="93"/>
        <v>0</v>
      </c>
      <c r="CI39" s="44">
        <f t="shared" si="94"/>
        <v>220000</v>
      </c>
      <c r="CJ39" s="44">
        <f t="shared" si="95"/>
        <v>220000</v>
      </c>
      <c r="CK39" s="44">
        <f t="shared" si="30"/>
        <v>4400</v>
      </c>
      <c r="CL39" s="44">
        <f t="shared" si="96"/>
        <v>4400</v>
      </c>
      <c r="CM39" s="44">
        <f t="shared" si="31"/>
        <v>182600</v>
      </c>
      <c r="CN39" s="44">
        <f t="shared" si="97"/>
        <v>182600</v>
      </c>
      <c r="CO39" s="44">
        <f t="shared" si="32"/>
        <v>37400</v>
      </c>
      <c r="CP39" s="46">
        <f t="shared" si="33"/>
        <v>0</v>
      </c>
      <c r="CQ39" s="47">
        <f t="shared" si="34"/>
        <v>0</v>
      </c>
      <c r="CR39" s="604">
        <f t="shared" si="98"/>
        <v>0</v>
      </c>
      <c r="CS39" s="44">
        <f t="shared" si="99"/>
        <v>0</v>
      </c>
      <c r="CT39" s="44">
        <f t="shared" si="100"/>
        <v>0</v>
      </c>
      <c r="CU39" s="44">
        <f t="shared" si="101"/>
        <v>0</v>
      </c>
      <c r="CV39" s="44">
        <f t="shared" si="102"/>
        <v>220000</v>
      </c>
      <c r="CW39" s="44">
        <f t="shared" si="103"/>
        <v>220000</v>
      </c>
      <c r="CX39" s="44">
        <f t="shared" si="35"/>
        <v>4400</v>
      </c>
      <c r="CY39" s="44">
        <f t="shared" si="104"/>
        <v>4400</v>
      </c>
      <c r="CZ39" s="44">
        <f t="shared" si="36"/>
        <v>178200</v>
      </c>
      <c r="DA39" s="44">
        <f t="shared" si="105"/>
        <v>178200</v>
      </c>
      <c r="DB39" s="44">
        <f t="shared" si="37"/>
        <v>41800</v>
      </c>
      <c r="DC39" s="46">
        <f t="shared" si="38"/>
        <v>0</v>
      </c>
      <c r="DD39" s="47">
        <f t="shared" si="39"/>
        <v>0</v>
      </c>
      <c r="DE39" s="604">
        <f t="shared" si="106"/>
        <v>0</v>
      </c>
      <c r="DF39" s="44">
        <f t="shared" si="107"/>
        <v>0</v>
      </c>
      <c r="DG39" s="44">
        <f t="shared" si="108"/>
        <v>0</v>
      </c>
      <c r="DH39" s="44">
        <f t="shared" si="109"/>
        <v>0</v>
      </c>
      <c r="DI39" s="44">
        <f t="shared" si="110"/>
        <v>220000</v>
      </c>
      <c r="DJ39" s="44">
        <f t="shared" si="111"/>
        <v>220000</v>
      </c>
      <c r="DK39" s="44">
        <f t="shared" si="40"/>
        <v>4400</v>
      </c>
      <c r="DL39" s="44">
        <f t="shared" si="112"/>
        <v>4400</v>
      </c>
      <c r="DM39" s="44">
        <f t="shared" si="41"/>
        <v>173800</v>
      </c>
      <c r="DN39" s="44">
        <f t="shared" si="113"/>
        <v>173800</v>
      </c>
      <c r="DO39" s="44">
        <f t="shared" si="42"/>
        <v>46200</v>
      </c>
      <c r="DP39" s="46">
        <f t="shared" si="43"/>
        <v>0</v>
      </c>
      <c r="DQ39" s="47">
        <f t="shared" si="44"/>
        <v>0</v>
      </c>
      <c r="DR39" s="604">
        <f t="shared" si="114"/>
        <v>0</v>
      </c>
      <c r="DS39" s="44">
        <f t="shared" si="115"/>
        <v>0</v>
      </c>
      <c r="DT39" s="44">
        <f t="shared" si="116"/>
        <v>0</v>
      </c>
      <c r="DU39" s="44">
        <f t="shared" si="117"/>
        <v>0</v>
      </c>
      <c r="DV39" s="44">
        <f t="shared" si="118"/>
        <v>220000</v>
      </c>
      <c r="DW39" s="44">
        <f t="shared" si="119"/>
        <v>220000</v>
      </c>
      <c r="DX39" s="44">
        <f t="shared" si="45"/>
        <v>4400</v>
      </c>
      <c r="DY39" s="44">
        <f t="shared" si="120"/>
        <v>4400</v>
      </c>
      <c r="DZ39" s="44">
        <f t="shared" si="46"/>
        <v>169400</v>
      </c>
      <c r="EA39" s="44">
        <f t="shared" si="121"/>
        <v>169400</v>
      </c>
      <c r="EB39" s="44">
        <f t="shared" si="47"/>
        <v>50600</v>
      </c>
      <c r="EC39" s="46">
        <f t="shared" si="48"/>
        <v>0</v>
      </c>
      <c r="ED39" s="47">
        <f t="shared" si="49"/>
        <v>0</v>
      </c>
    </row>
    <row r="40" spans="1:134" x14ac:dyDescent="0.35">
      <c r="A40" s="182"/>
      <c r="B40" s="183"/>
      <c r="C40" s="183"/>
      <c r="D40" s="175"/>
      <c r="E40" s="87"/>
      <c r="F40" s="85"/>
      <c r="G40" s="88"/>
      <c r="H40" s="179"/>
      <c r="I40" s="180"/>
      <c r="J40" s="181"/>
      <c r="K40" s="42">
        <f t="shared" si="0"/>
        <v>0</v>
      </c>
      <c r="L40" s="43">
        <f t="shared" si="1"/>
        <v>0</v>
      </c>
      <c r="M40" s="44">
        <f t="shared" si="2"/>
        <v>0</v>
      </c>
      <c r="N40" s="44"/>
      <c r="O40" s="44">
        <f t="shared" si="3"/>
        <v>0</v>
      </c>
      <c r="P40" s="45"/>
      <c r="Q40" s="44">
        <f t="shared" si="4"/>
        <v>0</v>
      </c>
      <c r="R40" s="604">
        <f t="shared" si="50"/>
        <v>0</v>
      </c>
      <c r="S40" s="44">
        <f t="shared" si="51"/>
        <v>0</v>
      </c>
      <c r="T40" s="44">
        <f t="shared" si="52"/>
        <v>0</v>
      </c>
      <c r="U40" s="44">
        <f t="shared" si="53"/>
        <v>0</v>
      </c>
      <c r="V40" s="44">
        <f t="shared" si="54"/>
        <v>0</v>
      </c>
      <c r="W40" s="44">
        <f t="shared" si="55"/>
        <v>0</v>
      </c>
      <c r="X40" s="44">
        <f t="shared" si="5"/>
        <v>0</v>
      </c>
      <c r="Y40" s="44">
        <f t="shared" si="56"/>
        <v>0</v>
      </c>
      <c r="Z40" s="44">
        <f t="shared" si="6"/>
        <v>0</v>
      </c>
      <c r="AA40" s="44">
        <f t="shared" si="57"/>
        <v>0</v>
      </c>
      <c r="AB40" s="44">
        <f t="shared" si="7"/>
        <v>0</v>
      </c>
      <c r="AC40" s="46">
        <f t="shared" si="8"/>
        <v>0</v>
      </c>
      <c r="AD40" s="47">
        <f t="shared" si="9"/>
        <v>0</v>
      </c>
      <c r="AE40" s="604">
        <f t="shared" si="58"/>
        <v>0</v>
      </c>
      <c r="AF40" s="44">
        <f t="shared" si="59"/>
        <v>0</v>
      </c>
      <c r="AG40" s="44">
        <f t="shared" si="60"/>
        <v>0</v>
      </c>
      <c r="AH40" s="44">
        <f t="shared" si="61"/>
        <v>0</v>
      </c>
      <c r="AI40" s="44">
        <f t="shared" si="62"/>
        <v>0</v>
      </c>
      <c r="AJ40" s="44">
        <f t="shared" si="63"/>
        <v>0</v>
      </c>
      <c r="AK40" s="44">
        <f t="shared" si="10"/>
        <v>0</v>
      </c>
      <c r="AL40" s="44">
        <f t="shared" si="64"/>
        <v>0</v>
      </c>
      <c r="AM40" s="44">
        <f t="shared" si="11"/>
        <v>0</v>
      </c>
      <c r="AN40" s="44">
        <f t="shared" si="65"/>
        <v>0</v>
      </c>
      <c r="AO40" s="44">
        <f t="shared" si="12"/>
        <v>0</v>
      </c>
      <c r="AP40" s="46">
        <f t="shared" si="13"/>
        <v>0</v>
      </c>
      <c r="AQ40" s="47">
        <f t="shared" si="14"/>
        <v>0</v>
      </c>
      <c r="AR40" s="604">
        <f t="shared" si="66"/>
        <v>0</v>
      </c>
      <c r="AS40" s="44">
        <f t="shared" si="67"/>
        <v>0</v>
      </c>
      <c r="AT40" s="44">
        <f t="shared" si="68"/>
        <v>0</v>
      </c>
      <c r="AU40" s="44">
        <f t="shared" si="69"/>
        <v>0</v>
      </c>
      <c r="AV40" s="44">
        <f t="shared" si="70"/>
        <v>0</v>
      </c>
      <c r="AW40" s="44">
        <f t="shared" si="71"/>
        <v>0</v>
      </c>
      <c r="AX40" s="44">
        <f t="shared" si="15"/>
        <v>0</v>
      </c>
      <c r="AY40" s="44">
        <f t="shared" si="72"/>
        <v>0</v>
      </c>
      <c r="AZ40" s="44">
        <f t="shared" si="16"/>
        <v>0</v>
      </c>
      <c r="BA40" s="44">
        <f t="shared" si="73"/>
        <v>0</v>
      </c>
      <c r="BB40" s="44">
        <f t="shared" si="17"/>
        <v>0</v>
      </c>
      <c r="BC40" s="46">
        <f t="shared" si="18"/>
        <v>0</v>
      </c>
      <c r="BD40" s="47">
        <f t="shared" si="19"/>
        <v>0</v>
      </c>
      <c r="BE40" s="604">
        <f t="shared" si="74"/>
        <v>0</v>
      </c>
      <c r="BF40" s="44">
        <f t="shared" si="75"/>
        <v>0</v>
      </c>
      <c r="BG40" s="44">
        <f t="shared" si="76"/>
        <v>0</v>
      </c>
      <c r="BH40" s="44">
        <f t="shared" si="77"/>
        <v>0</v>
      </c>
      <c r="BI40" s="44">
        <f t="shared" si="78"/>
        <v>0</v>
      </c>
      <c r="BJ40" s="44">
        <f t="shared" si="79"/>
        <v>0</v>
      </c>
      <c r="BK40" s="44">
        <f t="shared" si="20"/>
        <v>0</v>
      </c>
      <c r="BL40" s="44">
        <f t="shared" si="80"/>
        <v>0</v>
      </c>
      <c r="BM40" s="44">
        <f t="shared" si="21"/>
        <v>0</v>
      </c>
      <c r="BN40" s="44">
        <f t="shared" si="81"/>
        <v>0</v>
      </c>
      <c r="BO40" s="44">
        <f t="shared" si="22"/>
        <v>0</v>
      </c>
      <c r="BP40" s="46">
        <f t="shared" si="23"/>
        <v>0</v>
      </c>
      <c r="BQ40" s="47">
        <f t="shared" si="24"/>
        <v>0</v>
      </c>
      <c r="BR40" s="604">
        <f t="shared" si="82"/>
        <v>0</v>
      </c>
      <c r="BS40" s="44">
        <f t="shared" si="83"/>
        <v>0</v>
      </c>
      <c r="BT40" s="44">
        <f t="shared" si="84"/>
        <v>0</v>
      </c>
      <c r="BU40" s="44">
        <f t="shared" si="85"/>
        <v>0</v>
      </c>
      <c r="BV40" s="44">
        <f t="shared" si="86"/>
        <v>0</v>
      </c>
      <c r="BW40" s="44">
        <f t="shared" si="87"/>
        <v>0</v>
      </c>
      <c r="BX40" s="44">
        <f t="shared" si="25"/>
        <v>0</v>
      </c>
      <c r="BY40" s="44">
        <f t="shared" si="88"/>
        <v>0</v>
      </c>
      <c r="BZ40" s="44">
        <f t="shared" si="26"/>
        <v>0</v>
      </c>
      <c r="CA40" s="44">
        <f t="shared" si="89"/>
        <v>0</v>
      </c>
      <c r="CB40" s="44">
        <f t="shared" si="27"/>
        <v>0</v>
      </c>
      <c r="CC40" s="46">
        <f t="shared" si="28"/>
        <v>0</v>
      </c>
      <c r="CD40" s="47">
        <f t="shared" si="29"/>
        <v>0</v>
      </c>
      <c r="CE40" s="604">
        <f t="shared" si="90"/>
        <v>0</v>
      </c>
      <c r="CF40" s="44">
        <f t="shared" si="91"/>
        <v>0</v>
      </c>
      <c r="CG40" s="44">
        <f t="shared" si="92"/>
        <v>0</v>
      </c>
      <c r="CH40" s="44">
        <f t="shared" si="93"/>
        <v>0</v>
      </c>
      <c r="CI40" s="44">
        <f t="shared" si="94"/>
        <v>0</v>
      </c>
      <c r="CJ40" s="44">
        <f t="shared" si="95"/>
        <v>0</v>
      </c>
      <c r="CK40" s="44">
        <f t="shared" si="30"/>
        <v>0</v>
      </c>
      <c r="CL40" s="44">
        <f t="shared" si="96"/>
        <v>0</v>
      </c>
      <c r="CM40" s="44">
        <f t="shared" si="31"/>
        <v>0</v>
      </c>
      <c r="CN40" s="44">
        <f t="shared" si="97"/>
        <v>0</v>
      </c>
      <c r="CO40" s="44">
        <f t="shared" si="32"/>
        <v>0</v>
      </c>
      <c r="CP40" s="46">
        <f t="shared" si="33"/>
        <v>0</v>
      </c>
      <c r="CQ40" s="47">
        <f t="shared" si="34"/>
        <v>0</v>
      </c>
      <c r="CR40" s="604">
        <f t="shared" si="98"/>
        <v>0</v>
      </c>
      <c r="CS40" s="44">
        <f t="shared" si="99"/>
        <v>0</v>
      </c>
      <c r="CT40" s="44">
        <f t="shared" si="100"/>
        <v>0</v>
      </c>
      <c r="CU40" s="44">
        <f t="shared" si="101"/>
        <v>0</v>
      </c>
      <c r="CV40" s="44">
        <f t="shared" si="102"/>
        <v>0</v>
      </c>
      <c r="CW40" s="44">
        <f t="shared" si="103"/>
        <v>0</v>
      </c>
      <c r="CX40" s="44">
        <f t="shared" si="35"/>
        <v>0</v>
      </c>
      <c r="CY40" s="44">
        <f t="shared" si="104"/>
        <v>0</v>
      </c>
      <c r="CZ40" s="44">
        <f t="shared" si="36"/>
        <v>0</v>
      </c>
      <c r="DA40" s="44">
        <f t="shared" si="105"/>
        <v>0</v>
      </c>
      <c r="DB40" s="44">
        <f t="shared" si="37"/>
        <v>0</v>
      </c>
      <c r="DC40" s="46">
        <f t="shared" si="38"/>
        <v>0</v>
      </c>
      <c r="DD40" s="47">
        <f t="shared" si="39"/>
        <v>0</v>
      </c>
      <c r="DE40" s="604">
        <f t="shared" si="106"/>
        <v>0</v>
      </c>
      <c r="DF40" s="44">
        <f t="shared" si="107"/>
        <v>0</v>
      </c>
      <c r="DG40" s="44">
        <f t="shared" si="108"/>
        <v>0</v>
      </c>
      <c r="DH40" s="44">
        <f t="shared" si="109"/>
        <v>0</v>
      </c>
      <c r="DI40" s="44">
        <f t="shared" si="110"/>
        <v>0</v>
      </c>
      <c r="DJ40" s="44">
        <f t="shared" si="111"/>
        <v>0</v>
      </c>
      <c r="DK40" s="44">
        <f t="shared" si="40"/>
        <v>0</v>
      </c>
      <c r="DL40" s="44">
        <f t="shared" si="112"/>
        <v>0</v>
      </c>
      <c r="DM40" s="44">
        <f t="shared" si="41"/>
        <v>0</v>
      </c>
      <c r="DN40" s="44">
        <f t="shared" si="113"/>
        <v>0</v>
      </c>
      <c r="DO40" s="44">
        <f t="shared" si="42"/>
        <v>0</v>
      </c>
      <c r="DP40" s="46">
        <f t="shared" si="43"/>
        <v>0</v>
      </c>
      <c r="DQ40" s="47">
        <f t="shared" si="44"/>
        <v>0</v>
      </c>
      <c r="DR40" s="604">
        <f t="shared" si="114"/>
        <v>0</v>
      </c>
      <c r="DS40" s="44">
        <f t="shared" si="115"/>
        <v>0</v>
      </c>
      <c r="DT40" s="44">
        <f t="shared" si="116"/>
        <v>0</v>
      </c>
      <c r="DU40" s="44">
        <f t="shared" si="117"/>
        <v>0</v>
      </c>
      <c r="DV40" s="44">
        <f t="shared" si="118"/>
        <v>0</v>
      </c>
      <c r="DW40" s="44">
        <f t="shared" si="119"/>
        <v>0</v>
      </c>
      <c r="DX40" s="44">
        <f t="shared" si="45"/>
        <v>0</v>
      </c>
      <c r="DY40" s="44">
        <f t="shared" si="120"/>
        <v>0</v>
      </c>
      <c r="DZ40" s="44">
        <f t="shared" si="46"/>
        <v>0</v>
      </c>
      <c r="EA40" s="44">
        <f t="shared" si="121"/>
        <v>0</v>
      </c>
      <c r="EB40" s="44">
        <f t="shared" si="47"/>
        <v>0</v>
      </c>
      <c r="EC40" s="46">
        <f t="shared" si="48"/>
        <v>0</v>
      </c>
      <c r="ED40" s="47">
        <f t="shared" si="49"/>
        <v>0</v>
      </c>
    </row>
    <row r="41" spans="1:134" x14ac:dyDescent="0.35">
      <c r="A41" s="182"/>
      <c r="B41" s="183" t="s">
        <v>212</v>
      </c>
      <c r="C41" s="183"/>
      <c r="D41" s="184"/>
      <c r="E41" s="87"/>
      <c r="F41" s="85"/>
      <c r="G41" s="88"/>
      <c r="H41" s="179"/>
      <c r="I41" s="180"/>
      <c r="J41" s="181"/>
      <c r="K41" s="42">
        <f t="shared" si="0"/>
        <v>0</v>
      </c>
      <c r="L41" s="43">
        <f t="shared" si="1"/>
        <v>0</v>
      </c>
      <c r="M41" s="44">
        <f t="shared" si="2"/>
        <v>0</v>
      </c>
      <c r="N41" s="44"/>
      <c r="O41" s="44">
        <f t="shared" si="3"/>
        <v>0</v>
      </c>
      <c r="P41" s="45"/>
      <c r="Q41" s="44">
        <f t="shared" si="4"/>
        <v>0</v>
      </c>
      <c r="R41" s="604">
        <f t="shared" si="50"/>
        <v>0</v>
      </c>
      <c r="S41" s="44">
        <f t="shared" si="51"/>
        <v>0</v>
      </c>
      <c r="T41" s="44">
        <f t="shared" si="52"/>
        <v>0</v>
      </c>
      <c r="U41" s="44">
        <f t="shared" si="53"/>
        <v>0</v>
      </c>
      <c r="V41" s="44">
        <f t="shared" si="54"/>
        <v>0</v>
      </c>
      <c r="W41" s="44">
        <f t="shared" si="55"/>
        <v>0</v>
      </c>
      <c r="X41" s="44">
        <f t="shared" si="5"/>
        <v>0</v>
      </c>
      <c r="Y41" s="44">
        <f t="shared" si="56"/>
        <v>0</v>
      </c>
      <c r="Z41" s="44">
        <f t="shared" si="6"/>
        <v>0</v>
      </c>
      <c r="AA41" s="44">
        <f t="shared" si="57"/>
        <v>0</v>
      </c>
      <c r="AB41" s="44">
        <f t="shared" si="7"/>
        <v>0</v>
      </c>
      <c r="AC41" s="46">
        <f t="shared" si="8"/>
        <v>0</v>
      </c>
      <c r="AD41" s="47">
        <f t="shared" si="9"/>
        <v>0</v>
      </c>
      <c r="AE41" s="604">
        <f t="shared" si="58"/>
        <v>0</v>
      </c>
      <c r="AF41" s="44">
        <f t="shared" si="59"/>
        <v>0</v>
      </c>
      <c r="AG41" s="44">
        <f t="shared" si="60"/>
        <v>0</v>
      </c>
      <c r="AH41" s="44">
        <f t="shared" si="61"/>
        <v>0</v>
      </c>
      <c r="AI41" s="44">
        <f t="shared" si="62"/>
        <v>0</v>
      </c>
      <c r="AJ41" s="44">
        <f t="shared" si="63"/>
        <v>0</v>
      </c>
      <c r="AK41" s="44">
        <f t="shared" si="10"/>
        <v>0</v>
      </c>
      <c r="AL41" s="44">
        <f t="shared" si="64"/>
        <v>0</v>
      </c>
      <c r="AM41" s="44">
        <f t="shared" si="11"/>
        <v>0</v>
      </c>
      <c r="AN41" s="44">
        <f t="shared" si="65"/>
        <v>0</v>
      </c>
      <c r="AO41" s="44">
        <f t="shared" si="12"/>
        <v>0</v>
      </c>
      <c r="AP41" s="46">
        <f t="shared" si="13"/>
        <v>0</v>
      </c>
      <c r="AQ41" s="47">
        <f t="shared" si="14"/>
        <v>0</v>
      </c>
      <c r="AR41" s="604">
        <f t="shared" si="66"/>
        <v>0</v>
      </c>
      <c r="AS41" s="44">
        <f t="shared" si="67"/>
        <v>0</v>
      </c>
      <c r="AT41" s="44">
        <f t="shared" si="68"/>
        <v>0</v>
      </c>
      <c r="AU41" s="44">
        <f t="shared" si="69"/>
        <v>0</v>
      </c>
      <c r="AV41" s="44">
        <f t="shared" si="70"/>
        <v>0</v>
      </c>
      <c r="AW41" s="44">
        <f t="shared" si="71"/>
        <v>0</v>
      </c>
      <c r="AX41" s="44">
        <f t="shared" si="15"/>
        <v>0</v>
      </c>
      <c r="AY41" s="44">
        <f t="shared" si="72"/>
        <v>0</v>
      </c>
      <c r="AZ41" s="44">
        <f t="shared" si="16"/>
        <v>0</v>
      </c>
      <c r="BA41" s="44">
        <f t="shared" si="73"/>
        <v>0</v>
      </c>
      <c r="BB41" s="44">
        <f t="shared" si="17"/>
        <v>0</v>
      </c>
      <c r="BC41" s="46">
        <f t="shared" si="18"/>
        <v>0</v>
      </c>
      <c r="BD41" s="47">
        <f t="shared" si="19"/>
        <v>0</v>
      </c>
      <c r="BE41" s="604">
        <f t="shared" si="74"/>
        <v>0</v>
      </c>
      <c r="BF41" s="44">
        <f t="shared" si="75"/>
        <v>0</v>
      </c>
      <c r="BG41" s="44">
        <f t="shared" si="76"/>
        <v>0</v>
      </c>
      <c r="BH41" s="44">
        <f t="shared" si="77"/>
        <v>0</v>
      </c>
      <c r="BI41" s="44">
        <f t="shared" si="78"/>
        <v>0</v>
      </c>
      <c r="BJ41" s="44">
        <f t="shared" si="79"/>
        <v>0</v>
      </c>
      <c r="BK41" s="44">
        <f t="shared" si="20"/>
        <v>0</v>
      </c>
      <c r="BL41" s="44">
        <f t="shared" si="80"/>
        <v>0</v>
      </c>
      <c r="BM41" s="44">
        <f t="shared" si="21"/>
        <v>0</v>
      </c>
      <c r="BN41" s="44">
        <f t="shared" si="81"/>
        <v>0</v>
      </c>
      <c r="BO41" s="44">
        <f t="shared" si="22"/>
        <v>0</v>
      </c>
      <c r="BP41" s="46">
        <f t="shared" si="23"/>
        <v>0</v>
      </c>
      <c r="BQ41" s="47">
        <f t="shared" si="24"/>
        <v>0</v>
      </c>
      <c r="BR41" s="604">
        <f t="shared" si="82"/>
        <v>0</v>
      </c>
      <c r="BS41" s="44">
        <f t="shared" si="83"/>
        <v>0</v>
      </c>
      <c r="BT41" s="44">
        <f t="shared" si="84"/>
        <v>0</v>
      </c>
      <c r="BU41" s="44">
        <f t="shared" si="85"/>
        <v>0</v>
      </c>
      <c r="BV41" s="44">
        <f t="shared" si="86"/>
        <v>0</v>
      </c>
      <c r="BW41" s="44">
        <f t="shared" si="87"/>
        <v>0</v>
      </c>
      <c r="BX41" s="44">
        <f t="shared" si="25"/>
        <v>0</v>
      </c>
      <c r="BY41" s="44">
        <f t="shared" si="88"/>
        <v>0</v>
      </c>
      <c r="BZ41" s="44">
        <f t="shared" si="26"/>
        <v>0</v>
      </c>
      <c r="CA41" s="44">
        <f t="shared" si="89"/>
        <v>0</v>
      </c>
      <c r="CB41" s="44">
        <f t="shared" si="27"/>
        <v>0</v>
      </c>
      <c r="CC41" s="46">
        <f t="shared" si="28"/>
        <v>0</v>
      </c>
      <c r="CD41" s="47">
        <f t="shared" si="29"/>
        <v>0</v>
      </c>
      <c r="CE41" s="604">
        <f t="shared" si="90"/>
        <v>0</v>
      </c>
      <c r="CF41" s="44">
        <f t="shared" si="91"/>
        <v>0</v>
      </c>
      <c r="CG41" s="44">
        <f t="shared" si="92"/>
        <v>0</v>
      </c>
      <c r="CH41" s="44">
        <f t="shared" si="93"/>
        <v>0</v>
      </c>
      <c r="CI41" s="44">
        <f t="shared" si="94"/>
        <v>0</v>
      </c>
      <c r="CJ41" s="44">
        <f t="shared" si="95"/>
        <v>0</v>
      </c>
      <c r="CK41" s="44">
        <f t="shared" si="30"/>
        <v>0</v>
      </c>
      <c r="CL41" s="44">
        <f t="shared" si="96"/>
        <v>0</v>
      </c>
      <c r="CM41" s="44">
        <f t="shared" si="31"/>
        <v>0</v>
      </c>
      <c r="CN41" s="44">
        <f t="shared" si="97"/>
        <v>0</v>
      </c>
      <c r="CO41" s="44">
        <f t="shared" si="32"/>
        <v>0</v>
      </c>
      <c r="CP41" s="46">
        <f t="shared" si="33"/>
        <v>0</v>
      </c>
      <c r="CQ41" s="47">
        <f t="shared" si="34"/>
        <v>0</v>
      </c>
      <c r="CR41" s="604">
        <f t="shared" si="98"/>
        <v>0</v>
      </c>
      <c r="CS41" s="44">
        <f t="shared" si="99"/>
        <v>0</v>
      </c>
      <c r="CT41" s="44">
        <f t="shared" si="100"/>
        <v>0</v>
      </c>
      <c r="CU41" s="44">
        <f t="shared" si="101"/>
        <v>0</v>
      </c>
      <c r="CV41" s="44">
        <f t="shared" si="102"/>
        <v>0</v>
      </c>
      <c r="CW41" s="44">
        <f t="shared" si="103"/>
        <v>0</v>
      </c>
      <c r="CX41" s="44">
        <f t="shared" si="35"/>
        <v>0</v>
      </c>
      <c r="CY41" s="44">
        <f t="shared" si="104"/>
        <v>0</v>
      </c>
      <c r="CZ41" s="44">
        <f t="shared" si="36"/>
        <v>0</v>
      </c>
      <c r="DA41" s="44">
        <f t="shared" si="105"/>
        <v>0</v>
      </c>
      <c r="DB41" s="44">
        <f t="shared" si="37"/>
        <v>0</v>
      </c>
      <c r="DC41" s="46">
        <f t="shared" si="38"/>
        <v>0</v>
      </c>
      <c r="DD41" s="47">
        <f t="shared" si="39"/>
        <v>0</v>
      </c>
      <c r="DE41" s="604">
        <f t="shared" si="106"/>
        <v>0</v>
      </c>
      <c r="DF41" s="44">
        <f t="shared" si="107"/>
        <v>0</v>
      </c>
      <c r="DG41" s="44">
        <f t="shared" si="108"/>
        <v>0</v>
      </c>
      <c r="DH41" s="44">
        <f t="shared" si="109"/>
        <v>0</v>
      </c>
      <c r="DI41" s="44">
        <f t="shared" si="110"/>
        <v>0</v>
      </c>
      <c r="DJ41" s="44">
        <f t="shared" si="111"/>
        <v>0</v>
      </c>
      <c r="DK41" s="44">
        <f t="shared" si="40"/>
        <v>0</v>
      </c>
      <c r="DL41" s="44">
        <f t="shared" si="112"/>
        <v>0</v>
      </c>
      <c r="DM41" s="44">
        <f t="shared" si="41"/>
        <v>0</v>
      </c>
      <c r="DN41" s="44">
        <f t="shared" si="113"/>
        <v>0</v>
      </c>
      <c r="DO41" s="44">
        <f t="shared" si="42"/>
        <v>0</v>
      </c>
      <c r="DP41" s="46">
        <f t="shared" si="43"/>
        <v>0</v>
      </c>
      <c r="DQ41" s="47">
        <f t="shared" si="44"/>
        <v>0</v>
      </c>
      <c r="DR41" s="604">
        <f t="shared" si="114"/>
        <v>0</v>
      </c>
      <c r="DS41" s="44">
        <f t="shared" si="115"/>
        <v>0</v>
      </c>
      <c r="DT41" s="44">
        <f t="shared" si="116"/>
        <v>0</v>
      </c>
      <c r="DU41" s="44">
        <f t="shared" si="117"/>
        <v>0</v>
      </c>
      <c r="DV41" s="44">
        <f t="shared" si="118"/>
        <v>0</v>
      </c>
      <c r="DW41" s="44">
        <f t="shared" si="119"/>
        <v>0</v>
      </c>
      <c r="DX41" s="44">
        <f t="shared" si="45"/>
        <v>0</v>
      </c>
      <c r="DY41" s="44">
        <f t="shared" si="120"/>
        <v>0</v>
      </c>
      <c r="DZ41" s="44">
        <f t="shared" si="46"/>
        <v>0</v>
      </c>
      <c r="EA41" s="44">
        <f t="shared" si="121"/>
        <v>0</v>
      </c>
      <c r="EB41" s="44">
        <f t="shared" si="47"/>
        <v>0</v>
      </c>
      <c r="EC41" s="46">
        <f t="shared" si="48"/>
        <v>0</v>
      </c>
      <c r="ED41" s="47">
        <f t="shared" si="49"/>
        <v>0</v>
      </c>
    </row>
    <row r="42" spans="1:134" x14ac:dyDescent="0.35">
      <c r="A42" s="182">
        <v>1998</v>
      </c>
      <c r="B42" s="183" t="s">
        <v>213</v>
      </c>
      <c r="C42" s="183"/>
      <c r="D42" s="175" t="s">
        <v>15</v>
      </c>
      <c r="E42" s="87">
        <v>420000</v>
      </c>
      <c r="F42" s="85">
        <v>35977</v>
      </c>
      <c r="G42" s="88">
        <v>50</v>
      </c>
      <c r="H42" s="179"/>
      <c r="I42" s="180"/>
      <c r="J42" s="181"/>
      <c r="K42" s="42">
        <f t="shared" si="0"/>
        <v>0.02</v>
      </c>
      <c r="L42" s="43">
        <f t="shared" si="1"/>
        <v>8400</v>
      </c>
      <c r="M42" s="44">
        <f t="shared" si="2"/>
        <v>306600</v>
      </c>
      <c r="N42" s="44"/>
      <c r="O42" s="44">
        <f t="shared" si="3"/>
        <v>113400</v>
      </c>
      <c r="P42" s="45"/>
      <c r="Q42" s="44">
        <f t="shared" si="4"/>
        <v>420000</v>
      </c>
      <c r="R42" s="604">
        <f t="shared" si="50"/>
        <v>0</v>
      </c>
      <c r="S42" s="44">
        <f t="shared" si="51"/>
        <v>0</v>
      </c>
      <c r="T42" s="44">
        <f t="shared" si="52"/>
        <v>0</v>
      </c>
      <c r="U42" s="44">
        <f t="shared" si="53"/>
        <v>0</v>
      </c>
      <c r="V42" s="44">
        <f t="shared" si="54"/>
        <v>420000</v>
      </c>
      <c r="W42" s="44">
        <f t="shared" si="55"/>
        <v>420000</v>
      </c>
      <c r="X42" s="44">
        <f t="shared" si="5"/>
        <v>8400</v>
      </c>
      <c r="Y42" s="44">
        <f t="shared" si="56"/>
        <v>8400</v>
      </c>
      <c r="Z42" s="44">
        <f t="shared" si="6"/>
        <v>298200</v>
      </c>
      <c r="AA42" s="44">
        <f t="shared" si="57"/>
        <v>298200</v>
      </c>
      <c r="AB42" s="44">
        <f t="shared" si="7"/>
        <v>121800</v>
      </c>
      <c r="AC42" s="46">
        <f t="shared" si="8"/>
        <v>0</v>
      </c>
      <c r="AD42" s="47">
        <f t="shared" si="9"/>
        <v>0</v>
      </c>
      <c r="AE42" s="604">
        <f t="shared" si="58"/>
        <v>0</v>
      </c>
      <c r="AF42" s="44">
        <f t="shared" si="59"/>
        <v>0</v>
      </c>
      <c r="AG42" s="44">
        <f t="shared" si="60"/>
        <v>0</v>
      </c>
      <c r="AH42" s="44">
        <f t="shared" si="61"/>
        <v>0</v>
      </c>
      <c r="AI42" s="44">
        <f t="shared" si="62"/>
        <v>420000</v>
      </c>
      <c r="AJ42" s="44">
        <f t="shared" si="63"/>
        <v>420000</v>
      </c>
      <c r="AK42" s="44">
        <f t="shared" si="10"/>
        <v>8400</v>
      </c>
      <c r="AL42" s="44">
        <f t="shared" si="64"/>
        <v>8400</v>
      </c>
      <c r="AM42" s="44">
        <f t="shared" si="11"/>
        <v>289800</v>
      </c>
      <c r="AN42" s="44">
        <f t="shared" si="65"/>
        <v>289800</v>
      </c>
      <c r="AO42" s="44">
        <f t="shared" si="12"/>
        <v>130200</v>
      </c>
      <c r="AP42" s="46">
        <f t="shared" si="13"/>
        <v>0</v>
      </c>
      <c r="AQ42" s="47">
        <f t="shared" si="14"/>
        <v>0</v>
      </c>
      <c r="AR42" s="604">
        <f t="shared" si="66"/>
        <v>0</v>
      </c>
      <c r="AS42" s="44">
        <f t="shared" si="67"/>
        <v>0</v>
      </c>
      <c r="AT42" s="44">
        <f t="shared" si="68"/>
        <v>0</v>
      </c>
      <c r="AU42" s="44">
        <f t="shared" si="69"/>
        <v>0</v>
      </c>
      <c r="AV42" s="44">
        <f t="shared" si="70"/>
        <v>420000</v>
      </c>
      <c r="AW42" s="44">
        <f t="shared" si="71"/>
        <v>420000</v>
      </c>
      <c r="AX42" s="44">
        <f t="shared" si="15"/>
        <v>8400</v>
      </c>
      <c r="AY42" s="44">
        <f t="shared" si="72"/>
        <v>8400</v>
      </c>
      <c r="AZ42" s="44">
        <f t="shared" si="16"/>
        <v>281400</v>
      </c>
      <c r="BA42" s="44">
        <f t="shared" si="73"/>
        <v>281400</v>
      </c>
      <c r="BB42" s="44">
        <f t="shared" si="17"/>
        <v>138600</v>
      </c>
      <c r="BC42" s="46">
        <f t="shared" si="18"/>
        <v>0</v>
      </c>
      <c r="BD42" s="47">
        <f t="shared" si="19"/>
        <v>0</v>
      </c>
      <c r="BE42" s="604">
        <f t="shared" si="74"/>
        <v>0</v>
      </c>
      <c r="BF42" s="44">
        <f t="shared" si="75"/>
        <v>0</v>
      </c>
      <c r="BG42" s="44">
        <f t="shared" si="76"/>
        <v>0</v>
      </c>
      <c r="BH42" s="44">
        <f t="shared" si="77"/>
        <v>0</v>
      </c>
      <c r="BI42" s="44">
        <f t="shared" si="78"/>
        <v>420000</v>
      </c>
      <c r="BJ42" s="44">
        <f t="shared" si="79"/>
        <v>420000</v>
      </c>
      <c r="BK42" s="44">
        <f t="shared" si="20"/>
        <v>8400</v>
      </c>
      <c r="BL42" s="44">
        <f t="shared" si="80"/>
        <v>8400</v>
      </c>
      <c r="BM42" s="44">
        <f t="shared" si="21"/>
        <v>273000</v>
      </c>
      <c r="BN42" s="44">
        <f t="shared" si="81"/>
        <v>273000</v>
      </c>
      <c r="BO42" s="44">
        <f t="shared" si="22"/>
        <v>147000</v>
      </c>
      <c r="BP42" s="46">
        <f t="shared" si="23"/>
        <v>0</v>
      </c>
      <c r="BQ42" s="47">
        <f t="shared" si="24"/>
        <v>0</v>
      </c>
      <c r="BR42" s="604">
        <f t="shared" si="82"/>
        <v>0</v>
      </c>
      <c r="BS42" s="44">
        <f t="shared" si="83"/>
        <v>0</v>
      </c>
      <c r="BT42" s="44">
        <f t="shared" si="84"/>
        <v>0</v>
      </c>
      <c r="BU42" s="44">
        <f t="shared" si="85"/>
        <v>0</v>
      </c>
      <c r="BV42" s="44">
        <f t="shared" si="86"/>
        <v>420000</v>
      </c>
      <c r="BW42" s="44">
        <f t="shared" si="87"/>
        <v>420000</v>
      </c>
      <c r="BX42" s="44">
        <f t="shared" si="25"/>
        <v>8400</v>
      </c>
      <c r="BY42" s="44">
        <f t="shared" si="88"/>
        <v>8400</v>
      </c>
      <c r="BZ42" s="44">
        <f t="shared" si="26"/>
        <v>264600</v>
      </c>
      <c r="CA42" s="44">
        <f t="shared" si="89"/>
        <v>264600</v>
      </c>
      <c r="CB42" s="44">
        <f t="shared" si="27"/>
        <v>155400</v>
      </c>
      <c r="CC42" s="46">
        <f t="shared" si="28"/>
        <v>0</v>
      </c>
      <c r="CD42" s="47">
        <f t="shared" si="29"/>
        <v>0</v>
      </c>
      <c r="CE42" s="604">
        <f t="shared" si="90"/>
        <v>0</v>
      </c>
      <c r="CF42" s="44">
        <f t="shared" si="91"/>
        <v>0</v>
      </c>
      <c r="CG42" s="44">
        <f t="shared" si="92"/>
        <v>0</v>
      </c>
      <c r="CH42" s="44">
        <f t="shared" si="93"/>
        <v>0</v>
      </c>
      <c r="CI42" s="44">
        <f t="shared" si="94"/>
        <v>420000</v>
      </c>
      <c r="CJ42" s="44">
        <f t="shared" si="95"/>
        <v>420000</v>
      </c>
      <c r="CK42" s="44">
        <f t="shared" si="30"/>
        <v>8400</v>
      </c>
      <c r="CL42" s="44">
        <f t="shared" si="96"/>
        <v>8400</v>
      </c>
      <c r="CM42" s="44">
        <f t="shared" si="31"/>
        <v>256200</v>
      </c>
      <c r="CN42" s="44">
        <f t="shared" si="97"/>
        <v>256200</v>
      </c>
      <c r="CO42" s="44">
        <f t="shared" si="32"/>
        <v>163800</v>
      </c>
      <c r="CP42" s="46">
        <f t="shared" si="33"/>
        <v>0</v>
      </c>
      <c r="CQ42" s="47">
        <f t="shared" si="34"/>
        <v>0</v>
      </c>
      <c r="CR42" s="604">
        <f t="shared" si="98"/>
        <v>0</v>
      </c>
      <c r="CS42" s="44">
        <f t="shared" si="99"/>
        <v>0</v>
      </c>
      <c r="CT42" s="44">
        <f t="shared" si="100"/>
        <v>0</v>
      </c>
      <c r="CU42" s="44">
        <f t="shared" si="101"/>
        <v>0</v>
      </c>
      <c r="CV42" s="44">
        <f t="shared" si="102"/>
        <v>420000</v>
      </c>
      <c r="CW42" s="44">
        <f t="shared" si="103"/>
        <v>420000</v>
      </c>
      <c r="CX42" s="44">
        <f t="shared" si="35"/>
        <v>8400</v>
      </c>
      <c r="CY42" s="44">
        <f t="shared" si="104"/>
        <v>8400</v>
      </c>
      <c r="CZ42" s="44">
        <f t="shared" si="36"/>
        <v>247800</v>
      </c>
      <c r="DA42" s="44">
        <f t="shared" si="105"/>
        <v>247800</v>
      </c>
      <c r="DB42" s="44">
        <f t="shared" si="37"/>
        <v>172200</v>
      </c>
      <c r="DC42" s="46">
        <f t="shared" si="38"/>
        <v>0</v>
      </c>
      <c r="DD42" s="47">
        <f t="shared" si="39"/>
        <v>0</v>
      </c>
      <c r="DE42" s="604">
        <f t="shared" si="106"/>
        <v>0</v>
      </c>
      <c r="DF42" s="44">
        <f t="shared" si="107"/>
        <v>0</v>
      </c>
      <c r="DG42" s="44">
        <f t="shared" si="108"/>
        <v>0</v>
      </c>
      <c r="DH42" s="44">
        <f t="shared" si="109"/>
        <v>0</v>
      </c>
      <c r="DI42" s="44">
        <f t="shared" si="110"/>
        <v>420000</v>
      </c>
      <c r="DJ42" s="44">
        <f t="shared" si="111"/>
        <v>420000</v>
      </c>
      <c r="DK42" s="44">
        <f t="shared" si="40"/>
        <v>8400</v>
      </c>
      <c r="DL42" s="44">
        <f t="shared" si="112"/>
        <v>8400</v>
      </c>
      <c r="DM42" s="44">
        <f t="shared" si="41"/>
        <v>239400</v>
      </c>
      <c r="DN42" s="44">
        <f t="shared" si="113"/>
        <v>239400</v>
      </c>
      <c r="DO42" s="44">
        <f t="shared" si="42"/>
        <v>180600</v>
      </c>
      <c r="DP42" s="46">
        <f t="shared" si="43"/>
        <v>0</v>
      </c>
      <c r="DQ42" s="47">
        <f t="shared" si="44"/>
        <v>0</v>
      </c>
      <c r="DR42" s="604">
        <f t="shared" si="114"/>
        <v>0</v>
      </c>
      <c r="DS42" s="44">
        <f t="shared" si="115"/>
        <v>0</v>
      </c>
      <c r="DT42" s="44">
        <f t="shared" si="116"/>
        <v>0</v>
      </c>
      <c r="DU42" s="44">
        <f t="shared" si="117"/>
        <v>0</v>
      </c>
      <c r="DV42" s="44">
        <f t="shared" si="118"/>
        <v>420000</v>
      </c>
      <c r="DW42" s="44">
        <f t="shared" si="119"/>
        <v>420000</v>
      </c>
      <c r="DX42" s="44">
        <f t="shared" si="45"/>
        <v>8400</v>
      </c>
      <c r="DY42" s="44">
        <f t="shared" si="120"/>
        <v>8400</v>
      </c>
      <c r="DZ42" s="44">
        <f t="shared" si="46"/>
        <v>231000</v>
      </c>
      <c r="EA42" s="44">
        <f t="shared" si="121"/>
        <v>231000</v>
      </c>
      <c r="EB42" s="44">
        <f t="shared" si="47"/>
        <v>189000</v>
      </c>
      <c r="EC42" s="46">
        <f t="shared" si="48"/>
        <v>0</v>
      </c>
      <c r="ED42" s="47">
        <f t="shared" si="49"/>
        <v>0</v>
      </c>
    </row>
    <row r="43" spans="1:134" x14ac:dyDescent="0.35">
      <c r="A43" s="182">
        <v>2000</v>
      </c>
      <c r="B43" s="183" t="s">
        <v>214</v>
      </c>
      <c r="C43" s="183"/>
      <c r="D43" s="175" t="s">
        <v>15</v>
      </c>
      <c r="E43" s="87">
        <v>130000</v>
      </c>
      <c r="F43" s="85">
        <v>36708</v>
      </c>
      <c r="G43" s="88">
        <v>50</v>
      </c>
      <c r="H43" s="179"/>
      <c r="I43" s="180"/>
      <c r="J43" s="181"/>
      <c r="K43" s="42">
        <f t="shared" si="0"/>
        <v>0.02</v>
      </c>
      <c r="L43" s="43">
        <f t="shared" si="1"/>
        <v>2600</v>
      </c>
      <c r="M43" s="44">
        <f t="shared" si="2"/>
        <v>100100</v>
      </c>
      <c r="N43" s="44"/>
      <c r="O43" s="44">
        <f t="shared" si="3"/>
        <v>29900</v>
      </c>
      <c r="P43" s="45"/>
      <c r="Q43" s="44">
        <f t="shared" si="4"/>
        <v>130000</v>
      </c>
      <c r="R43" s="604">
        <f t="shared" si="50"/>
        <v>0</v>
      </c>
      <c r="S43" s="44">
        <f t="shared" si="51"/>
        <v>0</v>
      </c>
      <c r="T43" s="44">
        <f t="shared" si="52"/>
        <v>0</v>
      </c>
      <c r="U43" s="44">
        <f t="shared" si="53"/>
        <v>0</v>
      </c>
      <c r="V43" s="44">
        <f t="shared" si="54"/>
        <v>130000</v>
      </c>
      <c r="W43" s="44">
        <f t="shared" si="55"/>
        <v>130000</v>
      </c>
      <c r="X43" s="44">
        <f t="shared" si="5"/>
        <v>2600</v>
      </c>
      <c r="Y43" s="44">
        <f t="shared" si="56"/>
        <v>2600</v>
      </c>
      <c r="Z43" s="44">
        <f t="shared" si="6"/>
        <v>97500</v>
      </c>
      <c r="AA43" s="44">
        <f t="shared" si="57"/>
        <v>97500</v>
      </c>
      <c r="AB43" s="44">
        <f t="shared" si="7"/>
        <v>32500</v>
      </c>
      <c r="AC43" s="46">
        <f t="shared" si="8"/>
        <v>0</v>
      </c>
      <c r="AD43" s="47">
        <f t="shared" si="9"/>
        <v>0</v>
      </c>
      <c r="AE43" s="604">
        <f t="shared" si="58"/>
        <v>0</v>
      </c>
      <c r="AF43" s="44">
        <f t="shared" si="59"/>
        <v>0</v>
      </c>
      <c r="AG43" s="44">
        <f t="shared" si="60"/>
        <v>0</v>
      </c>
      <c r="AH43" s="44">
        <f t="shared" si="61"/>
        <v>0</v>
      </c>
      <c r="AI43" s="44">
        <f t="shared" si="62"/>
        <v>130000</v>
      </c>
      <c r="AJ43" s="44">
        <f t="shared" si="63"/>
        <v>130000</v>
      </c>
      <c r="AK43" s="44">
        <f t="shared" si="10"/>
        <v>2600</v>
      </c>
      <c r="AL43" s="44">
        <f t="shared" si="64"/>
        <v>2600</v>
      </c>
      <c r="AM43" s="44">
        <f t="shared" si="11"/>
        <v>94900</v>
      </c>
      <c r="AN43" s="44">
        <f t="shared" si="65"/>
        <v>94900</v>
      </c>
      <c r="AO43" s="44">
        <f t="shared" si="12"/>
        <v>35100</v>
      </c>
      <c r="AP43" s="46">
        <f t="shared" si="13"/>
        <v>0</v>
      </c>
      <c r="AQ43" s="47">
        <f t="shared" si="14"/>
        <v>0</v>
      </c>
      <c r="AR43" s="604">
        <f t="shared" si="66"/>
        <v>0</v>
      </c>
      <c r="AS43" s="44">
        <f t="shared" si="67"/>
        <v>0</v>
      </c>
      <c r="AT43" s="44">
        <f t="shared" si="68"/>
        <v>0</v>
      </c>
      <c r="AU43" s="44">
        <f t="shared" si="69"/>
        <v>0</v>
      </c>
      <c r="AV43" s="44">
        <f t="shared" si="70"/>
        <v>130000</v>
      </c>
      <c r="AW43" s="44">
        <f t="shared" si="71"/>
        <v>130000</v>
      </c>
      <c r="AX43" s="44">
        <f t="shared" si="15"/>
        <v>2600</v>
      </c>
      <c r="AY43" s="44">
        <f t="shared" si="72"/>
        <v>2600</v>
      </c>
      <c r="AZ43" s="44">
        <f t="shared" si="16"/>
        <v>92300</v>
      </c>
      <c r="BA43" s="44">
        <f t="shared" si="73"/>
        <v>92300</v>
      </c>
      <c r="BB43" s="44">
        <f t="shared" si="17"/>
        <v>37700</v>
      </c>
      <c r="BC43" s="46">
        <f t="shared" si="18"/>
        <v>0</v>
      </c>
      <c r="BD43" s="47">
        <f t="shared" si="19"/>
        <v>0</v>
      </c>
      <c r="BE43" s="604">
        <f t="shared" si="74"/>
        <v>0</v>
      </c>
      <c r="BF43" s="44">
        <f t="shared" si="75"/>
        <v>0</v>
      </c>
      <c r="BG43" s="44">
        <f t="shared" si="76"/>
        <v>0</v>
      </c>
      <c r="BH43" s="44">
        <f t="shared" si="77"/>
        <v>0</v>
      </c>
      <c r="BI43" s="44">
        <f t="shared" si="78"/>
        <v>130000</v>
      </c>
      <c r="BJ43" s="44">
        <f t="shared" si="79"/>
        <v>130000</v>
      </c>
      <c r="BK43" s="44">
        <f t="shared" si="20"/>
        <v>2600</v>
      </c>
      <c r="BL43" s="44">
        <f t="shared" si="80"/>
        <v>2600</v>
      </c>
      <c r="BM43" s="44">
        <f t="shared" si="21"/>
        <v>89700</v>
      </c>
      <c r="BN43" s="44">
        <f t="shared" si="81"/>
        <v>89700</v>
      </c>
      <c r="BO43" s="44">
        <f t="shared" si="22"/>
        <v>40300</v>
      </c>
      <c r="BP43" s="46">
        <f t="shared" si="23"/>
        <v>0</v>
      </c>
      <c r="BQ43" s="47">
        <f t="shared" si="24"/>
        <v>0</v>
      </c>
      <c r="BR43" s="604">
        <f t="shared" si="82"/>
        <v>0</v>
      </c>
      <c r="BS43" s="44">
        <f t="shared" si="83"/>
        <v>0</v>
      </c>
      <c r="BT43" s="44">
        <f t="shared" si="84"/>
        <v>0</v>
      </c>
      <c r="BU43" s="44">
        <f t="shared" si="85"/>
        <v>0</v>
      </c>
      <c r="BV43" s="44">
        <f t="shared" si="86"/>
        <v>130000</v>
      </c>
      <c r="BW43" s="44">
        <f t="shared" si="87"/>
        <v>130000</v>
      </c>
      <c r="BX43" s="44">
        <f t="shared" si="25"/>
        <v>2600</v>
      </c>
      <c r="BY43" s="44">
        <f t="shared" si="88"/>
        <v>2600</v>
      </c>
      <c r="BZ43" s="44">
        <f t="shared" si="26"/>
        <v>87100</v>
      </c>
      <c r="CA43" s="44">
        <f t="shared" si="89"/>
        <v>87100</v>
      </c>
      <c r="CB43" s="44">
        <f t="shared" si="27"/>
        <v>42900</v>
      </c>
      <c r="CC43" s="46">
        <f t="shared" si="28"/>
        <v>0</v>
      </c>
      <c r="CD43" s="47">
        <f t="shared" si="29"/>
        <v>0</v>
      </c>
      <c r="CE43" s="604">
        <f t="shared" si="90"/>
        <v>0</v>
      </c>
      <c r="CF43" s="44">
        <f t="shared" si="91"/>
        <v>0</v>
      </c>
      <c r="CG43" s="44">
        <f t="shared" si="92"/>
        <v>0</v>
      </c>
      <c r="CH43" s="44">
        <f t="shared" si="93"/>
        <v>0</v>
      </c>
      <c r="CI43" s="44">
        <f t="shared" si="94"/>
        <v>130000</v>
      </c>
      <c r="CJ43" s="44">
        <f t="shared" si="95"/>
        <v>130000</v>
      </c>
      <c r="CK43" s="44">
        <f t="shared" si="30"/>
        <v>2600</v>
      </c>
      <c r="CL43" s="44">
        <f t="shared" si="96"/>
        <v>2600</v>
      </c>
      <c r="CM43" s="44">
        <f t="shared" si="31"/>
        <v>84500</v>
      </c>
      <c r="CN43" s="44">
        <f t="shared" si="97"/>
        <v>84500</v>
      </c>
      <c r="CO43" s="44">
        <f t="shared" si="32"/>
        <v>45500</v>
      </c>
      <c r="CP43" s="46">
        <f t="shared" si="33"/>
        <v>0</v>
      </c>
      <c r="CQ43" s="47">
        <f t="shared" si="34"/>
        <v>0</v>
      </c>
      <c r="CR43" s="604">
        <f t="shared" si="98"/>
        <v>0</v>
      </c>
      <c r="CS43" s="44">
        <f t="shared" si="99"/>
        <v>0</v>
      </c>
      <c r="CT43" s="44">
        <f t="shared" si="100"/>
        <v>0</v>
      </c>
      <c r="CU43" s="44">
        <f t="shared" si="101"/>
        <v>0</v>
      </c>
      <c r="CV43" s="44">
        <f t="shared" si="102"/>
        <v>130000</v>
      </c>
      <c r="CW43" s="44">
        <f t="shared" si="103"/>
        <v>130000</v>
      </c>
      <c r="CX43" s="44">
        <f t="shared" si="35"/>
        <v>2600</v>
      </c>
      <c r="CY43" s="44">
        <f t="shared" si="104"/>
        <v>2600</v>
      </c>
      <c r="CZ43" s="44">
        <f t="shared" si="36"/>
        <v>81900</v>
      </c>
      <c r="DA43" s="44">
        <f t="shared" si="105"/>
        <v>81900</v>
      </c>
      <c r="DB43" s="44">
        <f t="shared" si="37"/>
        <v>48100</v>
      </c>
      <c r="DC43" s="46">
        <f t="shared" si="38"/>
        <v>0</v>
      </c>
      <c r="DD43" s="47">
        <f t="shared" si="39"/>
        <v>0</v>
      </c>
      <c r="DE43" s="604">
        <f t="shared" si="106"/>
        <v>0</v>
      </c>
      <c r="DF43" s="44">
        <f t="shared" si="107"/>
        <v>0</v>
      </c>
      <c r="DG43" s="44">
        <f t="shared" si="108"/>
        <v>0</v>
      </c>
      <c r="DH43" s="44">
        <f t="shared" si="109"/>
        <v>0</v>
      </c>
      <c r="DI43" s="44">
        <f t="shared" si="110"/>
        <v>130000</v>
      </c>
      <c r="DJ43" s="44">
        <f t="shared" si="111"/>
        <v>130000</v>
      </c>
      <c r="DK43" s="44">
        <f t="shared" si="40"/>
        <v>2600</v>
      </c>
      <c r="DL43" s="44">
        <f t="shared" si="112"/>
        <v>2600</v>
      </c>
      <c r="DM43" s="44">
        <f t="shared" si="41"/>
        <v>79300</v>
      </c>
      <c r="DN43" s="44">
        <f t="shared" si="113"/>
        <v>79300</v>
      </c>
      <c r="DO43" s="44">
        <f t="shared" si="42"/>
        <v>50700</v>
      </c>
      <c r="DP43" s="46">
        <f t="shared" si="43"/>
        <v>0</v>
      </c>
      <c r="DQ43" s="47">
        <f t="shared" si="44"/>
        <v>0</v>
      </c>
      <c r="DR43" s="604">
        <f t="shared" si="114"/>
        <v>0</v>
      </c>
      <c r="DS43" s="44">
        <f t="shared" si="115"/>
        <v>0</v>
      </c>
      <c r="DT43" s="44">
        <f t="shared" si="116"/>
        <v>0</v>
      </c>
      <c r="DU43" s="44">
        <f t="shared" si="117"/>
        <v>0</v>
      </c>
      <c r="DV43" s="44">
        <f t="shared" si="118"/>
        <v>130000</v>
      </c>
      <c r="DW43" s="44">
        <f t="shared" si="119"/>
        <v>130000</v>
      </c>
      <c r="DX43" s="44">
        <f t="shared" si="45"/>
        <v>2600</v>
      </c>
      <c r="DY43" s="44">
        <f t="shared" si="120"/>
        <v>2600</v>
      </c>
      <c r="DZ43" s="44">
        <f t="shared" si="46"/>
        <v>76700</v>
      </c>
      <c r="EA43" s="44">
        <f t="shared" si="121"/>
        <v>76700</v>
      </c>
      <c r="EB43" s="44">
        <f t="shared" si="47"/>
        <v>53300</v>
      </c>
      <c r="EC43" s="46">
        <f t="shared" si="48"/>
        <v>0</v>
      </c>
      <c r="ED43" s="47">
        <f t="shared" si="49"/>
        <v>0</v>
      </c>
    </row>
    <row r="44" spans="1:134" x14ac:dyDescent="0.35">
      <c r="A44" s="182">
        <v>2002</v>
      </c>
      <c r="B44" s="183" t="s">
        <v>215</v>
      </c>
      <c r="C44" s="183"/>
      <c r="D44" s="175" t="s">
        <v>15</v>
      </c>
      <c r="E44" s="87">
        <v>180000</v>
      </c>
      <c r="F44" s="85">
        <v>37438</v>
      </c>
      <c r="G44" s="88">
        <v>50</v>
      </c>
      <c r="H44" s="179"/>
      <c r="I44" s="180"/>
      <c r="J44" s="181"/>
      <c r="K44" s="42">
        <f t="shared" si="0"/>
        <v>0.02</v>
      </c>
      <c r="L44" s="43">
        <f t="shared" si="1"/>
        <v>3600</v>
      </c>
      <c r="M44" s="44">
        <f t="shared" si="2"/>
        <v>145800</v>
      </c>
      <c r="N44" s="44"/>
      <c r="O44" s="44">
        <f t="shared" si="3"/>
        <v>34200</v>
      </c>
      <c r="P44" s="45"/>
      <c r="Q44" s="44">
        <f t="shared" si="4"/>
        <v>180000</v>
      </c>
      <c r="R44" s="604">
        <f t="shared" si="50"/>
        <v>0</v>
      </c>
      <c r="S44" s="44">
        <f t="shared" si="51"/>
        <v>0</v>
      </c>
      <c r="T44" s="44">
        <f t="shared" si="52"/>
        <v>0</v>
      </c>
      <c r="U44" s="44">
        <f t="shared" si="53"/>
        <v>0</v>
      </c>
      <c r="V44" s="44">
        <f t="shared" si="54"/>
        <v>180000</v>
      </c>
      <c r="W44" s="44">
        <f t="shared" si="55"/>
        <v>180000</v>
      </c>
      <c r="X44" s="44">
        <f t="shared" si="5"/>
        <v>3600</v>
      </c>
      <c r="Y44" s="44">
        <f t="shared" si="56"/>
        <v>3600</v>
      </c>
      <c r="Z44" s="44">
        <f t="shared" si="6"/>
        <v>142200</v>
      </c>
      <c r="AA44" s="44">
        <f t="shared" si="57"/>
        <v>142200</v>
      </c>
      <c r="AB44" s="44">
        <f t="shared" si="7"/>
        <v>37800</v>
      </c>
      <c r="AC44" s="46">
        <f t="shared" si="8"/>
        <v>0</v>
      </c>
      <c r="AD44" s="47">
        <f t="shared" si="9"/>
        <v>0</v>
      </c>
      <c r="AE44" s="604">
        <f t="shared" si="58"/>
        <v>0</v>
      </c>
      <c r="AF44" s="44">
        <f t="shared" si="59"/>
        <v>0</v>
      </c>
      <c r="AG44" s="44">
        <f t="shared" si="60"/>
        <v>0</v>
      </c>
      <c r="AH44" s="44">
        <f t="shared" si="61"/>
        <v>0</v>
      </c>
      <c r="AI44" s="44">
        <f t="shared" si="62"/>
        <v>180000</v>
      </c>
      <c r="AJ44" s="44">
        <f t="shared" si="63"/>
        <v>180000</v>
      </c>
      <c r="AK44" s="44">
        <f t="shared" si="10"/>
        <v>3600</v>
      </c>
      <c r="AL44" s="44">
        <f t="shared" si="64"/>
        <v>3600</v>
      </c>
      <c r="AM44" s="44">
        <f t="shared" si="11"/>
        <v>138600</v>
      </c>
      <c r="AN44" s="44">
        <f t="shared" si="65"/>
        <v>138600</v>
      </c>
      <c r="AO44" s="44">
        <f t="shared" si="12"/>
        <v>41400</v>
      </c>
      <c r="AP44" s="46">
        <f t="shared" si="13"/>
        <v>0</v>
      </c>
      <c r="AQ44" s="47">
        <f t="shared" si="14"/>
        <v>0</v>
      </c>
      <c r="AR44" s="604">
        <f t="shared" si="66"/>
        <v>0</v>
      </c>
      <c r="AS44" s="44">
        <f t="shared" si="67"/>
        <v>0</v>
      </c>
      <c r="AT44" s="44">
        <f t="shared" si="68"/>
        <v>0</v>
      </c>
      <c r="AU44" s="44">
        <f t="shared" si="69"/>
        <v>0</v>
      </c>
      <c r="AV44" s="44">
        <f t="shared" si="70"/>
        <v>180000</v>
      </c>
      <c r="AW44" s="44">
        <f t="shared" si="71"/>
        <v>180000</v>
      </c>
      <c r="AX44" s="44">
        <f t="shared" si="15"/>
        <v>3600</v>
      </c>
      <c r="AY44" s="44">
        <f t="shared" si="72"/>
        <v>3600</v>
      </c>
      <c r="AZ44" s="44">
        <f t="shared" si="16"/>
        <v>135000</v>
      </c>
      <c r="BA44" s="44">
        <f t="shared" si="73"/>
        <v>135000</v>
      </c>
      <c r="BB44" s="44">
        <f t="shared" si="17"/>
        <v>45000</v>
      </c>
      <c r="BC44" s="46">
        <f t="shared" si="18"/>
        <v>0</v>
      </c>
      <c r="BD44" s="47">
        <f t="shared" si="19"/>
        <v>0</v>
      </c>
      <c r="BE44" s="604">
        <f t="shared" si="74"/>
        <v>0</v>
      </c>
      <c r="BF44" s="44">
        <f t="shared" si="75"/>
        <v>0</v>
      </c>
      <c r="BG44" s="44">
        <f t="shared" si="76"/>
        <v>0</v>
      </c>
      <c r="BH44" s="44">
        <f t="shared" si="77"/>
        <v>0</v>
      </c>
      <c r="BI44" s="44">
        <f t="shared" si="78"/>
        <v>180000</v>
      </c>
      <c r="BJ44" s="44">
        <f t="shared" si="79"/>
        <v>180000</v>
      </c>
      <c r="BK44" s="44">
        <f t="shared" si="20"/>
        <v>3600</v>
      </c>
      <c r="BL44" s="44">
        <f t="shared" si="80"/>
        <v>3600</v>
      </c>
      <c r="BM44" s="44">
        <f t="shared" si="21"/>
        <v>131400</v>
      </c>
      <c r="BN44" s="44">
        <f t="shared" si="81"/>
        <v>131400</v>
      </c>
      <c r="BO44" s="44">
        <f t="shared" si="22"/>
        <v>48600</v>
      </c>
      <c r="BP44" s="46">
        <f t="shared" si="23"/>
        <v>0</v>
      </c>
      <c r="BQ44" s="47">
        <f t="shared" si="24"/>
        <v>0</v>
      </c>
      <c r="BR44" s="604">
        <f t="shared" si="82"/>
        <v>0</v>
      </c>
      <c r="BS44" s="44">
        <f t="shared" si="83"/>
        <v>0</v>
      </c>
      <c r="BT44" s="44">
        <f t="shared" si="84"/>
        <v>0</v>
      </c>
      <c r="BU44" s="44">
        <f t="shared" si="85"/>
        <v>0</v>
      </c>
      <c r="BV44" s="44">
        <f t="shared" si="86"/>
        <v>180000</v>
      </c>
      <c r="BW44" s="44">
        <f t="shared" si="87"/>
        <v>180000</v>
      </c>
      <c r="BX44" s="44">
        <f t="shared" si="25"/>
        <v>3600</v>
      </c>
      <c r="BY44" s="44">
        <f t="shared" si="88"/>
        <v>3600</v>
      </c>
      <c r="BZ44" s="44">
        <f t="shared" si="26"/>
        <v>127800</v>
      </c>
      <c r="CA44" s="44">
        <f t="shared" si="89"/>
        <v>127800</v>
      </c>
      <c r="CB44" s="44">
        <f t="shared" si="27"/>
        <v>52200</v>
      </c>
      <c r="CC44" s="46">
        <f t="shared" si="28"/>
        <v>0</v>
      </c>
      <c r="CD44" s="47">
        <f t="shared" si="29"/>
        <v>0</v>
      </c>
      <c r="CE44" s="604">
        <f t="shared" si="90"/>
        <v>0</v>
      </c>
      <c r="CF44" s="44">
        <f t="shared" si="91"/>
        <v>0</v>
      </c>
      <c r="CG44" s="44">
        <f t="shared" si="92"/>
        <v>0</v>
      </c>
      <c r="CH44" s="44">
        <f t="shared" si="93"/>
        <v>0</v>
      </c>
      <c r="CI44" s="44">
        <f t="shared" si="94"/>
        <v>180000</v>
      </c>
      <c r="CJ44" s="44">
        <f t="shared" si="95"/>
        <v>180000</v>
      </c>
      <c r="CK44" s="44">
        <f t="shared" si="30"/>
        <v>3600</v>
      </c>
      <c r="CL44" s="44">
        <f t="shared" si="96"/>
        <v>3600</v>
      </c>
      <c r="CM44" s="44">
        <f t="shared" si="31"/>
        <v>124200</v>
      </c>
      <c r="CN44" s="44">
        <f t="shared" si="97"/>
        <v>124200</v>
      </c>
      <c r="CO44" s="44">
        <f t="shared" si="32"/>
        <v>55800</v>
      </c>
      <c r="CP44" s="46">
        <f t="shared" si="33"/>
        <v>0</v>
      </c>
      <c r="CQ44" s="47">
        <f t="shared" si="34"/>
        <v>0</v>
      </c>
      <c r="CR44" s="604">
        <f t="shared" si="98"/>
        <v>0</v>
      </c>
      <c r="CS44" s="44">
        <f t="shared" si="99"/>
        <v>0</v>
      </c>
      <c r="CT44" s="44">
        <f t="shared" si="100"/>
        <v>0</v>
      </c>
      <c r="CU44" s="44">
        <f t="shared" si="101"/>
        <v>0</v>
      </c>
      <c r="CV44" s="44">
        <f t="shared" si="102"/>
        <v>180000</v>
      </c>
      <c r="CW44" s="44">
        <f t="shared" si="103"/>
        <v>180000</v>
      </c>
      <c r="CX44" s="44">
        <f t="shared" si="35"/>
        <v>3600</v>
      </c>
      <c r="CY44" s="44">
        <f t="shared" si="104"/>
        <v>3600</v>
      </c>
      <c r="CZ44" s="44">
        <f t="shared" si="36"/>
        <v>120600</v>
      </c>
      <c r="DA44" s="44">
        <f t="shared" si="105"/>
        <v>120600</v>
      </c>
      <c r="DB44" s="44">
        <f t="shared" si="37"/>
        <v>59400</v>
      </c>
      <c r="DC44" s="46">
        <f t="shared" si="38"/>
        <v>0</v>
      </c>
      <c r="DD44" s="47">
        <f t="shared" si="39"/>
        <v>0</v>
      </c>
      <c r="DE44" s="604">
        <f t="shared" si="106"/>
        <v>0</v>
      </c>
      <c r="DF44" s="44">
        <f t="shared" si="107"/>
        <v>0</v>
      </c>
      <c r="DG44" s="44">
        <f t="shared" si="108"/>
        <v>0</v>
      </c>
      <c r="DH44" s="44">
        <f t="shared" si="109"/>
        <v>0</v>
      </c>
      <c r="DI44" s="44">
        <f t="shared" si="110"/>
        <v>180000</v>
      </c>
      <c r="DJ44" s="44">
        <f t="shared" si="111"/>
        <v>180000</v>
      </c>
      <c r="DK44" s="44">
        <f t="shared" si="40"/>
        <v>3600</v>
      </c>
      <c r="DL44" s="44">
        <f t="shared" si="112"/>
        <v>3600</v>
      </c>
      <c r="DM44" s="44">
        <f t="shared" si="41"/>
        <v>117000</v>
      </c>
      <c r="DN44" s="44">
        <f t="shared" si="113"/>
        <v>117000</v>
      </c>
      <c r="DO44" s="44">
        <f t="shared" si="42"/>
        <v>63000</v>
      </c>
      <c r="DP44" s="46">
        <f t="shared" si="43"/>
        <v>0</v>
      </c>
      <c r="DQ44" s="47">
        <f t="shared" si="44"/>
        <v>0</v>
      </c>
      <c r="DR44" s="604">
        <f t="shared" si="114"/>
        <v>0</v>
      </c>
      <c r="DS44" s="44">
        <f t="shared" si="115"/>
        <v>0</v>
      </c>
      <c r="DT44" s="44">
        <f t="shared" si="116"/>
        <v>0</v>
      </c>
      <c r="DU44" s="44">
        <f t="shared" si="117"/>
        <v>0</v>
      </c>
      <c r="DV44" s="44">
        <f t="shared" si="118"/>
        <v>180000</v>
      </c>
      <c r="DW44" s="44">
        <f t="shared" si="119"/>
        <v>180000</v>
      </c>
      <c r="DX44" s="44">
        <f t="shared" si="45"/>
        <v>3600</v>
      </c>
      <c r="DY44" s="44">
        <f t="shared" si="120"/>
        <v>3600</v>
      </c>
      <c r="DZ44" s="44">
        <f t="shared" si="46"/>
        <v>113400</v>
      </c>
      <c r="EA44" s="44">
        <f t="shared" si="121"/>
        <v>113400</v>
      </c>
      <c r="EB44" s="44">
        <f t="shared" si="47"/>
        <v>66600</v>
      </c>
      <c r="EC44" s="46">
        <f t="shared" si="48"/>
        <v>0</v>
      </c>
      <c r="ED44" s="47">
        <f t="shared" si="49"/>
        <v>0</v>
      </c>
    </row>
    <row r="45" spans="1:134" x14ac:dyDescent="0.35">
      <c r="A45" s="81">
        <v>2003</v>
      </c>
      <c r="B45" s="183" t="s">
        <v>216</v>
      </c>
      <c r="C45" s="183"/>
      <c r="D45" s="175" t="s">
        <v>15</v>
      </c>
      <c r="E45" s="87">
        <v>130000</v>
      </c>
      <c r="F45" s="85">
        <v>37803</v>
      </c>
      <c r="G45" s="88">
        <v>50</v>
      </c>
      <c r="H45" s="179"/>
      <c r="I45" s="180"/>
      <c r="J45" s="181"/>
      <c r="K45" s="42">
        <f t="shared" si="0"/>
        <v>0.02</v>
      </c>
      <c r="L45" s="43">
        <f t="shared" si="1"/>
        <v>2600</v>
      </c>
      <c r="M45" s="44">
        <f t="shared" si="2"/>
        <v>107900</v>
      </c>
      <c r="N45" s="44"/>
      <c r="O45" s="44">
        <f t="shared" si="3"/>
        <v>22100</v>
      </c>
      <c r="P45" s="45"/>
      <c r="Q45" s="44">
        <f t="shared" si="4"/>
        <v>130000</v>
      </c>
      <c r="R45" s="604">
        <f t="shared" si="50"/>
        <v>0</v>
      </c>
      <c r="S45" s="44">
        <f t="shared" si="51"/>
        <v>0</v>
      </c>
      <c r="T45" s="44">
        <f t="shared" si="52"/>
        <v>0</v>
      </c>
      <c r="U45" s="44">
        <f t="shared" si="53"/>
        <v>0</v>
      </c>
      <c r="V45" s="44">
        <f t="shared" si="54"/>
        <v>130000</v>
      </c>
      <c r="W45" s="44">
        <f t="shared" si="55"/>
        <v>130000</v>
      </c>
      <c r="X45" s="44">
        <f t="shared" si="5"/>
        <v>2600</v>
      </c>
      <c r="Y45" s="44">
        <f t="shared" si="56"/>
        <v>2600</v>
      </c>
      <c r="Z45" s="44">
        <f t="shared" si="6"/>
        <v>105300</v>
      </c>
      <c r="AA45" s="44">
        <f t="shared" si="57"/>
        <v>105300</v>
      </c>
      <c r="AB45" s="44">
        <f t="shared" si="7"/>
        <v>24700</v>
      </c>
      <c r="AC45" s="46">
        <f t="shared" si="8"/>
        <v>0</v>
      </c>
      <c r="AD45" s="47">
        <f t="shared" si="9"/>
        <v>0</v>
      </c>
      <c r="AE45" s="604">
        <f t="shared" si="58"/>
        <v>0</v>
      </c>
      <c r="AF45" s="44">
        <f t="shared" si="59"/>
        <v>0</v>
      </c>
      <c r="AG45" s="44">
        <f t="shared" si="60"/>
        <v>0</v>
      </c>
      <c r="AH45" s="44">
        <f t="shared" si="61"/>
        <v>0</v>
      </c>
      <c r="AI45" s="44">
        <f t="shared" si="62"/>
        <v>130000</v>
      </c>
      <c r="AJ45" s="44">
        <f t="shared" si="63"/>
        <v>130000</v>
      </c>
      <c r="AK45" s="44">
        <f t="shared" si="10"/>
        <v>2600</v>
      </c>
      <c r="AL45" s="44">
        <f t="shared" si="64"/>
        <v>2600</v>
      </c>
      <c r="AM45" s="44">
        <f t="shared" si="11"/>
        <v>102700</v>
      </c>
      <c r="AN45" s="44">
        <f t="shared" si="65"/>
        <v>102700</v>
      </c>
      <c r="AO45" s="44">
        <f t="shared" si="12"/>
        <v>27300</v>
      </c>
      <c r="AP45" s="46">
        <f t="shared" si="13"/>
        <v>0</v>
      </c>
      <c r="AQ45" s="47">
        <f t="shared" si="14"/>
        <v>0</v>
      </c>
      <c r="AR45" s="604">
        <f t="shared" si="66"/>
        <v>0</v>
      </c>
      <c r="AS45" s="44">
        <f t="shared" si="67"/>
        <v>0</v>
      </c>
      <c r="AT45" s="44">
        <f t="shared" si="68"/>
        <v>0</v>
      </c>
      <c r="AU45" s="44">
        <f t="shared" si="69"/>
        <v>0</v>
      </c>
      <c r="AV45" s="44">
        <f t="shared" si="70"/>
        <v>130000</v>
      </c>
      <c r="AW45" s="44">
        <f t="shared" si="71"/>
        <v>130000</v>
      </c>
      <c r="AX45" s="44">
        <f t="shared" si="15"/>
        <v>2600</v>
      </c>
      <c r="AY45" s="44">
        <f t="shared" si="72"/>
        <v>2600</v>
      </c>
      <c r="AZ45" s="44">
        <f t="shared" si="16"/>
        <v>100100</v>
      </c>
      <c r="BA45" s="44">
        <f t="shared" si="73"/>
        <v>100100</v>
      </c>
      <c r="BB45" s="44">
        <f t="shared" si="17"/>
        <v>29900</v>
      </c>
      <c r="BC45" s="46">
        <f t="shared" si="18"/>
        <v>0</v>
      </c>
      <c r="BD45" s="47">
        <f t="shared" si="19"/>
        <v>0</v>
      </c>
      <c r="BE45" s="604">
        <f t="shared" si="74"/>
        <v>0</v>
      </c>
      <c r="BF45" s="44">
        <f t="shared" si="75"/>
        <v>0</v>
      </c>
      <c r="BG45" s="44">
        <f t="shared" si="76"/>
        <v>0</v>
      </c>
      <c r="BH45" s="44">
        <f t="shared" si="77"/>
        <v>0</v>
      </c>
      <c r="BI45" s="44">
        <f t="shared" si="78"/>
        <v>130000</v>
      </c>
      <c r="BJ45" s="44">
        <f t="shared" si="79"/>
        <v>130000</v>
      </c>
      <c r="BK45" s="44">
        <f t="shared" si="20"/>
        <v>2600</v>
      </c>
      <c r="BL45" s="44">
        <f t="shared" si="80"/>
        <v>2600</v>
      </c>
      <c r="BM45" s="44">
        <f t="shared" si="21"/>
        <v>97500</v>
      </c>
      <c r="BN45" s="44">
        <f t="shared" si="81"/>
        <v>97500</v>
      </c>
      <c r="BO45" s="44">
        <f t="shared" si="22"/>
        <v>32500</v>
      </c>
      <c r="BP45" s="46">
        <f t="shared" si="23"/>
        <v>0</v>
      </c>
      <c r="BQ45" s="47">
        <f t="shared" si="24"/>
        <v>0</v>
      </c>
      <c r="BR45" s="604">
        <f t="shared" si="82"/>
        <v>0</v>
      </c>
      <c r="BS45" s="44">
        <f t="shared" si="83"/>
        <v>0</v>
      </c>
      <c r="BT45" s="44">
        <f t="shared" si="84"/>
        <v>0</v>
      </c>
      <c r="BU45" s="44">
        <f t="shared" si="85"/>
        <v>0</v>
      </c>
      <c r="BV45" s="44">
        <f t="shared" si="86"/>
        <v>130000</v>
      </c>
      <c r="BW45" s="44">
        <f t="shared" si="87"/>
        <v>130000</v>
      </c>
      <c r="BX45" s="44">
        <f t="shared" si="25"/>
        <v>2600</v>
      </c>
      <c r="BY45" s="44">
        <f t="shared" si="88"/>
        <v>2600</v>
      </c>
      <c r="BZ45" s="44">
        <f t="shared" si="26"/>
        <v>94900</v>
      </c>
      <c r="CA45" s="44">
        <f t="shared" si="89"/>
        <v>94900</v>
      </c>
      <c r="CB45" s="44">
        <f t="shared" si="27"/>
        <v>35100</v>
      </c>
      <c r="CC45" s="46">
        <f t="shared" si="28"/>
        <v>0</v>
      </c>
      <c r="CD45" s="47">
        <f t="shared" si="29"/>
        <v>0</v>
      </c>
      <c r="CE45" s="604">
        <f t="shared" si="90"/>
        <v>0</v>
      </c>
      <c r="CF45" s="44">
        <f t="shared" si="91"/>
        <v>0</v>
      </c>
      <c r="CG45" s="44">
        <f t="shared" si="92"/>
        <v>0</v>
      </c>
      <c r="CH45" s="44">
        <f t="shared" si="93"/>
        <v>0</v>
      </c>
      <c r="CI45" s="44">
        <f t="shared" si="94"/>
        <v>130000</v>
      </c>
      <c r="CJ45" s="44">
        <f t="shared" si="95"/>
        <v>130000</v>
      </c>
      <c r="CK45" s="44">
        <f t="shared" si="30"/>
        <v>2600</v>
      </c>
      <c r="CL45" s="44">
        <f t="shared" si="96"/>
        <v>2600</v>
      </c>
      <c r="CM45" s="44">
        <f t="shared" si="31"/>
        <v>92300</v>
      </c>
      <c r="CN45" s="44">
        <f t="shared" si="97"/>
        <v>92300</v>
      </c>
      <c r="CO45" s="44">
        <f t="shared" si="32"/>
        <v>37700</v>
      </c>
      <c r="CP45" s="46">
        <f t="shared" si="33"/>
        <v>0</v>
      </c>
      <c r="CQ45" s="47">
        <f t="shared" si="34"/>
        <v>0</v>
      </c>
      <c r="CR45" s="604">
        <f t="shared" si="98"/>
        <v>0</v>
      </c>
      <c r="CS45" s="44">
        <f t="shared" si="99"/>
        <v>0</v>
      </c>
      <c r="CT45" s="44">
        <f t="shared" si="100"/>
        <v>0</v>
      </c>
      <c r="CU45" s="44">
        <f t="shared" si="101"/>
        <v>0</v>
      </c>
      <c r="CV45" s="44">
        <f t="shared" si="102"/>
        <v>130000</v>
      </c>
      <c r="CW45" s="44">
        <f t="shared" si="103"/>
        <v>130000</v>
      </c>
      <c r="CX45" s="44">
        <f t="shared" si="35"/>
        <v>2600</v>
      </c>
      <c r="CY45" s="44">
        <f t="shared" si="104"/>
        <v>2600</v>
      </c>
      <c r="CZ45" s="44">
        <f t="shared" si="36"/>
        <v>89700</v>
      </c>
      <c r="DA45" s="44">
        <f t="shared" si="105"/>
        <v>89700</v>
      </c>
      <c r="DB45" s="44">
        <f t="shared" si="37"/>
        <v>40300</v>
      </c>
      <c r="DC45" s="46">
        <f t="shared" si="38"/>
        <v>0</v>
      </c>
      <c r="DD45" s="47">
        <f t="shared" si="39"/>
        <v>0</v>
      </c>
      <c r="DE45" s="604">
        <f t="shared" si="106"/>
        <v>0</v>
      </c>
      <c r="DF45" s="44">
        <f t="shared" si="107"/>
        <v>0</v>
      </c>
      <c r="DG45" s="44">
        <f t="shared" si="108"/>
        <v>0</v>
      </c>
      <c r="DH45" s="44">
        <f t="shared" si="109"/>
        <v>0</v>
      </c>
      <c r="DI45" s="44">
        <f t="shared" si="110"/>
        <v>130000</v>
      </c>
      <c r="DJ45" s="44">
        <f t="shared" si="111"/>
        <v>130000</v>
      </c>
      <c r="DK45" s="44">
        <f t="shared" si="40"/>
        <v>2600</v>
      </c>
      <c r="DL45" s="44">
        <f t="shared" si="112"/>
        <v>2600</v>
      </c>
      <c r="DM45" s="44">
        <f t="shared" si="41"/>
        <v>87100</v>
      </c>
      <c r="DN45" s="44">
        <f t="shared" si="113"/>
        <v>87100</v>
      </c>
      <c r="DO45" s="44">
        <f t="shared" si="42"/>
        <v>42900</v>
      </c>
      <c r="DP45" s="46">
        <f t="shared" si="43"/>
        <v>0</v>
      </c>
      <c r="DQ45" s="47">
        <f t="shared" si="44"/>
        <v>0</v>
      </c>
      <c r="DR45" s="604">
        <f t="shared" si="114"/>
        <v>0</v>
      </c>
      <c r="DS45" s="44">
        <f t="shared" si="115"/>
        <v>0</v>
      </c>
      <c r="DT45" s="44">
        <f t="shared" si="116"/>
        <v>0</v>
      </c>
      <c r="DU45" s="44">
        <f t="shared" si="117"/>
        <v>0</v>
      </c>
      <c r="DV45" s="44">
        <f t="shared" si="118"/>
        <v>130000</v>
      </c>
      <c r="DW45" s="44">
        <f t="shared" si="119"/>
        <v>130000</v>
      </c>
      <c r="DX45" s="44">
        <f t="shared" si="45"/>
        <v>2600</v>
      </c>
      <c r="DY45" s="44">
        <f t="shared" si="120"/>
        <v>2600</v>
      </c>
      <c r="DZ45" s="44">
        <f t="shared" si="46"/>
        <v>84500</v>
      </c>
      <c r="EA45" s="44">
        <f t="shared" si="121"/>
        <v>84500</v>
      </c>
      <c r="EB45" s="44">
        <f t="shared" si="47"/>
        <v>45500</v>
      </c>
      <c r="EC45" s="46">
        <f t="shared" si="48"/>
        <v>0</v>
      </c>
      <c r="ED45" s="47">
        <f t="shared" si="49"/>
        <v>0</v>
      </c>
    </row>
    <row r="46" spans="1:134" x14ac:dyDescent="0.35">
      <c r="A46" s="81">
        <v>2006</v>
      </c>
      <c r="B46" s="183" t="s">
        <v>217</v>
      </c>
      <c r="C46" s="183"/>
      <c r="D46" s="175" t="s">
        <v>15</v>
      </c>
      <c r="E46" s="87">
        <v>1100000</v>
      </c>
      <c r="F46" s="85">
        <v>38899</v>
      </c>
      <c r="G46" s="88">
        <v>50</v>
      </c>
      <c r="H46" s="179"/>
      <c r="I46" s="180"/>
      <c r="J46" s="181"/>
      <c r="K46" s="42">
        <f t="shared" si="0"/>
        <v>0.02</v>
      </c>
      <c r="L46" s="43">
        <f t="shared" si="1"/>
        <v>22000</v>
      </c>
      <c r="M46" s="44">
        <f t="shared" si="2"/>
        <v>979000</v>
      </c>
      <c r="N46" s="44"/>
      <c r="O46" s="44">
        <f t="shared" si="3"/>
        <v>121000</v>
      </c>
      <c r="P46" s="45"/>
      <c r="Q46" s="44">
        <f t="shared" si="4"/>
        <v>1100000</v>
      </c>
      <c r="R46" s="604">
        <f t="shared" si="50"/>
        <v>0</v>
      </c>
      <c r="S46" s="44">
        <f t="shared" si="51"/>
        <v>0</v>
      </c>
      <c r="T46" s="44">
        <f t="shared" si="52"/>
        <v>0</v>
      </c>
      <c r="U46" s="44">
        <f t="shared" si="53"/>
        <v>0</v>
      </c>
      <c r="V46" s="44">
        <f t="shared" si="54"/>
        <v>1100000</v>
      </c>
      <c r="W46" s="44">
        <f t="shared" si="55"/>
        <v>1100000</v>
      </c>
      <c r="X46" s="44">
        <f t="shared" si="5"/>
        <v>22000</v>
      </c>
      <c r="Y46" s="44">
        <f t="shared" si="56"/>
        <v>22000</v>
      </c>
      <c r="Z46" s="44">
        <f t="shared" si="6"/>
        <v>957000</v>
      </c>
      <c r="AA46" s="44">
        <f t="shared" si="57"/>
        <v>957000</v>
      </c>
      <c r="AB46" s="44">
        <f t="shared" si="7"/>
        <v>143000</v>
      </c>
      <c r="AC46" s="46">
        <f t="shared" si="8"/>
        <v>0</v>
      </c>
      <c r="AD46" s="47">
        <f t="shared" si="9"/>
        <v>0</v>
      </c>
      <c r="AE46" s="604">
        <f t="shared" si="58"/>
        <v>0</v>
      </c>
      <c r="AF46" s="44">
        <f t="shared" si="59"/>
        <v>0</v>
      </c>
      <c r="AG46" s="44">
        <f t="shared" si="60"/>
        <v>0</v>
      </c>
      <c r="AH46" s="44">
        <f t="shared" si="61"/>
        <v>0</v>
      </c>
      <c r="AI46" s="44">
        <f t="shared" si="62"/>
        <v>1100000</v>
      </c>
      <c r="AJ46" s="44">
        <f t="shared" si="63"/>
        <v>1100000</v>
      </c>
      <c r="AK46" s="44">
        <f t="shared" si="10"/>
        <v>22000</v>
      </c>
      <c r="AL46" s="44">
        <f t="shared" si="64"/>
        <v>22000</v>
      </c>
      <c r="AM46" s="44">
        <f t="shared" si="11"/>
        <v>935000</v>
      </c>
      <c r="AN46" s="44">
        <f t="shared" si="65"/>
        <v>935000</v>
      </c>
      <c r="AO46" s="44">
        <f t="shared" si="12"/>
        <v>165000</v>
      </c>
      <c r="AP46" s="46">
        <f t="shared" si="13"/>
        <v>0</v>
      </c>
      <c r="AQ46" s="47">
        <f t="shared" si="14"/>
        <v>0</v>
      </c>
      <c r="AR46" s="604">
        <f t="shared" si="66"/>
        <v>0</v>
      </c>
      <c r="AS46" s="44">
        <f t="shared" si="67"/>
        <v>0</v>
      </c>
      <c r="AT46" s="44">
        <f t="shared" si="68"/>
        <v>0</v>
      </c>
      <c r="AU46" s="44">
        <f t="shared" si="69"/>
        <v>0</v>
      </c>
      <c r="AV46" s="44">
        <f t="shared" si="70"/>
        <v>1100000</v>
      </c>
      <c r="AW46" s="44">
        <f t="shared" si="71"/>
        <v>1100000</v>
      </c>
      <c r="AX46" s="44">
        <f t="shared" si="15"/>
        <v>22000</v>
      </c>
      <c r="AY46" s="44">
        <f t="shared" si="72"/>
        <v>22000</v>
      </c>
      <c r="AZ46" s="44">
        <f t="shared" si="16"/>
        <v>913000</v>
      </c>
      <c r="BA46" s="44">
        <f t="shared" si="73"/>
        <v>913000</v>
      </c>
      <c r="BB46" s="44">
        <f t="shared" si="17"/>
        <v>187000</v>
      </c>
      <c r="BC46" s="46">
        <f t="shared" si="18"/>
        <v>0</v>
      </c>
      <c r="BD46" s="47">
        <f t="shared" si="19"/>
        <v>0</v>
      </c>
      <c r="BE46" s="604">
        <f t="shared" si="74"/>
        <v>0</v>
      </c>
      <c r="BF46" s="44">
        <f t="shared" si="75"/>
        <v>0</v>
      </c>
      <c r="BG46" s="44">
        <f t="shared" si="76"/>
        <v>0</v>
      </c>
      <c r="BH46" s="44">
        <f t="shared" si="77"/>
        <v>0</v>
      </c>
      <c r="BI46" s="44">
        <f t="shared" si="78"/>
        <v>1100000</v>
      </c>
      <c r="BJ46" s="44">
        <f t="shared" si="79"/>
        <v>1100000</v>
      </c>
      <c r="BK46" s="44">
        <f t="shared" si="20"/>
        <v>22000</v>
      </c>
      <c r="BL46" s="44">
        <f t="shared" si="80"/>
        <v>22000</v>
      </c>
      <c r="BM46" s="44">
        <f t="shared" si="21"/>
        <v>891000</v>
      </c>
      <c r="BN46" s="44">
        <f t="shared" si="81"/>
        <v>891000</v>
      </c>
      <c r="BO46" s="44">
        <f t="shared" si="22"/>
        <v>209000</v>
      </c>
      <c r="BP46" s="46">
        <f t="shared" si="23"/>
        <v>0</v>
      </c>
      <c r="BQ46" s="47">
        <f t="shared" si="24"/>
        <v>0</v>
      </c>
      <c r="BR46" s="604">
        <f t="shared" si="82"/>
        <v>0</v>
      </c>
      <c r="BS46" s="44">
        <f t="shared" si="83"/>
        <v>0</v>
      </c>
      <c r="BT46" s="44">
        <f t="shared" si="84"/>
        <v>0</v>
      </c>
      <c r="BU46" s="44">
        <f t="shared" si="85"/>
        <v>0</v>
      </c>
      <c r="BV46" s="44">
        <f t="shared" si="86"/>
        <v>1100000</v>
      </c>
      <c r="BW46" s="44">
        <f t="shared" si="87"/>
        <v>1100000</v>
      </c>
      <c r="BX46" s="44">
        <f t="shared" si="25"/>
        <v>22000</v>
      </c>
      <c r="BY46" s="44">
        <f t="shared" si="88"/>
        <v>22000</v>
      </c>
      <c r="BZ46" s="44">
        <f t="shared" si="26"/>
        <v>869000</v>
      </c>
      <c r="CA46" s="44">
        <f t="shared" si="89"/>
        <v>869000</v>
      </c>
      <c r="CB46" s="44">
        <f t="shared" si="27"/>
        <v>231000</v>
      </c>
      <c r="CC46" s="46">
        <f t="shared" si="28"/>
        <v>0</v>
      </c>
      <c r="CD46" s="47">
        <f t="shared" si="29"/>
        <v>0</v>
      </c>
      <c r="CE46" s="604">
        <f t="shared" si="90"/>
        <v>0</v>
      </c>
      <c r="CF46" s="44">
        <f t="shared" si="91"/>
        <v>0</v>
      </c>
      <c r="CG46" s="44">
        <f t="shared" si="92"/>
        <v>0</v>
      </c>
      <c r="CH46" s="44">
        <f t="shared" si="93"/>
        <v>0</v>
      </c>
      <c r="CI46" s="44">
        <f t="shared" si="94"/>
        <v>1100000</v>
      </c>
      <c r="CJ46" s="44">
        <f t="shared" si="95"/>
        <v>1100000</v>
      </c>
      <c r="CK46" s="44">
        <f t="shared" si="30"/>
        <v>22000</v>
      </c>
      <c r="CL46" s="44">
        <f t="shared" si="96"/>
        <v>22000</v>
      </c>
      <c r="CM46" s="44">
        <f t="shared" si="31"/>
        <v>847000</v>
      </c>
      <c r="CN46" s="44">
        <f t="shared" si="97"/>
        <v>847000</v>
      </c>
      <c r="CO46" s="44">
        <f t="shared" si="32"/>
        <v>253000</v>
      </c>
      <c r="CP46" s="46">
        <f t="shared" si="33"/>
        <v>0</v>
      </c>
      <c r="CQ46" s="47">
        <f t="shared" si="34"/>
        <v>0</v>
      </c>
      <c r="CR46" s="604">
        <f t="shared" si="98"/>
        <v>0</v>
      </c>
      <c r="CS46" s="44">
        <f t="shared" si="99"/>
        <v>0</v>
      </c>
      <c r="CT46" s="44">
        <f t="shared" si="100"/>
        <v>0</v>
      </c>
      <c r="CU46" s="44">
        <f t="shared" si="101"/>
        <v>0</v>
      </c>
      <c r="CV46" s="44">
        <f t="shared" si="102"/>
        <v>1100000</v>
      </c>
      <c r="CW46" s="44">
        <f t="shared" si="103"/>
        <v>1100000</v>
      </c>
      <c r="CX46" s="44">
        <f t="shared" si="35"/>
        <v>22000</v>
      </c>
      <c r="CY46" s="44">
        <f t="shared" si="104"/>
        <v>22000</v>
      </c>
      <c r="CZ46" s="44">
        <f t="shared" si="36"/>
        <v>825000</v>
      </c>
      <c r="DA46" s="44">
        <f t="shared" si="105"/>
        <v>825000</v>
      </c>
      <c r="DB46" s="44">
        <f t="shared" si="37"/>
        <v>275000</v>
      </c>
      <c r="DC46" s="46">
        <f t="shared" si="38"/>
        <v>0</v>
      </c>
      <c r="DD46" s="47">
        <f t="shared" si="39"/>
        <v>0</v>
      </c>
      <c r="DE46" s="604">
        <f t="shared" si="106"/>
        <v>0</v>
      </c>
      <c r="DF46" s="44">
        <f t="shared" si="107"/>
        <v>0</v>
      </c>
      <c r="DG46" s="44">
        <f t="shared" si="108"/>
        <v>0</v>
      </c>
      <c r="DH46" s="44">
        <f t="shared" si="109"/>
        <v>0</v>
      </c>
      <c r="DI46" s="44">
        <f t="shared" si="110"/>
        <v>1100000</v>
      </c>
      <c r="DJ46" s="44">
        <f t="shared" si="111"/>
        <v>1100000</v>
      </c>
      <c r="DK46" s="44">
        <f t="shared" si="40"/>
        <v>22000</v>
      </c>
      <c r="DL46" s="44">
        <f t="shared" si="112"/>
        <v>22000</v>
      </c>
      <c r="DM46" s="44">
        <f t="shared" si="41"/>
        <v>803000</v>
      </c>
      <c r="DN46" s="44">
        <f t="shared" si="113"/>
        <v>803000</v>
      </c>
      <c r="DO46" s="44">
        <f t="shared" si="42"/>
        <v>297000</v>
      </c>
      <c r="DP46" s="46">
        <f t="shared" si="43"/>
        <v>0</v>
      </c>
      <c r="DQ46" s="47">
        <f t="shared" si="44"/>
        <v>0</v>
      </c>
      <c r="DR46" s="604">
        <f t="shared" si="114"/>
        <v>0</v>
      </c>
      <c r="DS46" s="44">
        <f t="shared" si="115"/>
        <v>0</v>
      </c>
      <c r="DT46" s="44">
        <f t="shared" si="116"/>
        <v>0</v>
      </c>
      <c r="DU46" s="44">
        <f t="shared" si="117"/>
        <v>0</v>
      </c>
      <c r="DV46" s="44">
        <f t="shared" si="118"/>
        <v>1100000</v>
      </c>
      <c r="DW46" s="44">
        <f t="shared" si="119"/>
        <v>1100000</v>
      </c>
      <c r="DX46" s="44">
        <f t="shared" si="45"/>
        <v>22000</v>
      </c>
      <c r="DY46" s="44">
        <f t="shared" si="120"/>
        <v>22000</v>
      </c>
      <c r="DZ46" s="44">
        <f t="shared" si="46"/>
        <v>781000</v>
      </c>
      <c r="EA46" s="44">
        <f t="shared" si="121"/>
        <v>781000</v>
      </c>
      <c r="EB46" s="44">
        <f t="shared" si="47"/>
        <v>319000</v>
      </c>
      <c r="EC46" s="46">
        <f t="shared" si="48"/>
        <v>0</v>
      </c>
      <c r="ED46" s="47">
        <f t="shared" si="49"/>
        <v>0</v>
      </c>
    </row>
    <row r="47" spans="1:134" x14ac:dyDescent="0.35">
      <c r="A47" s="81">
        <v>2008</v>
      </c>
      <c r="B47" s="183" t="s">
        <v>218</v>
      </c>
      <c r="C47" s="183"/>
      <c r="D47" s="175" t="s">
        <v>15</v>
      </c>
      <c r="E47" s="87">
        <v>270000</v>
      </c>
      <c r="F47" s="85">
        <v>39630</v>
      </c>
      <c r="G47" s="88">
        <v>50</v>
      </c>
      <c r="H47" s="179"/>
      <c r="I47" s="180"/>
      <c r="J47" s="181"/>
      <c r="K47" s="42">
        <f t="shared" si="0"/>
        <v>0.02</v>
      </c>
      <c r="L47" s="43">
        <f t="shared" si="1"/>
        <v>5400</v>
      </c>
      <c r="M47" s="44">
        <f t="shared" si="2"/>
        <v>251100</v>
      </c>
      <c r="N47" s="44"/>
      <c r="O47" s="44">
        <f t="shared" si="3"/>
        <v>18900</v>
      </c>
      <c r="P47" s="45"/>
      <c r="Q47" s="44">
        <f t="shared" si="4"/>
        <v>270000</v>
      </c>
      <c r="R47" s="604">
        <f t="shared" si="50"/>
        <v>0</v>
      </c>
      <c r="S47" s="44">
        <f t="shared" si="51"/>
        <v>0</v>
      </c>
      <c r="T47" s="44">
        <f t="shared" si="52"/>
        <v>0</v>
      </c>
      <c r="U47" s="44">
        <f t="shared" si="53"/>
        <v>0</v>
      </c>
      <c r="V47" s="44">
        <f t="shared" si="54"/>
        <v>270000</v>
      </c>
      <c r="W47" s="44">
        <f t="shared" si="55"/>
        <v>270000</v>
      </c>
      <c r="X47" s="44">
        <f t="shared" si="5"/>
        <v>5400</v>
      </c>
      <c r="Y47" s="44">
        <f t="shared" si="56"/>
        <v>5400</v>
      </c>
      <c r="Z47" s="44">
        <f t="shared" si="6"/>
        <v>245700</v>
      </c>
      <c r="AA47" s="44">
        <f t="shared" si="57"/>
        <v>245700</v>
      </c>
      <c r="AB47" s="44">
        <f t="shared" si="7"/>
        <v>24300</v>
      </c>
      <c r="AC47" s="46">
        <f t="shared" si="8"/>
        <v>0</v>
      </c>
      <c r="AD47" s="47">
        <f t="shared" si="9"/>
        <v>0</v>
      </c>
      <c r="AE47" s="604">
        <f t="shared" si="58"/>
        <v>0</v>
      </c>
      <c r="AF47" s="44">
        <f t="shared" si="59"/>
        <v>0</v>
      </c>
      <c r="AG47" s="44">
        <f t="shared" si="60"/>
        <v>0</v>
      </c>
      <c r="AH47" s="44">
        <f t="shared" si="61"/>
        <v>0</v>
      </c>
      <c r="AI47" s="44">
        <f t="shared" si="62"/>
        <v>270000</v>
      </c>
      <c r="AJ47" s="44">
        <f t="shared" si="63"/>
        <v>270000</v>
      </c>
      <c r="AK47" s="44">
        <f t="shared" si="10"/>
        <v>5400</v>
      </c>
      <c r="AL47" s="44">
        <f t="shared" si="64"/>
        <v>5400</v>
      </c>
      <c r="AM47" s="44">
        <f t="shared" si="11"/>
        <v>240300</v>
      </c>
      <c r="AN47" s="44">
        <f t="shared" si="65"/>
        <v>240300</v>
      </c>
      <c r="AO47" s="44">
        <f t="shared" si="12"/>
        <v>29700</v>
      </c>
      <c r="AP47" s="46">
        <f t="shared" si="13"/>
        <v>0</v>
      </c>
      <c r="AQ47" s="47">
        <f t="shared" si="14"/>
        <v>0</v>
      </c>
      <c r="AR47" s="604">
        <f t="shared" si="66"/>
        <v>0</v>
      </c>
      <c r="AS47" s="44">
        <f t="shared" si="67"/>
        <v>0</v>
      </c>
      <c r="AT47" s="44">
        <f t="shared" si="68"/>
        <v>0</v>
      </c>
      <c r="AU47" s="44">
        <f t="shared" si="69"/>
        <v>0</v>
      </c>
      <c r="AV47" s="44">
        <f t="shared" si="70"/>
        <v>270000</v>
      </c>
      <c r="AW47" s="44">
        <f t="shared" si="71"/>
        <v>270000</v>
      </c>
      <c r="AX47" s="44">
        <f t="shared" si="15"/>
        <v>5400</v>
      </c>
      <c r="AY47" s="44">
        <f t="shared" si="72"/>
        <v>5400</v>
      </c>
      <c r="AZ47" s="44">
        <f t="shared" si="16"/>
        <v>234900</v>
      </c>
      <c r="BA47" s="44">
        <f t="shared" si="73"/>
        <v>234900</v>
      </c>
      <c r="BB47" s="44">
        <f t="shared" si="17"/>
        <v>35100</v>
      </c>
      <c r="BC47" s="46">
        <f t="shared" si="18"/>
        <v>0</v>
      </c>
      <c r="BD47" s="47">
        <f t="shared" si="19"/>
        <v>0</v>
      </c>
      <c r="BE47" s="604">
        <f t="shared" si="74"/>
        <v>0</v>
      </c>
      <c r="BF47" s="44">
        <f t="shared" si="75"/>
        <v>0</v>
      </c>
      <c r="BG47" s="44">
        <f t="shared" si="76"/>
        <v>0</v>
      </c>
      <c r="BH47" s="44">
        <f t="shared" si="77"/>
        <v>0</v>
      </c>
      <c r="BI47" s="44">
        <f t="shared" si="78"/>
        <v>270000</v>
      </c>
      <c r="BJ47" s="44">
        <f t="shared" si="79"/>
        <v>270000</v>
      </c>
      <c r="BK47" s="44">
        <f t="shared" si="20"/>
        <v>5400</v>
      </c>
      <c r="BL47" s="44">
        <f t="shared" si="80"/>
        <v>5400</v>
      </c>
      <c r="BM47" s="44">
        <f t="shared" si="21"/>
        <v>229500</v>
      </c>
      <c r="BN47" s="44">
        <f t="shared" si="81"/>
        <v>229500</v>
      </c>
      <c r="BO47" s="44">
        <f t="shared" si="22"/>
        <v>40500</v>
      </c>
      <c r="BP47" s="46">
        <f t="shared" si="23"/>
        <v>0</v>
      </c>
      <c r="BQ47" s="47">
        <f t="shared" si="24"/>
        <v>0</v>
      </c>
      <c r="BR47" s="604">
        <f t="shared" si="82"/>
        <v>0</v>
      </c>
      <c r="BS47" s="44">
        <f t="shared" si="83"/>
        <v>0</v>
      </c>
      <c r="BT47" s="44">
        <f t="shared" si="84"/>
        <v>0</v>
      </c>
      <c r="BU47" s="44">
        <f t="shared" si="85"/>
        <v>0</v>
      </c>
      <c r="BV47" s="44">
        <f t="shared" si="86"/>
        <v>270000</v>
      </c>
      <c r="BW47" s="44">
        <f t="shared" si="87"/>
        <v>270000</v>
      </c>
      <c r="BX47" s="44">
        <f t="shared" si="25"/>
        <v>5400</v>
      </c>
      <c r="BY47" s="44">
        <f t="shared" si="88"/>
        <v>5400</v>
      </c>
      <c r="BZ47" s="44">
        <f t="shared" si="26"/>
        <v>224100</v>
      </c>
      <c r="CA47" s="44">
        <f t="shared" si="89"/>
        <v>224100</v>
      </c>
      <c r="CB47" s="44">
        <f t="shared" si="27"/>
        <v>45900</v>
      </c>
      <c r="CC47" s="46">
        <f t="shared" si="28"/>
        <v>0</v>
      </c>
      <c r="CD47" s="47">
        <f t="shared" si="29"/>
        <v>0</v>
      </c>
      <c r="CE47" s="604">
        <f t="shared" si="90"/>
        <v>0</v>
      </c>
      <c r="CF47" s="44">
        <f t="shared" si="91"/>
        <v>0</v>
      </c>
      <c r="CG47" s="44">
        <f t="shared" si="92"/>
        <v>0</v>
      </c>
      <c r="CH47" s="44">
        <f t="shared" si="93"/>
        <v>0</v>
      </c>
      <c r="CI47" s="44">
        <f t="shared" si="94"/>
        <v>270000</v>
      </c>
      <c r="CJ47" s="44">
        <f t="shared" si="95"/>
        <v>270000</v>
      </c>
      <c r="CK47" s="44">
        <f t="shared" si="30"/>
        <v>5400</v>
      </c>
      <c r="CL47" s="44">
        <f t="shared" si="96"/>
        <v>5400</v>
      </c>
      <c r="CM47" s="44">
        <f t="shared" si="31"/>
        <v>218700</v>
      </c>
      <c r="CN47" s="44">
        <f t="shared" si="97"/>
        <v>218700</v>
      </c>
      <c r="CO47" s="44">
        <f t="shared" si="32"/>
        <v>51300</v>
      </c>
      <c r="CP47" s="46">
        <f t="shared" si="33"/>
        <v>0</v>
      </c>
      <c r="CQ47" s="47">
        <f t="shared" si="34"/>
        <v>0</v>
      </c>
      <c r="CR47" s="604">
        <f t="shared" si="98"/>
        <v>0</v>
      </c>
      <c r="CS47" s="44">
        <f t="shared" si="99"/>
        <v>0</v>
      </c>
      <c r="CT47" s="44">
        <f t="shared" si="100"/>
        <v>0</v>
      </c>
      <c r="CU47" s="44">
        <f t="shared" si="101"/>
        <v>0</v>
      </c>
      <c r="CV47" s="44">
        <f t="shared" si="102"/>
        <v>270000</v>
      </c>
      <c r="CW47" s="44">
        <f t="shared" si="103"/>
        <v>270000</v>
      </c>
      <c r="CX47" s="44">
        <f t="shared" si="35"/>
        <v>5400</v>
      </c>
      <c r="CY47" s="44">
        <f t="shared" si="104"/>
        <v>5400</v>
      </c>
      <c r="CZ47" s="44">
        <f t="shared" si="36"/>
        <v>213300</v>
      </c>
      <c r="DA47" s="44">
        <f t="shared" si="105"/>
        <v>213300</v>
      </c>
      <c r="DB47" s="44">
        <f t="shared" si="37"/>
        <v>56700</v>
      </c>
      <c r="DC47" s="46">
        <f t="shared" si="38"/>
        <v>0</v>
      </c>
      <c r="DD47" s="47">
        <f t="shared" si="39"/>
        <v>0</v>
      </c>
      <c r="DE47" s="604">
        <f t="shared" si="106"/>
        <v>0</v>
      </c>
      <c r="DF47" s="44">
        <f t="shared" si="107"/>
        <v>0</v>
      </c>
      <c r="DG47" s="44">
        <f t="shared" si="108"/>
        <v>0</v>
      </c>
      <c r="DH47" s="44">
        <f t="shared" si="109"/>
        <v>0</v>
      </c>
      <c r="DI47" s="44">
        <f t="shared" si="110"/>
        <v>270000</v>
      </c>
      <c r="DJ47" s="44">
        <f t="shared" si="111"/>
        <v>270000</v>
      </c>
      <c r="DK47" s="44">
        <f t="shared" si="40"/>
        <v>5400</v>
      </c>
      <c r="DL47" s="44">
        <f t="shared" si="112"/>
        <v>5400</v>
      </c>
      <c r="DM47" s="44">
        <f t="shared" si="41"/>
        <v>207900</v>
      </c>
      <c r="DN47" s="44">
        <f t="shared" si="113"/>
        <v>207900</v>
      </c>
      <c r="DO47" s="44">
        <f t="shared" si="42"/>
        <v>62100</v>
      </c>
      <c r="DP47" s="46">
        <f t="shared" si="43"/>
        <v>0</v>
      </c>
      <c r="DQ47" s="47">
        <f t="shared" si="44"/>
        <v>0</v>
      </c>
      <c r="DR47" s="604">
        <f t="shared" si="114"/>
        <v>0</v>
      </c>
      <c r="DS47" s="44">
        <f t="shared" si="115"/>
        <v>0</v>
      </c>
      <c r="DT47" s="44">
        <f t="shared" si="116"/>
        <v>0</v>
      </c>
      <c r="DU47" s="44">
        <f t="shared" si="117"/>
        <v>0</v>
      </c>
      <c r="DV47" s="44">
        <f t="shared" si="118"/>
        <v>270000</v>
      </c>
      <c r="DW47" s="44">
        <f t="shared" si="119"/>
        <v>270000</v>
      </c>
      <c r="DX47" s="44">
        <f t="shared" si="45"/>
        <v>5400</v>
      </c>
      <c r="DY47" s="44">
        <f t="shared" si="120"/>
        <v>5400</v>
      </c>
      <c r="DZ47" s="44">
        <f t="shared" si="46"/>
        <v>202500</v>
      </c>
      <c r="EA47" s="44">
        <f t="shared" si="121"/>
        <v>202500</v>
      </c>
      <c r="EB47" s="44">
        <f t="shared" si="47"/>
        <v>67500</v>
      </c>
      <c r="EC47" s="46">
        <f t="shared" si="48"/>
        <v>0</v>
      </c>
      <c r="ED47" s="47">
        <f t="shared" si="49"/>
        <v>0</v>
      </c>
    </row>
    <row r="48" spans="1:134" x14ac:dyDescent="0.35">
      <c r="A48" s="81">
        <v>2009</v>
      </c>
      <c r="B48" s="183" t="s">
        <v>219</v>
      </c>
      <c r="C48" s="183"/>
      <c r="D48" s="175" t="s">
        <v>15</v>
      </c>
      <c r="E48" s="87">
        <v>380000</v>
      </c>
      <c r="F48" s="85">
        <v>39995</v>
      </c>
      <c r="G48" s="88">
        <v>50</v>
      </c>
      <c r="H48" s="179"/>
      <c r="I48" s="180"/>
      <c r="J48" s="181"/>
      <c r="K48" s="42">
        <f t="shared" si="0"/>
        <v>0.02</v>
      </c>
      <c r="L48" s="43">
        <f t="shared" si="1"/>
        <v>7600</v>
      </c>
      <c r="M48" s="44">
        <f t="shared" si="2"/>
        <v>361000</v>
      </c>
      <c r="N48" s="44"/>
      <c r="O48" s="44">
        <f t="shared" si="3"/>
        <v>19000</v>
      </c>
      <c r="P48" s="45"/>
      <c r="Q48" s="44">
        <f t="shared" si="4"/>
        <v>380000</v>
      </c>
      <c r="R48" s="604">
        <f t="shared" si="50"/>
        <v>0</v>
      </c>
      <c r="S48" s="44">
        <f t="shared" si="51"/>
        <v>0</v>
      </c>
      <c r="T48" s="44">
        <f t="shared" si="52"/>
        <v>0</v>
      </c>
      <c r="U48" s="44">
        <f t="shared" si="53"/>
        <v>0</v>
      </c>
      <c r="V48" s="44">
        <f t="shared" si="54"/>
        <v>380000</v>
      </c>
      <c r="W48" s="44">
        <f t="shared" si="55"/>
        <v>380000</v>
      </c>
      <c r="X48" s="44">
        <f t="shared" si="5"/>
        <v>7600</v>
      </c>
      <c r="Y48" s="44">
        <f t="shared" si="56"/>
        <v>7600</v>
      </c>
      <c r="Z48" s="44">
        <f t="shared" si="6"/>
        <v>353400</v>
      </c>
      <c r="AA48" s="44">
        <f t="shared" si="57"/>
        <v>353400</v>
      </c>
      <c r="AB48" s="44">
        <f t="shared" si="7"/>
        <v>26600</v>
      </c>
      <c r="AC48" s="46">
        <f t="shared" si="8"/>
        <v>0</v>
      </c>
      <c r="AD48" s="47">
        <f t="shared" si="9"/>
        <v>0</v>
      </c>
      <c r="AE48" s="604">
        <f t="shared" si="58"/>
        <v>0</v>
      </c>
      <c r="AF48" s="44">
        <f t="shared" si="59"/>
        <v>0</v>
      </c>
      <c r="AG48" s="44">
        <f t="shared" si="60"/>
        <v>0</v>
      </c>
      <c r="AH48" s="44">
        <f t="shared" si="61"/>
        <v>0</v>
      </c>
      <c r="AI48" s="44">
        <f t="shared" si="62"/>
        <v>380000</v>
      </c>
      <c r="AJ48" s="44">
        <f t="shared" si="63"/>
        <v>380000</v>
      </c>
      <c r="AK48" s="44">
        <f t="shared" si="10"/>
        <v>7600</v>
      </c>
      <c r="AL48" s="44">
        <f t="shared" si="64"/>
        <v>7600</v>
      </c>
      <c r="AM48" s="44">
        <f t="shared" si="11"/>
        <v>345800</v>
      </c>
      <c r="AN48" s="44">
        <f t="shared" si="65"/>
        <v>345800</v>
      </c>
      <c r="AO48" s="44">
        <f t="shared" si="12"/>
        <v>34200</v>
      </c>
      <c r="AP48" s="46">
        <f t="shared" si="13"/>
        <v>0</v>
      </c>
      <c r="AQ48" s="47">
        <f t="shared" si="14"/>
        <v>0</v>
      </c>
      <c r="AR48" s="604">
        <f t="shared" si="66"/>
        <v>0</v>
      </c>
      <c r="AS48" s="44">
        <f t="shared" si="67"/>
        <v>0</v>
      </c>
      <c r="AT48" s="44">
        <f t="shared" si="68"/>
        <v>0</v>
      </c>
      <c r="AU48" s="44">
        <f t="shared" si="69"/>
        <v>0</v>
      </c>
      <c r="AV48" s="44">
        <f t="shared" si="70"/>
        <v>380000</v>
      </c>
      <c r="AW48" s="44">
        <f t="shared" si="71"/>
        <v>380000</v>
      </c>
      <c r="AX48" s="44">
        <f t="shared" si="15"/>
        <v>7600</v>
      </c>
      <c r="AY48" s="44">
        <f t="shared" si="72"/>
        <v>7600</v>
      </c>
      <c r="AZ48" s="44">
        <f t="shared" si="16"/>
        <v>338200</v>
      </c>
      <c r="BA48" s="44">
        <f t="shared" si="73"/>
        <v>338200</v>
      </c>
      <c r="BB48" s="44">
        <f t="shared" si="17"/>
        <v>41800</v>
      </c>
      <c r="BC48" s="46">
        <f t="shared" si="18"/>
        <v>0</v>
      </c>
      <c r="BD48" s="47">
        <f t="shared" si="19"/>
        <v>0</v>
      </c>
      <c r="BE48" s="604">
        <f t="shared" si="74"/>
        <v>0</v>
      </c>
      <c r="BF48" s="44">
        <f t="shared" si="75"/>
        <v>0</v>
      </c>
      <c r="BG48" s="44">
        <f t="shared" si="76"/>
        <v>0</v>
      </c>
      <c r="BH48" s="44">
        <f t="shared" si="77"/>
        <v>0</v>
      </c>
      <c r="BI48" s="44">
        <f t="shared" si="78"/>
        <v>380000</v>
      </c>
      <c r="BJ48" s="44">
        <f t="shared" si="79"/>
        <v>380000</v>
      </c>
      <c r="BK48" s="44">
        <f t="shared" si="20"/>
        <v>7600</v>
      </c>
      <c r="BL48" s="44">
        <f t="shared" si="80"/>
        <v>7600</v>
      </c>
      <c r="BM48" s="44">
        <f t="shared" si="21"/>
        <v>330600</v>
      </c>
      <c r="BN48" s="44">
        <f t="shared" si="81"/>
        <v>330600</v>
      </c>
      <c r="BO48" s="44">
        <f t="shared" si="22"/>
        <v>49400</v>
      </c>
      <c r="BP48" s="46">
        <f t="shared" si="23"/>
        <v>0</v>
      </c>
      <c r="BQ48" s="47">
        <f t="shared" si="24"/>
        <v>0</v>
      </c>
      <c r="BR48" s="604">
        <f t="shared" si="82"/>
        <v>0</v>
      </c>
      <c r="BS48" s="44">
        <f t="shared" si="83"/>
        <v>0</v>
      </c>
      <c r="BT48" s="44">
        <f t="shared" si="84"/>
        <v>0</v>
      </c>
      <c r="BU48" s="44">
        <f t="shared" si="85"/>
        <v>0</v>
      </c>
      <c r="BV48" s="44">
        <f t="shared" si="86"/>
        <v>380000</v>
      </c>
      <c r="BW48" s="44">
        <f t="shared" si="87"/>
        <v>380000</v>
      </c>
      <c r="BX48" s="44">
        <f t="shared" si="25"/>
        <v>7600</v>
      </c>
      <c r="BY48" s="44">
        <f t="shared" si="88"/>
        <v>7600</v>
      </c>
      <c r="BZ48" s="44">
        <f t="shared" si="26"/>
        <v>323000</v>
      </c>
      <c r="CA48" s="44">
        <f t="shared" si="89"/>
        <v>323000</v>
      </c>
      <c r="CB48" s="44">
        <f t="shared" si="27"/>
        <v>57000</v>
      </c>
      <c r="CC48" s="46">
        <f t="shared" si="28"/>
        <v>0</v>
      </c>
      <c r="CD48" s="47">
        <f t="shared" si="29"/>
        <v>0</v>
      </c>
      <c r="CE48" s="604">
        <f t="shared" si="90"/>
        <v>0</v>
      </c>
      <c r="CF48" s="44">
        <f t="shared" si="91"/>
        <v>0</v>
      </c>
      <c r="CG48" s="44">
        <f t="shared" si="92"/>
        <v>0</v>
      </c>
      <c r="CH48" s="44">
        <f t="shared" si="93"/>
        <v>0</v>
      </c>
      <c r="CI48" s="44">
        <f t="shared" si="94"/>
        <v>380000</v>
      </c>
      <c r="CJ48" s="44">
        <f t="shared" si="95"/>
        <v>380000</v>
      </c>
      <c r="CK48" s="44">
        <f t="shared" si="30"/>
        <v>7600</v>
      </c>
      <c r="CL48" s="44">
        <f t="shared" si="96"/>
        <v>7600</v>
      </c>
      <c r="CM48" s="44">
        <f t="shared" si="31"/>
        <v>315400</v>
      </c>
      <c r="CN48" s="44">
        <f t="shared" si="97"/>
        <v>315400</v>
      </c>
      <c r="CO48" s="44">
        <f t="shared" si="32"/>
        <v>64600</v>
      </c>
      <c r="CP48" s="46">
        <f t="shared" si="33"/>
        <v>0</v>
      </c>
      <c r="CQ48" s="47">
        <f t="shared" si="34"/>
        <v>0</v>
      </c>
      <c r="CR48" s="604">
        <f t="shared" si="98"/>
        <v>0</v>
      </c>
      <c r="CS48" s="44">
        <f t="shared" si="99"/>
        <v>0</v>
      </c>
      <c r="CT48" s="44">
        <f t="shared" si="100"/>
        <v>0</v>
      </c>
      <c r="CU48" s="44">
        <f t="shared" si="101"/>
        <v>0</v>
      </c>
      <c r="CV48" s="44">
        <f t="shared" si="102"/>
        <v>380000</v>
      </c>
      <c r="CW48" s="44">
        <f t="shared" si="103"/>
        <v>380000</v>
      </c>
      <c r="CX48" s="44">
        <f t="shared" si="35"/>
        <v>7600</v>
      </c>
      <c r="CY48" s="44">
        <f t="shared" si="104"/>
        <v>7600</v>
      </c>
      <c r="CZ48" s="44">
        <f t="shared" si="36"/>
        <v>307800</v>
      </c>
      <c r="DA48" s="44">
        <f t="shared" si="105"/>
        <v>307800</v>
      </c>
      <c r="DB48" s="44">
        <f t="shared" si="37"/>
        <v>72200</v>
      </c>
      <c r="DC48" s="46">
        <f t="shared" si="38"/>
        <v>0</v>
      </c>
      <c r="DD48" s="47">
        <f t="shared" si="39"/>
        <v>0</v>
      </c>
      <c r="DE48" s="604">
        <f t="shared" si="106"/>
        <v>0</v>
      </c>
      <c r="DF48" s="44">
        <f t="shared" si="107"/>
        <v>0</v>
      </c>
      <c r="DG48" s="44">
        <f t="shared" si="108"/>
        <v>0</v>
      </c>
      <c r="DH48" s="44">
        <f t="shared" si="109"/>
        <v>0</v>
      </c>
      <c r="DI48" s="44">
        <f t="shared" si="110"/>
        <v>380000</v>
      </c>
      <c r="DJ48" s="44">
        <f t="shared" si="111"/>
        <v>380000</v>
      </c>
      <c r="DK48" s="44">
        <f t="shared" si="40"/>
        <v>7600</v>
      </c>
      <c r="DL48" s="44">
        <f t="shared" si="112"/>
        <v>7600</v>
      </c>
      <c r="DM48" s="44">
        <f t="shared" si="41"/>
        <v>300200</v>
      </c>
      <c r="DN48" s="44">
        <f t="shared" si="113"/>
        <v>300200</v>
      </c>
      <c r="DO48" s="44">
        <f t="shared" si="42"/>
        <v>79800</v>
      </c>
      <c r="DP48" s="46">
        <f t="shared" si="43"/>
        <v>0</v>
      </c>
      <c r="DQ48" s="47">
        <f t="shared" si="44"/>
        <v>0</v>
      </c>
      <c r="DR48" s="604">
        <f t="shared" si="114"/>
        <v>0</v>
      </c>
      <c r="DS48" s="44">
        <f t="shared" si="115"/>
        <v>0</v>
      </c>
      <c r="DT48" s="44">
        <f t="shared" si="116"/>
        <v>0</v>
      </c>
      <c r="DU48" s="44">
        <f t="shared" si="117"/>
        <v>0</v>
      </c>
      <c r="DV48" s="44">
        <f t="shared" si="118"/>
        <v>380000</v>
      </c>
      <c r="DW48" s="44">
        <f t="shared" si="119"/>
        <v>380000</v>
      </c>
      <c r="DX48" s="44">
        <f t="shared" si="45"/>
        <v>7600</v>
      </c>
      <c r="DY48" s="44">
        <f t="shared" si="120"/>
        <v>7600</v>
      </c>
      <c r="DZ48" s="44">
        <f t="shared" si="46"/>
        <v>292600</v>
      </c>
      <c r="EA48" s="44">
        <f t="shared" si="121"/>
        <v>292600</v>
      </c>
      <c r="EB48" s="44">
        <f t="shared" si="47"/>
        <v>87400</v>
      </c>
      <c r="EC48" s="46">
        <f t="shared" si="48"/>
        <v>0</v>
      </c>
      <c r="ED48" s="47">
        <f t="shared" si="49"/>
        <v>0</v>
      </c>
    </row>
    <row r="49" spans="1:134" x14ac:dyDescent="0.35">
      <c r="A49" s="81"/>
      <c r="B49" s="82"/>
      <c r="C49" s="82"/>
      <c r="D49" s="83"/>
      <c r="E49" s="87"/>
      <c r="F49" s="85"/>
      <c r="G49" s="88"/>
      <c r="H49" s="179"/>
      <c r="I49" s="180"/>
      <c r="J49" s="181"/>
      <c r="K49" s="42">
        <f t="shared" si="0"/>
        <v>0</v>
      </c>
      <c r="L49" s="43">
        <f t="shared" si="1"/>
        <v>0</v>
      </c>
      <c r="M49" s="44">
        <f t="shared" si="2"/>
        <v>0</v>
      </c>
      <c r="N49" s="44"/>
      <c r="O49" s="44">
        <f t="shared" si="3"/>
        <v>0</v>
      </c>
      <c r="P49" s="45"/>
      <c r="Q49" s="44">
        <f t="shared" si="4"/>
        <v>0</v>
      </c>
      <c r="R49" s="604">
        <f t="shared" si="50"/>
        <v>0</v>
      </c>
      <c r="S49" s="44">
        <f t="shared" si="51"/>
        <v>0</v>
      </c>
      <c r="T49" s="44">
        <f t="shared" si="52"/>
        <v>0</v>
      </c>
      <c r="U49" s="44">
        <f t="shared" si="53"/>
        <v>0</v>
      </c>
      <c r="V49" s="44">
        <f t="shared" si="54"/>
        <v>0</v>
      </c>
      <c r="W49" s="44">
        <f t="shared" si="55"/>
        <v>0</v>
      </c>
      <c r="X49" s="44">
        <f t="shared" si="5"/>
        <v>0</v>
      </c>
      <c r="Y49" s="44">
        <f t="shared" si="56"/>
        <v>0</v>
      </c>
      <c r="Z49" s="44">
        <f t="shared" si="6"/>
        <v>0</v>
      </c>
      <c r="AA49" s="44">
        <f t="shared" si="57"/>
        <v>0</v>
      </c>
      <c r="AB49" s="44">
        <f t="shared" si="7"/>
        <v>0</v>
      </c>
      <c r="AC49" s="46">
        <f t="shared" si="8"/>
        <v>0</v>
      </c>
      <c r="AD49" s="47">
        <f t="shared" si="9"/>
        <v>0</v>
      </c>
      <c r="AE49" s="604">
        <f t="shared" si="58"/>
        <v>0</v>
      </c>
      <c r="AF49" s="44">
        <f t="shared" si="59"/>
        <v>0</v>
      </c>
      <c r="AG49" s="44">
        <f t="shared" si="60"/>
        <v>0</v>
      </c>
      <c r="AH49" s="44">
        <f t="shared" si="61"/>
        <v>0</v>
      </c>
      <c r="AI49" s="44">
        <f t="shared" si="62"/>
        <v>0</v>
      </c>
      <c r="AJ49" s="44">
        <f t="shared" si="63"/>
        <v>0</v>
      </c>
      <c r="AK49" s="44">
        <f t="shared" si="10"/>
        <v>0</v>
      </c>
      <c r="AL49" s="44">
        <f t="shared" si="64"/>
        <v>0</v>
      </c>
      <c r="AM49" s="44">
        <f t="shared" si="11"/>
        <v>0</v>
      </c>
      <c r="AN49" s="44">
        <f t="shared" si="65"/>
        <v>0</v>
      </c>
      <c r="AO49" s="44">
        <f t="shared" si="12"/>
        <v>0</v>
      </c>
      <c r="AP49" s="46">
        <f t="shared" si="13"/>
        <v>0</v>
      </c>
      <c r="AQ49" s="47">
        <f t="shared" si="14"/>
        <v>0</v>
      </c>
      <c r="AR49" s="604">
        <f t="shared" si="66"/>
        <v>0</v>
      </c>
      <c r="AS49" s="44">
        <f t="shared" si="67"/>
        <v>0</v>
      </c>
      <c r="AT49" s="44">
        <f t="shared" si="68"/>
        <v>0</v>
      </c>
      <c r="AU49" s="44">
        <f t="shared" si="69"/>
        <v>0</v>
      </c>
      <c r="AV49" s="44">
        <f t="shared" si="70"/>
        <v>0</v>
      </c>
      <c r="AW49" s="44">
        <f t="shared" si="71"/>
        <v>0</v>
      </c>
      <c r="AX49" s="44">
        <f t="shared" si="15"/>
        <v>0</v>
      </c>
      <c r="AY49" s="44">
        <f t="shared" si="72"/>
        <v>0</v>
      </c>
      <c r="AZ49" s="44">
        <f t="shared" si="16"/>
        <v>0</v>
      </c>
      <c r="BA49" s="44">
        <f t="shared" si="73"/>
        <v>0</v>
      </c>
      <c r="BB49" s="44">
        <f t="shared" si="17"/>
        <v>0</v>
      </c>
      <c r="BC49" s="46">
        <f t="shared" si="18"/>
        <v>0</v>
      </c>
      <c r="BD49" s="47">
        <f t="shared" si="19"/>
        <v>0</v>
      </c>
      <c r="BE49" s="604">
        <f t="shared" si="74"/>
        <v>0</v>
      </c>
      <c r="BF49" s="44">
        <f t="shared" si="75"/>
        <v>0</v>
      </c>
      <c r="BG49" s="44">
        <f t="shared" si="76"/>
        <v>0</v>
      </c>
      <c r="BH49" s="44">
        <f t="shared" si="77"/>
        <v>0</v>
      </c>
      <c r="BI49" s="44">
        <f t="shared" si="78"/>
        <v>0</v>
      </c>
      <c r="BJ49" s="44">
        <f t="shared" si="79"/>
        <v>0</v>
      </c>
      <c r="BK49" s="44">
        <f t="shared" si="20"/>
        <v>0</v>
      </c>
      <c r="BL49" s="44">
        <f t="shared" si="80"/>
        <v>0</v>
      </c>
      <c r="BM49" s="44">
        <f t="shared" si="21"/>
        <v>0</v>
      </c>
      <c r="BN49" s="44">
        <f t="shared" si="81"/>
        <v>0</v>
      </c>
      <c r="BO49" s="44">
        <f t="shared" si="22"/>
        <v>0</v>
      </c>
      <c r="BP49" s="46">
        <f t="shared" si="23"/>
        <v>0</v>
      </c>
      <c r="BQ49" s="47">
        <f t="shared" si="24"/>
        <v>0</v>
      </c>
      <c r="BR49" s="604">
        <f t="shared" si="82"/>
        <v>0</v>
      </c>
      <c r="BS49" s="44">
        <f t="shared" si="83"/>
        <v>0</v>
      </c>
      <c r="BT49" s="44">
        <f t="shared" si="84"/>
        <v>0</v>
      </c>
      <c r="BU49" s="44">
        <f t="shared" si="85"/>
        <v>0</v>
      </c>
      <c r="BV49" s="44">
        <f t="shared" si="86"/>
        <v>0</v>
      </c>
      <c r="BW49" s="44">
        <f t="shared" si="87"/>
        <v>0</v>
      </c>
      <c r="BX49" s="44">
        <f t="shared" si="25"/>
        <v>0</v>
      </c>
      <c r="BY49" s="44">
        <f t="shared" si="88"/>
        <v>0</v>
      </c>
      <c r="BZ49" s="44">
        <f t="shared" si="26"/>
        <v>0</v>
      </c>
      <c r="CA49" s="44">
        <f t="shared" si="89"/>
        <v>0</v>
      </c>
      <c r="CB49" s="44">
        <f t="shared" si="27"/>
        <v>0</v>
      </c>
      <c r="CC49" s="46">
        <f t="shared" si="28"/>
        <v>0</v>
      </c>
      <c r="CD49" s="47">
        <f t="shared" si="29"/>
        <v>0</v>
      </c>
      <c r="CE49" s="604">
        <f t="shared" si="90"/>
        <v>0</v>
      </c>
      <c r="CF49" s="44">
        <f t="shared" si="91"/>
        <v>0</v>
      </c>
      <c r="CG49" s="44">
        <f t="shared" si="92"/>
        <v>0</v>
      </c>
      <c r="CH49" s="44">
        <f t="shared" si="93"/>
        <v>0</v>
      </c>
      <c r="CI49" s="44">
        <f t="shared" si="94"/>
        <v>0</v>
      </c>
      <c r="CJ49" s="44">
        <f t="shared" si="95"/>
        <v>0</v>
      </c>
      <c r="CK49" s="44">
        <f t="shared" si="30"/>
        <v>0</v>
      </c>
      <c r="CL49" s="44">
        <f t="shared" si="96"/>
        <v>0</v>
      </c>
      <c r="CM49" s="44">
        <f t="shared" si="31"/>
        <v>0</v>
      </c>
      <c r="CN49" s="44">
        <f t="shared" si="97"/>
        <v>0</v>
      </c>
      <c r="CO49" s="44">
        <f t="shared" si="32"/>
        <v>0</v>
      </c>
      <c r="CP49" s="46">
        <f t="shared" si="33"/>
        <v>0</v>
      </c>
      <c r="CQ49" s="47">
        <f t="shared" si="34"/>
        <v>0</v>
      </c>
      <c r="CR49" s="604">
        <f t="shared" si="98"/>
        <v>0</v>
      </c>
      <c r="CS49" s="44">
        <f t="shared" si="99"/>
        <v>0</v>
      </c>
      <c r="CT49" s="44">
        <f t="shared" si="100"/>
        <v>0</v>
      </c>
      <c r="CU49" s="44">
        <f t="shared" si="101"/>
        <v>0</v>
      </c>
      <c r="CV49" s="44">
        <f t="shared" si="102"/>
        <v>0</v>
      </c>
      <c r="CW49" s="44">
        <f t="shared" si="103"/>
        <v>0</v>
      </c>
      <c r="CX49" s="44">
        <f t="shared" si="35"/>
        <v>0</v>
      </c>
      <c r="CY49" s="44">
        <f t="shared" si="104"/>
        <v>0</v>
      </c>
      <c r="CZ49" s="44">
        <f t="shared" si="36"/>
        <v>0</v>
      </c>
      <c r="DA49" s="44">
        <f t="shared" si="105"/>
        <v>0</v>
      </c>
      <c r="DB49" s="44">
        <f t="shared" si="37"/>
        <v>0</v>
      </c>
      <c r="DC49" s="46">
        <f t="shared" si="38"/>
        <v>0</v>
      </c>
      <c r="DD49" s="47">
        <f t="shared" si="39"/>
        <v>0</v>
      </c>
      <c r="DE49" s="604">
        <f t="shared" si="106"/>
        <v>0</v>
      </c>
      <c r="DF49" s="44">
        <f t="shared" si="107"/>
        <v>0</v>
      </c>
      <c r="DG49" s="44">
        <f t="shared" si="108"/>
        <v>0</v>
      </c>
      <c r="DH49" s="44">
        <f t="shared" si="109"/>
        <v>0</v>
      </c>
      <c r="DI49" s="44">
        <f t="shared" si="110"/>
        <v>0</v>
      </c>
      <c r="DJ49" s="44">
        <f t="shared" si="111"/>
        <v>0</v>
      </c>
      <c r="DK49" s="44">
        <f t="shared" si="40"/>
        <v>0</v>
      </c>
      <c r="DL49" s="44">
        <f t="shared" si="112"/>
        <v>0</v>
      </c>
      <c r="DM49" s="44">
        <f t="shared" si="41"/>
        <v>0</v>
      </c>
      <c r="DN49" s="44">
        <f t="shared" si="113"/>
        <v>0</v>
      </c>
      <c r="DO49" s="44">
        <f t="shared" si="42"/>
        <v>0</v>
      </c>
      <c r="DP49" s="46">
        <f t="shared" si="43"/>
        <v>0</v>
      </c>
      <c r="DQ49" s="47">
        <f t="shared" si="44"/>
        <v>0</v>
      </c>
      <c r="DR49" s="604">
        <f t="shared" si="114"/>
        <v>0</v>
      </c>
      <c r="DS49" s="44">
        <f t="shared" si="115"/>
        <v>0</v>
      </c>
      <c r="DT49" s="44">
        <f t="shared" si="116"/>
        <v>0</v>
      </c>
      <c r="DU49" s="44">
        <f t="shared" si="117"/>
        <v>0</v>
      </c>
      <c r="DV49" s="44">
        <f t="shared" si="118"/>
        <v>0</v>
      </c>
      <c r="DW49" s="44">
        <f t="shared" si="119"/>
        <v>0</v>
      </c>
      <c r="DX49" s="44">
        <f t="shared" si="45"/>
        <v>0</v>
      </c>
      <c r="DY49" s="44">
        <f t="shared" si="120"/>
        <v>0</v>
      </c>
      <c r="DZ49" s="44">
        <f t="shared" si="46"/>
        <v>0</v>
      </c>
      <c r="EA49" s="44">
        <f t="shared" si="121"/>
        <v>0</v>
      </c>
      <c r="EB49" s="44">
        <f t="shared" si="47"/>
        <v>0</v>
      </c>
      <c r="EC49" s="46">
        <f t="shared" si="48"/>
        <v>0</v>
      </c>
      <c r="ED49" s="47">
        <f t="shared" si="49"/>
        <v>0</v>
      </c>
    </row>
    <row r="50" spans="1:134" x14ac:dyDescent="0.35">
      <c r="A50" s="81"/>
      <c r="B50" s="82" t="s">
        <v>220</v>
      </c>
      <c r="C50" s="82"/>
      <c r="D50" s="83"/>
      <c r="E50" s="87"/>
      <c r="F50" s="85"/>
      <c r="G50" s="88"/>
      <c r="H50" s="179"/>
      <c r="I50" s="180"/>
      <c r="J50" s="181"/>
      <c r="K50" s="42">
        <f t="shared" si="0"/>
        <v>0</v>
      </c>
      <c r="L50" s="43">
        <f t="shared" si="1"/>
        <v>0</v>
      </c>
      <c r="M50" s="44">
        <f t="shared" si="2"/>
        <v>0</v>
      </c>
      <c r="N50" s="44"/>
      <c r="O50" s="44">
        <f t="shared" si="3"/>
        <v>0</v>
      </c>
      <c r="P50" s="45"/>
      <c r="Q50" s="44">
        <f t="shared" si="4"/>
        <v>0</v>
      </c>
      <c r="R50" s="604">
        <f t="shared" si="50"/>
        <v>0</v>
      </c>
      <c r="S50" s="44">
        <f t="shared" si="51"/>
        <v>0</v>
      </c>
      <c r="T50" s="44">
        <f t="shared" si="52"/>
        <v>0</v>
      </c>
      <c r="U50" s="44">
        <f t="shared" si="53"/>
        <v>0</v>
      </c>
      <c r="V50" s="44">
        <f t="shared" si="54"/>
        <v>0</v>
      </c>
      <c r="W50" s="44">
        <f t="shared" si="55"/>
        <v>0</v>
      </c>
      <c r="X50" s="44">
        <f t="shared" si="5"/>
        <v>0</v>
      </c>
      <c r="Y50" s="44">
        <f t="shared" si="56"/>
        <v>0</v>
      </c>
      <c r="Z50" s="44">
        <f t="shared" si="6"/>
        <v>0</v>
      </c>
      <c r="AA50" s="44">
        <f t="shared" si="57"/>
        <v>0</v>
      </c>
      <c r="AB50" s="44">
        <f t="shared" si="7"/>
        <v>0</v>
      </c>
      <c r="AC50" s="46">
        <f t="shared" si="8"/>
        <v>0</v>
      </c>
      <c r="AD50" s="47">
        <f t="shared" si="9"/>
        <v>0</v>
      </c>
      <c r="AE50" s="604">
        <f t="shared" si="58"/>
        <v>0</v>
      </c>
      <c r="AF50" s="44">
        <f t="shared" si="59"/>
        <v>0</v>
      </c>
      <c r="AG50" s="44">
        <f t="shared" si="60"/>
        <v>0</v>
      </c>
      <c r="AH50" s="44">
        <f t="shared" si="61"/>
        <v>0</v>
      </c>
      <c r="AI50" s="44">
        <f t="shared" si="62"/>
        <v>0</v>
      </c>
      <c r="AJ50" s="44">
        <f t="shared" si="63"/>
        <v>0</v>
      </c>
      <c r="AK50" s="44">
        <f t="shared" si="10"/>
        <v>0</v>
      </c>
      <c r="AL50" s="44">
        <f t="shared" si="64"/>
        <v>0</v>
      </c>
      <c r="AM50" s="44">
        <f t="shared" si="11"/>
        <v>0</v>
      </c>
      <c r="AN50" s="44">
        <f t="shared" si="65"/>
        <v>0</v>
      </c>
      <c r="AO50" s="44">
        <f t="shared" si="12"/>
        <v>0</v>
      </c>
      <c r="AP50" s="46">
        <f t="shared" si="13"/>
        <v>0</v>
      </c>
      <c r="AQ50" s="47">
        <f t="shared" si="14"/>
        <v>0</v>
      </c>
      <c r="AR50" s="604">
        <f t="shared" si="66"/>
        <v>0</v>
      </c>
      <c r="AS50" s="44">
        <f t="shared" si="67"/>
        <v>0</v>
      </c>
      <c r="AT50" s="44">
        <f t="shared" si="68"/>
        <v>0</v>
      </c>
      <c r="AU50" s="44">
        <f t="shared" si="69"/>
        <v>0</v>
      </c>
      <c r="AV50" s="44">
        <f t="shared" si="70"/>
        <v>0</v>
      </c>
      <c r="AW50" s="44">
        <f t="shared" si="71"/>
        <v>0</v>
      </c>
      <c r="AX50" s="44">
        <f t="shared" si="15"/>
        <v>0</v>
      </c>
      <c r="AY50" s="44">
        <f t="shared" si="72"/>
        <v>0</v>
      </c>
      <c r="AZ50" s="44">
        <f t="shared" si="16"/>
        <v>0</v>
      </c>
      <c r="BA50" s="44">
        <f t="shared" si="73"/>
        <v>0</v>
      </c>
      <c r="BB50" s="44">
        <f t="shared" si="17"/>
        <v>0</v>
      </c>
      <c r="BC50" s="46">
        <f t="shared" si="18"/>
        <v>0</v>
      </c>
      <c r="BD50" s="47">
        <f t="shared" si="19"/>
        <v>0</v>
      </c>
      <c r="BE50" s="604">
        <f t="shared" si="74"/>
        <v>0</v>
      </c>
      <c r="BF50" s="44">
        <f t="shared" si="75"/>
        <v>0</v>
      </c>
      <c r="BG50" s="44">
        <f t="shared" si="76"/>
        <v>0</v>
      </c>
      <c r="BH50" s="44">
        <f t="shared" si="77"/>
        <v>0</v>
      </c>
      <c r="BI50" s="44">
        <f t="shared" si="78"/>
        <v>0</v>
      </c>
      <c r="BJ50" s="44">
        <f t="shared" si="79"/>
        <v>0</v>
      </c>
      <c r="BK50" s="44">
        <f t="shared" si="20"/>
        <v>0</v>
      </c>
      <c r="BL50" s="44">
        <f t="shared" si="80"/>
        <v>0</v>
      </c>
      <c r="BM50" s="44">
        <f t="shared" si="21"/>
        <v>0</v>
      </c>
      <c r="BN50" s="44">
        <f t="shared" si="81"/>
        <v>0</v>
      </c>
      <c r="BO50" s="44">
        <f t="shared" si="22"/>
        <v>0</v>
      </c>
      <c r="BP50" s="46">
        <f t="shared" si="23"/>
        <v>0</v>
      </c>
      <c r="BQ50" s="47">
        <f t="shared" si="24"/>
        <v>0</v>
      </c>
      <c r="BR50" s="604">
        <f t="shared" si="82"/>
        <v>0</v>
      </c>
      <c r="BS50" s="44">
        <f t="shared" si="83"/>
        <v>0</v>
      </c>
      <c r="BT50" s="44">
        <f t="shared" si="84"/>
        <v>0</v>
      </c>
      <c r="BU50" s="44">
        <f t="shared" si="85"/>
        <v>0</v>
      </c>
      <c r="BV50" s="44">
        <f t="shared" si="86"/>
        <v>0</v>
      </c>
      <c r="BW50" s="44">
        <f t="shared" si="87"/>
        <v>0</v>
      </c>
      <c r="BX50" s="44">
        <f t="shared" si="25"/>
        <v>0</v>
      </c>
      <c r="BY50" s="44">
        <f t="shared" si="88"/>
        <v>0</v>
      </c>
      <c r="BZ50" s="44">
        <f t="shared" si="26"/>
        <v>0</v>
      </c>
      <c r="CA50" s="44">
        <f t="shared" si="89"/>
        <v>0</v>
      </c>
      <c r="CB50" s="44">
        <f t="shared" si="27"/>
        <v>0</v>
      </c>
      <c r="CC50" s="46">
        <f t="shared" si="28"/>
        <v>0</v>
      </c>
      <c r="CD50" s="47">
        <f t="shared" si="29"/>
        <v>0</v>
      </c>
      <c r="CE50" s="604">
        <f t="shared" si="90"/>
        <v>0</v>
      </c>
      <c r="CF50" s="44">
        <f t="shared" si="91"/>
        <v>0</v>
      </c>
      <c r="CG50" s="44">
        <f t="shared" si="92"/>
        <v>0</v>
      </c>
      <c r="CH50" s="44">
        <f t="shared" si="93"/>
        <v>0</v>
      </c>
      <c r="CI50" s="44">
        <f t="shared" si="94"/>
        <v>0</v>
      </c>
      <c r="CJ50" s="44">
        <f t="shared" si="95"/>
        <v>0</v>
      </c>
      <c r="CK50" s="44">
        <f t="shared" si="30"/>
        <v>0</v>
      </c>
      <c r="CL50" s="44">
        <f t="shared" si="96"/>
        <v>0</v>
      </c>
      <c r="CM50" s="44">
        <f t="shared" si="31"/>
        <v>0</v>
      </c>
      <c r="CN50" s="44">
        <f t="shared" si="97"/>
        <v>0</v>
      </c>
      <c r="CO50" s="44">
        <f t="shared" si="32"/>
        <v>0</v>
      </c>
      <c r="CP50" s="46">
        <f t="shared" si="33"/>
        <v>0</v>
      </c>
      <c r="CQ50" s="47">
        <f t="shared" si="34"/>
        <v>0</v>
      </c>
      <c r="CR50" s="604">
        <f t="shared" si="98"/>
        <v>0</v>
      </c>
      <c r="CS50" s="44">
        <f t="shared" si="99"/>
        <v>0</v>
      </c>
      <c r="CT50" s="44">
        <f t="shared" si="100"/>
        <v>0</v>
      </c>
      <c r="CU50" s="44">
        <f t="shared" si="101"/>
        <v>0</v>
      </c>
      <c r="CV50" s="44">
        <f t="shared" si="102"/>
        <v>0</v>
      </c>
      <c r="CW50" s="44">
        <f t="shared" si="103"/>
        <v>0</v>
      </c>
      <c r="CX50" s="44">
        <f t="shared" si="35"/>
        <v>0</v>
      </c>
      <c r="CY50" s="44">
        <f t="shared" si="104"/>
        <v>0</v>
      </c>
      <c r="CZ50" s="44">
        <f t="shared" si="36"/>
        <v>0</v>
      </c>
      <c r="DA50" s="44">
        <f t="shared" si="105"/>
        <v>0</v>
      </c>
      <c r="DB50" s="44">
        <f t="shared" si="37"/>
        <v>0</v>
      </c>
      <c r="DC50" s="46">
        <f t="shared" si="38"/>
        <v>0</v>
      </c>
      <c r="DD50" s="47">
        <f t="shared" si="39"/>
        <v>0</v>
      </c>
      <c r="DE50" s="604">
        <f t="shared" si="106"/>
        <v>0</v>
      </c>
      <c r="DF50" s="44">
        <f t="shared" si="107"/>
        <v>0</v>
      </c>
      <c r="DG50" s="44">
        <f t="shared" si="108"/>
        <v>0</v>
      </c>
      <c r="DH50" s="44">
        <f t="shared" si="109"/>
        <v>0</v>
      </c>
      <c r="DI50" s="44">
        <f t="shared" si="110"/>
        <v>0</v>
      </c>
      <c r="DJ50" s="44">
        <f t="shared" si="111"/>
        <v>0</v>
      </c>
      <c r="DK50" s="44">
        <f t="shared" si="40"/>
        <v>0</v>
      </c>
      <c r="DL50" s="44">
        <f t="shared" si="112"/>
        <v>0</v>
      </c>
      <c r="DM50" s="44">
        <f t="shared" si="41"/>
        <v>0</v>
      </c>
      <c r="DN50" s="44">
        <f t="shared" si="113"/>
        <v>0</v>
      </c>
      <c r="DO50" s="44">
        <f t="shared" si="42"/>
        <v>0</v>
      </c>
      <c r="DP50" s="46">
        <f t="shared" si="43"/>
        <v>0</v>
      </c>
      <c r="DQ50" s="47">
        <f t="shared" si="44"/>
        <v>0</v>
      </c>
      <c r="DR50" s="604">
        <f t="shared" si="114"/>
        <v>0</v>
      </c>
      <c r="DS50" s="44">
        <f t="shared" si="115"/>
        <v>0</v>
      </c>
      <c r="DT50" s="44">
        <f t="shared" si="116"/>
        <v>0</v>
      </c>
      <c r="DU50" s="44">
        <f t="shared" si="117"/>
        <v>0</v>
      </c>
      <c r="DV50" s="44">
        <f t="shared" si="118"/>
        <v>0</v>
      </c>
      <c r="DW50" s="44">
        <f t="shared" si="119"/>
        <v>0</v>
      </c>
      <c r="DX50" s="44">
        <f t="shared" si="45"/>
        <v>0</v>
      </c>
      <c r="DY50" s="44">
        <f t="shared" si="120"/>
        <v>0</v>
      </c>
      <c r="DZ50" s="44">
        <f t="shared" si="46"/>
        <v>0</v>
      </c>
      <c r="EA50" s="44">
        <f t="shared" si="121"/>
        <v>0</v>
      </c>
      <c r="EB50" s="44">
        <f t="shared" si="47"/>
        <v>0</v>
      </c>
      <c r="EC50" s="46">
        <f t="shared" si="48"/>
        <v>0</v>
      </c>
      <c r="ED50" s="47">
        <f t="shared" si="49"/>
        <v>0</v>
      </c>
    </row>
    <row r="51" spans="1:134" x14ac:dyDescent="0.35">
      <c r="A51" s="81">
        <v>1985</v>
      </c>
      <c r="B51" s="82" t="s">
        <v>221</v>
      </c>
      <c r="C51" s="82"/>
      <c r="D51" s="83" t="s">
        <v>32</v>
      </c>
      <c r="E51" s="87">
        <v>700000</v>
      </c>
      <c r="F51" s="85">
        <v>23743</v>
      </c>
      <c r="G51" s="185">
        <v>33.299999999999997</v>
      </c>
      <c r="H51" s="179"/>
      <c r="I51" s="180"/>
      <c r="J51" s="181"/>
      <c r="K51" s="42">
        <f t="shared" si="0"/>
        <v>0.03</v>
      </c>
      <c r="L51" s="43">
        <f t="shared" si="1"/>
        <v>21000</v>
      </c>
      <c r="M51" s="44">
        <f t="shared" si="2"/>
        <v>0</v>
      </c>
      <c r="N51" s="44"/>
      <c r="O51" s="44">
        <f t="shared" si="3"/>
        <v>700000</v>
      </c>
      <c r="P51" s="45"/>
      <c r="Q51" s="44">
        <f t="shared" si="4"/>
        <v>700000</v>
      </c>
      <c r="R51" s="604">
        <f t="shared" si="50"/>
        <v>0</v>
      </c>
      <c r="S51" s="44">
        <f t="shared" si="51"/>
        <v>0</v>
      </c>
      <c r="T51" s="44">
        <f t="shared" si="52"/>
        <v>0</v>
      </c>
      <c r="U51" s="44">
        <f t="shared" si="53"/>
        <v>0</v>
      </c>
      <c r="V51" s="44">
        <f t="shared" si="54"/>
        <v>700000</v>
      </c>
      <c r="W51" s="44">
        <f t="shared" si="55"/>
        <v>0</v>
      </c>
      <c r="X51" s="44">
        <f t="shared" si="5"/>
        <v>0</v>
      </c>
      <c r="Y51" s="44">
        <f t="shared" si="56"/>
        <v>0</v>
      </c>
      <c r="Z51" s="44">
        <f t="shared" si="6"/>
        <v>0</v>
      </c>
      <c r="AA51" s="44">
        <f t="shared" si="57"/>
        <v>0</v>
      </c>
      <c r="AB51" s="44">
        <f t="shared" si="7"/>
        <v>700000</v>
      </c>
      <c r="AC51" s="46">
        <f t="shared" si="8"/>
        <v>0</v>
      </c>
      <c r="AD51" s="47">
        <f t="shared" si="9"/>
        <v>0</v>
      </c>
      <c r="AE51" s="604">
        <f t="shared" si="58"/>
        <v>0</v>
      </c>
      <c r="AF51" s="44">
        <f t="shared" si="59"/>
        <v>0</v>
      </c>
      <c r="AG51" s="44">
        <f t="shared" si="60"/>
        <v>0</v>
      </c>
      <c r="AH51" s="44">
        <f t="shared" si="61"/>
        <v>0</v>
      </c>
      <c r="AI51" s="44">
        <f t="shared" si="62"/>
        <v>700000</v>
      </c>
      <c r="AJ51" s="44">
        <f t="shared" si="63"/>
        <v>0</v>
      </c>
      <c r="AK51" s="44">
        <f t="shared" si="10"/>
        <v>0</v>
      </c>
      <c r="AL51" s="44">
        <f t="shared" si="64"/>
        <v>0</v>
      </c>
      <c r="AM51" s="44">
        <f t="shared" si="11"/>
        <v>0</v>
      </c>
      <c r="AN51" s="44">
        <f t="shared" si="65"/>
        <v>0</v>
      </c>
      <c r="AO51" s="44">
        <f t="shared" si="12"/>
        <v>700000</v>
      </c>
      <c r="AP51" s="46">
        <f t="shared" si="13"/>
        <v>0</v>
      </c>
      <c r="AQ51" s="47">
        <f t="shared" si="14"/>
        <v>0</v>
      </c>
      <c r="AR51" s="604">
        <f t="shared" si="66"/>
        <v>0</v>
      </c>
      <c r="AS51" s="44">
        <f t="shared" si="67"/>
        <v>0</v>
      </c>
      <c r="AT51" s="44">
        <f t="shared" si="68"/>
        <v>0</v>
      </c>
      <c r="AU51" s="44">
        <f t="shared" si="69"/>
        <v>0</v>
      </c>
      <c r="AV51" s="44">
        <f t="shared" si="70"/>
        <v>700000</v>
      </c>
      <c r="AW51" s="44">
        <f t="shared" si="71"/>
        <v>0</v>
      </c>
      <c r="AX51" s="44">
        <f t="shared" si="15"/>
        <v>0</v>
      </c>
      <c r="AY51" s="44">
        <f t="shared" si="72"/>
        <v>0</v>
      </c>
      <c r="AZ51" s="44">
        <f t="shared" si="16"/>
        <v>0</v>
      </c>
      <c r="BA51" s="44">
        <f t="shared" si="73"/>
        <v>0</v>
      </c>
      <c r="BB51" s="44">
        <f t="shared" si="17"/>
        <v>700000</v>
      </c>
      <c r="BC51" s="46">
        <f t="shared" si="18"/>
        <v>0</v>
      </c>
      <c r="BD51" s="47">
        <f t="shared" si="19"/>
        <v>0</v>
      </c>
      <c r="BE51" s="604">
        <f t="shared" si="74"/>
        <v>0</v>
      </c>
      <c r="BF51" s="44">
        <f t="shared" si="75"/>
        <v>0</v>
      </c>
      <c r="BG51" s="44">
        <f t="shared" si="76"/>
        <v>0</v>
      </c>
      <c r="BH51" s="44">
        <f t="shared" si="77"/>
        <v>0</v>
      </c>
      <c r="BI51" s="44">
        <f t="shared" si="78"/>
        <v>700000</v>
      </c>
      <c r="BJ51" s="44">
        <f t="shared" si="79"/>
        <v>0</v>
      </c>
      <c r="BK51" s="44">
        <f t="shared" si="20"/>
        <v>0</v>
      </c>
      <c r="BL51" s="44">
        <f t="shared" si="80"/>
        <v>0</v>
      </c>
      <c r="BM51" s="44">
        <f t="shared" si="21"/>
        <v>0</v>
      </c>
      <c r="BN51" s="44">
        <f t="shared" si="81"/>
        <v>0</v>
      </c>
      <c r="BO51" s="44">
        <f t="shared" si="22"/>
        <v>700000</v>
      </c>
      <c r="BP51" s="46">
        <f t="shared" si="23"/>
        <v>0</v>
      </c>
      <c r="BQ51" s="47">
        <f t="shared" si="24"/>
        <v>0</v>
      </c>
      <c r="BR51" s="604">
        <f t="shared" si="82"/>
        <v>0</v>
      </c>
      <c r="BS51" s="44">
        <f t="shared" si="83"/>
        <v>0</v>
      </c>
      <c r="BT51" s="44">
        <f t="shared" si="84"/>
        <v>0</v>
      </c>
      <c r="BU51" s="44">
        <f t="shared" si="85"/>
        <v>0</v>
      </c>
      <c r="BV51" s="44">
        <f t="shared" si="86"/>
        <v>700000</v>
      </c>
      <c r="BW51" s="44">
        <f t="shared" si="87"/>
        <v>0</v>
      </c>
      <c r="BX51" s="44">
        <f t="shared" si="25"/>
        <v>0</v>
      </c>
      <c r="BY51" s="44">
        <f t="shared" si="88"/>
        <v>0</v>
      </c>
      <c r="BZ51" s="44">
        <f t="shared" si="26"/>
        <v>0</v>
      </c>
      <c r="CA51" s="44">
        <f t="shared" si="89"/>
        <v>0</v>
      </c>
      <c r="CB51" s="44">
        <f t="shared" si="27"/>
        <v>700000</v>
      </c>
      <c r="CC51" s="46">
        <f t="shared" si="28"/>
        <v>0</v>
      </c>
      <c r="CD51" s="47">
        <f t="shared" si="29"/>
        <v>0</v>
      </c>
      <c r="CE51" s="604">
        <f t="shared" si="90"/>
        <v>0</v>
      </c>
      <c r="CF51" s="44">
        <f t="shared" si="91"/>
        <v>0</v>
      </c>
      <c r="CG51" s="44">
        <f t="shared" si="92"/>
        <v>0</v>
      </c>
      <c r="CH51" s="44">
        <f t="shared" si="93"/>
        <v>0</v>
      </c>
      <c r="CI51" s="44">
        <f t="shared" si="94"/>
        <v>700000</v>
      </c>
      <c r="CJ51" s="44">
        <f t="shared" si="95"/>
        <v>0</v>
      </c>
      <c r="CK51" s="44">
        <f t="shared" si="30"/>
        <v>0</v>
      </c>
      <c r="CL51" s="44">
        <f t="shared" si="96"/>
        <v>0</v>
      </c>
      <c r="CM51" s="44">
        <f t="shared" si="31"/>
        <v>0</v>
      </c>
      <c r="CN51" s="44">
        <f t="shared" si="97"/>
        <v>0</v>
      </c>
      <c r="CO51" s="44">
        <f t="shared" si="32"/>
        <v>700000</v>
      </c>
      <c r="CP51" s="46">
        <f t="shared" si="33"/>
        <v>0</v>
      </c>
      <c r="CQ51" s="47">
        <f t="shared" si="34"/>
        <v>0</v>
      </c>
      <c r="CR51" s="604">
        <f t="shared" si="98"/>
        <v>0</v>
      </c>
      <c r="CS51" s="44">
        <f t="shared" si="99"/>
        <v>0</v>
      </c>
      <c r="CT51" s="44">
        <f t="shared" si="100"/>
        <v>0</v>
      </c>
      <c r="CU51" s="44">
        <f t="shared" si="101"/>
        <v>0</v>
      </c>
      <c r="CV51" s="44">
        <f t="shared" si="102"/>
        <v>700000</v>
      </c>
      <c r="CW51" s="44">
        <f t="shared" si="103"/>
        <v>0</v>
      </c>
      <c r="CX51" s="44">
        <f t="shared" si="35"/>
        <v>0</v>
      </c>
      <c r="CY51" s="44">
        <f t="shared" si="104"/>
        <v>0</v>
      </c>
      <c r="CZ51" s="44">
        <f t="shared" si="36"/>
        <v>0</v>
      </c>
      <c r="DA51" s="44">
        <f t="shared" si="105"/>
        <v>0</v>
      </c>
      <c r="DB51" s="44">
        <f t="shared" si="37"/>
        <v>700000</v>
      </c>
      <c r="DC51" s="46">
        <f t="shared" si="38"/>
        <v>0</v>
      </c>
      <c r="DD51" s="47">
        <f t="shared" si="39"/>
        <v>0</v>
      </c>
      <c r="DE51" s="604">
        <f t="shared" si="106"/>
        <v>0</v>
      </c>
      <c r="DF51" s="44">
        <f t="shared" si="107"/>
        <v>0</v>
      </c>
      <c r="DG51" s="44">
        <f t="shared" si="108"/>
        <v>0</v>
      </c>
      <c r="DH51" s="44">
        <f t="shared" si="109"/>
        <v>0</v>
      </c>
      <c r="DI51" s="44">
        <f t="shared" si="110"/>
        <v>700000</v>
      </c>
      <c r="DJ51" s="44">
        <f t="shared" si="111"/>
        <v>0</v>
      </c>
      <c r="DK51" s="44">
        <f t="shared" si="40"/>
        <v>0</v>
      </c>
      <c r="DL51" s="44">
        <f t="shared" si="112"/>
        <v>0</v>
      </c>
      <c r="DM51" s="44">
        <f t="shared" si="41"/>
        <v>0</v>
      </c>
      <c r="DN51" s="44">
        <f t="shared" si="113"/>
        <v>0</v>
      </c>
      <c r="DO51" s="44">
        <f t="shared" si="42"/>
        <v>700000</v>
      </c>
      <c r="DP51" s="46">
        <f t="shared" si="43"/>
        <v>0</v>
      </c>
      <c r="DQ51" s="47">
        <f t="shared" si="44"/>
        <v>0</v>
      </c>
      <c r="DR51" s="604">
        <f t="shared" si="114"/>
        <v>0</v>
      </c>
      <c r="DS51" s="44">
        <f t="shared" si="115"/>
        <v>0</v>
      </c>
      <c r="DT51" s="44">
        <f t="shared" si="116"/>
        <v>0</v>
      </c>
      <c r="DU51" s="44">
        <f t="shared" si="117"/>
        <v>0</v>
      </c>
      <c r="DV51" s="44">
        <f t="shared" si="118"/>
        <v>700000</v>
      </c>
      <c r="DW51" s="44">
        <f t="shared" si="119"/>
        <v>0</v>
      </c>
      <c r="DX51" s="44">
        <f t="shared" si="45"/>
        <v>0</v>
      </c>
      <c r="DY51" s="44">
        <f t="shared" si="120"/>
        <v>0</v>
      </c>
      <c r="DZ51" s="44">
        <f t="shared" si="46"/>
        <v>0</v>
      </c>
      <c r="EA51" s="44">
        <f t="shared" si="121"/>
        <v>0</v>
      </c>
      <c r="EB51" s="44">
        <f t="shared" si="47"/>
        <v>700000</v>
      </c>
      <c r="EC51" s="46">
        <f t="shared" si="48"/>
        <v>0</v>
      </c>
      <c r="ED51" s="47">
        <f t="shared" si="49"/>
        <v>0</v>
      </c>
    </row>
    <row r="52" spans="1:134" x14ac:dyDescent="0.35">
      <c r="A52" s="81">
        <v>1985</v>
      </c>
      <c r="B52" s="82" t="s">
        <v>222</v>
      </c>
      <c r="C52" s="82"/>
      <c r="D52" s="83" t="s">
        <v>32</v>
      </c>
      <c r="E52" s="87">
        <v>190000</v>
      </c>
      <c r="F52" s="85">
        <v>31229</v>
      </c>
      <c r="G52" s="185">
        <v>33.299999999999997</v>
      </c>
      <c r="H52" s="179"/>
      <c r="I52" s="180"/>
      <c r="J52" s="181"/>
      <c r="K52" s="42">
        <f t="shared" si="0"/>
        <v>0.03</v>
      </c>
      <c r="L52" s="43">
        <f t="shared" si="1"/>
        <v>5700</v>
      </c>
      <c r="M52" s="44">
        <f t="shared" si="2"/>
        <v>38950</v>
      </c>
      <c r="N52" s="44"/>
      <c r="O52" s="44">
        <f t="shared" si="3"/>
        <v>151050</v>
      </c>
      <c r="P52" s="45"/>
      <c r="Q52" s="44">
        <f t="shared" si="4"/>
        <v>190000</v>
      </c>
      <c r="R52" s="604">
        <f t="shared" si="50"/>
        <v>0</v>
      </c>
      <c r="S52" s="44">
        <f t="shared" si="51"/>
        <v>0</v>
      </c>
      <c r="T52" s="44">
        <f t="shared" si="52"/>
        <v>0</v>
      </c>
      <c r="U52" s="44">
        <f t="shared" si="53"/>
        <v>0</v>
      </c>
      <c r="V52" s="44">
        <f t="shared" si="54"/>
        <v>190000</v>
      </c>
      <c r="W52" s="44">
        <f t="shared" si="55"/>
        <v>190000</v>
      </c>
      <c r="X52" s="44">
        <f t="shared" si="5"/>
        <v>5700</v>
      </c>
      <c r="Y52" s="44">
        <f t="shared" si="56"/>
        <v>5700</v>
      </c>
      <c r="Z52" s="44">
        <f t="shared" si="6"/>
        <v>33250</v>
      </c>
      <c r="AA52" s="44">
        <f t="shared" si="57"/>
        <v>33250</v>
      </c>
      <c r="AB52" s="44">
        <f t="shared" si="7"/>
        <v>156750</v>
      </c>
      <c r="AC52" s="46">
        <f t="shared" si="8"/>
        <v>0</v>
      </c>
      <c r="AD52" s="47">
        <f t="shared" si="9"/>
        <v>0</v>
      </c>
      <c r="AE52" s="604">
        <f t="shared" si="58"/>
        <v>0</v>
      </c>
      <c r="AF52" s="44">
        <f t="shared" si="59"/>
        <v>0</v>
      </c>
      <c r="AG52" s="44">
        <f t="shared" si="60"/>
        <v>0</v>
      </c>
      <c r="AH52" s="44">
        <f t="shared" si="61"/>
        <v>0</v>
      </c>
      <c r="AI52" s="44">
        <f t="shared" si="62"/>
        <v>190000</v>
      </c>
      <c r="AJ52" s="44">
        <f t="shared" si="63"/>
        <v>190000</v>
      </c>
      <c r="AK52" s="44">
        <f t="shared" si="10"/>
        <v>5700</v>
      </c>
      <c r="AL52" s="44">
        <f t="shared" si="64"/>
        <v>5700</v>
      </c>
      <c r="AM52" s="44">
        <f t="shared" si="11"/>
        <v>27550</v>
      </c>
      <c r="AN52" s="44">
        <f t="shared" si="65"/>
        <v>27550</v>
      </c>
      <c r="AO52" s="44">
        <f t="shared" si="12"/>
        <v>162450</v>
      </c>
      <c r="AP52" s="46">
        <f t="shared" si="13"/>
        <v>0</v>
      </c>
      <c r="AQ52" s="47">
        <f t="shared" si="14"/>
        <v>0</v>
      </c>
      <c r="AR52" s="604">
        <f t="shared" si="66"/>
        <v>0</v>
      </c>
      <c r="AS52" s="44">
        <f t="shared" si="67"/>
        <v>0</v>
      </c>
      <c r="AT52" s="44">
        <f t="shared" si="68"/>
        <v>0</v>
      </c>
      <c r="AU52" s="44">
        <f t="shared" si="69"/>
        <v>0</v>
      </c>
      <c r="AV52" s="44">
        <f t="shared" si="70"/>
        <v>190000</v>
      </c>
      <c r="AW52" s="44">
        <f t="shared" si="71"/>
        <v>190000</v>
      </c>
      <c r="AX52" s="44">
        <f t="shared" si="15"/>
        <v>5700</v>
      </c>
      <c r="AY52" s="44">
        <f t="shared" si="72"/>
        <v>5700</v>
      </c>
      <c r="AZ52" s="44">
        <f t="shared" si="16"/>
        <v>21850</v>
      </c>
      <c r="BA52" s="44">
        <f t="shared" si="73"/>
        <v>21850</v>
      </c>
      <c r="BB52" s="44">
        <f t="shared" si="17"/>
        <v>168150</v>
      </c>
      <c r="BC52" s="46">
        <f t="shared" si="18"/>
        <v>0</v>
      </c>
      <c r="BD52" s="47">
        <f t="shared" si="19"/>
        <v>0</v>
      </c>
      <c r="BE52" s="604">
        <f t="shared" si="74"/>
        <v>0</v>
      </c>
      <c r="BF52" s="44">
        <f t="shared" si="75"/>
        <v>0</v>
      </c>
      <c r="BG52" s="44">
        <f t="shared" si="76"/>
        <v>0</v>
      </c>
      <c r="BH52" s="44">
        <f t="shared" si="77"/>
        <v>0</v>
      </c>
      <c r="BI52" s="44">
        <f t="shared" si="78"/>
        <v>190000</v>
      </c>
      <c r="BJ52" s="44">
        <f t="shared" si="79"/>
        <v>190000</v>
      </c>
      <c r="BK52" s="44">
        <f t="shared" si="20"/>
        <v>5700</v>
      </c>
      <c r="BL52" s="44">
        <f t="shared" si="80"/>
        <v>5700</v>
      </c>
      <c r="BM52" s="44">
        <f t="shared" si="21"/>
        <v>16150</v>
      </c>
      <c r="BN52" s="44">
        <f t="shared" si="81"/>
        <v>16150</v>
      </c>
      <c r="BO52" s="44">
        <f t="shared" si="22"/>
        <v>173850</v>
      </c>
      <c r="BP52" s="46">
        <f t="shared" si="23"/>
        <v>0</v>
      </c>
      <c r="BQ52" s="47">
        <f t="shared" si="24"/>
        <v>0</v>
      </c>
      <c r="BR52" s="604">
        <f t="shared" si="82"/>
        <v>0</v>
      </c>
      <c r="BS52" s="44">
        <f t="shared" si="83"/>
        <v>0</v>
      </c>
      <c r="BT52" s="44">
        <f t="shared" si="84"/>
        <v>0</v>
      </c>
      <c r="BU52" s="44">
        <f t="shared" si="85"/>
        <v>0</v>
      </c>
      <c r="BV52" s="44">
        <f t="shared" si="86"/>
        <v>190000</v>
      </c>
      <c r="BW52" s="44">
        <f t="shared" si="87"/>
        <v>190000</v>
      </c>
      <c r="BX52" s="44">
        <f t="shared" si="25"/>
        <v>5700</v>
      </c>
      <c r="BY52" s="44">
        <f t="shared" si="88"/>
        <v>5700</v>
      </c>
      <c r="BZ52" s="44">
        <f t="shared" si="26"/>
        <v>10450</v>
      </c>
      <c r="CA52" s="44">
        <f t="shared" si="89"/>
        <v>10450</v>
      </c>
      <c r="CB52" s="44">
        <f t="shared" si="27"/>
        <v>179550</v>
      </c>
      <c r="CC52" s="46">
        <f t="shared" si="28"/>
        <v>0</v>
      </c>
      <c r="CD52" s="47">
        <f t="shared" si="29"/>
        <v>0</v>
      </c>
      <c r="CE52" s="604">
        <f t="shared" si="90"/>
        <v>0</v>
      </c>
      <c r="CF52" s="44">
        <f t="shared" si="91"/>
        <v>0</v>
      </c>
      <c r="CG52" s="44">
        <f t="shared" si="92"/>
        <v>0</v>
      </c>
      <c r="CH52" s="44">
        <f t="shared" si="93"/>
        <v>0</v>
      </c>
      <c r="CI52" s="44">
        <f t="shared" si="94"/>
        <v>190000</v>
      </c>
      <c r="CJ52" s="44">
        <f t="shared" si="95"/>
        <v>190000</v>
      </c>
      <c r="CK52" s="44">
        <f t="shared" si="30"/>
        <v>5700</v>
      </c>
      <c r="CL52" s="44">
        <f t="shared" si="96"/>
        <v>5700</v>
      </c>
      <c r="CM52" s="44">
        <f t="shared" si="31"/>
        <v>4750</v>
      </c>
      <c r="CN52" s="44">
        <f t="shared" si="97"/>
        <v>4750</v>
      </c>
      <c r="CO52" s="44">
        <f t="shared" si="32"/>
        <v>185250</v>
      </c>
      <c r="CP52" s="46">
        <f t="shared" si="33"/>
        <v>0</v>
      </c>
      <c r="CQ52" s="47">
        <f t="shared" si="34"/>
        <v>0</v>
      </c>
      <c r="CR52" s="604">
        <f t="shared" si="98"/>
        <v>0</v>
      </c>
      <c r="CS52" s="44">
        <f t="shared" si="99"/>
        <v>0</v>
      </c>
      <c r="CT52" s="44">
        <f t="shared" si="100"/>
        <v>0</v>
      </c>
      <c r="CU52" s="44">
        <f t="shared" si="101"/>
        <v>0</v>
      </c>
      <c r="CV52" s="44">
        <f t="shared" si="102"/>
        <v>190000</v>
      </c>
      <c r="CW52" s="44">
        <f t="shared" si="103"/>
        <v>158333.32999999999</v>
      </c>
      <c r="CX52" s="44">
        <f t="shared" si="35"/>
        <v>4750</v>
      </c>
      <c r="CY52" s="44">
        <f t="shared" si="104"/>
        <v>4750</v>
      </c>
      <c r="CZ52" s="44">
        <f t="shared" si="36"/>
        <v>0</v>
      </c>
      <c r="DA52" s="44">
        <f t="shared" si="105"/>
        <v>0</v>
      </c>
      <c r="DB52" s="44">
        <f t="shared" si="37"/>
        <v>190000</v>
      </c>
      <c r="DC52" s="46">
        <f t="shared" si="38"/>
        <v>0</v>
      </c>
      <c r="DD52" s="47">
        <f t="shared" si="39"/>
        <v>0</v>
      </c>
      <c r="DE52" s="604">
        <f t="shared" si="106"/>
        <v>0</v>
      </c>
      <c r="DF52" s="44">
        <f t="shared" si="107"/>
        <v>0</v>
      </c>
      <c r="DG52" s="44">
        <f t="shared" si="108"/>
        <v>0</v>
      </c>
      <c r="DH52" s="44">
        <f t="shared" si="109"/>
        <v>0</v>
      </c>
      <c r="DI52" s="44">
        <f t="shared" si="110"/>
        <v>190000</v>
      </c>
      <c r="DJ52" s="44">
        <f t="shared" si="111"/>
        <v>0</v>
      </c>
      <c r="DK52" s="44">
        <f t="shared" si="40"/>
        <v>0</v>
      </c>
      <c r="DL52" s="44">
        <f t="shared" si="112"/>
        <v>0</v>
      </c>
      <c r="DM52" s="44">
        <f t="shared" si="41"/>
        <v>0</v>
      </c>
      <c r="DN52" s="44">
        <f t="shared" si="113"/>
        <v>0</v>
      </c>
      <c r="DO52" s="44">
        <f t="shared" si="42"/>
        <v>190000</v>
      </c>
      <c r="DP52" s="46">
        <f t="shared" si="43"/>
        <v>0</v>
      </c>
      <c r="DQ52" s="47">
        <f t="shared" si="44"/>
        <v>0</v>
      </c>
      <c r="DR52" s="604">
        <f t="shared" si="114"/>
        <v>0</v>
      </c>
      <c r="DS52" s="44">
        <f t="shared" si="115"/>
        <v>0</v>
      </c>
      <c r="DT52" s="44">
        <f t="shared" si="116"/>
        <v>0</v>
      </c>
      <c r="DU52" s="44">
        <f t="shared" si="117"/>
        <v>0</v>
      </c>
      <c r="DV52" s="44">
        <f t="shared" si="118"/>
        <v>190000</v>
      </c>
      <c r="DW52" s="44">
        <f t="shared" si="119"/>
        <v>0</v>
      </c>
      <c r="DX52" s="44">
        <f t="shared" si="45"/>
        <v>0</v>
      </c>
      <c r="DY52" s="44">
        <f t="shared" si="120"/>
        <v>0</v>
      </c>
      <c r="DZ52" s="44">
        <f t="shared" si="46"/>
        <v>0</v>
      </c>
      <c r="EA52" s="44">
        <f t="shared" si="121"/>
        <v>0</v>
      </c>
      <c r="EB52" s="44">
        <f t="shared" si="47"/>
        <v>190000</v>
      </c>
      <c r="EC52" s="46">
        <f t="shared" si="48"/>
        <v>0</v>
      </c>
      <c r="ED52" s="47">
        <f t="shared" si="49"/>
        <v>0</v>
      </c>
    </row>
    <row r="53" spans="1:134" x14ac:dyDescent="0.35">
      <c r="A53" s="81">
        <v>1985</v>
      </c>
      <c r="B53" s="82" t="s">
        <v>223</v>
      </c>
      <c r="C53" s="82"/>
      <c r="D53" s="83" t="s">
        <v>32</v>
      </c>
      <c r="E53" s="87">
        <v>19000</v>
      </c>
      <c r="F53" s="85">
        <v>31229</v>
      </c>
      <c r="G53" s="185">
        <v>10</v>
      </c>
      <c r="H53" s="179"/>
      <c r="I53" s="180"/>
      <c r="J53" s="181"/>
      <c r="K53" s="42">
        <f t="shared" si="0"/>
        <v>0.1</v>
      </c>
      <c r="L53" s="43">
        <f t="shared" si="1"/>
        <v>1900</v>
      </c>
      <c r="M53" s="44">
        <f t="shared" si="2"/>
        <v>0</v>
      </c>
      <c r="N53" s="44"/>
      <c r="O53" s="44">
        <f t="shared" si="3"/>
        <v>19000</v>
      </c>
      <c r="P53" s="45"/>
      <c r="Q53" s="44">
        <f t="shared" si="4"/>
        <v>19000</v>
      </c>
      <c r="R53" s="604">
        <f t="shared" si="50"/>
        <v>0</v>
      </c>
      <c r="S53" s="44">
        <f t="shared" si="51"/>
        <v>0</v>
      </c>
      <c r="T53" s="44">
        <f t="shared" si="52"/>
        <v>0</v>
      </c>
      <c r="U53" s="44">
        <f t="shared" si="53"/>
        <v>0</v>
      </c>
      <c r="V53" s="44">
        <f t="shared" si="54"/>
        <v>19000</v>
      </c>
      <c r="W53" s="44">
        <f t="shared" si="55"/>
        <v>0</v>
      </c>
      <c r="X53" s="44">
        <f t="shared" si="5"/>
        <v>0</v>
      </c>
      <c r="Y53" s="44">
        <f t="shared" si="56"/>
        <v>0</v>
      </c>
      <c r="Z53" s="44">
        <f t="shared" si="6"/>
        <v>0</v>
      </c>
      <c r="AA53" s="44">
        <f t="shared" si="57"/>
        <v>0</v>
      </c>
      <c r="AB53" s="44">
        <f t="shared" si="7"/>
        <v>19000</v>
      </c>
      <c r="AC53" s="46">
        <f t="shared" si="8"/>
        <v>0</v>
      </c>
      <c r="AD53" s="47">
        <f t="shared" si="9"/>
        <v>0</v>
      </c>
      <c r="AE53" s="604">
        <f t="shared" si="58"/>
        <v>0</v>
      </c>
      <c r="AF53" s="44">
        <f t="shared" si="59"/>
        <v>0</v>
      </c>
      <c r="AG53" s="44">
        <f t="shared" si="60"/>
        <v>0</v>
      </c>
      <c r="AH53" s="44">
        <f t="shared" si="61"/>
        <v>0</v>
      </c>
      <c r="AI53" s="44">
        <f t="shared" si="62"/>
        <v>19000</v>
      </c>
      <c r="AJ53" s="44">
        <f t="shared" si="63"/>
        <v>0</v>
      </c>
      <c r="AK53" s="44">
        <f t="shared" si="10"/>
        <v>0</v>
      </c>
      <c r="AL53" s="44">
        <f t="shared" si="64"/>
        <v>0</v>
      </c>
      <c r="AM53" s="44">
        <f t="shared" si="11"/>
        <v>0</v>
      </c>
      <c r="AN53" s="44">
        <f t="shared" si="65"/>
        <v>0</v>
      </c>
      <c r="AO53" s="44">
        <f t="shared" si="12"/>
        <v>19000</v>
      </c>
      <c r="AP53" s="46">
        <f t="shared" si="13"/>
        <v>0</v>
      </c>
      <c r="AQ53" s="47">
        <f t="shared" si="14"/>
        <v>0</v>
      </c>
      <c r="AR53" s="604">
        <f t="shared" si="66"/>
        <v>0</v>
      </c>
      <c r="AS53" s="44">
        <f t="shared" si="67"/>
        <v>0</v>
      </c>
      <c r="AT53" s="44">
        <f t="shared" si="68"/>
        <v>0</v>
      </c>
      <c r="AU53" s="44">
        <f t="shared" si="69"/>
        <v>0</v>
      </c>
      <c r="AV53" s="44">
        <f t="shared" si="70"/>
        <v>19000</v>
      </c>
      <c r="AW53" s="44">
        <f t="shared" si="71"/>
        <v>0</v>
      </c>
      <c r="AX53" s="44">
        <f t="shared" si="15"/>
        <v>0</v>
      </c>
      <c r="AY53" s="44">
        <f t="shared" si="72"/>
        <v>0</v>
      </c>
      <c r="AZ53" s="44">
        <f t="shared" si="16"/>
        <v>0</v>
      </c>
      <c r="BA53" s="44">
        <f t="shared" si="73"/>
        <v>0</v>
      </c>
      <c r="BB53" s="44">
        <f t="shared" si="17"/>
        <v>19000</v>
      </c>
      <c r="BC53" s="46">
        <f t="shared" si="18"/>
        <v>0</v>
      </c>
      <c r="BD53" s="47">
        <f t="shared" si="19"/>
        <v>0</v>
      </c>
      <c r="BE53" s="604">
        <f t="shared" si="74"/>
        <v>0</v>
      </c>
      <c r="BF53" s="44">
        <f t="shared" si="75"/>
        <v>0</v>
      </c>
      <c r="BG53" s="44">
        <f t="shared" si="76"/>
        <v>0</v>
      </c>
      <c r="BH53" s="44">
        <f t="shared" si="77"/>
        <v>0</v>
      </c>
      <c r="BI53" s="44">
        <f t="shared" si="78"/>
        <v>19000</v>
      </c>
      <c r="BJ53" s="44">
        <f t="shared" si="79"/>
        <v>0</v>
      </c>
      <c r="BK53" s="44">
        <f t="shared" si="20"/>
        <v>0</v>
      </c>
      <c r="BL53" s="44">
        <f t="shared" si="80"/>
        <v>0</v>
      </c>
      <c r="BM53" s="44">
        <f t="shared" si="21"/>
        <v>0</v>
      </c>
      <c r="BN53" s="44">
        <f t="shared" si="81"/>
        <v>0</v>
      </c>
      <c r="BO53" s="44">
        <f t="shared" si="22"/>
        <v>19000</v>
      </c>
      <c r="BP53" s="46">
        <f t="shared" si="23"/>
        <v>0</v>
      </c>
      <c r="BQ53" s="47">
        <f t="shared" si="24"/>
        <v>0</v>
      </c>
      <c r="BR53" s="604">
        <f t="shared" si="82"/>
        <v>0</v>
      </c>
      <c r="BS53" s="44">
        <f t="shared" si="83"/>
        <v>0</v>
      </c>
      <c r="BT53" s="44">
        <f t="shared" si="84"/>
        <v>0</v>
      </c>
      <c r="BU53" s="44">
        <f t="shared" si="85"/>
        <v>0</v>
      </c>
      <c r="BV53" s="44">
        <f t="shared" si="86"/>
        <v>19000</v>
      </c>
      <c r="BW53" s="44">
        <f t="shared" si="87"/>
        <v>0</v>
      </c>
      <c r="BX53" s="44">
        <f t="shared" si="25"/>
        <v>0</v>
      </c>
      <c r="BY53" s="44">
        <f t="shared" si="88"/>
        <v>0</v>
      </c>
      <c r="BZ53" s="44">
        <f t="shared" si="26"/>
        <v>0</v>
      </c>
      <c r="CA53" s="44">
        <f t="shared" si="89"/>
        <v>0</v>
      </c>
      <c r="CB53" s="44">
        <f t="shared" si="27"/>
        <v>19000</v>
      </c>
      <c r="CC53" s="46">
        <f t="shared" si="28"/>
        <v>0</v>
      </c>
      <c r="CD53" s="47">
        <f t="shared" si="29"/>
        <v>0</v>
      </c>
      <c r="CE53" s="604">
        <f t="shared" si="90"/>
        <v>0</v>
      </c>
      <c r="CF53" s="44">
        <f t="shared" si="91"/>
        <v>0</v>
      </c>
      <c r="CG53" s="44">
        <f t="shared" si="92"/>
        <v>0</v>
      </c>
      <c r="CH53" s="44">
        <f t="shared" si="93"/>
        <v>0</v>
      </c>
      <c r="CI53" s="44">
        <f t="shared" si="94"/>
        <v>19000</v>
      </c>
      <c r="CJ53" s="44">
        <f t="shared" si="95"/>
        <v>0</v>
      </c>
      <c r="CK53" s="44">
        <f t="shared" si="30"/>
        <v>0</v>
      </c>
      <c r="CL53" s="44">
        <f t="shared" si="96"/>
        <v>0</v>
      </c>
      <c r="CM53" s="44">
        <f t="shared" si="31"/>
        <v>0</v>
      </c>
      <c r="CN53" s="44">
        <f t="shared" si="97"/>
        <v>0</v>
      </c>
      <c r="CO53" s="44">
        <f t="shared" si="32"/>
        <v>19000</v>
      </c>
      <c r="CP53" s="46">
        <f t="shared" si="33"/>
        <v>0</v>
      </c>
      <c r="CQ53" s="47">
        <f t="shared" si="34"/>
        <v>0</v>
      </c>
      <c r="CR53" s="604">
        <f t="shared" si="98"/>
        <v>0</v>
      </c>
      <c r="CS53" s="44">
        <f t="shared" si="99"/>
        <v>0</v>
      </c>
      <c r="CT53" s="44">
        <f t="shared" si="100"/>
        <v>0</v>
      </c>
      <c r="CU53" s="44">
        <f t="shared" si="101"/>
        <v>0</v>
      </c>
      <c r="CV53" s="44">
        <f t="shared" si="102"/>
        <v>19000</v>
      </c>
      <c r="CW53" s="44">
        <f t="shared" si="103"/>
        <v>0</v>
      </c>
      <c r="CX53" s="44">
        <f t="shared" si="35"/>
        <v>0</v>
      </c>
      <c r="CY53" s="44">
        <f t="shared" si="104"/>
        <v>0</v>
      </c>
      <c r="CZ53" s="44">
        <f t="shared" si="36"/>
        <v>0</v>
      </c>
      <c r="DA53" s="44">
        <f t="shared" si="105"/>
        <v>0</v>
      </c>
      <c r="DB53" s="44">
        <f t="shared" si="37"/>
        <v>19000</v>
      </c>
      <c r="DC53" s="46">
        <f t="shared" si="38"/>
        <v>0</v>
      </c>
      <c r="DD53" s="47">
        <f t="shared" si="39"/>
        <v>0</v>
      </c>
      <c r="DE53" s="604">
        <f t="shared" si="106"/>
        <v>0</v>
      </c>
      <c r="DF53" s="44">
        <f t="shared" si="107"/>
        <v>0</v>
      </c>
      <c r="DG53" s="44">
        <f t="shared" si="108"/>
        <v>0</v>
      </c>
      <c r="DH53" s="44">
        <f t="shared" si="109"/>
        <v>0</v>
      </c>
      <c r="DI53" s="44">
        <f t="shared" si="110"/>
        <v>19000</v>
      </c>
      <c r="DJ53" s="44">
        <f t="shared" si="111"/>
        <v>0</v>
      </c>
      <c r="DK53" s="44">
        <f t="shared" si="40"/>
        <v>0</v>
      </c>
      <c r="DL53" s="44">
        <f t="shared" si="112"/>
        <v>0</v>
      </c>
      <c r="DM53" s="44">
        <f t="shared" si="41"/>
        <v>0</v>
      </c>
      <c r="DN53" s="44">
        <f t="shared" si="113"/>
        <v>0</v>
      </c>
      <c r="DO53" s="44">
        <f t="shared" si="42"/>
        <v>19000</v>
      </c>
      <c r="DP53" s="46">
        <f t="shared" si="43"/>
        <v>0</v>
      </c>
      <c r="DQ53" s="47">
        <f t="shared" si="44"/>
        <v>0</v>
      </c>
      <c r="DR53" s="604">
        <f t="shared" si="114"/>
        <v>0</v>
      </c>
      <c r="DS53" s="44">
        <f t="shared" si="115"/>
        <v>0</v>
      </c>
      <c r="DT53" s="44">
        <f t="shared" si="116"/>
        <v>0</v>
      </c>
      <c r="DU53" s="44">
        <f t="shared" si="117"/>
        <v>0</v>
      </c>
      <c r="DV53" s="44">
        <f t="shared" si="118"/>
        <v>19000</v>
      </c>
      <c r="DW53" s="44">
        <f t="shared" si="119"/>
        <v>0</v>
      </c>
      <c r="DX53" s="44">
        <f t="shared" si="45"/>
        <v>0</v>
      </c>
      <c r="DY53" s="44">
        <f t="shared" si="120"/>
        <v>0</v>
      </c>
      <c r="DZ53" s="44">
        <f t="shared" si="46"/>
        <v>0</v>
      </c>
      <c r="EA53" s="44">
        <f t="shared" si="121"/>
        <v>0</v>
      </c>
      <c r="EB53" s="44">
        <f t="shared" si="47"/>
        <v>19000</v>
      </c>
      <c r="EC53" s="46">
        <f t="shared" si="48"/>
        <v>0</v>
      </c>
      <c r="ED53" s="47">
        <f t="shared" si="49"/>
        <v>0</v>
      </c>
    </row>
    <row r="54" spans="1:134" x14ac:dyDescent="0.35">
      <c r="A54" s="81">
        <v>1985</v>
      </c>
      <c r="B54" s="82" t="s">
        <v>224</v>
      </c>
      <c r="C54" s="82"/>
      <c r="D54" s="83" t="s">
        <v>32</v>
      </c>
      <c r="E54" s="87">
        <v>38000</v>
      </c>
      <c r="F54" s="85">
        <v>31229</v>
      </c>
      <c r="G54" s="185">
        <v>20</v>
      </c>
      <c r="H54" s="179"/>
      <c r="I54" s="180"/>
      <c r="J54" s="181"/>
      <c r="K54" s="42">
        <f t="shared" si="0"/>
        <v>0.05</v>
      </c>
      <c r="L54" s="43">
        <f t="shared" si="1"/>
        <v>1900</v>
      </c>
      <c r="M54" s="44">
        <f t="shared" si="2"/>
        <v>0</v>
      </c>
      <c r="N54" s="44"/>
      <c r="O54" s="44">
        <f t="shared" si="3"/>
        <v>38000</v>
      </c>
      <c r="P54" s="45"/>
      <c r="Q54" s="44">
        <f t="shared" si="4"/>
        <v>38000</v>
      </c>
      <c r="R54" s="604">
        <f t="shared" si="50"/>
        <v>0</v>
      </c>
      <c r="S54" s="44">
        <f t="shared" si="51"/>
        <v>0</v>
      </c>
      <c r="T54" s="44">
        <f t="shared" si="52"/>
        <v>0</v>
      </c>
      <c r="U54" s="44">
        <f t="shared" si="53"/>
        <v>0</v>
      </c>
      <c r="V54" s="44">
        <f t="shared" si="54"/>
        <v>38000</v>
      </c>
      <c r="W54" s="44">
        <f t="shared" si="55"/>
        <v>0</v>
      </c>
      <c r="X54" s="44">
        <f t="shared" si="5"/>
        <v>0</v>
      </c>
      <c r="Y54" s="44">
        <f t="shared" si="56"/>
        <v>0</v>
      </c>
      <c r="Z54" s="44">
        <f t="shared" si="6"/>
        <v>0</v>
      </c>
      <c r="AA54" s="44">
        <f t="shared" si="57"/>
        <v>0</v>
      </c>
      <c r="AB54" s="44">
        <f t="shared" si="7"/>
        <v>38000</v>
      </c>
      <c r="AC54" s="46">
        <f t="shared" si="8"/>
        <v>0</v>
      </c>
      <c r="AD54" s="47">
        <f t="shared" si="9"/>
        <v>0</v>
      </c>
      <c r="AE54" s="604">
        <f t="shared" si="58"/>
        <v>0</v>
      </c>
      <c r="AF54" s="44">
        <f t="shared" si="59"/>
        <v>0</v>
      </c>
      <c r="AG54" s="44">
        <f t="shared" si="60"/>
        <v>0</v>
      </c>
      <c r="AH54" s="44">
        <f t="shared" si="61"/>
        <v>0</v>
      </c>
      <c r="AI54" s="44">
        <f t="shared" si="62"/>
        <v>38000</v>
      </c>
      <c r="AJ54" s="44">
        <f t="shared" si="63"/>
        <v>0</v>
      </c>
      <c r="AK54" s="44">
        <f t="shared" si="10"/>
        <v>0</v>
      </c>
      <c r="AL54" s="44">
        <f t="shared" si="64"/>
        <v>0</v>
      </c>
      <c r="AM54" s="44">
        <f t="shared" si="11"/>
        <v>0</v>
      </c>
      <c r="AN54" s="44">
        <f t="shared" si="65"/>
        <v>0</v>
      </c>
      <c r="AO54" s="44">
        <f t="shared" si="12"/>
        <v>38000</v>
      </c>
      <c r="AP54" s="46">
        <f t="shared" si="13"/>
        <v>0</v>
      </c>
      <c r="AQ54" s="47">
        <f t="shared" si="14"/>
        <v>0</v>
      </c>
      <c r="AR54" s="604">
        <f t="shared" si="66"/>
        <v>0</v>
      </c>
      <c r="AS54" s="44">
        <f t="shared" si="67"/>
        <v>0</v>
      </c>
      <c r="AT54" s="44">
        <f t="shared" si="68"/>
        <v>0</v>
      </c>
      <c r="AU54" s="44">
        <f t="shared" si="69"/>
        <v>0</v>
      </c>
      <c r="AV54" s="44">
        <f t="shared" si="70"/>
        <v>38000</v>
      </c>
      <c r="AW54" s="44">
        <f t="shared" si="71"/>
        <v>0</v>
      </c>
      <c r="AX54" s="44">
        <f t="shared" si="15"/>
        <v>0</v>
      </c>
      <c r="AY54" s="44">
        <f t="shared" si="72"/>
        <v>0</v>
      </c>
      <c r="AZ54" s="44">
        <f t="shared" si="16"/>
        <v>0</v>
      </c>
      <c r="BA54" s="44">
        <f t="shared" si="73"/>
        <v>0</v>
      </c>
      <c r="BB54" s="44">
        <f t="shared" si="17"/>
        <v>38000</v>
      </c>
      <c r="BC54" s="46">
        <f t="shared" si="18"/>
        <v>0</v>
      </c>
      <c r="BD54" s="47">
        <f t="shared" si="19"/>
        <v>0</v>
      </c>
      <c r="BE54" s="604">
        <f t="shared" si="74"/>
        <v>0</v>
      </c>
      <c r="BF54" s="44">
        <f t="shared" si="75"/>
        <v>0</v>
      </c>
      <c r="BG54" s="44">
        <f t="shared" si="76"/>
        <v>0</v>
      </c>
      <c r="BH54" s="44">
        <f t="shared" si="77"/>
        <v>0</v>
      </c>
      <c r="BI54" s="44">
        <f t="shared" si="78"/>
        <v>38000</v>
      </c>
      <c r="BJ54" s="44">
        <f t="shared" si="79"/>
        <v>0</v>
      </c>
      <c r="BK54" s="44">
        <f t="shared" si="20"/>
        <v>0</v>
      </c>
      <c r="BL54" s="44">
        <f t="shared" si="80"/>
        <v>0</v>
      </c>
      <c r="BM54" s="44">
        <f t="shared" si="21"/>
        <v>0</v>
      </c>
      <c r="BN54" s="44">
        <f t="shared" si="81"/>
        <v>0</v>
      </c>
      <c r="BO54" s="44">
        <f t="shared" si="22"/>
        <v>38000</v>
      </c>
      <c r="BP54" s="46">
        <f t="shared" si="23"/>
        <v>0</v>
      </c>
      <c r="BQ54" s="47">
        <f t="shared" si="24"/>
        <v>0</v>
      </c>
      <c r="BR54" s="604">
        <f t="shared" si="82"/>
        <v>0</v>
      </c>
      <c r="BS54" s="44">
        <f t="shared" si="83"/>
        <v>0</v>
      </c>
      <c r="BT54" s="44">
        <f t="shared" si="84"/>
        <v>0</v>
      </c>
      <c r="BU54" s="44">
        <f t="shared" si="85"/>
        <v>0</v>
      </c>
      <c r="BV54" s="44">
        <f t="shared" si="86"/>
        <v>38000</v>
      </c>
      <c r="BW54" s="44">
        <f t="shared" si="87"/>
        <v>0</v>
      </c>
      <c r="BX54" s="44">
        <f t="shared" si="25"/>
        <v>0</v>
      </c>
      <c r="BY54" s="44">
        <f t="shared" si="88"/>
        <v>0</v>
      </c>
      <c r="BZ54" s="44">
        <f t="shared" si="26"/>
        <v>0</v>
      </c>
      <c r="CA54" s="44">
        <f t="shared" si="89"/>
        <v>0</v>
      </c>
      <c r="CB54" s="44">
        <f t="shared" si="27"/>
        <v>38000</v>
      </c>
      <c r="CC54" s="46">
        <f t="shared" si="28"/>
        <v>0</v>
      </c>
      <c r="CD54" s="47">
        <f t="shared" si="29"/>
        <v>0</v>
      </c>
      <c r="CE54" s="604">
        <f t="shared" si="90"/>
        <v>0</v>
      </c>
      <c r="CF54" s="44">
        <f t="shared" si="91"/>
        <v>0</v>
      </c>
      <c r="CG54" s="44">
        <f t="shared" si="92"/>
        <v>0</v>
      </c>
      <c r="CH54" s="44">
        <f t="shared" si="93"/>
        <v>0</v>
      </c>
      <c r="CI54" s="44">
        <f t="shared" si="94"/>
        <v>38000</v>
      </c>
      <c r="CJ54" s="44">
        <f t="shared" si="95"/>
        <v>0</v>
      </c>
      <c r="CK54" s="44">
        <f t="shared" si="30"/>
        <v>0</v>
      </c>
      <c r="CL54" s="44">
        <f t="shared" si="96"/>
        <v>0</v>
      </c>
      <c r="CM54" s="44">
        <f t="shared" si="31"/>
        <v>0</v>
      </c>
      <c r="CN54" s="44">
        <f t="shared" si="97"/>
        <v>0</v>
      </c>
      <c r="CO54" s="44">
        <f t="shared" si="32"/>
        <v>38000</v>
      </c>
      <c r="CP54" s="46">
        <f t="shared" si="33"/>
        <v>0</v>
      </c>
      <c r="CQ54" s="47">
        <f t="shared" si="34"/>
        <v>0</v>
      </c>
      <c r="CR54" s="604">
        <f t="shared" si="98"/>
        <v>0</v>
      </c>
      <c r="CS54" s="44">
        <f t="shared" si="99"/>
        <v>0</v>
      </c>
      <c r="CT54" s="44">
        <f t="shared" si="100"/>
        <v>0</v>
      </c>
      <c r="CU54" s="44">
        <f t="shared" si="101"/>
        <v>0</v>
      </c>
      <c r="CV54" s="44">
        <f t="shared" si="102"/>
        <v>38000</v>
      </c>
      <c r="CW54" s="44">
        <f t="shared" si="103"/>
        <v>0</v>
      </c>
      <c r="CX54" s="44">
        <f t="shared" si="35"/>
        <v>0</v>
      </c>
      <c r="CY54" s="44">
        <f t="shared" si="104"/>
        <v>0</v>
      </c>
      <c r="CZ54" s="44">
        <f t="shared" si="36"/>
        <v>0</v>
      </c>
      <c r="DA54" s="44">
        <f t="shared" si="105"/>
        <v>0</v>
      </c>
      <c r="DB54" s="44">
        <f t="shared" si="37"/>
        <v>38000</v>
      </c>
      <c r="DC54" s="46">
        <f t="shared" si="38"/>
        <v>0</v>
      </c>
      <c r="DD54" s="47">
        <f t="shared" si="39"/>
        <v>0</v>
      </c>
      <c r="DE54" s="604">
        <f t="shared" si="106"/>
        <v>0</v>
      </c>
      <c r="DF54" s="44">
        <f t="shared" si="107"/>
        <v>0</v>
      </c>
      <c r="DG54" s="44">
        <f t="shared" si="108"/>
        <v>0</v>
      </c>
      <c r="DH54" s="44">
        <f t="shared" si="109"/>
        <v>0</v>
      </c>
      <c r="DI54" s="44">
        <f t="shared" si="110"/>
        <v>38000</v>
      </c>
      <c r="DJ54" s="44">
        <f t="shared" si="111"/>
        <v>0</v>
      </c>
      <c r="DK54" s="44">
        <f t="shared" si="40"/>
        <v>0</v>
      </c>
      <c r="DL54" s="44">
        <f t="shared" si="112"/>
        <v>0</v>
      </c>
      <c r="DM54" s="44">
        <f t="shared" si="41"/>
        <v>0</v>
      </c>
      <c r="DN54" s="44">
        <f t="shared" si="113"/>
        <v>0</v>
      </c>
      <c r="DO54" s="44">
        <f t="shared" si="42"/>
        <v>38000</v>
      </c>
      <c r="DP54" s="46">
        <f t="shared" si="43"/>
        <v>0</v>
      </c>
      <c r="DQ54" s="47">
        <f t="shared" si="44"/>
        <v>0</v>
      </c>
      <c r="DR54" s="604">
        <f t="shared" si="114"/>
        <v>0</v>
      </c>
      <c r="DS54" s="44">
        <f t="shared" si="115"/>
        <v>0</v>
      </c>
      <c r="DT54" s="44">
        <f t="shared" si="116"/>
        <v>0</v>
      </c>
      <c r="DU54" s="44">
        <f t="shared" si="117"/>
        <v>0</v>
      </c>
      <c r="DV54" s="44">
        <f t="shared" si="118"/>
        <v>38000</v>
      </c>
      <c r="DW54" s="44">
        <f t="shared" si="119"/>
        <v>0</v>
      </c>
      <c r="DX54" s="44">
        <f t="shared" si="45"/>
        <v>0</v>
      </c>
      <c r="DY54" s="44">
        <f t="shared" si="120"/>
        <v>0</v>
      </c>
      <c r="DZ54" s="44">
        <f t="shared" si="46"/>
        <v>0</v>
      </c>
      <c r="EA54" s="44">
        <f t="shared" si="121"/>
        <v>0</v>
      </c>
      <c r="EB54" s="44">
        <f t="shared" si="47"/>
        <v>38000</v>
      </c>
      <c r="EC54" s="46">
        <f t="shared" si="48"/>
        <v>0</v>
      </c>
      <c r="ED54" s="47">
        <f t="shared" si="49"/>
        <v>0</v>
      </c>
    </row>
    <row r="55" spans="1:134" x14ac:dyDescent="0.35">
      <c r="A55" s="81">
        <v>1985</v>
      </c>
      <c r="B55" s="82" t="s">
        <v>225</v>
      </c>
      <c r="C55" s="82"/>
      <c r="D55" s="83" t="s">
        <v>32</v>
      </c>
      <c r="E55" s="87">
        <v>12000</v>
      </c>
      <c r="F55" s="85">
        <v>31229</v>
      </c>
      <c r="G55" s="185">
        <v>50</v>
      </c>
      <c r="H55" s="179"/>
      <c r="I55" s="180"/>
      <c r="J55" s="181"/>
      <c r="K55" s="42">
        <f t="shared" si="0"/>
        <v>0.02</v>
      </c>
      <c r="L55" s="43">
        <f t="shared" si="1"/>
        <v>240</v>
      </c>
      <c r="M55" s="44">
        <f t="shared" si="2"/>
        <v>5640</v>
      </c>
      <c r="N55" s="44"/>
      <c r="O55" s="44">
        <f t="shared" si="3"/>
        <v>6360</v>
      </c>
      <c r="P55" s="45"/>
      <c r="Q55" s="44">
        <f t="shared" si="4"/>
        <v>12000</v>
      </c>
      <c r="R55" s="604">
        <f t="shared" si="50"/>
        <v>0</v>
      </c>
      <c r="S55" s="44">
        <f t="shared" si="51"/>
        <v>0</v>
      </c>
      <c r="T55" s="44">
        <f t="shared" si="52"/>
        <v>0</v>
      </c>
      <c r="U55" s="44">
        <f t="shared" si="53"/>
        <v>0</v>
      </c>
      <c r="V55" s="44">
        <f t="shared" si="54"/>
        <v>12000</v>
      </c>
      <c r="W55" s="44">
        <f t="shared" si="55"/>
        <v>12000</v>
      </c>
      <c r="X55" s="44">
        <f t="shared" si="5"/>
        <v>240</v>
      </c>
      <c r="Y55" s="44">
        <f t="shared" si="56"/>
        <v>240</v>
      </c>
      <c r="Z55" s="44">
        <f t="shared" si="6"/>
        <v>5400</v>
      </c>
      <c r="AA55" s="44">
        <f t="shared" si="57"/>
        <v>5400</v>
      </c>
      <c r="AB55" s="44">
        <f t="shared" si="7"/>
        <v>6600</v>
      </c>
      <c r="AC55" s="46">
        <f t="shared" si="8"/>
        <v>0</v>
      </c>
      <c r="AD55" s="47">
        <f t="shared" si="9"/>
        <v>0</v>
      </c>
      <c r="AE55" s="604">
        <f t="shared" si="58"/>
        <v>0</v>
      </c>
      <c r="AF55" s="44">
        <f t="shared" si="59"/>
        <v>0</v>
      </c>
      <c r="AG55" s="44">
        <f t="shared" si="60"/>
        <v>0</v>
      </c>
      <c r="AH55" s="44">
        <f t="shared" si="61"/>
        <v>0</v>
      </c>
      <c r="AI55" s="44">
        <f t="shared" si="62"/>
        <v>12000</v>
      </c>
      <c r="AJ55" s="44">
        <f t="shared" si="63"/>
        <v>12000</v>
      </c>
      <c r="AK55" s="44">
        <f t="shared" si="10"/>
        <v>240</v>
      </c>
      <c r="AL55" s="44">
        <f t="shared" si="64"/>
        <v>240</v>
      </c>
      <c r="AM55" s="44">
        <f t="shared" si="11"/>
        <v>5160</v>
      </c>
      <c r="AN55" s="44">
        <f t="shared" si="65"/>
        <v>5160</v>
      </c>
      <c r="AO55" s="44">
        <f t="shared" si="12"/>
        <v>6840</v>
      </c>
      <c r="AP55" s="46">
        <f t="shared" si="13"/>
        <v>0</v>
      </c>
      <c r="AQ55" s="47">
        <f t="shared" si="14"/>
        <v>0</v>
      </c>
      <c r="AR55" s="604">
        <f t="shared" si="66"/>
        <v>0</v>
      </c>
      <c r="AS55" s="44">
        <f t="shared" si="67"/>
        <v>0</v>
      </c>
      <c r="AT55" s="44">
        <f t="shared" si="68"/>
        <v>0</v>
      </c>
      <c r="AU55" s="44">
        <f t="shared" si="69"/>
        <v>0</v>
      </c>
      <c r="AV55" s="44">
        <f t="shared" si="70"/>
        <v>12000</v>
      </c>
      <c r="AW55" s="44">
        <f t="shared" si="71"/>
        <v>12000</v>
      </c>
      <c r="AX55" s="44">
        <f t="shared" si="15"/>
        <v>240</v>
      </c>
      <c r="AY55" s="44">
        <f t="shared" si="72"/>
        <v>240</v>
      </c>
      <c r="AZ55" s="44">
        <f t="shared" si="16"/>
        <v>4920</v>
      </c>
      <c r="BA55" s="44">
        <f t="shared" si="73"/>
        <v>4920</v>
      </c>
      <c r="BB55" s="44">
        <f t="shared" si="17"/>
        <v>7080</v>
      </c>
      <c r="BC55" s="46">
        <f t="shared" si="18"/>
        <v>0</v>
      </c>
      <c r="BD55" s="47">
        <f t="shared" si="19"/>
        <v>0</v>
      </c>
      <c r="BE55" s="604">
        <f t="shared" si="74"/>
        <v>0</v>
      </c>
      <c r="BF55" s="44">
        <f t="shared" si="75"/>
        <v>0</v>
      </c>
      <c r="BG55" s="44">
        <f t="shared" si="76"/>
        <v>0</v>
      </c>
      <c r="BH55" s="44">
        <f t="shared" si="77"/>
        <v>0</v>
      </c>
      <c r="BI55" s="44">
        <f t="shared" si="78"/>
        <v>12000</v>
      </c>
      <c r="BJ55" s="44">
        <f t="shared" si="79"/>
        <v>12000</v>
      </c>
      <c r="BK55" s="44">
        <f t="shared" si="20"/>
        <v>240</v>
      </c>
      <c r="BL55" s="44">
        <f t="shared" si="80"/>
        <v>240</v>
      </c>
      <c r="BM55" s="44">
        <f t="shared" si="21"/>
        <v>4680</v>
      </c>
      <c r="BN55" s="44">
        <f t="shared" si="81"/>
        <v>4680</v>
      </c>
      <c r="BO55" s="44">
        <f t="shared" si="22"/>
        <v>7320</v>
      </c>
      <c r="BP55" s="46">
        <f t="shared" si="23"/>
        <v>0</v>
      </c>
      <c r="BQ55" s="47">
        <f t="shared" si="24"/>
        <v>0</v>
      </c>
      <c r="BR55" s="604">
        <f t="shared" si="82"/>
        <v>0</v>
      </c>
      <c r="BS55" s="44">
        <f t="shared" si="83"/>
        <v>0</v>
      </c>
      <c r="BT55" s="44">
        <f t="shared" si="84"/>
        <v>0</v>
      </c>
      <c r="BU55" s="44">
        <f t="shared" si="85"/>
        <v>0</v>
      </c>
      <c r="BV55" s="44">
        <f t="shared" si="86"/>
        <v>12000</v>
      </c>
      <c r="BW55" s="44">
        <f t="shared" si="87"/>
        <v>12000</v>
      </c>
      <c r="BX55" s="44">
        <f t="shared" si="25"/>
        <v>240</v>
      </c>
      <c r="BY55" s="44">
        <f t="shared" si="88"/>
        <v>240</v>
      </c>
      <c r="BZ55" s="44">
        <f t="shared" si="26"/>
        <v>4440</v>
      </c>
      <c r="CA55" s="44">
        <f t="shared" si="89"/>
        <v>4440</v>
      </c>
      <c r="CB55" s="44">
        <f t="shared" si="27"/>
        <v>7560</v>
      </c>
      <c r="CC55" s="46">
        <f t="shared" si="28"/>
        <v>0</v>
      </c>
      <c r="CD55" s="47">
        <f t="shared" si="29"/>
        <v>0</v>
      </c>
      <c r="CE55" s="604">
        <f t="shared" si="90"/>
        <v>0</v>
      </c>
      <c r="CF55" s="44">
        <f t="shared" si="91"/>
        <v>0</v>
      </c>
      <c r="CG55" s="44">
        <f t="shared" si="92"/>
        <v>0</v>
      </c>
      <c r="CH55" s="44">
        <f t="shared" si="93"/>
        <v>0</v>
      </c>
      <c r="CI55" s="44">
        <f t="shared" si="94"/>
        <v>12000</v>
      </c>
      <c r="CJ55" s="44">
        <f t="shared" si="95"/>
        <v>12000</v>
      </c>
      <c r="CK55" s="44">
        <f t="shared" si="30"/>
        <v>240</v>
      </c>
      <c r="CL55" s="44">
        <f t="shared" si="96"/>
        <v>240</v>
      </c>
      <c r="CM55" s="44">
        <f t="shared" si="31"/>
        <v>4200</v>
      </c>
      <c r="CN55" s="44">
        <f t="shared" si="97"/>
        <v>4200</v>
      </c>
      <c r="CO55" s="44">
        <f t="shared" si="32"/>
        <v>7800</v>
      </c>
      <c r="CP55" s="46">
        <f t="shared" si="33"/>
        <v>0</v>
      </c>
      <c r="CQ55" s="47">
        <f t="shared" si="34"/>
        <v>0</v>
      </c>
      <c r="CR55" s="604">
        <f t="shared" si="98"/>
        <v>0</v>
      </c>
      <c r="CS55" s="44">
        <f t="shared" si="99"/>
        <v>0</v>
      </c>
      <c r="CT55" s="44">
        <f t="shared" si="100"/>
        <v>0</v>
      </c>
      <c r="CU55" s="44">
        <f t="shared" si="101"/>
        <v>0</v>
      </c>
      <c r="CV55" s="44">
        <f t="shared" si="102"/>
        <v>12000</v>
      </c>
      <c r="CW55" s="44">
        <f t="shared" si="103"/>
        <v>12000</v>
      </c>
      <c r="CX55" s="44">
        <f t="shared" si="35"/>
        <v>240</v>
      </c>
      <c r="CY55" s="44">
        <f t="shared" si="104"/>
        <v>240</v>
      </c>
      <c r="CZ55" s="44">
        <f t="shared" si="36"/>
        <v>3960</v>
      </c>
      <c r="DA55" s="44">
        <f t="shared" si="105"/>
        <v>3960</v>
      </c>
      <c r="DB55" s="44">
        <f t="shared" si="37"/>
        <v>8040</v>
      </c>
      <c r="DC55" s="46">
        <f t="shared" si="38"/>
        <v>0</v>
      </c>
      <c r="DD55" s="47">
        <f t="shared" si="39"/>
        <v>0</v>
      </c>
      <c r="DE55" s="604">
        <f t="shared" si="106"/>
        <v>0</v>
      </c>
      <c r="DF55" s="44">
        <f t="shared" si="107"/>
        <v>0</v>
      </c>
      <c r="DG55" s="44">
        <f t="shared" si="108"/>
        <v>0</v>
      </c>
      <c r="DH55" s="44">
        <f t="shared" si="109"/>
        <v>0</v>
      </c>
      <c r="DI55" s="44">
        <f t="shared" si="110"/>
        <v>12000</v>
      </c>
      <c r="DJ55" s="44">
        <f t="shared" si="111"/>
        <v>12000</v>
      </c>
      <c r="DK55" s="44">
        <f t="shared" si="40"/>
        <v>240</v>
      </c>
      <c r="DL55" s="44">
        <f t="shared" si="112"/>
        <v>240</v>
      </c>
      <c r="DM55" s="44">
        <f t="shared" si="41"/>
        <v>3720</v>
      </c>
      <c r="DN55" s="44">
        <f t="shared" si="113"/>
        <v>3720</v>
      </c>
      <c r="DO55" s="44">
        <f t="shared" si="42"/>
        <v>8280</v>
      </c>
      <c r="DP55" s="46">
        <f t="shared" si="43"/>
        <v>0</v>
      </c>
      <c r="DQ55" s="47">
        <f t="shared" si="44"/>
        <v>0</v>
      </c>
      <c r="DR55" s="604">
        <f t="shared" si="114"/>
        <v>0</v>
      </c>
      <c r="DS55" s="44">
        <f t="shared" si="115"/>
        <v>0</v>
      </c>
      <c r="DT55" s="44">
        <f t="shared" si="116"/>
        <v>0</v>
      </c>
      <c r="DU55" s="44">
        <f t="shared" si="117"/>
        <v>0</v>
      </c>
      <c r="DV55" s="44">
        <f t="shared" si="118"/>
        <v>12000</v>
      </c>
      <c r="DW55" s="44">
        <f t="shared" si="119"/>
        <v>12000</v>
      </c>
      <c r="DX55" s="44">
        <f t="shared" si="45"/>
        <v>240</v>
      </c>
      <c r="DY55" s="44">
        <f t="shared" si="120"/>
        <v>240</v>
      </c>
      <c r="DZ55" s="44">
        <f t="shared" si="46"/>
        <v>3480</v>
      </c>
      <c r="EA55" s="44">
        <f t="shared" si="121"/>
        <v>3480</v>
      </c>
      <c r="EB55" s="44">
        <f t="shared" si="47"/>
        <v>8520</v>
      </c>
      <c r="EC55" s="46">
        <f t="shared" si="48"/>
        <v>0</v>
      </c>
      <c r="ED55" s="47">
        <f t="shared" si="49"/>
        <v>0</v>
      </c>
    </row>
    <row r="56" spans="1:134" x14ac:dyDescent="0.35">
      <c r="A56" s="81">
        <v>1985</v>
      </c>
      <c r="B56" s="82" t="s">
        <v>226</v>
      </c>
      <c r="C56" s="82"/>
      <c r="D56" s="83" t="s">
        <v>35</v>
      </c>
      <c r="E56" s="87">
        <v>303000</v>
      </c>
      <c r="F56" s="85">
        <v>31229</v>
      </c>
      <c r="G56" s="185">
        <v>50</v>
      </c>
      <c r="H56" s="179"/>
      <c r="I56" s="180"/>
      <c r="J56" s="181"/>
      <c r="K56" s="42">
        <f t="shared" si="0"/>
        <v>0.02</v>
      </c>
      <c r="L56" s="43">
        <f t="shared" si="1"/>
        <v>6060</v>
      </c>
      <c r="M56" s="44">
        <f t="shared" si="2"/>
        <v>142410</v>
      </c>
      <c r="N56" s="44"/>
      <c r="O56" s="44">
        <f t="shared" si="3"/>
        <v>160590</v>
      </c>
      <c r="P56" s="45"/>
      <c r="Q56" s="44">
        <f t="shared" si="4"/>
        <v>303000</v>
      </c>
      <c r="R56" s="604">
        <f t="shared" si="50"/>
        <v>0</v>
      </c>
      <c r="S56" s="44">
        <f t="shared" si="51"/>
        <v>0</v>
      </c>
      <c r="T56" s="44">
        <f t="shared" si="52"/>
        <v>0</v>
      </c>
      <c r="U56" s="44">
        <f t="shared" si="53"/>
        <v>0</v>
      </c>
      <c r="V56" s="44">
        <f t="shared" si="54"/>
        <v>303000</v>
      </c>
      <c r="W56" s="44">
        <f t="shared" si="55"/>
        <v>303000</v>
      </c>
      <c r="X56" s="44">
        <f t="shared" si="5"/>
        <v>6060</v>
      </c>
      <c r="Y56" s="44">
        <f t="shared" si="56"/>
        <v>6060</v>
      </c>
      <c r="Z56" s="44">
        <f t="shared" si="6"/>
        <v>136350</v>
      </c>
      <c r="AA56" s="44">
        <f t="shared" si="57"/>
        <v>136350</v>
      </c>
      <c r="AB56" s="44">
        <f t="shared" si="7"/>
        <v>166650</v>
      </c>
      <c r="AC56" s="46">
        <f t="shared" si="8"/>
        <v>0</v>
      </c>
      <c r="AD56" s="47">
        <f t="shared" si="9"/>
        <v>0</v>
      </c>
      <c r="AE56" s="604">
        <f t="shared" si="58"/>
        <v>0</v>
      </c>
      <c r="AF56" s="44">
        <f t="shared" si="59"/>
        <v>0</v>
      </c>
      <c r="AG56" s="44">
        <f t="shared" si="60"/>
        <v>0</v>
      </c>
      <c r="AH56" s="44">
        <f t="shared" si="61"/>
        <v>0</v>
      </c>
      <c r="AI56" s="44">
        <f t="shared" si="62"/>
        <v>303000</v>
      </c>
      <c r="AJ56" s="44">
        <f t="shared" si="63"/>
        <v>303000</v>
      </c>
      <c r="AK56" s="44">
        <f t="shared" si="10"/>
        <v>6060</v>
      </c>
      <c r="AL56" s="44">
        <f t="shared" si="64"/>
        <v>6060</v>
      </c>
      <c r="AM56" s="44">
        <f t="shared" si="11"/>
        <v>130290</v>
      </c>
      <c r="AN56" s="44">
        <f t="shared" si="65"/>
        <v>130290</v>
      </c>
      <c r="AO56" s="44">
        <f t="shared" si="12"/>
        <v>172710</v>
      </c>
      <c r="AP56" s="46">
        <f t="shared" si="13"/>
        <v>0</v>
      </c>
      <c r="AQ56" s="47">
        <f t="shared" si="14"/>
        <v>0</v>
      </c>
      <c r="AR56" s="604">
        <f t="shared" si="66"/>
        <v>0</v>
      </c>
      <c r="AS56" s="44">
        <f t="shared" si="67"/>
        <v>0</v>
      </c>
      <c r="AT56" s="44">
        <f t="shared" si="68"/>
        <v>0</v>
      </c>
      <c r="AU56" s="44">
        <f t="shared" si="69"/>
        <v>0</v>
      </c>
      <c r="AV56" s="44">
        <f t="shared" si="70"/>
        <v>303000</v>
      </c>
      <c r="AW56" s="44">
        <f t="shared" si="71"/>
        <v>303000</v>
      </c>
      <c r="AX56" s="44">
        <f t="shared" si="15"/>
        <v>6060</v>
      </c>
      <c r="AY56" s="44">
        <f t="shared" si="72"/>
        <v>6060</v>
      </c>
      <c r="AZ56" s="44">
        <f t="shared" si="16"/>
        <v>124230</v>
      </c>
      <c r="BA56" s="44">
        <f t="shared" si="73"/>
        <v>124230</v>
      </c>
      <c r="BB56" s="44">
        <f t="shared" si="17"/>
        <v>178770</v>
      </c>
      <c r="BC56" s="46">
        <f t="shared" si="18"/>
        <v>0</v>
      </c>
      <c r="BD56" s="47">
        <f t="shared" si="19"/>
        <v>0</v>
      </c>
      <c r="BE56" s="604">
        <f t="shared" si="74"/>
        <v>0</v>
      </c>
      <c r="BF56" s="44">
        <f t="shared" si="75"/>
        <v>0</v>
      </c>
      <c r="BG56" s="44">
        <f t="shared" si="76"/>
        <v>0</v>
      </c>
      <c r="BH56" s="44">
        <f t="shared" si="77"/>
        <v>0</v>
      </c>
      <c r="BI56" s="44">
        <f t="shared" si="78"/>
        <v>303000</v>
      </c>
      <c r="BJ56" s="44">
        <f t="shared" si="79"/>
        <v>303000</v>
      </c>
      <c r="BK56" s="44">
        <f t="shared" si="20"/>
        <v>6060</v>
      </c>
      <c r="BL56" s="44">
        <f t="shared" si="80"/>
        <v>6060</v>
      </c>
      <c r="BM56" s="44">
        <f t="shared" si="21"/>
        <v>118170</v>
      </c>
      <c r="BN56" s="44">
        <f t="shared" si="81"/>
        <v>118170</v>
      </c>
      <c r="BO56" s="44">
        <f t="shared" si="22"/>
        <v>184830</v>
      </c>
      <c r="BP56" s="46">
        <f t="shared" si="23"/>
        <v>0</v>
      </c>
      <c r="BQ56" s="47">
        <f t="shared" si="24"/>
        <v>0</v>
      </c>
      <c r="BR56" s="604">
        <f t="shared" si="82"/>
        <v>0</v>
      </c>
      <c r="BS56" s="44">
        <f t="shared" si="83"/>
        <v>0</v>
      </c>
      <c r="BT56" s="44">
        <f t="shared" si="84"/>
        <v>0</v>
      </c>
      <c r="BU56" s="44">
        <f t="shared" si="85"/>
        <v>0</v>
      </c>
      <c r="BV56" s="44">
        <f t="shared" si="86"/>
        <v>303000</v>
      </c>
      <c r="BW56" s="44">
        <f t="shared" si="87"/>
        <v>303000</v>
      </c>
      <c r="BX56" s="44">
        <f t="shared" si="25"/>
        <v>6060</v>
      </c>
      <c r="BY56" s="44">
        <f t="shared" si="88"/>
        <v>6060</v>
      </c>
      <c r="BZ56" s="44">
        <f t="shared" si="26"/>
        <v>112110</v>
      </c>
      <c r="CA56" s="44">
        <f t="shared" si="89"/>
        <v>112110</v>
      </c>
      <c r="CB56" s="44">
        <f t="shared" si="27"/>
        <v>190890</v>
      </c>
      <c r="CC56" s="46">
        <f t="shared" si="28"/>
        <v>0</v>
      </c>
      <c r="CD56" s="47">
        <f t="shared" si="29"/>
        <v>0</v>
      </c>
      <c r="CE56" s="604">
        <f t="shared" si="90"/>
        <v>0</v>
      </c>
      <c r="CF56" s="44">
        <f t="shared" si="91"/>
        <v>0</v>
      </c>
      <c r="CG56" s="44">
        <f t="shared" si="92"/>
        <v>0</v>
      </c>
      <c r="CH56" s="44">
        <f t="shared" si="93"/>
        <v>0</v>
      </c>
      <c r="CI56" s="44">
        <f t="shared" si="94"/>
        <v>303000</v>
      </c>
      <c r="CJ56" s="44">
        <f t="shared" si="95"/>
        <v>303000</v>
      </c>
      <c r="CK56" s="44">
        <f t="shared" si="30"/>
        <v>6060</v>
      </c>
      <c r="CL56" s="44">
        <f t="shared" si="96"/>
        <v>6060</v>
      </c>
      <c r="CM56" s="44">
        <f t="shared" si="31"/>
        <v>106050</v>
      </c>
      <c r="CN56" s="44">
        <f t="shared" si="97"/>
        <v>106050</v>
      </c>
      <c r="CO56" s="44">
        <f t="shared" si="32"/>
        <v>196950</v>
      </c>
      <c r="CP56" s="46">
        <f t="shared" si="33"/>
        <v>0</v>
      </c>
      <c r="CQ56" s="47">
        <f t="shared" si="34"/>
        <v>0</v>
      </c>
      <c r="CR56" s="604">
        <f t="shared" si="98"/>
        <v>0</v>
      </c>
      <c r="CS56" s="44">
        <f t="shared" si="99"/>
        <v>0</v>
      </c>
      <c r="CT56" s="44">
        <f t="shared" si="100"/>
        <v>0</v>
      </c>
      <c r="CU56" s="44">
        <f t="shared" si="101"/>
        <v>0</v>
      </c>
      <c r="CV56" s="44">
        <f t="shared" si="102"/>
        <v>303000</v>
      </c>
      <c r="CW56" s="44">
        <f t="shared" si="103"/>
        <v>303000</v>
      </c>
      <c r="CX56" s="44">
        <f t="shared" si="35"/>
        <v>6060</v>
      </c>
      <c r="CY56" s="44">
        <f t="shared" si="104"/>
        <v>6060</v>
      </c>
      <c r="CZ56" s="44">
        <f t="shared" si="36"/>
        <v>99990</v>
      </c>
      <c r="DA56" s="44">
        <f t="shared" si="105"/>
        <v>99990</v>
      </c>
      <c r="DB56" s="44">
        <f t="shared" si="37"/>
        <v>203010</v>
      </c>
      <c r="DC56" s="46">
        <f t="shared" si="38"/>
        <v>0</v>
      </c>
      <c r="DD56" s="47">
        <f t="shared" si="39"/>
        <v>0</v>
      </c>
      <c r="DE56" s="604">
        <f t="shared" si="106"/>
        <v>0</v>
      </c>
      <c r="DF56" s="44">
        <f t="shared" si="107"/>
        <v>0</v>
      </c>
      <c r="DG56" s="44">
        <f t="shared" si="108"/>
        <v>0</v>
      </c>
      <c r="DH56" s="44">
        <f t="shared" si="109"/>
        <v>0</v>
      </c>
      <c r="DI56" s="44">
        <f t="shared" si="110"/>
        <v>303000</v>
      </c>
      <c r="DJ56" s="44">
        <f t="shared" si="111"/>
        <v>303000</v>
      </c>
      <c r="DK56" s="44">
        <f t="shared" si="40"/>
        <v>6060</v>
      </c>
      <c r="DL56" s="44">
        <f t="shared" si="112"/>
        <v>6060</v>
      </c>
      <c r="DM56" s="44">
        <f t="shared" si="41"/>
        <v>93930</v>
      </c>
      <c r="DN56" s="44">
        <f t="shared" si="113"/>
        <v>93930</v>
      </c>
      <c r="DO56" s="44">
        <f t="shared" si="42"/>
        <v>209070</v>
      </c>
      <c r="DP56" s="46">
        <f t="shared" si="43"/>
        <v>0</v>
      </c>
      <c r="DQ56" s="47">
        <f t="shared" si="44"/>
        <v>0</v>
      </c>
      <c r="DR56" s="604">
        <f t="shared" si="114"/>
        <v>0</v>
      </c>
      <c r="DS56" s="44">
        <f t="shared" si="115"/>
        <v>0</v>
      </c>
      <c r="DT56" s="44">
        <f t="shared" si="116"/>
        <v>0</v>
      </c>
      <c r="DU56" s="44">
        <f t="shared" si="117"/>
        <v>0</v>
      </c>
      <c r="DV56" s="44">
        <f t="shared" si="118"/>
        <v>303000</v>
      </c>
      <c r="DW56" s="44">
        <f t="shared" si="119"/>
        <v>303000</v>
      </c>
      <c r="DX56" s="44">
        <f t="shared" si="45"/>
        <v>6060</v>
      </c>
      <c r="DY56" s="44">
        <f t="shared" si="120"/>
        <v>6060</v>
      </c>
      <c r="DZ56" s="44">
        <f t="shared" si="46"/>
        <v>87870</v>
      </c>
      <c r="EA56" s="44">
        <f t="shared" si="121"/>
        <v>87870</v>
      </c>
      <c r="EB56" s="44">
        <f t="shared" si="47"/>
        <v>215130</v>
      </c>
      <c r="EC56" s="46">
        <f t="shared" si="48"/>
        <v>0</v>
      </c>
      <c r="ED56" s="47">
        <f t="shared" si="49"/>
        <v>0</v>
      </c>
    </row>
    <row r="57" spans="1:134" x14ac:dyDescent="0.35">
      <c r="A57" s="81">
        <v>1985</v>
      </c>
      <c r="B57" s="82" t="s">
        <v>227</v>
      </c>
      <c r="C57" s="82"/>
      <c r="D57" s="83" t="s">
        <v>32</v>
      </c>
      <c r="E57" s="87">
        <v>135000</v>
      </c>
      <c r="F57" s="85">
        <v>31229</v>
      </c>
      <c r="G57" s="185">
        <v>50</v>
      </c>
      <c r="H57" s="179"/>
      <c r="I57" s="180"/>
      <c r="J57" s="181"/>
      <c r="K57" s="42">
        <f t="shared" si="0"/>
        <v>0.02</v>
      </c>
      <c r="L57" s="43">
        <f t="shared" si="1"/>
        <v>2700</v>
      </c>
      <c r="M57" s="44">
        <f t="shared" si="2"/>
        <v>63450</v>
      </c>
      <c r="N57" s="44"/>
      <c r="O57" s="44">
        <f t="shared" si="3"/>
        <v>71550</v>
      </c>
      <c r="P57" s="45"/>
      <c r="Q57" s="44">
        <f t="shared" si="4"/>
        <v>135000</v>
      </c>
      <c r="R57" s="604">
        <f t="shared" si="50"/>
        <v>0</v>
      </c>
      <c r="S57" s="44">
        <f t="shared" si="51"/>
        <v>0</v>
      </c>
      <c r="T57" s="44">
        <f t="shared" si="52"/>
        <v>0</v>
      </c>
      <c r="U57" s="44">
        <f t="shared" si="53"/>
        <v>0</v>
      </c>
      <c r="V57" s="44">
        <f t="shared" si="54"/>
        <v>135000</v>
      </c>
      <c r="W57" s="44">
        <f t="shared" si="55"/>
        <v>135000</v>
      </c>
      <c r="X57" s="44">
        <f t="shared" si="5"/>
        <v>2700</v>
      </c>
      <c r="Y57" s="44">
        <f t="shared" si="56"/>
        <v>2700</v>
      </c>
      <c r="Z57" s="44">
        <f t="shared" si="6"/>
        <v>60750</v>
      </c>
      <c r="AA57" s="44">
        <f t="shared" si="57"/>
        <v>60750</v>
      </c>
      <c r="AB57" s="44">
        <f t="shared" si="7"/>
        <v>74250</v>
      </c>
      <c r="AC57" s="46">
        <f t="shared" si="8"/>
        <v>0</v>
      </c>
      <c r="AD57" s="47">
        <f t="shared" si="9"/>
        <v>0</v>
      </c>
      <c r="AE57" s="604">
        <f t="shared" si="58"/>
        <v>0</v>
      </c>
      <c r="AF57" s="44">
        <f t="shared" si="59"/>
        <v>0</v>
      </c>
      <c r="AG57" s="44">
        <f t="shared" si="60"/>
        <v>0</v>
      </c>
      <c r="AH57" s="44">
        <f t="shared" si="61"/>
        <v>0</v>
      </c>
      <c r="AI57" s="44">
        <f t="shared" si="62"/>
        <v>135000</v>
      </c>
      <c r="AJ57" s="44">
        <f t="shared" si="63"/>
        <v>135000</v>
      </c>
      <c r="AK57" s="44">
        <f t="shared" si="10"/>
        <v>2700</v>
      </c>
      <c r="AL57" s="44">
        <f t="shared" si="64"/>
        <v>2700</v>
      </c>
      <c r="AM57" s="44">
        <f t="shared" si="11"/>
        <v>58050</v>
      </c>
      <c r="AN57" s="44">
        <f t="shared" si="65"/>
        <v>58050</v>
      </c>
      <c r="AO57" s="44">
        <f t="shared" si="12"/>
        <v>76950</v>
      </c>
      <c r="AP57" s="46">
        <f t="shared" si="13"/>
        <v>0</v>
      </c>
      <c r="AQ57" s="47">
        <f t="shared" si="14"/>
        <v>0</v>
      </c>
      <c r="AR57" s="604">
        <f t="shared" si="66"/>
        <v>0</v>
      </c>
      <c r="AS57" s="44">
        <f t="shared" si="67"/>
        <v>0</v>
      </c>
      <c r="AT57" s="44">
        <f t="shared" si="68"/>
        <v>0</v>
      </c>
      <c r="AU57" s="44">
        <f t="shared" si="69"/>
        <v>0</v>
      </c>
      <c r="AV57" s="44">
        <f t="shared" si="70"/>
        <v>135000</v>
      </c>
      <c r="AW57" s="44">
        <f t="shared" si="71"/>
        <v>135000</v>
      </c>
      <c r="AX57" s="44">
        <f t="shared" si="15"/>
        <v>2700</v>
      </c>
      <c r="AY57" s="44">
        <f t="shared" si="72"/>
        <v>2700</v>
      </c>
      <c r="AZ57" s="44">
        <f t="shared" si="16"/>
        <v>55350</v>
      </c>
      <c r="BA57" s="44">
        <f t="shared" si="73"/>
        <v>55350</v>
      </c>
      <c r="BB57" s="44">
        <f t="shared" si="17"/>
        <v>79650</v>
      </c>
      <c r="BC57" s="46">
        <f t="shared" si="18"/>
        <v>0</v>
      </c>
      <c r="BD57" s="47">
        <f t="shared" si="19"/>
        <v>0</v>
      </c>
      <c r="BE57" s="604">
        <f t="shared" si="74"/>
        <v>0</v>
      </c>
      <c r="BF57" s="44">
        <f t="shared" si="75"/>
        <v>0</v>
      </c>
      <c r="BG57" s="44">
        <f t="shared" si="76"/>
        <v>0</v>
      </c>
      <c r="BH57" s="44">
        <f t="shared" si="77"/>
        <v>0</v>
      </c>
      <c r="BI57" s="44">
        <f t="shared" si="78"/>
        <v>135000</v>
      </c>
      <c r="BJ57" s="44">
        <f t="shared" si="79"/>
        <v>135000</v>
      </c>
      <c r="BK57" s="44">
        <f t="shared" si="20"/>
        <v>2700</v>
      </c>
      <c r="BL57" s="44">
        <f t="shared" si="80"/>
        <v>2700</v>
      </c>
      <c r="BM57" s="44">
        <f t="shared" si="21"/>
        <v>52650</v>
      </c>
      <c r="BN57" s="44">
        <f t="shared" si="81"/>
        <v>52650</v>
      </c>
      <c r="BO57" s="44">
        <f t="shared" si="22"/>
        <v>82350</v>
      </c>
      <c r="BP57" s="46">
        <f t="shared" si="23"/>
        <v>0</v>
      </c>
      <c r="BQ57" s="47">
        <f t="shared" si="24"/>
        <v>0</v>
      </c>
      <c r="BR57" s="604">
        <f t="shared" si="82"/>
        <v>0</v>
      </c>
      <c r="BS57" s="44">
        <f t="shared" si="83"/>
        <v>0</v>
      </c>
      <c r="BT57" s="44">
        <f t="shared" si="84"/>
        <v>0</v>
      </c>
      <c r="BU57" s="44">
        <f t="shared" si="85"/>
        <v>0</v>
      </c>
      <c r="BV57" s="44">
        <f t="shared" si="86"/>
        <v>135000</v>
      </c>
      <c r="BW57" s="44">
        <f t="shared" si="87"/>
        <v>135000</v>
      </c>
      <c r="BX57" s="44">
        <f t="shared" si="25"/>
        <v>2700</v>
      </c>
      <c r="BY57" s="44">
        <f t="shared" si="88"/>
        <v>2700</v>
      </c>
      <c r="BZ57" s="44">
        <f t="shared" si="26"/>
        <v>49950</v>
      </c>
      <c r="CA57" s="44">
        <f t="shared" si="89"/>
        <v>49950</v>
      </c>
      <c r="CB57" s="44">
        <f t="shared" si="27"/>
        <v>85050</v>
      </c>
      <c r="CC57" s="46">
        <f t="shared" si="28"/>
        <v>0</v>
      </c>
      <c r="CD57" s="47">
        <f t="shared" si="29"/>
        <v>0</v>
      </c>
      <c r="CE57" s="604">
        <f t="shared" si="90"/>
        <v>0</v>
      </c>
      <c r="CF57" s="44">
        <f t="shared" si="91"/>
        <v>0</v>
      </c>
      <c r="CG57" s="44">
        <f t="shared" si="92"/>
        <v>0</v>
      </c>
      <c r="CH57" s="44">
        <f t="shared" si="93"/>
        <v>0</v>
      </c>
      <c r="CI57" s="44">
        <f t="shared" si="94"/>
        <v>135000</v>
      </c>
      <c r="CJ57" s="44">
        <f t="shared" si="95"/>
        <v>135000</v>
      </c>
      <c r="CK57" s="44">
        <f t="shared" si="30"/>
        <v>2700</v>
      </c>
      <c r="CL57" s="44">
        <f t="shared" si="96"/>
        <v>2700</v>
      </c>
      <c r="CM57" s="44">
        <f t="shared" si="31"/>
        <v>47250</v>
      </c>
      <c r="CN57" s="44">
        <f t="shared" si="97"/>
        <v>47250</v>
      </c>
      <c r="CO57" s="44">
        <f t="shared" si="32"/>
        <v>87750</v>
      </c>
      <c r="CP57" s="46">
        <f t="shared" si="33"/>
        <v>0</v>
      </c>
      <c r="CQ57" s="47">
        <f t="shared" si="34"/>
        <v>0</v>
      </c>
      <c r="CR57" s="604">
        <f t="shared" si="98"/>
        <v>0</v>
      </c>
      <c r="CS57" s="44">
        <f t="shared" si="99"/>
        <v>0</v>
      </c>
      <c r="CT57" s="44">
        <f t="shared" si="100"/>
        <v>0</v>
      </c>
      <c r="CU57" s="44">
        <f t="shared" si="101"/>
        <v>0</v>
      </c>
      <c r="CV57" s="44">
        <f t="shared" si="102"/>
        <v>135000</v>
      </c>
      <c r="CW57" s="44">
        <f t="shared" si="103"/>
        <v>135000</v>
      </c>
      <c r="CX57" s="44">
        <f t="shared" si="35"/>
        <v>2700</v>
      </c>
      <c r="CY57" s="44">
        <f t="shared" si="104"/>
        <v>2700</v>
      </c>
      <c r="CZ57" s="44">
        <f t="shared" si="36"/>
        <v>44550</v>
      </c>
      <c r="DA57" s="44">
        <f t="shared" si="105"/>
        <v>44550</v>
      </c>
      <c r="DB57" s="44">
        <f t="shared" si="37"/>
        <v>90450</v>
      </c>
      <c r="DC57" s="46">
        <f t="shared" si="38"/>
        <v>0</v>
      </c>
      <c r="DD57" s="47">
        <f t="shared" si="39"/>
        <v>0</v>
      </c>
      <c r="DE57" s="604">
        <f t="shared" si="106"/>
        <v>0</v>
      </c>
      <c r="DF57" s="44">
        <f t="shared" si="107"/>
        <v>0</v>
      </c>
      <c r="DG57" s="44">
        <f t="shared" si="108"/>
        <v>0</v>
      </c>
      <c r="DH57" s="44">
        <f t="shared" si="109"/>
        <v>0</v>
      </c>
      <c r="DI57" s="44">
        <f t="shared" si="110"/>
        <v>135000</v>
      </c>
      <c r="DJ57" s="44">
        <f t="shared" si="111"/>
        <v>135000</v>
      </c>
      <c r="DK57" s="44">
        <f t="shared" si="40"/>
        <v>2700</v>
      </c>
      <c r="DL57" s="44">
        <f t="shared" si="112"/>
        <v>2700</v>
      </c>
      <c r="DM57" s="44">
        <f t="shared" si="41"/>
        <v>41850</v>
      </c>
      <c r="DN57" s="44">
        <f t="shared" si="113"/>
        <v>41850</v>
      </c>
      <c r="DO57" s="44">
        <f t="shared" si="42"/>
        <v>93150</v>
      </c>
      <c r="DP57" s="46">
        <f t="shared" si="43"/>
        <v>0</v>
      </c>
      <c r="DQ57" s="47">
        <f t="shared" si="44"/>
        <v>0</v>
      </c>
      <c r="DR57" s="604">
        <f t="shared" si="114"/>
        <v>0</v>
      </c>
      <c r="DS57" s="44">
        <f t="shared" si="115"/>
        <v>0</v>
      </c>
      <c r="DT57" s="44">
        <f t="shared" si="116"/>
        <v>0</v>
      </c>
      <c r="DU57" s="44">
        <f t="shared" si="117"/>
        <v>0</v>
      </c>
      <c r="DV57" s="44">
        <f t="shared" si="118"/>
        <v>135000</v>
      </c>
      <c r="DW57" s="44">
        <f t="shared" si="119"/>
        <v>135000</v>
      </c>
      <c r="DX57" s="44">
        <f t="shared" si="45"/>
        <v>2700</v>
      </c>
      <c r="DY57" s="44">
        <f t="shared" si="120"/>
        <v>2700</v>
      </c>
      <c r="DZ57" s="44">
        <f t="shared" si="46"/>
        <v>39150</v>
      </c>
      <c r="EA57" s="44">
        <f t="shared" si="121"/>
        <v>39150</v>
      </c>
      <c r="EB57" s="44">
        <f t="shared" si="47"/>
        <v>95850</v>
      </c>
      <c r="EC57" s="46">
        <f t="shared" si="48"/>
        <v>0</v>
      </c>
      <c r="ED57" s="47">
        <f t="shared" si="49"/>
        <v>0</v>
      </c>
    </row>
    <row r="58" spans="1:134" x14ac:dyDescent="0.35">
      <c r="A58" s="81">
        <v>1985</v>
      </c>
      <c r="B58" s="82" t="s">
        <v>228</v>
      </c>
      <c r="C58" s="82"/>
      <c r="D58" s="83" t="s">
        <v>32</v>
      </c>
      <c r="E58" s="87">
        <v>136000</v>
      </c>
      <c r="F58" s="85">
        <v>31229</v>
      </c>
      <c r="G58" s="185">
        <v>33.299999999999997</v>
      </c>
      <c r="H58" s="179"/>
      <c r="I58" s="180"/>
      <c r="J58" s="181"/>
      <c r="K58" s="42">
        <f t="shared" si="0"/>
        <v>0.03</v>
      </c>
      <c r="L58" s="43">
        <f t="shared" si="1"/>
        <v>4080</v>
      </c>
      <c r="M58" s="44">
        <f t="shared" si="2"/>
        <v>27880</v>
      </c>
      <c r="N58" s="44"/>
      <c r="O58" s="44">
        <f t="shared" si="3"/>
        <v>108120</v>
      </c>
      <c r="P58" s="45"/>
      <c r="Q58" s="44">
        <f t="shared" si="4"/>
        <v>136000</v>
      </c>
      <c r="R58" s="604">
        <f t="shared" si="50"/>
        <v>0</v>
      </c>
      <c r="S58" s="44">
        <f t="shared" si="51"/>
        <v>0</v>
      </c>
      <c r="T58" s="44">
        <f t="shared" si="52"/>
        <v>0</v>
      </c>
      <c r="U58" s="44">
        <f t="shared" si="53"/>
        <v>0</v>
      </c>
      <c r="V58" s="44">
        <f t="shared" si="54"/>
        <v>136000</v>
      </c>
      <c r="W58" s="44">
        <f t="shared" si="55"/>
        <v>136000</v>
      </c>
      <c r="X58" s="44">
        <f t="shared" si="5"/>
        <v>4080</v>
      </c>
      <c r="Y58" s="44">
        <f t="shared" si="56"/>
        <v>4080</v>
      </c>
      <c r="Z58" s="44">
        <f t="shared" si="6"/>
        <v>23800</v>
      </c>
      <c r="AA58" s="44">
        <f t="shared" si="57"/>
        <v>23800</v>
      </c>
      <c r="AB58" s="44">
        <f t="shared" si="7"/>
        <v>112200</v>
      </c>
      <c r="AC58" s="46">
        <f t="shared" si="8"/>
        <v>0</v>
      </c>
      <c r="AD58" s="47">
        <f t="shared" si="9"/>
        <v>0</v>
      </c>
      <c r="AE58" s="604">
        <f t="shared" si="58"/>
        <v>0</v>
      </c>
      <c r="AF58" s="44">
        <f t="shared" si="59"/>
        <v>0</v>
      </c>
      <c r="AG58" s="44">
        <f t="shared" si="60"/>
        <v>0</v>
      </c>
      <c r="AH58" s="44">
        <f t="shared" si="61"/>
        <v>0</v>
      </c>
      <c r="AI58" s="44">
        <f t="shared" si="62"/>
        <v>136000</v>
      </c>
      <c r="AJ58" s="44">
        <f t="shared" si="63"/>
        <v>136000</v>
      </c>
      <c r="AK58" s="44">
        <f t="shared" si="10"/>
        <v>4080</v>
      </c>
      <c r="AL58" s="44">
        <f t="shared" si="64"/>
        <v>4080</v>
      </c>
      <c r="AM58" s="44">
        <f t="shared" si="11"/>
        <v>19720</v>
      </c>
      <c r="AN58" s="44">
        <f t="shared" si="65"/>
        <v>19720</v>
      </c>
      <c r="AO58" s="44">
        <f t="shared" si="12"/>
        <v>116280</v>
      </c>
      <c r="AP58" s="46">
        <f t="shared" si="13"/>
        <v>0</v>
      </c>
      <c r="AQ58" s="47">
        <f t="shared" si="14"/>
        <v>0</v>
      </c>
      <c r="AR58" s="604">
        <f t="shared" si="66"/>
        <v>0</v>
      </c>
      <c r="AS58" s="44">
        <f t="shared" si="67"/>
        <v>0</v>
      </c>
      <c r="AT58" s="44">
        <f t="shared" si="68"/>
        <v>0</v>
      </c>
      <c r="AU58" s="44">
        <f t="shared" si="69"/>
        <v>0</v>
      </c>
      <c r="AV58" s="44">
        <f t="shared" si="70"/>
        <v>136000</v>
      </c>
      <c r="AW58" s="44">
        <f t="shared" si="71"/>
        <v>136000</v>
      </c>
      <c r="AX58" s="44">
        <f t="shared" si="15"/>
        <v>4080</v>
      </c>
      <c r="AY58" s="44">
        <f t="shared" si="72"/>
        <v>4080</v>
      </c>
      <c r="AZ58" s="44">
        <f t="shared" si="16"/>
        <v>15640</v>
      </c>
      <c r="BA58" s="44">
        <f t="shared" si="73"/>
        <v>15640</v>
      </c>
      <c r="BB58" s="44">
        <f t="shared" si="17"/>
        <v>120360</v>
      </c>
      <c r="BC58" s="46">
        <f t="shared" si="18"/>
        <v>0</v>
      </c>
      <c r="BD58" s="47">
        <f t="shared" si="19"/>
        <v>0</v>
      </c>
      <c r="BE58" s="604">
        <f t="shared" si="74"/>
        <v>0</v>
      </c>
      <c r="BF58" s="44">
        <f t="shared" si="75"/>
        <v>0</v>
      </c>
      <c r="BG58" s="44">
        <f t="shared" si="76"/>
        <v>0</v>
      </c>
      <c r="BH58" s="44">
        <f t="shared" si="77"/>
        <v>0</v>
      </c>
      <c r="BI58" s="44">
        <f t="shared" si="78"/>
        <v>136000</v>
      </c>
      <c r="BJ58" s="44">
        <f t="shared" si="79"/>
        <v>136000</v>
      </c>
      <c r="BK58" s="44">
        <f t="shared" si="20"/>
        <v>4080</v>
      </c>
      <c r="BL58" s="44">
        <f t="shared" si="80"/>
        <v>4080</v>
      </c>
      <c r="BM58" s="44">
        <f t="shared" si="21"/>
        <v>11560</v>
      </c>
      <c r="BN58" s="44">
        <f t="shared" si="81"/>
        <v>11560</v>
      </c>
      <c r="BO58" s="44">
        <f t="shared" si="22"/>
        <v>124440</v>
      </c>
      <c r="BP58" s="46">
        <f t="shared" si="23"/>
        <v>0</v>
      </c>
      <c r="BQ58" s="47">
        <f t="shared" si="24"/>
        <v>0</v>
      </c>
      <c r="BR58" s="604">
        <f t="shared" si="82"/>
        <v>0</v>
      </c>
      <c r="BS58" s="44">
        <f t="shared" si="83"/>
        <v>0</v>
      </c>
      <c r="BT58" s="44">
        <f t="shared" si="84"/>
        <v>0</v>
      </c>
      <c r="BU58" s="44">
        <f t="shared" si="85"/>
        <v>0</v>
      </c>
      <c r="BV58" s="44">
        <f t="shared" si="86"/>
        <v>136000</v>
      </c>
      <c r="BW58" s="44">
        <f t="shared" si="87"/>
        <v>136000</v>
      </c>
      <c r="BX58" s="44">
        <f t="shared" si="25"/>
        <v>4080</v>
      </c>
      <c r="BY58" s="44">
        <f t="shared" si="88"/>
        <v>4080</v>
      </c>
      <c r="BZ58" s="44">
        <f t="shared" si="26"/>
        <v>7480</v>
      </c>
      <c r="CA58" s="44">
        <f t="shared" si="89"/>
        <v>7480</v>
      </c>
      <c r="CB58" s="44">
        <f t="shared" si="27"/>
        <v>128520</v>
      </c>
      <c r="CC58" s="46">
        <f t="shared" si="28"/>
        <v>0</v>
      </c>
      <c r="CD58" s="47">
        <f t="shared" si="29"/>
        <v>0</v>
      </c>
      <c r="CE58" s="604">
        <f t="shared" si="90"/>
        <v>0</v>
      </c>
      <c r="CF58" s="44">
        <f t="shared" si="91"/>
        <v>0</v>
      </c>
      <c r="CG58" s="44">
        <f t="shared" si="92"/>
        <v>0</v>
      </c>
      <c r="CH58" s="44">
        <f t="shared" si="93"/>
        <v>0</v>
      </c>
      <c r="CI58" s="44">
        <f t="shared" si="94"/>
        <v>136000</v>
      </c>
      <c r="CJ58" s="44">
        <f t="shared" si="95"/>
        <v>136000</v>
      </c>
      <c r="CK58" s="44">
        <f t="shared" si="30"/>
        <v>4080</v>
      </c>
      <c r="CL58" s="44">
        <f t="shared" si="96"/>
        <v>4080</v>
      </c>
      <c r="CM58" s="44">
        <f t="shared" si="31"/>
        <v>3400</v>
      </c>
      <c r="CN58" s="44">
        <f t="shared" si="97"/>
        <v>3400</v>
      </c>
      <c r="CO58" s="44">
        <f t="shared" si="32"/>
        <v>132600</v>
      </c>
      <c r="CP58" s="46">
        <f t="shared" si="33"/>
        <v>0</v>
      </c>
      <c r="CQ58" s="47">
        <f t="shared" si="34"/>
        <v>0</v>
      </c>
      <c r="CR58" s="604">
        <f t="shared" si="98"/>
        <v>0</v>
      </c>
      <c r="CS58" s="44">
        <f t="shared" si="99"/>
        <v>0</v>
      </c>
      <c r="CT58" s="44">
        <f t="shared" si="100"/>
        <v>0</v>
      </c>
      <c r="CU58" s="44">
        <f t="shared" si="101"/>
        <v>0</v>
      </c>
      <c r="CV58" s="44">
        <f t="shared" si="102"/>
        <v>136000</v>
      </c>
      <c r="CW58" s="44">
        <f t="shared" si="103"/>
        <v>113333.33</v>
      </c>
      <c r="CX58" s="44">
        <f t="shared" si="35"/>
        <v>3400</v>
      </c>
      <c r="CY58" s="44">
        <f t="shared" si="104"/>
        <v>3400</v>
      </c>
      <c r="CZ58" s="44">
        <f t="shared" si="36"/>
        <v>0</v>
      </c>
      <c r="DA58" s="44">
        <f t="shared" si="105"/>
        <v>0</v>
      </c>
      <c r="DB58" s="44">
        <f t="shared" si="37"/>
        <v>136000</v>
      </c>
      <c r="DC58" s="46">
        <f t="shared" si="38"/>
        <v>0</v>
      </c>
      <c r="DD58" s="47">
        <f t="shared" si="39"/>
        <v>0</v>
      </c>
      <c r="DE58" s="604">
        <f t="shared" si="106"/>
        <v>0</v>
      </c>
      <c r="DF58" s="44">
        <f t="shared" si="107"/>
        <v>0</v>
      </c>
      <c r="DG58" s="44">
        <f t="shared" si="108"/>
        <v>0</v>
      </c>
      <c r="DH58" s="44">
        <f t="shared" si="109"/>
        <v>0</v>
      </c>
      <c r="DI58" s="44">
        <f t="shared" si="110"/>
        <v>136000</v>
      </c>
      <c r="DJ58" s="44">
        <f t="shared" si="111"/>
        <v>0</v>
      </c>
      <c r="DK58" s="44">
        <f t="shared" si="40"/>
        <v>0</v>
      </c>
      <c r="DL58" s="44">
        <f t="shared" si="112"/>
        <v>0</v>
      </c>
      <c r="DM58" s="44">
        <f t="shared" si="41"/>
        <v>0</v>
      </c>
      <c r="DN58" s="44">
        <f t="shared" si="113"/>
        <v>0</v>
      </c>
      <c r="DO58" s="44">
        <f t="shared" si="42"/>
        <v>136000</v>
      </c>
      <c r="DP58" s="46">
        <f t="shared" si="43"/>
        <v>0</v>
      </c>
      <c r="DQ58" s="47">
        <f t="shared" si="44"/>
        <v>0</v>
      </c>
      <c r="DR58" s="604">
        <f t="shared" si="114"/>
        <v>0</v>
      </c>
      <c r="DS58" s="44">
        <f t="shared" si="115"/>
        <v>0</v>
      </c>
      <c r="DT58" s="44">
        <f t="shared" si="116"/>
        <v>0</v>
      </c>
      <c r="DU58" s="44">
        <f t="shared" si="117"/>
        <v>0</v>
      </c>
      <c r="DV58" s="44">
        <f t="shared" si="118"/>
        <v>136000</v>
      </c>
      <c r="DW58" s="44">
        <f t="shared" si="119"/>
        <v>0</v>
      </c>
      <c r="DX58" s="44">
        <f t="shared" si="45"/>
        <v>0</v>
      </c>
      <c r="DY58" s="44">
        <f t="shared" si="120"/>
        <v>0</v>
      </c>
      <c r="DZ58" s="44">
        <f t="shared" si="46"/>
        <v>0</v>
      </c>
      <c r="EA58" s="44">
        <f t="shared" si="121"/>
        <v>0</v>
      </c>
      <c r="EB58" s="44">
        <f t="shared" si="47"/>
        <v>136000</v>
      </c>
      <c r="EC58" s="46">
        <f t="shared" si="48"/>
        <v>0</v>
      </c>
      <c r="ED58" s="47">
        <f t="shared" si="49"/>
        <v>0</v>
      </c>
    </row>
    <row r="59" spans="1:134" x14ac:dyDescent="0.35">
      <c r="A59" s="81">
        <v>1985</v>
      </c>
      <c r="B59" s="82" t="s">
        <v>229</v>
      </c>
      <c r="C59" s="82"/>
      <c r="D59" s="83" t="s">
        <v>32</v>
      </c>
      <c r="E59" s="87">
        <v>82000</v>
      </c>
      <c r="F59" s="85">
        <v>31229</v>
      </c>
      <c r="G59" s="185">
        <v>33.299999999999997</v>
      </c>
      <c r="H59" s="179"/>
      <c r="I59" s="180"/>
      <c r="J59" s="181"/>
      <c r="K59" s="42">
        <f t="shared" si="0"/>
        <v>0.03</v>
      </c>
      <c r="L59" s="43">
        <f t="shared" si="1"/>
        <v>2460</v>
      </c>
      <c r="M59" s="44">
        <f t="shared" si="2"/>
        <v>16810</v>
      </c>
      <c r="N59" s="44"/>
      <c r="O59" s="44">
        <f t="shared" si="3"/>
        <v>65190</v>
      </c>
      <c r="P59" s="45"/>
      <c r="Q59" s="44">
        <f t="shared" si="4"/>
        <v>82000</v>
      </c>
      <c r="R59" s="604">
        <f t="shared" si="50"/>
        <v>0</v>
      </c>
      <c r="S59" s="44">
        <f t="shared" si="51"/>
        <v>0</v>
      </c>
      <c r="T59" s="44">
        <f t="shared" si="52"/>
        <v>0</v>
      </c>
      <c r="U59" s="44">
        <f t="shared" si="53"/>
        <v>0</v>
      </c>
      <c r="V59" s="44">
        <f t="shared" si="54"/>
        <v>82000</v>
      </c>
      <c r="W59" s="44">
        <f t="shared" si="55"/>
        <v>82000</v>
      </c>
      <c r="X59" s="44">
        <f t="shared" si="5"/>
        <v>2460</v>
      </c>
      <c r="Y59" s="44">
        <f t="shared" si="56"/>
        <v>2460</v>
      </c>
      <c r="Z59" s="44">
        <f t="shared" si="6"/>
        <v>14350</v>
      </c>
      <c r="AA59" s="44">
        <f t="shared" si="57"/>
        <v>14350</v>
      </c>
      <c r="AB59" s="44">
        <f t="shared" si="7"/>
        <v>67650</v>
      </c>
      <c r="AC59" s="46">
        <f t="shared" si="8"/>
        <v>0</v>
      </c>
      <c r="AD59" s="47">
        <f t="shared" si="9"/>
        <v>0</v>
      </c>
      <c r="AE59" s="604">
        <f t="shared" si="58"/>
        <v>0</v>
      </c>
      <c r="AF59" s="44">
        <f t="shared" si="59"/>
        <v>0</v>
      </c>
      <c r="AG59" s="44">
        <f t="shared" si="60"/>
        <v>0</v>
      </c>
      <c r="AH59" s="44">
        <f t="shared" si="61"/>
        <v>0</v>
      </c>
      <c r="AI59" s="44">
        <f t="shared" si="62"/>
        <v>82000</v>
      </c>
      <c r="AJ59" s="44">
        <f t="shared" si="63"/>
        <v>82000</v>
      </c>
      <c r="AK59" s="44">
        <f t="shared" si="10"/>
        <v>2460</v>
      </c>
      <c r="AL59" s="44">
        <f t="shared" si="64"/>
        <v>2460</v>
      </c>
      <c r="AM59" s="44">
        <f t="shared" si="11"/>
        <v>11890</v>
      </c>
      <c r="AN59" s="44">
        <f t="shared" si="65"/>
        <v>11890</v>
      </c>
      <c r="AO59" s="44">
        <f t="shared" si="12"/>
        <v>70110</v>
      </c>
      <c r="AP59" s="46">
        <f t="shared" si="13"/>
        <v>0</v>
      </c>
      <c r="AQ59" s="47">
        <f t="shared" si="14"/>
        <v>0</v>
      </c>
      <c r="AR59" s="604">
        <f t="shared" si="66"/>
        <v>0</v>
      </c>
      <c r="AS59" s="44">
        <f t="shared" si="67"/>
        <v>0</v>
      </c>
      <c r="AT59" s="44">
        <f t="shared" si="68"/>
        <v>0</v>
      </c>
      <c r="AU59" s="44">
        <f t="shared" si="69"/>
        <v>0</v>
      </c>
      <c r="AV59" s="44">
        <f t="shared" si="70"/>
        <v>82000</v>
      </c>
      <c r="AW59" s="44">
        <f t="shared" si="71"/>
        <v>82000</v>
      </c>
      <c r="AX59" s="44">
        <f t="shared" si="15"/>
        <v>2460</v>
      </c>
      <c r="AY59" s="44">
        <f t="shared" si="72"/>
        <v>2460</v>
      </c>
      <c r="AZ59" s="44">
        <f t="shared" si="16"/>
        <v>9430</v>
      </c>
      <c r="BA59" s="44">
        <f t="shared" si="73"/>
        <v>9430</v>
      </c>
      <c r="BB59" s="44">
        <f t="shared" si="17"/>
        <v>72570</v>
      </c>
      <c r="BC59" s="46">
        <f t="shared" si="18"/>
        <v>0</v>
      </c>
      <c r="BD59" s="47">
        <f t="shared" si="19"/>
        <v>0</v>
      </c>
      <c r="BE59" s="604">
        <f t="shared" si="74"/>
        <v>0</v>
      </c>
      <c r="BF59" s="44">
        <f t="shared" si="75"/>
        <v>0</v>
      </c>
      <c r="BG59" s="44">
        <f t="shared" si="76"/>
        <v>0</v>
      </c>
      <c r="BH59" s="44">
        <f t="shared" si="77"/>
        <v>0</v>
      </c>
      <c r="BI59" s="44">
        <f t="shared" si="78"/>
        <v>82000</v>
      </c>
      <c r="BJ59" s="44">
        <f t="shared" si="79"/>
        <v>82000</v>
      </c>
      <c r="BK59" s="44">
        <f t="shared" si="20"/>
        <v>2460</v>
      </c>
      <c r="BL59" s="44">
        <f t="shared" si="80"/>
        <v>2460</v>
      </c>
      <c r="BM59" s="44">
        <f t="shared" si="21"/>
        <v>6970</v>
      </c>
      <c r="BN59" s="44">
        <f t="shared" si="81"/>
        <v>6970</v>
      </c>
      <c r="BO59" s="44">
        <f t="shared" si="22"/>
        <v>75030</v>
      </c>
      <c r="BP59" s="46">
        <f t="shared" si="23"/>
        <v>0</v>
      </c>
      <c r="BQ59" s="47">
        <f t="shared" si="24"/>
        <v>0</v>
      </c>
      <c r="BR59" s="604">
        <f t="shared" si="82"/>
        <v>0</v>
      </c>
      <c r="BS59" s="44">
        <f t="shared" si="83"/>
        <v>0</v>
      </c>
      <c r="BT59" s="44">
        <f t="shared" si="84"/>
        <v>0</v>
      </c>
      <c r="BU59" s="44">
        <f t="shared" si="85"/>
        <v>0</v>
      </c>
      <c r="BV59" s="44">
        <f t="shared" si="86"/>
        <v>82000</v>
      </c>
      <c r="BW59" s="44">
        <f t="shared" si="87"/>
        <v>82000</v>
      </c>
      <c r="BX59" s="44">
        <f t="shared" si="25"/>
        <v>2460</v>
      </c>
      <c r="BY59" s="44">
        <f t="shared" si="88"/>
        <v>2460</v>
      </c>
      <c r="BZ59" s="44">
        <f t="shared" si="26"/>
        <v>4510</v>
      </c>
      <c r="CA59" s="44">
        <f t="shared" si="89"/>
        <v>4510</v>
      </c>
      <c r="CB59" s="44">
        <f t="shared" si="27"/>
        <v>77490</v>
      </c>
      <c r="CC59" s="46">
        <f t="shared" si="28"/>
        <v>0</v>
      </c>
      <c r="CD59" s="47">
        <f t="shared" si="29"/>
        <v>0</v>
      </c>
      <c r="CE59" s="604">
        <f t="shared" si="90"/>
        <v>0</v>
      </c>
      <c r="CF59" s="44">
        <f t="shared" si="91"/>
        <v>0</v>
      </c>
      <c r="CG59" s="44">
        <f t="shared" si="92"/>
        <v>0</v>
      </c>
      <c r="CH59" s="44">
        <f t="shared" si="93"/>
        <v>0</v>
      </c>
      <c r="CI59" s="44">
        <f t="shared" si="94"/>
        <v>82000</v>
      </c>
      <c r="CJ59" s="44">
        <f t="shared" si="95"/>
        <v>82000</v>
      </c>
      <c r="CK59" s="44">
        <f t="shared" si="30"/>
        <v>2460</v>
      </c>
      <c r="CL59" s="44">
        <f t="shared" si="96"/>
        <v>2460</v>
      </c>
      <c r="CM59" s="44">
        <f t="shared" si="31"/>
        <v>2050</v>
      </c>
      <c r="CN59" s="44">
        <f t="shared" si="97"/>
        <v>2050</v>
      </c>
      <c r="CO59" s="44">
        <f t="shared" si="32"/>
        <v>79950</v>
      </c>
      <c r="CP59" s="46">
        <f t="shared" si="33"/>
        <v>0</v>
      </c>
      <c r="CQ59" s="47">
        <f t="shared" si="34"/>
        <v>0</v>
      </c>
      <c r="CR59" s="604">
        <f t="shared" si="98"/>
        <v>0</v>
      </c>
      <c r="CS59" s="44">
        <f t="shared" si="99"/>
        <v>0</v>
      </c>
      <c r="CT59" s="44">
        <f t="shared" si="100"/>
        <v>0</v>
      </c>
      <c r="CU59" s="44">
        <f t="shared" si="101"/>
        <v>0</v>
      </c>
      <c r="CV59" s="44">
        <f t="shared" si="102"/>
        <v>82000</v>
      </c>
      <c r="CW59" s="44">
        <f t="shared" si="103"/>
        <v>68333.33</v>
      </c>
      <c r="CX59" s="44">
        <f t="shared" si="35"/>
        <v>2050</v>
      </c>
      <c r="CY59" s="44">
        <f t="shared" si="104"/>
        <v>2050</v>
      </c>
      <c r="CZ59" s="44">
        <f t="shared" si="36"/>
        <v>0</v>
      </c>
      <c r="DA59" s="44">
        <f t="shared" si="105"/>
        <v>0</v>
      </c>
      <c r="DB59" s="44">
        <f t="shared" si="37"/>
        <v>82000</v>
      </c>
      <c r="DC59" s="46">
        <f t="shared" si="38"/>
        <v>0</v>
      </c>
      <c r="DD59" s="47">
        <f t="shared" si="39"/>
        <v>0</v>
      </c>
      <c r="DE59" s="604">
        <f t="shared" si="106"/>
        <v>0</v>
      </c>
      <c r="DF59" s="44">
        <f t="shared" si="107"/>
        <v>0</v>
      </c>
      <c r="DG59" s="44">
        <f t="shared" si="108"/>
        <v>0</v>
      </c>
      <c r="DH59" s="44">
        <f t="shared" si="109"/>
        <v>0</v>
      </c>
      <c r="DI59" s="44">
        <f t="shared" si="110"/>
        <v>82000</v>
      </c>
      <c r="DJ59" s="44">
        <f t="shared" si="111"/>
        <v>0</v>
      </c>
      <c r="DK59" s="44">
        <f t="shared" si="40"/>
        <v>0</v>
      </c>
      <c r="DL59" s="44">
        <f t="shared" si="112"/>
        <v>0</v>
      </c>
      <c r="DM59" s="44">
        <f t="shared" si="41"/>
        <v>0</v>
      </c>
      <c r="DN59" s="44">
        <f t="shared" si="113"/>
        <v>0</v>
      </c>
      <c r="DO59" s="44">
        <f t="shared" si="42"/>
        <v>82000</v>
      </c>
      <c r="DP59" s="46">
        <f t="shared" si="43"/>
        <v>0</v>
      </c>
      <c r="DQ59" s="47">
        <f t="shared" si="44"/>
        <v>0</v>
      </c>
      <c r="DR59" s="604">
        <f t="shared" si="114"/>
        <v>0</v>
      </c>
      <c r="DS59" s="44">
        <f t="shared" si="115"/>
        <v>0</v>
      </c>
      <c r="DT59" s="44">
        <f t="shared" si="116"/>
        <v>0</v>
      </c>
      <c r="DU59" s="44">
        <f t="shared" si="117"/>
        <v>0</v>
      </c>
      <c r="DV59" s="44">
        <f t="shared" si="118"/>
        <v>82000</v>
      </c>
      <c r="DW59" s="44">
        <f t="shared" si="119"/>
        <v>0</v>
      </c>
      <c r="DX59" s="44">
        <f t="shared" si="45"/>
        <v>0</v>
      </c>
      <c r="DY59" s="44">
        <f t="shared" si="120"/>
        <v>0</v>
      </c>
      <c r="DZ59" s="44">
        <f t="shared" si="46"/>
        <v>0</v>
      </c>
      <c r="EA59" s="44">
        <f t="shared" si="121"/>
        <v>0</v>
      </c>
      <c r="EB59" s="44">
        <f t="shared" si="47"/>
        <v>82000</v>
      </c>
      <c r="EC59" s="46">
        <f t="shared" si="48"/>
        <v>0</v>
      </c>
      <c r="ED59" s="47">
        <f t="shared" si="49"/>
        <v>0</v>
      </c>
    </row>
    <row r="60" spans="1:134" x14ac:dyDescent="0.35">
      <c r="A60" s="81">
        <v>1985</v>
      </c>
      <c r="B60" s="82" t="s">
        <v>230</v>
      </c>
      <c r="C60" s="82"/>
      <c r="D60" s="83" t="s">
        <v>32</v>
      </c>
      <c r="E60" s="87">
        <v>170000</v>
      </c>
      <c r="F60" s="85">
        <v>31229</v>
      </c>
      <c r="G60" s="185">
        <v>50</v>
      </c>
      <c r="H60" s="179"/>
      <c r="I60" s="180"/>
      <c r="J60" s="181"/>
      <c r="K60" s="42">
        <f t="shared" si="0"/>
        <v>0.02</v>
      </c>
      <c r="L60" s="43">
        <f t="shared" si="1"/>
        <v>3400</v>
      </c>
      <c r="M60" s="44">
        <f t="shared" si="2"/>
        <v>79900</v>
      </c>
      <c r="N60" s="44"/>
      <c r="O60" s="44">
        <f t="shared" si="3"/>
        <v>90100</v>
      </c>
      <c r="P60" s="45"/>
      <c r="Q60" s="44">
        <f t="shared" si="4"/>
        <v>170000</v>
      </c>
      <c r="R60" s="604">
        <f t="shared" si="50"/>
        <v>0</v>
      </c>
      <c r="S60" s="44">
        <f t="shared" si="51"/>
        <v>0</v>
      </c>
      <c r="T60" s="44">
        <f t="shared" si="52"/>
        <v>0</v>
      </c>
      <c r="U60" s="44">
        <f t="shared" si="53"/>
        <v>0</v>
      </c>
      <c r="V60" s="44">
        <f t="shared" si="54"/>
        <v>170000</v>
      </c>
      <c r="W60" s="44">
        <f t="shared" si="55"/>
        <v>170000</v>
      </c>
      <c r="X60" s="44">
        <f t="shared" si="5"/>
        <v>3400</v>
      </c>
      <c r="Y60" s="44">
        <f t="shared" si="56"/>
        <v>3400</v>
      </c>
      <c r="Z60" s="44">
        <f t="shared" si="6"/>
        <v>76500</v>
      </c>
      <c r="AA60" s="44">
        <f t="shared" si="57"/>
        <v>76500</v>
      </c>
      <c r="AB60" s="44">
        <f t="shared" si="7"/>
        <v>93500</v>
      </c>
      <c r="AC60" s="46">
        <f t="shared" si="8"/>
        <v>0</v>
      </c>
      <c r="AD60" s="47">
        <f t="shared" si="9"/>
        <v>0</v>
      </c>
      <c r="AE60" s="604">
        <f t="shared" si="58"/>
        <v>0</v>
      </c>
      <c r="AF60" s="44">
        <f t="shared" si="59"/>
        <v>0</v>
      </c>
      <c r="AG60" s="44">
        <f t="shared" si="60"/>
        <v>0</v>
      </c>
      <c r="AH60" s="44">
        <f t="shared" si="61"/>
        <v>0</v>
      </c>
      <c r="AI60" s="44">
        <f t="shared" si="62"/>
        <v>170000</v>
      </c>
      <c r="AJ60" s="44">
        <f t="shared" si="63"/>
        <v>170000</v>
      </c>
      <c r="AK60" s="44">
        <f t="shared" si="10"/>
        <v>3400</v>
      </c>
      <c r="AL60" s="44">
        <f t="shared" si="64"/>
        <v>3400</v>
      </c>
      <c r="AM60" s="44">
        <f t="shared" si="11"/>
        <v>73100</v>
      </c>
      <c r="AN60" s="44">
        <f t="shared" si="65"/>
        <v>73100</v>
      </c>
      <c r="AO60" s="44">
        <f t="shared" si="12"/>
        <v>96900</v>
      </c>
      <c r="AP60" s="46">
        <f t="shared" si="13"/>
        <v>0</v>
      </c>
      <c r="AQ60" s="47">
        <f t="shared" si="14"/>
        <v>0</v>
      </c>
      <c r="AR60" s="604">
        <f t="shared" si="66"/>
        <v>0</v>
      </c>
      <c r="AS60" s="44">
        <f t="shared" si="67"/>
        <v>0</v>
      </c>
      <c r="AT60" s="44">
        <f t="shared" si="68"/>
        <v>0</v>
      </c>
      <c r="AU60" s="44">
        <f t="shared" si="69"/>
        <v>0</v>
      </c>
      <c r="AV60" s="44">
        <f t="shared" si="70"/>
        <v>170000</v>
      </c>
      <c r="AW60" s="44">
        <f t="shared" si="71"/>
        <v>170000</v>
      </c>
      <c r="AX60" s="44">
        <f t="shared" si="15"/>
        <v>3400</v>
      </c>
      <c r="AY60" s="44">
        <f t="shared" si="72"/>
        <v>3400</v>
      </c>
      <c r="AZ60" s="44">
        <f t="shared" si="16"/>
        <v>69700</v>
      </c>
      <c r="BA60" s="44">
        <f t="shared" si="73"/>
        <v>69700</v>
      </c>
      <c r="BB60" s="44">
        <f t="shared" si="17"/>
        <v>100300</v>
      </c>
      <c r="BC60" s="46">
        <f t="shared" si="18"/>
        <v>0</v>
      </c>
      <c r="BD60" s="47">
        <f t="shared" si="19"/>
        <v>0</v>
      </c>
      <c r="BE60" s="604">
        <f t="shared" si="74"/>
        <v>0</v>
      </c>
      <c r="BF60" s="44">
        <f t="shared" si="75"/>
        <v>0</v>
      </c>
      <c r="BG60" s="44">
        <f t="shared" si="76"/>
        <v>0</v>
      </c>
      <c r="BH60" s="44">
        <f t="shared" si="77"/>
        <v>0</v>
      </c>
      <c r="BI60" s="44">
        <f t="shared" si="78"/>
        <v>170000</v>
      </c>
      <c r="BJ60" s="44">
        <f t="shared" si="79"/>
        <v>170000</v>
      </c>
      <c r="BK60" s="44">
        <f t="shared" si="20"/>
        <v>3400</v>
      </c>
      <c r="BL60" s="44">
        <f t="shared" si="80"/>
        <v>3400</v>
      </c>
      <c r="BM60" s="44">
        <f t="shared" si="21"/>
        <v>66300</v>
      </c>
      <c r="BN60" s="44">
        <f t="shared" si="81"/>
        <v>66300</v>
      </c>
      <c r="BO60" s="44">
        <f t="shared" si="22"/>
        <v>103700</v>
      </c>
      <c r="BP60" s="46">
        <f t="shared" si="23"/>
        <v>0</v>
      </c>
      <c r="BQ60" s="47">
        <f t="shared" si="24"/>
        <v>0</v>
      </c>
      <c r="BR60" s="604">
        <f t="shared" si="82"/>
        <v>0</v>
      </c>
      <c r="BS60" s="44">
        <f t="shared" si="83"/>
        <v>0</v>
      </c>
      <c r="BT60" s="44">
        <f t="shared" si="84"/>
        <v>0</v>
      </c>
      <c r="BU60" s="44">
        <f t="shared" si="85"/>
        <v>0</v>
      </c>
      <c r="BV60" s="44">
        <f t="shared" si="86"/>
        <v>170000</v>
      </c>
      <c r="BW60" s="44">
        <f t="shared" si="87"/>
        <v>170000</v>
      </c>
      <c r="BX60" s="44">
        <f t="shared" si="25"/>
        <v>3400</v>
      </c>
      <c r="BY60" s="44">
        <f t="shared" si="88"/>
        <v>3400</v>
      </c>
      <c r="BZ60" s="44">
        <f t="shared" si="26"/>
        <v>62900</v>
      </c>
      <c r="CA60" s="44">
        <f t="shared" si="89"/>
        <v>62900</v>
      </c>
      <c r="CB60" s="44">
        <f t="shared" si="27"/>
        <v>107100</v>
      </c>
      <c r="CC60" s="46">
        <f t="shared" si="28"/>
        <v>0</v>
      </c>
      <c r="CD60" s="47">
        <f t="shared" si="29"/>
        <v>0</v>
      </c>
      <c r="CE60" s="604">
        <f t="shared" si="90"/>
        <v>0</v>
      </c>
      <c r="CF60" s="44">
        <f t="shared" si="91"/>
        <v>0</v>
      </c>
      <c r="CG60" s="44">
        <f t="shared" si="92"/>
        <v>0</v>
      </c>
      <c r="CH60" s="44">
        <f t="shared" si="93"/>
        <v>0</v>
      </c>
      <c r="CI60" s="44">
        <f t="shared" si="94"/>
        <v>170000</v>
      </c>
      <c r="CJ60" s="44">
        <f t="shared" si="95"/>
        <v>170000</v>
      </c>
      <c r="CK60" s="44">
        <f t="shared" si="30"/>
        <v>3400</v>
      </c>
      <c r="CL60" s="44">
        <f t="shared" si="96"/>
        <v>3400</v>
      </c>
      <c r="CM60" s="44">
        <f t="shared" si="31"/>
        <v>59500</v>
      </c>
      <c r="CN60" s="44">
        <f t="shared" si="97"/>
        <v>59500</v>
      </c>
      <c r="CO60" s="44">
        <f t="shared" si="32"/>
        <v>110500</v>
      </c>
      <c r="CP60" s="46">
        <f t="shared" si="33"/>
        <v>0</v>
      </c>
      <c r="CQ60" s="47">
        <f t="shared" si="34"/>
        <v>0</v>
      </c>
      <c r="CR60" s="604">
        <f t="shared" si="98"/>
        <v>0</v>
      </c>
      <c r="CS60" s="44">
        <f t="shared" si="99"/>
        <v>0</v>
      </c>
      <c r="CT60" s="44">
        <f t="shared" si="100"/>
        <v>0</v>
      </c>
      <c r="CU60" s="44">
        <f t="shared" si="101"/>
        <v>0</v>
      </c>
      <c r="CV60" s="44">
        <f t="shared" si="102"/>
        <v>170000</v>
      </c>
      <c r="CW60" s="44">
        <f t="shared" si="103"/>
        <v>170000</v>
      </c>
      <c r="CX60" s="44">
        <f t="shared" si="35"/>
        <v>3400</v>
      </c>
      <c r="CY60" s="44">
        <f t="shared" si="104"/>
        <v>3400</v>
      </c>
      <c r="CZ60" s="44">
        <f t="shared" si="36"/>
        <v>56100</v>
      </c>
      <c r="DA60" s="44">
        <f t="shared" si="105"/>
        <v>56100</v>
      </c>
      <c r="DB60" s="44">
        <f t="shared" si="37"/>
        <v>113900</v>
      </c>
      <c r="DC60" s="46">
        <f t="shared" si="38"/>
        <v>0</v>
      </c>
      <c r="DD60" s="47">
        <f t="shared" si="39"/>
        <v>0</v>
      </c>
      <c r="DE60" s="604">
        <f t="shared" si="106"/>
        <v>0</v>
      </c>
      <c r="DF60" s="44">
        <f t="shared" si="107"/>
        <v>0</v>
      </c>
      <c r="DG60" s="44">
        <f t="shared" si="108"/>
        <v>0</v>
      </c>
      <c r="DH60" s="44">
        <f t="shared" si="109"/>
        <v>0</v>
      </c>
      <c r="DI60" s="44">
        <f t="shared" si="110"/>
        <v>170000</v>
      </c>
      <c r="DJ60" s="44">
        <f t="shared" si="111"/>
        <v>170000</v>
      </c>
      <c r="DK60" s="44">
        <f t="shared" si="40"/>
        <v>3400</v>
      </c>
      <c r="DL60" s="44">
        <f t="shared" si="112"/>
        <v>3400</v>
      </c>
      <c r="DM60" s="44">
        <f t="shared" si="41"/>
        <v>52700</v>
      </c>
      <c r="DN60" s="44">
        <f t="shared" si="113"/>
        <v>52700</v>
      </c>
      <c r="DO60" s="44">
        <f t="shared" si="42"/>
        <v>117300</v>
      </c>
      <c r="DP60" s="46">
        <f t="shared" si="43"/>
        <v>0</v>
      </c>
      <c r="DQ60" s="47">
        <f t="shared" si="44"/>
        <v>0</v>
      </c>
      <c r="DR60" s="604">
        <f t="shared" si="114"/>
        <v>0</v>
      </c>
      <c r="DS60" s="44">
        <f t="shared" si="115"/>
        <v>0</v>
      </c>
      <c r="DT60" s="44">
        <f t="shared" si="116"/>
        <v>0</v>
      </c>
      <c r="DU60" s="44">
        <f t="shared" si="117"/>
        <v>0</v>
      </c>
      <c r="DV60" s="44">
        <f t="shared" si="118"/>
        <v>170000</v>
      </c>
      <c r="DW60" s="44">
        <f t="shared" si="119"/>
        <v>170000</v>
      </c>
      <c r="DX60" s="44">
        <f t="shared" si="45"/>
        <v>3400</v>
      </c>
      <c r="DY60" s="44">
        <f t="shared" si="120"/>
        <v>3400</v>
      </c>
      <c r="DZ60" s="44">
        <f t="shared" si="46"/>
        <v>49300</v>
      </c>
      <c r="EA60" s="44">
        <f t="shared" si="121"/>
        <v>49300</v>
      </c>
      <c r="EB60" s="44">
        <f t="shared" si="47"/>
        <v>120700</v>
      </c>
      <c r="EC60" s="46">
        <f t="shared" si="48"/>
        <v>0</v>
      </c>
      <c r="ED60" s="47">
        <f t="shared" si="49"/>
        <v>0</v>
      </c>
    </row>
    <row r="61" spans="1:134" x14ac:dyDescent="0.35">
      <c r="A61" s="81">
        <v>1985</v>
      </c>
      <c r="B61" s="82" t="s">
        <v>231</v>
      </c>
      <c r="C61" s="82"/>
      <c r="D61" s="83" t="s">
        <v>32</v>
      </c>
      <c r="E61" s="87">
        <v>36000</v>
      </c>
      <c r="F61" s="85">
        <v>31229</v>
      </c>
      <c r="G61" s="185">
        <v>33.299999999999997</v>
      </c>
      <c r="H61" s="179"/>
      <c r="I61" s="180"/>
      <c r="J61" s="181"/>
      <c r="K61" s="42">
        <f t="shared" si="0"/>
        <v>0.03</v>
      </c>
      <c r="L61" s="43">
        <f t="shared" si="1"/>
        <v>1080</v>
      </c>
      <c r="M61" s="44">
        <f t="shared" si="2"/>
        <v>7380</v>
      </c>
      <c r="N61" s="44"/>
      <c r="O61" s="44">
        <f t="shared" si="3"/>
        <v>28620</v>
      </c>
      <c r="P61" s="45"/>
      <c r="Q61" s="44">
        <f t="shared" si="4"/>
        <v>36000</v>
      </c>
      <c r="R61" s="604">
        <f t="shared" si="50"/>
        <v>0</v>
      </c>
      <c r="S61" s="44">
        <f t="shared" si="51"/>
        <v>0</v>
      </c>
      <c r="T61" s="44">
        <f t="shared" si="52"/>
        <v>0</v>
      </c>
      <c r="U61" s="44">
        <f t="shared" si="53"/>
        <v>0</v>
      </c>
      <c r="V61" s="44">
        <f t="shared" si="54"/>
        <v>36000</v>
      </c>
      <c r="W61" s="44">
        <f t="shared" si="55"/>
        <v>36000</v>
      </c>
      <c r="X61" s="44">
        <f t="shared" si="5"/>
        <v>1080</v>
      </c>
      <c r="Y61" s="44">
        <f t="shared" si="56"/>
        <v>1080</v>
      </c>
      <c r="Z61" s="44">
        <f t="shared" si="6"/>
        <v>6300</v>
      </c>
      <c r="AA61" s="44">
        <f t="shared" si="57"/>
        <v>6300</v>
      </c>
      <c r="AB61" s="44">
        <f t="shared" si="7"/>
        <v>29700</v>
      </c>
      <c r="AC61" s="46">
        <f t="shared" si="8"/>
        <v>0</v>
      </c>
      <c r="AD61" s="47">
        <f t="shared" si="9"/>
        <v>0</v>
      </c>
      <c r="AE61" s="604">
        <f t="shared" si="58"/>
        <v>0</v>
      </c>
      <c r="AF61" s="44">
        <f t="shared" si="59"/>
        <v>0</v>
      </c>
      <c r="AG61" s="44">
        <f t="shared" si="60"/>
        <v>0</v>
      </c>
      <c r="AH61" s="44">
        <f t="shared" si="61"/>
        <v>0</v>
      </c>
      <c r="AI61" s="44">
        <f t="shared" si="62"/>
        <v>36000</v>
      </c>
      <c r="AJ61" s="44">
        <f t="shared" si="63"/>
        <v>36000</v>
      </c>
      <c r="AK61" s="44">
        <f t="shared" si="10"/>
        <v>1080</v>
      </c>
      <c r="AL61" s="44">
        <f t="shared" si="64"/>
        <v>1080</v>
      </c>
      <c r="AM61" s="44">
        <f t="shared" si="11"/>
        <v>5220</v>
      </c>
      <c r="AN61" s="44">
        <f t="shared" si="65"/>
        <v>5220</v>
      </c>
      <c r="AO61" s="44">
        <f t="shared" si="12"/>
        <v>30780</v>
      </c>
      <c r="AP61" s="46">
        <f t="shared" si="13"/>
        <v>0</v>
      </c>
      <c r="AQ61" s="47">
        <f t="shared" si="14"/>
        <v>0</v>
      </c>
      <c r="AR61" s="604">
        <f t="shared" si="66"/>
        <v>0</v>
      </c>
      <c r="AS61" s="44">
        <f t="shared" si="67"/>
        <v>0</v>
      </c>
      <c r="AT61" s="44">
        <f t="shared" si="68"/>
        <v>0</v>
      </c>
      <c r="AU61" s="44">
        <f t="shared" si="69"/>
        <v>0</v>
      </c>
      <c r="AV61" s="44">
        <f t="shared" si="70"/>
        <v>36000</v>
      </c>
      <c r="AW61" s="44">
        <f t="shared" si="71"/>
        <v>36000</v>
      </c>
      <c r="AX61" s="44">
        <f t="shared" si="15"/>
        <v>1080</v>
      </c>
      <c r="AY61" s="44">
        <f t="shared" si="72"/>
        <v>1080</v>
      </c>
      <c r="AZ61" s="44">
        <f t="shared" si="16"/>
        <v>4140</v>
      </c>
      <c r="BA61" s="44">
        <f t="shared" si="73"/>
        <v>4140</v>
      </c>
      <c r="BB61" s="44">
        <f t="shared" si="17"/>
        <v>31860</v>
      </c>
      <c r="BC61" s="46">
        <f t="shared" si="18"/>
        <v>0</v>
      </c>
      <c r="BD61" s="47">
        <f t="shared" si="19"/>
        <v>0</v>
      </c>
      <c r="BE61" s="604">
        <f t="shared" si="74"/>
        <v>0</v>
      </c>
      <c r="BF61" s="44">
        <f t="shared" si="75"/>
        <v>0</v>
      </c>
      <c r="BG61" s="44">
        <f t="shared" si="76"/>
        <v>0</v>
      </c>
      <c r="BH61" s="44">
        <f t="shared" si="77"/>
        <v>0</v>
      </c>
      <c r="BI61" s="44">
        <f t="shared" si="78"/>
        <v>36000</v>
      </c>
      <c r="BJ61" s="44">
        <f t="shared" si="79"/>
        <v>36000</v>
      </c>
      <c r="BK61" s="44">
        <f t="shared" si="20"/>
        <v>1080</v>
      </c>
      <c r="BL61" s="44">
        <f t="shared" si="80"/>
        <v>1080</v>
      </c>
      <c r="BM61" s="44">
        <f t="shared" si="21"/>
        <v>3060</v>
      </c>
      <c r="BN61" s="44">
        <f t="shared" si="81"/>
        <v>3060</v>
      </c>
      <c r="BO61" s="44">
        <f t="shared" si="22"/>
        <v>32940</v>
      </c>
      <c r="BP61" s="46">
        <f t="shared" si="23"/>
        <v>0</v>
      </c>
      <c r="BQ61" s="47">
        <f t="shared" si="24"/>
        <v>0</v>
      </c>
      <c r="BR61" s="604">
        <f t="shared" si="82"/>
        <v>0</v>
      </c>
      <c r="BS61" s="44">
        <f t="shared" si="83"/>
        <v>0</v>
      </c>
      <c r="BT61" s="44">
        <f t="shared" si="84"/>
        <v>0</v>
      </c>
      <c r="BU61" s="44">
        <f t="shared" si="85"/>
        <v>0</v>
      </c>
      <c r="BV61" s="44">
        <f t="shared" si="86"/>
        <v>36000</v>
      </c>
      <c r="BW61" s="44">
        <f t="shared" si="87"/>
        <v>36000</v>
      </c>
      <c r="BX61" s="44">
        <f t="shared" si="25"/>
        <v>1080</v>
      </c>
      <c r="BY61" s="44">
        <f t="shared" si="88"/>
        <v>1080</v>
      </c>
      <c r="BZ61" s="44">
        <f t="shared" si="26"/>
        <v>1980</v>
      </c>
      <c r="CA61" s="44">
        <f t="shared" si="89"/>
        <v>1980</v>
      </c>
      <c r="CB61" s="44">
        <f t="shared" si="27"/>
        <v>34020</v>
      </c>
      <c r="CC61" s="46">
        <f t="shared" si="28"/>
        <v>0</v>
      </c>
      <c r="CD61" s="47">
        <f t="shared" si="29"/>
        <v>0</v>
      </c>
      <c r="CE61" s="604">
        <f t="shared" si="90"/>
        <v>0</v>
      </c>
      <c r="CF61" s="44">
        <f t="shared" si="91"/>
        <v>0</v>
      </c>
      <c r="CG61" s="44">
        <f t="shared" si="92"/>
        <v>0</v>
      </c>
      <c r="CH61" s="44">
        <f t="shared" si="93"/>
        <v>0</v>
      </c>
      <c r="CI61" s="44">
        <f t="shared" si="94"/>
        <v>36000</v>
      </c>
      <c r="CJ61" s="44">
        <f t="shared" si="95"/>
        <v>36000</v>
      </c>
      <c r="CK61" s="44">
        <f t="shared" si="30"/>
        <v>1080</v>
      </c>
      <c r="CL61" s="44">
        <f t="shared" si="96"/>
        <v>1080</v>
      </c>
      <c r="CM61" s="44">
        <f t="shared" si="31"/>
        <v>900</v>
      </c>
      <c r="CN61" s="44">
        <f t="shared" si="97"/>
        <v>900</v>
      </c>
      <c r="CO61" s="44">
        <f t="shared" si="32"/>
        <v>35100</v>
      </c>
      <c r="CP61" s="46">
        <f t="shared" si="33"/>
        <v>0</v>
      </c>
      <c r="CQ61" s="47">
        <f t="shared" si="34"/>
        <v>0</v>
      </c>
      <c r="CR61" s="604">
        <f t="shared" si="98"/>
        <v>0</v>
      </c>
      <c r="CS61" s="44">
        <f t="shared" si="99"/>
        <v>0</v>
      </c>
      <c r="CT61" s="44">
        <f t="shared" si="100"/>
        <v>0</v>
      </c>
      <c r="CU61" s="44">
        <f t="shared" si="101"/>
        <v>0</v>
      </c>
      <c r="CV61" s="44">
        <f t="shared" si="102"/>
        <v>36000</v>
      </c>
      <c r="CW61" s="44">
        <f t="shared" si="103"/>
        <v>30000</v>
      </c>
      <c r="CX61" s="44">
        <f t="shared" si="35"/>
        <v>900</v>
      </c>
      <c r="CY61" s="44">
        <f t="shared" si="104"/>
        <v>900</v>
      </c>
      <c r="CZ61" s="44">
        <f t="shared" si="36"/>
        <v>0</v>
      </c>
      <c r="DA61" s="44">
        <f t="shared" si="105"/>
        <v>0</v>
      </c>
      <c r="DB61" s="44">
        <f t="shared" si="37"/>
        <v>36000</v>
      </c>
      <c r="DC61" s="46">
        <f t="shared" si="38"/>
        <v>0</v>
      </c>
      <c r="DD61" s="47">
        <f t="shared" si="39"/>
        <v>0</v>
      </c>
      <c r="DE61" s="604">
        <f t="shared" si="106"/>
        <v>0</v>
      </c>
      <c r="DF61" s="44">
        <f t="shared" si="107"/>
        <v>0</v>
      </c>
      <c r="DG61" s="44">
        <f t="shared" si="108"/>
        <v>0</v>
      </c>
      <c r="DH61" s="44">
        <f t="shared" si="109"/>
        <v>0</v>
      </c>
      <c r="DI61" s="44">
        <f t="shared" si="110"/>
        <v>36000</v>
      </c>
      <c r="DJ61" s="44">
        <f t="shared" si="111"/>
        <v>0</v>
      </c>
      <c r="DK61" s="44">
        <f t="shared" si="40"/>
        <v>0</v>
      </c>
      <c r="DL61" s="44">
        <f t="shared" si="112"/>
        <v>0</v>
      </c>
      <c r="DM61" s="44">
        <f t="shared" si="41"/>
        <v>0</v>
      </c>
      <c r="DN61" s="44">
        <f t="shared" si="113"/>
        <v>0</v>
      </c>
      <c r="DO61" s="44">
        <f t="shared" si="42"/>
        <v>36000</v>
      </c>
      <c r="DP61" s="46">
        <f t="shared" si="43"/>
        <v>0</v>
      </c>
      <c r="DQ61" s="47">
        <f t="shared" si="44"/>
        <v>0</v>
      </c>
      <c r="DR61" s="604">
        <f t="shared" si="114"/>
        <v>0</v>
      </c>
      <c r="DS61" s="44">
        <f t="shared" si="115"/>
        <v>0</v>
      </c>
      <c r="DT61" s="44">
        <f t="shared" si="116"/>
        <v>0</v>
      </c>
      <c r="DU61" s="44">
        <f t="shared" si="117"/>
        <v>0</v>
      </c>
      <c r="DV61" s="44">
        <f t="shared" si="118"/>
        <v>36000</v>
      </c>
      <c r="DW61" s="44">
        <f t="shared" si="119"/>
        <v>0</v>
      </c>
      <c r="DX61" s="44">
        <f t="shared" si="45"/>
        <v>0</v>
      </c>
      <c r="DY61" s="44">
        <f t="shared" si="120"/>
        <v>0</v>
      </c>
      <c r="DZ61" s="44">
        <f t="shared" si="46"/>
        <v>0</v>
      </c>
      <c r="EA61" s="44">
        <f t="shared" si="121"/>
        <v>0</v>
      </c>
      <c r="EB61" s="44">
        <f t="shared" si="47"/>
        <v>36000</v>
      </c>
      <c r="EC61" s="46">
        <f t="shared" si="48"/>
        <v>0</v>
      </c>
      <c r="ED61" s="47">
        <f t="shared" si="49"/>
        <v>0</v>
      </c>
    </row>
    <row r="62" spans="1:134" x14ac:dyDescent="0.35">
      <c r="A62" s="81">
        <v>1985</v>
      </c>
      <c r="B62" s="82" t="s">
        <v>232</v>
      </c>
      <c r="C62" s="82"/>
      <c r="D62" s="83" t="s">
        <v>32</v>
      </c>
      <c r="E62" s="87">
        <v>747000</v>
      </c>
      <c r="F62" s="85">
        <v>31229</v>
      </c>
      <c r="G62" s="185">
        <v>50</v>
      </c>
      <c r="H62" s="179"/>
      <c r="I62" s="180"/>
      <c r="J62" s="181"/>
      <c r="K62" s="42">
        <f t="shared" si="0"/>
        <v>0.02</v>
      </c>
      <c r="L62" s="43">
        <f t="shared" si="1"/>
        <v>14940</v>
      </c>
      <c r="M62" s="44">
        <f t="shared" si="2"/>
        <v>351090</v>
      </c>
      <c r="N62" s="44"/>
      <c r="O62" s="44">
        <f t="shared" si="3"/>
        <v>395910</v>
      </c>
      <c r="P62" s="45"/>
      <c r="Q62" s="44">
        <f t="shared" si="4"/>
        <v>747000</v>
      </c>
      <c r="R62" s="604">
        <f t="shared" si="50"/>
        <v>0</v>
      </c>
      <c r="S62" s="44">
        <f t="shared" si="51"/>
        <v>0</v>
      </c>
      <c r="T62" s="44">
        <f t="shared" si="52"/>
        <v>0</v>
      </c>
      <c r="U62" s="44">
        <f t="shared" si="53"/>
        <v>0</v>
      </c>
      <c r="V62" s="44">
        <f t="shared" si="54"/>
        <v>747000</v>
      </c>
      <c r="W62" s="44">
        <f t="shared" si="55"/>
        <v>747000</v>
      </c>
      <c r="X62" s="44">
        <f t="shared" si="5"/>
        <v>14940</v>
      </c>
      <c r="Y62" s="44">
        <f t="shared" si="56"/>
        <v>14940</v>
      </c>
      <c r="Z62" s="44">
        <f t="shared" si="6"/>
        <v>336150</v>
      </c>
      <c r="AA62" s="44">
        <f t="shared" si="57"/>
        <v>336150</v>
      </c>
      <c r="AB62" s="44">
        <f t="shared" si="7"/>
        <v>410850</v>
      </c>
      <c r="AC62" s="46">
        <f t="shared" si="8"/>
        <v>0</v>
      </c>
      <c r="AD62" s="47">
        <f t="shared" si="9"/>
        <v>0</v>
      </c>
      <c r="AE62" s="604">
        <f t="shared" si="58"/>
        <v>0</v>
      </c>
      <c r="AF62" s="44">
        <f t="shared" si="59"/>
        <v>0</v>
      </c>
      <c r="AG62" s="44">
        <f t="shared" si="60"/>
        <v>0</v>
      </c>
      <c r="AH62" s="44">
        <f t="shared" si="61"/>
        <v>0</v>
      </c>
      <c r="AI62" s="44">
        <f t="shared" si="62"/>
        <v>747000</v>
      </c>
      <c r="AJ62" s="44">
        <f t="shared" si="63"/>
        <v>747000</v>
      </c>
      <c r="AK62" s="44">
        <f t="shared" si="10"/>
        <v>14940</v>
      </c>
      <c r="AL62" s="44">
        <f t="shared" si="64"/>
        <v>14940</v>
      </c>
      <c r="AM62" s="44">
        <f t="shared" si="11"/>
        <v>321210</v>
      </c>
      <c r="AN62" s="44">
        <f t="shared" si="65"/>
        <v>321210</v>
      </c>
      <c r="AO62" s="44">
        <f t="shared" si="12"/>
        <v>425790</v>
      </c>
      <c r="AP62" s="46">
        <f t="shared" si="13"/>
        <v>0</v>
      </c>
      <c r="AQ62" s="47">
        <f t="shared" si="14"/>
        <v>0</v>
      </c>
      <c r="AR62" s="604">
        <f t="shared" si="66"/>
        <v>0</v>
      </c>
      <c r="AS62" s="44">
        <f t="shared" si="67"/>
        <v>0</v>
      </c>
      <c r="AT62" s="44">
        <f t="shared" si="68"/>
        <v>0</v>
      </c>
      <c r="AU62" s="44">
        <f t="shared" si="69"/>
        <v>0</v>
      </c>
      <c r="AV62" s="44">
        <f t="shared" si="70"/>
        <v>747000</v>
      </c>
      <c r="AW62" s="44">
        <f t="shared" si="71"/>
        <v>747000</v>
      </c>
      <c r="AX62" s="44">
        <f t="shared" si="15"/>
        <v>14940</v>
      </c>
      <c r="AY62" s="44">
        <f t="shared" si="72"/>
        <v>14940</v>
      </c>
      <c r="AZ62" s="44">
        <f t="shared" si="16"/>
        <v>306270</v>
      </c>
      <c r="BA62" s="44">
        <f t="shared" si="73"/>
        <v>306270</v>
      </c>
      <c r="BB62" s="44">
        <f t="shared" si="17"/>
        <v>440730</v>
      </c>
      <c r="BC62" s="46">
        <f t="shared" si="18"/>
        <v>0</v>
      </c>
      <c r="BD62" s="47">
        <f t="shared" si="19"/>
        <v>0</v>
      </c>
      <c r="BE62" s="604">
        <f t="shared" si="74"/>
        <v>0</v>
      </c>
      <c r="BF62" s="44">
        <f t="shared" si="75"/>
        <v>0</v>
      </c>
      <c r="BG62" s="44">
        <f t="shared" si="76"/>
        <v>0</v>
      </c>
      <c r="BH62" s="44">
        <f t="shared" si="77"/>
        <v>0</v>
      </c>
      <c r="BI62" s="44">
        <f t="shared" si="78"/>
        <v>747000</v>
      </c>
      <c r="BJ62" s="44">
        <f t="shared" si="79"/>
        <v>747000</v>
      </c>
      <c r="BK62" s="44">
        <f t="shared" si="20"/>
        <v>14940</v>
      </c>
      <c r="BL62" s="44">
        <f t="shared" si="80"/>
        <v>14940</v>
      </c>
      <c r="BM62" s="44">
        <f t="shared" si="21"/>
        <v>291330</v>
      </c>
      <c r="BN62" s="44">
        <f t="shared" si="81"/>
        <v>291330</v>
      </c>
      <c r="BO62" s="44">
        <f t="shared" si="22"/>
        <v>455670</v>
      </c>
      <c r="BP62" s="46">
        <f t="shared" si="23"/>
        <v>0</v>
      </c>
      <c r="BQ62" s="47">
        <f t="shared" si="24"/>
        <v>0</v>
      </c>
      <c r="BR62" s="604">
        <f t="shared" si="82"/>
        <v>0</v>
      </c>
      <c r="BS62" s="44">
        <f t="shared" si="83"/>
        <v>0</v>
      </c>
      <c r="BT62" s="44">
        <f t="shared" si="84"/>
        <v>0</v>
      </c>
      <c r="BU62" s="44">
        <f t="shared" si="85"/>
        <v>0</v>
      </c>
      <c r="BV62" s="44">
        <f t="shared" si="86"/>
        <v>747000</v>
      </c>
      <c r="BW62" s="44">
        <f t="shared" si="87"/>
        <v>747000</v>
      </c>
      <c r="BX62" s="44">
        <f t="shared" si="25"/>
        <v>14940</v>
      </c>
      <c r="BY62" s="44">
        <f t="shared" si="88"/>
        <v>14940</v>
      </c>
      <c r="BZ62" s="44">
        <f t="shared" si="26"/>
        <v>276390</v>
      </c>
      <c r="CA62" s="44">
        <f t="shared" si="89"/>
        <v>276390</v>
      </c>
      <c r="CB62" s="44">
        <f t="shared" si="27"/>
        <v>470610</v>
      </c>
      <c r="CC62" s="46">
        <f t="shared" si="28"/>
        <v>0</v>
      </c>
      <c r="CD62" s="47">
        <f t="shared" si="29"/>
        <v>0</v>
      </c>
      <c r="CE62" s="604">
        <f t="shared" si="90"/>
        <v>0</v>
      </c>
      <c r="CF62" s="44">
        <f t="shared" si="91"/>
        <v>0</v>
      </c>
      <c r="CG62" s="44">
        <f t="shared" si="92"/>
        <v>0</v>
      </c>
      <c r="CH62" s="44">
        <f t="shared" si="93"/>
        <v>0</v>
      </c>
      <c r="CI62" s="44">
        <f t="shared" si="94"/>
        <v>747000</v>
      </c>
      <c r="CJ62" s="44">
        <f t="shared" si="95"/>
        <v>747000</v>
      </c>
      <c r="CK62" s="44">
        <f t="shared" si="30"/>
        <v>14940</v>
      </c>
      <c r="CL62" s="44">
        <f t="shared" si="96"/>
        <v>14940</v>
      </c>
      <c r="CM62" s="44">
        <f t="shared" si="31"/>
        <v>261450</v>
      </c>
      <c r="CN62" s="44">
        <f t="shared" si="97"/>
        <v>261450</v>
      </c>
      <c r="CO62" s="44">
        <f t="shared" si="32"/>
        <v>485550</v>
      </c>
      <c r="CP62" s="46">
        <f t="shared" si="33"/>
        <v>0</v>
      </c>
      <c r="CQ62" s="47">
        <f t="shared" si="34"/>
        <v>0</v>
      </c>
      <c r="CR62" s="604">
        <f t="shared" si="98"/>
        <v>0</v>
      </c>
      <c r="CS62" s="44">
        <f t="shared" si="99"/>
        <v>0</v>
      </c>
      <c r="CT62" s="44">
        <f t="shared" si="100"/>
        <v>0</v>
      </c>
      <c r="CU62" s="44">
        <f t="shared" si="101"/>
        <v>0</v>
      </c>
      <c r="CV62" s="44">
        <f t="shared" si="102"/>
        <v>747000</v>
      </c>
      <c r="CW62" s="44">
        <f t="shared" si="103"/>
        <v>747000</v>
      </c>
      <c r="CX62" s="44">
        <f t="shared" si="35"/>
        <v>14940</v>
      </c>
      <c r="CY62" s="44">
        <f t="shared" si="104"/>
        <v>14940</v>
      </c>
      <c r="CZ62" s="44">
        <f t="shared" si="36"/>
        <v>246510</v>
      </c>
      <c r="DA62" s="44">
        <f t="shared" si="105"/>
        <v>246510</v>
      </c>
      <c r="DB62" s="44">
        <f t="shared" si="37"/>
        <v>500490</v>
      </c>
      <c r="DC62" s="46">
        <f t="shared" si="38"/>
        <v>0</v>
      </c>
      <c r="DD62" s="47">
        <f t="shared" si="39"/>
        <v>0</v>
      </c>
      <c r="DE62" s="604">
        <f t="shared" si="106"/>
        <v>0</v>
      </c>
      <c r="DF62" s="44">
        <f t="shared" si="107"/>
        <v>0</v>
      </c>
      <c r="DG62" s="44">
        <f t="shared" si="108"/>
        <v>0</v>
      </c>
      <c r="DH62" s="44">
        <f t="shared" si="109"/>
        <v>0</v>
      </c>
      <c r="DI62" s="44">
        <f t="shared" si="110"/>
        <v>747000</v>
      </c>
      <c r="DJ62" s="44">
        <f t="shared" si="111"/>
        <v>747000</v>
      </c>
      <c r="DK62" s="44">
        <f t="shared" si="40"/>
        <v>14940</v>
      </c>
      <c r="DL62" s="44">
        <f t="shared" si="112"/>
        <v>14940</v>
      </c>
      <c r="DM62" s="44">
        <f t="shared" si="41"/>
        <v>231570</v>
      </c>
      <c r="DN62" s="44">
        <f t="shared" si="113"/>
        <v>231570</v>
      </c>
      <c r="DO62" s="44">
        <f t="shared" si="42"/>
        <v>515430</v>
      </c>
      <c r="DP62" s="46">
        <f t="shared" si="43"/>
        <v>0</v>
      </c>
      <c r="DQ62" s="47">
        <f t="shared" si="44"/>
        <v>0</v>
      </c>
      <c r="DR62" s="604">
        <f t="shared" si="114"/>
        <v>0</v>
      </c>
      <c r="DS62" s="44">
        <f t="shared" si="115"/>
        <v>0</v>
      </c>
      <c r="DT62" s="44">
        <f t="shared" si="116"/>
        <v>0</v>
      </c>
      <c r="DU62" s="44">
        <f t="shared" si="117"/>
        <v>0</v>
      </c>
      <c r="DV62" s="44">
        <f t="shared" si="118"/>
        <v>747000</v>
      </c>
      <c r="DW62" s="44">
        <f t="shared" si="119"/>
        <v>747000</v>
      </c>
      <c r="DX62" s="44">
        <f t="shared" si="45"/>
        <v>14940</v>
      </c>
      <c r="DY62" s="44">
        <f t="shared" si="120"/>
        <v>14940</v>
      </c>
      <c r="DZ62" s="44">
        <f t="shared" si="46"/>
        <v>216630</v>
      </c>
      <c r="EA62" s="44">
        <f t="shared" si="121"/>
        <v>216630</v>
      </c>
      <c r="EB62" s="44">
        <f t="shared" si="47"/>
        <v>530370</v>
      </c>
      <c r="EC62" s="46">
        <f t="shared" si="48"/>
        <v>0</v>
      </c>
      <c r="ED62" s="47">
        <f t="shared" si="49"/>
        <v>0</v>
      </c>
    </row>
    <row r="63" spans="1:134" x14ac:dyDescent="0.35">
      <c r="A63" s="81">
        <v>1985</v>
      </c>
      <c r="B63" s="82" t="s">
        <v>233</v>
      </c>
      <c r="C63" s="82"/>
      <c r="D63" s="83" t="s">
        <v>32</v>
      </c>
      <c r="E63" s="87">
        <v>5000</v>
      </c>
      <c r="F63" s="85">
        <v>31229</v>
      </c>
      <c r="G63" s="185">
        <v>10</v>
      </c>
      <c r="H63" s="179"/>
      <c r="I63" s="180"/>
      <c r="J63" s="181"/>
      <c r="K63" s="42">
        <f t="shared" si="0"/>
        <v>0.1</v>
      </c>
      <c r="L63" s="43">
        <f t="shared" si="1"/>
        <v>500</v>
      </c>
      <c r="M63" s="44">
        <f t="shared" si="2"/>
        <v>0</v>
      </c>
      <c r="N63" s="44"/>
      <c r="O63" s="44">
        <f t="shared" si="3"/>
        <v>5000</v>
      </c>
      <c r="P63" s="45"/>
      <c r="Q63" s="44">
        <f t="shared" si="4"/>
        <v>5000</v>
      </c>
      <c r="R63" s="604">
        <f t="shared" si="50"/>
        <v>0</v>
      </c>
      <c r="S63" s="44">
        <f t="shared" si="51"/>
        <v>0</v>
      </c>
      <c r="T63" s="44">
        <f t="shared" si="52"/>
        <v>0</v>
      </c>
      <c r="U63" s="44">
        <f t="shared" si="53"/>
        <v>0</v>
      </c>
      <c r="V63" s="44">
        <f t="shared" si="54"/>
        <v>5000</v>
      </c>
      <c r="W63" s="44">
        <f t="shared" si="55"/>
        <v>0</v>
      </c>
      <c r="X63" s="44">
        <f t="shared" si="5"/>
        <v>0</v>
      </c>
      <c r="Y63" s="44">
        <f t="shared" si="56"/>
        <v>0</v>
      </c>
      <c r="Z63" s="44">
        <f t="shared" si="6"/>
        <v>0</v>
      </c>
      <c r="AA63" s="44">
        <f t="shared" si="57"/>
        <v>0</v>
      </c>
      <c r="AB63" s="44">
        <f t="shared" si="7"/>
        <v>5000</v>
      </c>
      <c r="AC63" s="46">
        <f t="shared" si="8"/>
        <v>0</v>
      </c>
      <c r="AD63" s="47">
        <f t="shared" si="9"/>
        <v>0</v>
      </c>
      <c r="AE63" s="604">
        <f t="shared" si="58"/>
        <v>0</v>
      </c>
      <c r="AF63" s="44">
        <f t="shared" si="59"/>
        <v>0</v>
      </c>
      <c r="AG63" s="44">
        <f t="shared" si="60"/>
        <v>0</v>
      </c>
      <c r="AH63" s="44">
        <f t="shared" si="61"/>
        <v>0</v>
      </c>
      <c r="AI63" s="44">
        <f t="shared" si="62"/>
        <v>5000</v>
      </c>
      <c r="AJ63" s="44">
        <f t="shared" si="63"/>
        <v>0</v>
      </c>
      <c r="AK63" s="44">
        <f t="shared" si="10"/>
        <v>0</v>
      </c>
      <c r="AL63" s="44">
        <f t="shared" si="64"/>
        <v>0</v>
      </c>
      <c r="AM63" s="44">
        <f t="shared" si="11"/>
        <v>0</v>
      </c>
      <c r="AN63" s="44">
        <f t="shared" si="65"/>
        <v>0</v>
      </c>
      <c r="AO63" s="44">
        <f t="shared" si="12"/>
        <v>5000</v>
      </c>
      <c r="AP63" s="46">
        <f t="shared" si="13"/>
        <v>0</v>
      </c>
      <c r="AQ63" s="47">
        <f t="shared" si="14"/>
        <v>0</v>
      </c>
      <c r="AR63" s="604">
        <f t="shared" si="66"/>
        <v>0</v>
      </c>
      <c r="AS63" s="44">
        <f t="shared" si="67"/>
        <v>0</v>
      </c>
      <c r="AT63" s="44">
        <f t="shared" si="68"/>
        <v>0</v>
      </c>
      <c r="AU63" s="44">
        <f t="shared" si="69"/>
        <v>0</v>
      </c>
      <c r="AV63" s="44">
        <f t="shared" si="70"/>
        <v>5000</v>
      </c>
      <c r="AW63" s="44">
        <f t="shared" si="71"/>
        <v>0</v>
      </c>
      <c r="AX63" s="44">
        <f t="shared" si="15"/>
        <v>0</v>
      </c>
      <c r="AY63" s="44">
        <f t="shared" si="72"/>
        <v>0</v>
      </c>
      <c r="AZ63" s="44">
        <f t="shared" si="16"/>
        <v>0</v>
      </c>
      <c r="BA63" s="44">
        <f t="shared" si="73"/>
        <v>0</v>
      </c>
      <c r="BB63" s="44">
        <f t="shared" si="17"/>
        <v>5000</v>
      </c>
      <c r="BC63" s="46">
        <f t="shared" si="18"/>
        <v>0</v>
      </c>
      <c r="BD63" s="47">
        <f t="shared" si="19"/>
        <v>0</v>
      </c>
      <c r="BE63" s="604">
        <f t="shared" si="74"/>
        <v>0</v>
      </c>
      <c r="BF63" s="44">
        <f t="shared" si="75"/>
        <v>0</v>
      </c>
      <c r="BG63" s="44">
        <f t="shared" si="76"/>
        <v>0</v>
      </c>
      <c r="BH63" s="44">
        <f t="shared" si="77"/>
        <v>0</v>
      </c>
      <c r="BI63" s="44">
        <f t="shared" si="78"/>
        <v>5000</v>
      </c>
      <c r="BJ63" s="44">
        <f t="shared" si="79"/>
        <v>0</v>
      </c>
      <c r="BK63" s="44">
        <f t="shared" si="20"/>
        <v>0</v>
      </c>
      <c r="BL63" s="44">
        <f t="shared" si="80"/>
        <v>0</v>
      </c>
      <c r="BM63" s="44">
        <f t="shared" si="21"/>
        <v>0</v>
      </c>
      <c r="BN63" s="44">
        <f t="shared" si="81"/>
        <v>0</v>
      </c>
      <c r="BO63" s="44">
        <f t="shared" si="22"/>
        <v>5000</v>
      </c>
      <c r="BP63" s="46">
        <f t="shared" si="23"/>
        <v>0</v>
      </c>
      <c r="BQ63" s="47">
        <f t="shared" si="24"/>
        <v>0</v>
      </c>
      <c r="BR63" s="604">
        <f t="shared" si="82"/>
        <v>0</v>
      </c>
      <c r="BS63" s="44">
        <f t="shared" si="83"/>
        <v>0</v>
      </c>
      <c r="BT63" s="44">
        <f t="shared" si="84"/>
        <v>0</v>
      </c>
      <c r="BU63" s="44">
        <f t="shared" si="85"/>
        <v>0</v>
      </c>
      <c r="BV63" s="44">
        <f t="shared" si="86"/>
        <v>5000</v>
      </c>
      <c r="BW63" s="44">
        <f t="shared" si="87"/>
        <v>0</v>
      </c>
      <c r="BX63" s="44">
        <f t="shared" si="25"/>
        <v>0</v>
      </c>
      <c r="BY63" s="44">
        <f t="shared" si="88"/>
        <v>0</v>
      </c>
      <c r="BZ63" s="44">
        <f t="shared" si="26"/>
        <v>0</v>
      </c>
      <c r="CA63" s="44">
        <f t="shared" si="89"/>
        <v>0</v>
      </c>
      <c r="CB63" s="44">
        <f t="shared" si="27"/>
        <v>5000</v>
      </c>
      <c r="CC63" s="46">
        <f t="shared" si="28"/>
        <v>0</v>
      </c>
      <c r="CD63" s="47">
        <f t="shared" si="29"/>
        <v>0</v>
      </c>
      <c r="CE63" s="604">
        <f t="shared" si="90"/>
        <v>0</v>
      </c>
      <c r="CF63" s="44">
        <f t="shared" si="91"/>
        <v>0</v>
      </c>
      <c r="CG63" s="44">
        <f t="shared" si="92"/>
        <v>0</v>
      </c>
      <c r="CH63" s="44">
        <f t="shared" si="93"/>
        <v>0</v>
      </c>
      <c r="CI63" s="44">
        <f t="shared" si="94"/>
        <v>5000</v>
      </c>
      <c r="CJ63" s="44">
        <f t="shared" si="95"/>
        <v>0</v>
      </c>
      <c r="CK63" s="44">
        <f t="shared" si="30"/>
        <v>0</v>
      </c>
      <c r="CL63" s="44">
        <f t="shared" si="96"/>
        <v>0</v>
      </c>
      <c r="CM63" s="44">
        <f t="shared" si="31"/>
        <v>0</v>
      </c>
      <c r="CN63" s="44">
        <f t="shared" si="97"/>
        <v>0</v>
      </c>
      <c r="CO63" s="44">
        <f t="shared" si="32"/>
        <v>5000</v>
      </c>
      <c r="CP63" s="46">
        <f t="shared" si="33"/>
        <v>0</v>
      </c>
      <c r="CQ63" s="47">
        <f t="shared" si="34"/>
        <v>0</v>
      </c>
      <c r="CR63" s="604">
        <f t="shared" si="98"/>
        <v>0</v>
      </c>
      <c r="CS63" s="44">
        <f t="shared" si="99"/>
        <v>0</v>
      </c>
      <c r="CT63" s="44">
        <f t="shared" si="100"/>
        <v>0</v>
      </c>
      <c r="CU63" s="44">
        <f t="shared" si="101"/>
        <v>0</v>
      </c>
      <c r="CV63" s="44">
        <f t="shared" si="102"/>
        <v>5000</v>
      </c>
      <c r="CW63" s="44">
        <f t="shared" si="103"/>
        <v>0</v>
      </c>
      <c r="CX63" s="44">
        <f t="shared" si="35"/>
        <v>0</v>
      </c>
      <c r="CY63" s="44">
        <f t="shared" si="104"/>
        <v>0</v>
      </c>
      <c r="CZ63" s="44">
        <f t="shared" si="36"/>
        <v>0</v>
      </c>
      <c r="DA63" s="44">
        <f t="shared" si="105"/>
        <v>0</v>
      </c>
      <c r="DB63" s="44">
        <f t="shared" si="37"/>
        <v>5000</v>
      </c>
      <c r="DC63" s="46">
        <f t="shared" si="38"/>
        <v>0</v>
      </c>
      <c r="DD63" s="47">
        <f t="shared" si="39"/>
        <v>0</v>
      </c>
      <c r="DE63" s="604">
        <f t="shared" si="106"/>
        <v>0</v>
      </c>
      <c r="DF63" s="44">
        <f t="shared" si="107"/>
        <v>0</v>
      </c>
      <c r="DG63" s="44">
        <f t="shared" si="108"/>
        <v>0</v>
      </c>
      <c r="DH63" s="44">
        <f t="shared" si="109"/>
        <v>0</v>
      </c>
      <c r="DI63" s="44">
        <f t="shared" si="110"/>
        <v>5000</v>
      </c>
      <c r="DJ63" s="44">
        <f t="shared" si="111"/>
        <v>0</v>
      </c>
      <c r="DK63" s="44">
        <f t="shared" si="40"/>
        <v>0</v>
      </c>
      <c r="DL63" s="44">
        <f t="shared" si="112"/>
        <v>0</v>
      </c>
      <c r="DM63" s="44">
        <f t="shared" si="41"/>
        <v>0</v>
      </c>
      <c r="DN63" s="44">
        <f t="shared" si="113"/>
        <v>0</v>
      </c>
      <c r="DO63" s="44">
        <f t="shared" si="42"/>
        <v>5000</v>
      </c>
      <c r="DP63" s="46">
        <f t="shared" si="43"/>
        <v>0</v>
      </c>
      <c r="DQ63" s="47">
        <f t="shared" si="44"/>
        <v>0</v>
      </c>
      <c r="DR63" s="604">
        <f t="shared" si="114"/>
        <v>0</v>
      </c>
      <c r="DS63" s="44">
        <f t="shared" si="115"/>
        <v>0</v>
      </c>
      <c r="DT63" s="44">
        <f t="shared" si="116"/>
        <v>0</v>
      </c>
      <c r="DU63" s="44">
        <f t="shared" si="117"/>
        <v>0</v>
      </c>
      <c r="DV63" s="44">
        <f t="shared" si="118"/>
        <v>5000</v>
      </c>
      <c r="DW63" s="44">
        <f t="shared" si="119"/>
        <v>0</v>
      </c>
      <c r="DX63" s="44">
        <f t="shared" si="45"/>
        <v>0</v>
      </c>
      <c r="DY63" s="44">
        <f t="shared" si="120"/>
        <v>0</v>
      </c>
      <c r="DZ63" s="44">
        <f t="shared" si="46"/>
        <v>0</v>
      </c>
      <c r="EA63" s="44">
        <f t="shared" si="121"/>
        <v>0</v>
      </c>
      <c r="EB63" s="44">
        <f t="shared" si="47"/>
        <v>5000</v>
      </c>
      <c r="EC63" s="46">
        <f t="shared" si="48"/>
        <v>0</v>
      </c>
      <c r="ED63" s="47">
        <f t="shared" si="49"/>
        <v>0</v>
      </c>
    </row>
    <row r="64" spans="1:134" x14ac:dyDescent="0.35">
      <c r="A64" s="81">
        <v>1985</v>
      </c>
      <c r="B64" s="82" t="s">
        <v>234</v>
      </c>
      <c r="C64" s="82"/>
      <c r="D64" s="83" t="s">
        <v>32</v>
      </c>
      <c r="E64" s="87">
        <v>1000</v>
      </c>
      <c r="F64" s="85">
        <v>31229</v>
      </c>
      <c r="G64" s="185">
        <v>10</v>
      </c>
      <c r="H64" s="179"/>
      <c r="I64" s="180"/>
      <c r="J64" s="181"/>
      <c r="K64" s="42">
        <f t="shared" si="0"/>
        <v>0.1</v>
      </c>
      <c r="L64" s="43">
        <f t="shared" si="1"/>
        <v>100</v>
      </c>
      <c r="M64" s="44">
        <f t="shared" si="2"/>
        <v>0</v>
      </c>
      <c r="N64" s="44"/>
      <c r="O64" s="44">
        <f t="shared" si="3"/>
        <v>1000</v>
      </c>
      <c r="P64" s="45"/>
      <c r="Q64" s="44">
        <f t="shared" si="4"/>
        <v>1000</v>
      </c>
      <c r="R64" s="604">
        <f t="shared" si="50"/>
        <v>0</v>
      </c>
      <c r="S64" s="44">
        <f t="shared" si="51"/>
        <v>0</v>
      </c>
      <c r="T64" s="44">
        <f t="shared" si="52"/>
        <v>0</v>
      </c>
      <c r="U64" s="44">
        <f t="shared" si="53"/>
        <v>0</v>
      </c>
      <c r="V64" s="44">
        <f t="shared" si="54"/>
        <v>1000</v>
      </c>
      <c r="W64" s="44">
        <f t="shared" si="55"/>
        <v>0</v>
      </c>
      <c r="X64" s="44">
        <f t="shared" si="5"/>
        <v>0</v>
      </c>
      <c r="Y64" s="44">
        <f t="shared" si="56"/>
        <v>0</v>
      </c>
      <c r="Z64" s="44">
        <f t="shared" si="6"/>
        <v>0</v>
      </c>
      <c r="AA64" s="44">
        <f t="shared" si="57"/>
        <v>0</v>
      </c>
      <c r="AB64" s="44">
        <f t="shared" si="7"/>
        <v>1000</v>
      </c>
      <c r="AC64" s="46">
        <f t="shared" si="8"/>
        <v>0</v>
      </c>
      <c r="AD64" s="47">
        <f t="shared" si="9"/>
        <v>0</v>
      </c>
      <c r="AE64" s="604">
        <f t="shared" si="58"/>
        <v>0</v>
      </c>
      <c r="AF64" s="44">
        <f t="shared" si="59"/>
        <v>0</v>
      </c>
      <c r="AG64" s="44">
        <f t="shared" si="60"/>
        <v>0</v>
      </c>
      <c r="AH64" s="44">
        <f t="shared" si="61"/>
        <v>0</v>
      </c>
      <c r="AI64" s="44">
        <f t="shared" si="62"/>
        <v>1000</v>
      </c>
      <c r="AJ64" s="44">
        <f t="shared" si="63"/>
        <v>0</v>
      </c>
      <c r="AK64" s="44">
        <f t="shared" si="10"/>
        <v>0</v>
      </c>
      <c r="AL64" s="44">
        <f t="shared" si="64"/>
        <v>0</v>
      </c>
      <c r="AM64" s="44">
        <f t="shared" si="11"/>
        <v>0</v>
      </c>
      <c r="AN64" s="44">
        <f t="shared" si="65"/>
        <v>0</v>
      </c>
      <c r="AO64" s="44">
        <f t="shared" si="12"/>
        <v>1000</v>
      </c>
      <c r="AP64" s="46">
        <f t="shared" si="13"/>
        <v>0</v>
      </c>
      <c r="AQ64" s="47">
        <f t="shared" si="14"/>
        <v>0</v>
      </c>
      <c r="AR64" s="604">
        <f t="shared" si="66"/>
        <v>0</v>
      </c>
      <c r="AS64" s="44">
        <f t="shared" si="67"/>
        <v>0</v>
      </c>
      <c r="AT64" s="44">
        <f t="shared" si="68"/>
        <v>0</v>
      </c>
      <c r="AU64" s="44">
        <f t="shared" si="69"/>
        <v>0</v>
      </c>
      <c r="AV64" s="44">
        <f t="shared" si="70"/>
        <v>1000</v>
      </c>
      <c r="AW64" s="44">
        <f t="shared" si="71"/>
        <v>0</v>
      </c>
      <c r="AX64" s="44">
        <f t="shared" si="15"/>
        <v>0</v>
      </c>
      <c r="AY64" s="44">
        <f t="shared" si="72"/>
        <v>0</v>
      </c>
      <c r="AZ64" s="44">
        <f t="shared" si="16"/>
        <v>0</v>
      </c>
      <c r="BA64" s="44">
        <f t="shared" si="73"/>
        <v>0</v>
      </c>
      <c r="BB64" s="44">
        <f t="shared" si="17"/>
        <v>1000</v>
      </c>
      <c r="BC64" s="46">
        <f t="shared" si="18"/>
        <v>0</v>
      </c>
      <c r="BD64" s="47">
        <f t="shared" si="19"/>
        <v>0</v>
      </c>
      <c r="BE64" s="604">
        <f t="shared" si="74"/>
        <v>0</v>
      </c>
      <c r="BF64" s="44">
        <f t="shared" si="75"/>
        <v>0</v>
      </c>
      <c r="BG64" s="44">
        <f t="shared" si="76"/>
        <v>0</v>
      </c>
      <c r="BH64" s="44">
        <f t="shared" si="77"/>
        <v>0</v>
      </c>
      <c r="BI64" s="44">
        <f t="shared" si="78"/>
        <v>1000</v>
      </c>
      <c r="BJ64" s="44">
        <f t="shared" si="79"/>
        <v>0</v>
      </c>
      <c r="BK64" s="44">
        <f t="shared" si="20"/>
        <v>0</v>
      </c>
      <c r="BL64" s="44">
        <f t="shared" si="80"/>
        <v>0</v>
      </c>
      <c r="BM64" s="44">
        <f t="shared" si="21"/>
        <v>0</v>
      </c>
      <c r="BN64" s="44">
        <f t="shared" si="81"/>
        <v>0</v>
      </c>
      <c r="BO64" s="44">
        <f t="shared" si="22"/>
        <v>1000</v>
      </c>
      <c r="BP64" s="46">
        <f t="shared" si="23"/>
        <v>0</v>
      </c>
      <c r="BQ64" s="47">
        <f t="shared" si="24"/>
        <v>0</v>
      </c>
      <c r="BR64" s="604">
        <f t="shared" si="82"/>
        <v>0</v>
      </c>
      <c r="BS64" s="44">
        <f t="shared" si="83"/>
        <v>0</v>
      </c>
      <c r="BT64" s="44">
        <f t="shared" si="84"/>
        <v>0</v>
      </c>
      <c r="BU64" s="44">
        <f t="shared" si="85"/>
        <v>0</v>
      </c>
      <c r="BV64" s="44">
        <f t="shared" si="86"/>
        <v>1000</v>
      </c>
      <c r="BW64" s="44">
        <f t="shared" si="87"/>
        <v>0</v>
      </c>
      <c r="BX64" s="44">
        <f t="shared" si="25"/>
        <v>0</v>
      </c>
      <c r="BY64" s="44">
        <f t="shared" si="88"/>
        <v>0</v>
      </c>
      <c r="BZ64" s="44">
        <f t="shared" si="26"/>
        <v>0</v>
      </c>
      <c r="CA64" s="44">
        <f t="shared" si="89"/>
        <v>0</v>
      </c>
      <c r="CB64" s="44">
        <f t="shared" si="27"/>
        <v>1000</v>
      </c>
      <c r="CC64" s="46">
        <f t="shared" si="28"/>
        <v>0</v>
      </c>
      <c r="CD64" s="47">
        <f t="shared" si="29"/>
        <v>0</v>
      </c>
      <c r="CE64" s="604">
        <f t="shared" si="90"/>
        <v>0</v>
      </c>
      <c r="CF64" s="44">
        <f t="shared" si="91"/>
        <v>0</v>
      </c>
      <c r="CG64" s="44">
        <f t="shared" si="92"/>
        <v>0</v>
      </c>
      <c r="CH64" s="44">
        <f t="shared" si="93"/>
        <v>0</v>
      </c>
      <c r="CI64" s="44">
        <f t="shared" si="94"/>
        <v>1000</v>
      </c>
      <c r="CJ64" s="44">
        <f t="shared" si="95"/>
        <v>0</v>
      </c>
      <c r="CK64" s="44">
        <f t="shared" si="30"/>
        <v>0</v>
      </c>
      <c r="CL64" s="44">
        <f t="shared" si="96"/>
        <v>0</v>
      </c>
      <c r="CM64" s="44">
        <f t="shared" si="31"/>
        <v>0</v>
      </c>
      <c r="CN64" s="44">
        <f t="shared" si="97"/>
        <v>0</v>
      </c>
      <c r="CO64" s="44">
        <f t="shared" si="32"/>
        <v>1000</v>
      </c>
      <c r="CP64" s="46">
        <f t="shared" si="33"/>
        <v>0</v>
      </c>
      <c r="CQ64" s="47">
        <f t="shared" si="34"/>
        <v>0</v>
      </c>
      <c r="CR64" s="604">
        <f t="shared" si="98"/>
        <v>0</v>
      </c>
      <c r="CS64" s="44">
        <f t="shared" si="99"/>
        <v>0</v>
      </c>
      <c r="CT64" s="44">
        <f t="shared" si="100"/>
        <v>0</v>
      </c>
      <c r="CU64" s="44">
        <f t="shared" si="101"/>
        <v>0</v>
      </c>
      <c r="CV64" s="44">
        <f t="shared" si="102"/>
        <v>1000</v>
      </c>
      <c r="CW64" s="44">
        <f t="shared" si="103"/>
        <v>0</v>
      </c>
      <c r="CX64" s="44">
        <f t="shared" si="35"/>
        <v>0</v>
      </c>
      <c r="CY64" s="44">
        <f t="shared" si="104"/>
        <v>0</v>
      </c>
      <c r="CZ64" s="44">
        <f t="shared" si="36"/>
        <v>0</v>
      </c>
      <c r="DA64" s="44">
        <f t="shared" si="105"/>
        <v>0</v>
      </c>
      <c r="DB64" s="44">
        <f t="shared" si="37"/>
        <v>1000</v>
      </c>
      <c r="DC64" s="46">
        <f t="shared" si="38"/>
        <v>0</v>
      </c>
      <c r="DD64" s="47">
        <f t="shared" si="39"/>
        <v>0</v>
      </c>
      <c r="DE64" s="604">
        <f t="shared" si="106"/>
        <v>0</v>
      </c>
      <c r="DF64" s="44">
        <f t="shared" si="107"/>
        <v>0</v>
      </c>
      <c r="DG64" s="44">
        <f t="shared" si="108"/>
        <v>0</v>
      </c>
      <c r="DH64" s="44">
        <f t="shared" si="109"/>
        <v>0</v>
      </c>
      <c r="DI64" s="44">
        <f t="shared" si="110"/>
        <v>1000</v>
      </c>
      <c r="DJ64" s="44">
        <f t="shared" si="111"/>
        <v>0</v>
      </c>
      <c r="DK64" s="44">
        <f t="shared" si="40"/>
        <v>0</v>
      </c>
      <c r="DL64" s="44">
        <f t="shared" si="112"/>
        <v>0</v>
      </c>
      <c r="DM64" s="44">
        <f t="shared" si="41"/>
        <v>0</v>
      </c>
      <c r="DN64" s="44">
        <f t="shared" si="113"/>
        <v>0</v>
      </c>
      <c r="DO64" s="44">
        <f t="shared" si="42"/>
        <v>1000</v>
      </c>
      <c r="DP64" s="46">
        <f t="shared" si="43"/>
        <v>0</v>
      </c>
      <c r="DQ64" s="47">
        <f t="shared" si="44"/>
        <v>0</v>
      </c>
      <c r="DR64" s="604">
        <f t="shared" si="114"/>
        <v>0</v>
      </c>
      <c r="DS64" s="44">
        <f t="shared" si="115"/>
        <v>0</v>
      </c>
      <c r="DT64" s="44">
        <f t="shared" si="116"/>
        <v>0</v>
      </c>
      <c r="DU64" s="44">
        <f t="shared" si="117"/>
        <v>0</v>
      </c>
      <c r="DV64" s="44">
        <f t="shared" si="118"/>
        <v>1000</v>
      </c>
      <c r="DW64" s="44">
        <f t="shared" si="119"/>
        <v>0</v>
      </c>
      <c r="DX64" s="44">
        <f t="shared" si="45"/>
        <v>0</v>
      </c>
      <c r="DY64" s="44">
        <f t="shared" si="120"/>
        <v>0</v>
      </c>
      <c r="DZ64" s="44">
        <f t="shared" si="46"/>
        <v>0</v>
      </c>
      <c r="EA64" s="44">
        <f t="shared" si="121"/>
        <v>0</v>
      </c>
      <c r="EB64" s="44">
        <f t="shared" si="47"/>
        <v>1000</v>
      </c>
      <c r="EC64" s="46">
        <f t="shared" si="48"/>
        <v>0</v>
      </c>
      <c r="ED64" s="47">
        <f t="shared" si="49"/>
        <v>0</v>
      </c>
    </row>
    <row r="65" spans="1:134" x14ac:dyDescent="0.35">
      <c r="A65" s="81">
        <v>1985</v>
      </c>
      <c r="B65" s="82" t="s">
        <v>235</v>
      </c>
      <c r="C65" s="82"/>
      <c r="D65" s="83" t="s">
        <v>32</v>
      </c>
      <c r="E65" s="87">
        <v>250000</v>
      </c>
      <c r="F65" s="85">
        <v>35977</v>
      </c>
      <c r="G65" s="185">
        <v>12.5</v>
      </c>
      <c r="H65" s="179"/>
      <c r="I65" s="180"/>
      <c r="J65" s="181"/>
      <c r="K65" s="42">
        <f t="shared" si="0"/>
        <v>0.08</v>
      </c>
      <c r="L65" s="43">
        <f t="shared" si="1"/>
        <v>20000</v>
      </c>
      <c r="M65" s="44">
        <f t="shared" si="2"/>
        <v>0</v>
      </c>
      <c r="N65" s="44"/>
      <c r="O65" s="44">
        <f t="shared" si="3"/>
        <v>250000</v>
      </c>
      <c r="P65" s="45"/>
      <c r="Q65" s="44">
        <f t="shared" si="4"/>
        <v>250000</v>
      </c>
      <c r="R65" s="604">
        <f t="shared" si="50"/>
        <v>0</v>
      </c>
      <c r="S65" s="44">
        <f t="shared" si="51"/>
        <v>0</v>
      </c>
      <c r="T65" s="44">
        <f t="shared" si="52"/>
        <v>0</v>
      </c>
      <c r="U65" s="44">
        <f t="shared" si="53"/>
        <v>0</v>
      </c>
      <c r="V65" s="44">
        <f t="shared" si="54"/>
        <v>250000</v>
      </c>
      <c r="W65" s="44">
        <f t="shared" si="55"/>
        <v>0</v>
      </c>
      <c r="X65" s="44">
        <f t="shared" si="5"/>
        <v>0</v>
      </c>
      <c r="Y65" s="44">
        <f t="shared" si="56"/>
        <v>0</v>
      </c>
      <c r="Z65" s="44">
        <f t="shared" si="6"/>
        <v>0</v>
      </c>
      <c r="AA65" s="44">
        <f t="shared" si="57"/>
        <v>0</v>
      </c>
      <c r="AB65" s="44">
        <f t="shared" si="7"/>
        <v>250000</v>
      </c>
      <c r="AC65" s="46">
        <f t="shared" si="8"/>
        <v>0</v>
      </c>
      <c r="AD65" s="47">
        <f t="shared" si="9"/>
        <v>0</v>
      </c>
      <c r="AE65" s="604">
        <f t="shared" si="58"/>
        <v>0</v>
      </c>
      <c r="AF65" s="44">
        <f t="shared" si="59"/>
        <v>0</v>
      </c>
      <c r="AG65" s="44">
        <f t="shared" si="60"/>
        <v>0</v>
      </c>
      <c r="AH65" s="44">
        <f t="shared" si="61"/>
        <v>0</v>
      </c>
      <c r="AI65" s="44">
        <f t="shared" si="62"/>
        <v>250000</v>
      </c>
      <c r="AJ65" s="44">
        <f t="shared" si="63"/>
        <v>0</v>
      </c>
      <c r="AK65" s="44">
        <f t="shared" si="10"/>
        <v>0</v>
      </c>
      <c r="AL65" s="44">
        <f t="shared" si="64"/>
        <v>0</v>
      </c>
      <c r="AM65" s="44">
        <f t="shared" si="11"/>
        <v>0</v>
      </c>
      <c r="AN65" s="44">
        <f t="shared" si="65"/>
        <v>0</v>
      </c>
      <c r="AO65" s="44">
        <f t="shared" si="12"/>
        <v>250000</v>
      </c>
      <c r="AP65" s="46">
        <f t="shared" si="13"/>
        <v>0</v>
      </c>
      <c r="AQ65" s="47">
        <f t="shared" si="14"/>
        <v>0</v>
      </c>
      <c r="AR65" s="604">
        <f t="shared" si="66"/>
        <v>0</v>
      </c>
      <c r="AS65" s="44">
        <f t="shared" si="67"/>
        <v>0</v>
      </c>
      <c r="AT65" s="44">
        <f t="shared" si="68"/>
        <v>0</v>
      </c>
      <c r="AU65" s="44">
        <f t="shared" si="69"/>
        <v>0</v>
      </c>
      <c r="AV65" s="44">
        <f t="shared" si="70"/>
        <v>250000</v>
      </c>
      <c r="AW65" s="44">
        <f t="shared" si="71"/>
        <v>0</v>
      </c>
      <c r="AX65" s="44">
        <f t="shared" si="15"/>
        <v>0</v>
      </c>
      <c r="AY65" s="44">
        <f t="shared" si="72"/>
        <v>0</v>
      </c>
      <c r="AZ65" s="44">
        <f t="shared" si="16"/>
        <v>0</v>
      </c>
      <c r="BA65" s="44">
        <f t="shared" si="73"/>
        <v>0</v>
      </c>
      <c r="BB65" s="44">
        <f t="shared" si="17"/>
        <v>250000</v>
      </c>
      <c r="BC65" s="46">
        <f t="shared" si="18"/>
        <v>0</v>
      </c>
      <c r="BD65" s="47">
        <f t="shared" si="19"/>
        <v>0</v>
      </c>
      <c r="BE65" s="604">
        <f t="shared" si="74"/>
        <v>0</v>
      </c>
      <c r="BF65" s="44">
        <f t="shared" si="75"/>
        <v>0</v>
      </c>
      <c r="BG65" s="44">
        <f t="shared" si="76"/>
        <v>0</v>
      </c>
      <c r="BH65" s="44">
        <f t="shared" si="77"/>
        <v>0</v>
      </c>
      <c r="BI65" s="44">
        <f t="shared" si="78"/>
        <v>250000</v>
      </c>
      <c r="BJ65" s="44">
        <f t="shared" si="79"/>
        <v>0</v>
      </c>
      <c r="BK65" s="44">
        <f t="shared" si="20"/>
        <v>0</v>
      </c>
      <c r="BL65" s="44">
        <f t="shared" si="80"/>
        <v>0</v>
      </c>
      <c r="BM65" s="44">
        <f t="shared" si="21"/>
        <v>0</v>
      </c>
      <c r="BN65" s="44">
        <f t="shared" si="81"/>
        <v>0</v>
      </c>
      <c r="BO65" s="44">
        <f t="shared" si="22"/>
        <v>250000</v>
      </c>
      <c r="BP65" s="46">
        <f t="shared" si="23"/>
        <v>0</v>
      </c>
      <c r="BQ65" s="47">
        <f t="shared" si="24"/>
        <v>0</v>
      </c>
      <c r="BR65" s="604">
        <f t="shared" si="82"/>
        <v>0</v>
      </c>
      <c r="BS65" s="44">
        <f t="shared" si="83"/>
        <v>0</v>
      </c>
      <c r="BT65" s="44">
        <f t="shared" si="84"/>
        <v>0</v>
      </c>
      <c r="BU65" s="44">
        <f t="shared" si="85"/>
        <v>0</v>
      </c>
      <c r="BV65" s="44">
        <f t="shared" si="86"/>
        <v>250000</v>
      </c>
      <c r="BW65" s="44">
        <f t="shared" si="87"/>
        <v>0</v>
      </c>
      <c r="BX65" s="44">
        <f t="shared" si="25"/>
        <v>0</v>
      </c>
      <c r="BY65" s="44">
        <f t="shared" si="88"/>
        <v>0</v>
      </c>
      <c r="BZ65" s="44">
        <f t="shared" si="26"/>
        <v>0</v>
      </c>
      <c r="CA65" s="44">
        <f t="shared" si="89"/>
        <v>0</v>
      </c>
      <c r="CB65" s="44">
        <f t="shared" si="27"/>
        <v>250000</v>
      </c>
      <c r="CC65" s="46">
        <f t="shared" si="28"/>
        <v>0</v>
      </c>
      <c r="CD65" s="47">
        <f t="shared" si="29"/>
        <v>0</v>
      </c>
      <c r="CE65" s="604">
        <f t="shared" si="90"/>
        <v>0</v>
      </c>
      <c r="CF65" s="44">
        <f t="shared" si="91"/>
        <v>0</v>
      </c>
      <c r="CG65" s="44">
        <f t="shared" si="92"/>
        <v>0</v>
      </c>
      <c r="CH65" s="44">
        <f t="shared" si="93"/>
        <v>0</v>
      </c>
      <c r="CI65" s="44">
        <f t="shared" si="94"/>
        <v>250000</v>
      </c>
      <c r="CJ65" s="44">
        <f t="shared" si="95"/>
        <v>0</v>
      </c>
      <c r="CK65" s="44">
        <f t="shared" si="30"/>
        <v>0</v>
      </c>
      <c r="CL65" s="44">
        <f t="shared" si="96"/>
        <v>0</v>
      </c>
      <c r="CM65" s="44">
        <f t="shared" si="31"/>
        <v>0</v>
      </c>
      <c r="CN65" s="44">
        <f t="shared" si="97"/>
        <v>0</v>
      </c>
      <c r="CO65" s="44">
        <f t="shared" si="32"/>
        <v>250000</v>
      </c>
      <c r="CP65" s="46">
        <f t="shared" si="33"/>
        <v>0</v>
      </c>
      <c r="CQ65" s="47">
        <f t="shared" si="34"/>
        <v>0</v>
      </c>
      <c r="CR65" s="604">
        <f t="shared" si="98"/>
        <v>0</v>
      </c>
      <c r="CS65" s="44">
        <f t="shared" si="99"/>
        <v>0</v>
      </c>
      <c r="CT65" s="44">
        <f t="shared" si="100"/>
        <v>0</v>
      </c>
      <c r="CU65" s="44">
        <f t="shared" si="101"/>
        <v>0</v>
      </c>
      <c r="CV65" s="44">
        <f t="shared" si="102"/>
        <v>250000</v>
      </c>
      <c r="CW65" s="44">
        <f t="shared" si="103"/>
        <v>0</v>
      </c>
      <c r="CX65" s="44">
        <f t="shared" si="35"/>
        <v>0</v>
      </c>
      <c r="CY65" s="44">
        <f t="shared" si="104"/>
        <v>0</v>
      </c>
      <c r="CZ65" s="44">
        <f t="shared" si="36"/>
        <v>0</v>
      </c>
      <c r="DA65" s="44">
        <f t="shared" si="105"/>
        <v>0</v>
      </c>
      <c r="DB65" s="44">
        <f t="shared" si="37"/>
        <v>250000</v>
      </c>
      <c r="DC65" s="46">
        <f t="shared" si="38"/>
        <v>0</v>
      </c>
      <c r="DD65" s="47">
        <f t="shared" si="39"/>
        <v>0</v>
      </c>
      <c r="DE65" s="604">
        <f t="shared" si="106"/>
        <v>0</v>
      </c>
      <c r="DF65" s="44">
        <f t="shared" si="107"/>
        <v>0</v>
      </c>
      <c r="DG65" s="44">
        <f t="shared" si="108"/>
        <v>0</v>
      </c>
      <c r="DH65" s="44">
        <f t="shared" si="109"/>
        <v>0</v>
      </c>
      <c r="DI65" s="44">
        <f t="shared" si="110"/>
        <v>250000</v>
      </c>
      <c r="DJ65" s="44">
        <f t="shared" si="111"/>
        <v>0</v>
      </c>
      <c r="DK65" s="44">
        <f t="shared" si="40"/>
        <v>0</v>
      </c>
      <c r="DL65" s="44">
        <f t="shared" si="112"/>
        <v>0</v>
      </c>
      <c r="DM65" s="44">
        <f t="shared" si="41"/>
        <v>0</v>
      </c>
      <c r="DN65" s="44">
        <f t="shared" si="113"/>
        <v>0</v>
      </c>
      <c r="DO65" s="44">
        <f t="shared" si="42"/>
        <v>250000</v>
      </c>
      <c r="DP65" s="46">
        <f t="shared" si="43"/>
        <v>0</v>
      </c>
      <c r="DQ65" s="47">
        <f t="shared" si="44"/>
        <v>0</v>
      </c>
      <c r="DR65" s="604">
        <f t="shared" si="114"/>
        <v>0</v>
      </c>
      <c r="DS65" s="44">
        <f t="shared" si="115"/>
        <v>0</v>
      </c>
      <c r="DT65" s="44">
        <f t="shared" si="116"/>
        <v>0</v>
      </c>
      <c r="DU65" s="44">
        <f t="shared" si="117"/>
        <v>0</v>
      </c>
      <c r="DV65" s="44">
        <f t="shared" si="118"/>
        <v>250000</v>
      </c>
      <c r="DW65" s="44">
        <f t="shared" si="119"/>
        <v>0</v>
      </c>
      <c r="DX65" s="44">
        <f t="shared" si="45"/>
        <v>0</v>
      </c>
      <c r="DY65" s="44">
        <f t="shared" si="120"/>
        <v>0</v>
      </c>
      <c r="DZ65" s="44">
        <f t="shared" si="46"/>
        <v>0</v>
      </c>
      <c r="EA65" s="44">
        <f t="shared" si="121"/>
        <v>0</v>
      </c>
      <c r="EB65" s="44">
        <f t="shared" si="47"/>
        <v>250000</v>
      </c>
      <c r="EC65" s="46">
        <f t="shared" si="48"/>
        <v>0</v>
      </c>
      <c r="ED65" s="47">
        <f t="shared" si="49"/>
        <v>0</v>
      </c>
    </row>
    <row r="66" spans="1:134" x14ac:dyDescent="0.35">
      <c r="A66" s="81">
        <v>1985</v>
      </c>
      <c r="B66" s="82" t="s">
        <v>236</v>
      </c>
      <c r="C66" s="82"/>
      <c r="D66" s="83" t="s">
        <v>32</v>
      </c>
      <c r="E66" s="87">
        <v>160000</v>
      </c>
      <c r="F66" s="85">
        <v>35977</v>
      </c>
      <c r="G66" s="185">
        <v>12.5</v>
      </c>
      <c r="H66" s="179"/>
      <c r="I66" s="180"/>
      <c r="J66" s="181"/>
      <c r="K66" s="42">
        <f t="shared" si="0"/>
        <v>0.08</v>
      </c>
      <c r="L66" s="43">
        <f t="shared" si="1"/>
        <v>12800</v>
      </c>
      <c r="M66" s="44">
        <f t="shared" si="2"/>
        <v>0</v>
      </c>
      <c r="N66" s="44"/>
      <c r="O66" s="44">
        <f t="shared" si="3"/>
        <v>160000</v>
      </c>
      <c r="P66" s="45"/>
      <c r="Q66" s="44">
        <f t="shared" si="4"/>
        <v>160000</v>
      </c>
      <c r="R66" s="604">
        <f t="shared" si="50"/>
        <v>0</v>
      </c>
      <c r="S66" s="44">
        <f t="shared" si="51"/>
        <v>0</v>
      </c>
      <c r="T66" s="44">
        <f t="shared" si="52"/>
        <v>0</v>
      </c>
      <c r="U66" s="44">
        <f t="shared" si="53"/>
        <v>0</v>
      </c>
      <c r="V66" s="44">
        <f t="shared" si="54"/>
        <v>160000</v>
      </c>
      <c r="W66" s="44">
        <f t="shared" si="55"/>
        <v>0</v>
      </c>
      <c r="X66" s="44">
        <f t="shared" si="5"/>
        <v>0</v>
      </c>
      <c r="Y66" s="44">
        <f t="shared" si="56"/>
        <v>0</v>
      </c>
      <c r="Z66" s="44">
        <f t="shared" si="6"/>
        <v>0</v>
      </c>
      <c r="AA66" s="44">
        <f t="shared" si="57"/>
        <v>0</v>
      </c>
      <c r="AB66" s="44">
        <f t="shared" si="7"/>
        <v>160000</v>
      </c>
      <c r="AC66" s="46">
        <f t="shared" si="8"/>
        <v>0</v>
      </c>
      <c r="AD66" s="47">
        <f t="shared" si="9"/>
        <v>0</v>
      </c>
      <c r="AE66" s="604">
        <f t="shared" si="58"/>
        <v>0</v>
      </c>
      <c r="AF66" s="44">
        <f t="shared" si="59"/>
        <v>0</v>
      </c>
      <c r="AG66" s="44">
        <f t="shared" si="60"/>
        <v>0</v>
      </c>
      <c r="AH66" s="44">
        <f t="shared" si="61"/>
        <v>0</v>
      </c>
      <c r="AI66" s="44">
        <f t="shared" si="62"/>
        <v>160000</v>
      </c>
      <c r="AJ66" s="44">
        <f t="shared" si="63"/>
        <v>0</v>
      </c>
      <c r="AK66" s="44">
        <f t="shared" si="10"/>
        <v>0</v>
      </c>
      <c r="AL66" s="44">
        <f t="shared" si="64"/>
        <v>0</v>
      </c>
      <c r="AM66" s="44">
        <f t="shared" si="11"/>
        <v>0</v>
      </c>
      <c r="AN66" s="44">
        <f t="shared" si="65"/>
        <v>0</v>
      </c>
      <c r="AO66" s="44">
        <f t="shared" si="12"/>
        <v>160000</v>
      </c>
      <c r="AP66" s="46">
        <f t="shared" si="13"/>
        <v>0</v>
      </c>
      <c r="AQ66" s="47">
        <f t="shared" si="14"/>
        <v>0</v>
      </c>
      <c r="AR66" s="604">
        <f t="shared" si="66"/>
        <v>0</v>
      </c>
      <c r="AS66" s="44">
        <f t="shared" si="67"/>
        <v>0</v>
      </c>
      <c r="AT66" s="44">
        <f t="shared" si="68"/>
        <v>0</v>
      </c>
      <c r="AU66" s="44">
        <f t="shared" si="69"/>
        <v>0</v>
      </c>
      <c r="AV66" s="44">
        <f t="shared" si="70"/>
        <v>160000</v>
      </c>
      <c r="AW66" s="44">
        <f t="shared" si="71"/>
        <v>0</v>
      </c>
      <c r="AX66" s="44">
        <f t="shared" si="15"/>
        <v>0</v>
      </c>
      <c r="AY66" s="44">
        <f t="shared" si="72"/>
        <v>0</v>
      </c>
      <c r="AZ66" s="44">
        <f t="shared" si="16"/>
        <v>0</v>
      </c>
      <c r="BA66" s="44">
        <f t="shared" si="73"/>
        <v>0</v>
      </c>
      <c r="BB66" s="44">
        <f t="shared" si="17"/>
        <v>160000</v>
      </c>
      <c r="BC66" s="46">
        <f t="shared" si="18"/>
        <v>0</v>
      </c>
      <c r="BD66" s="47">
        <f t="shared" si="19"/>
        <v>0</v>
      </c>
      <c r="BE66" s="604">
        <f t="shared" si="74"/>
        <v>0</v>
      </c>
      <c r="BF66" s="44">
        <f t="shared" si="75"/>
        <v>0</v>
      </c>
      <c r="BG66" s="44">
        <f t="shared" si="76"/>
        <v>0</v>
      </c>
      <c r="BH66" s="44">
        <f t="shared" si="77"/>
        <v>0</v>
      </c>
      <c r="BI66" s="44">
        <f t="shared" si="78"/>
        <v>160000</v>
      </c>
      <c r="BJ66" s="44">
        <f t="shared" si="79"/>
        <v>0</v>
      </c>
      <c r="BK66" s="44">
        <f t="shared" si="20"/>
        <v>0</v>
      </c>
      <c r="BL66" s="44">
        <f t="shared" si="80"/>
        <v>0</v>
      </c>
      <c r="BM66" s="44">
        <f t="shared" si="21"/>
        <v>0</v>
      </c>
      <c r="BN66" s="44">
        <f t="shared" si="81"/>
        <v>0</v>
      </c>
      <c r="BO66" s="44">
        <f t="shared" si="22"/>
        <v>160000</v>
      </c>
      <c r="BP66" s="46">
        <f t="shared" si="23"/>
        <v>0</v>
      </c>
      <c r="BQ66" s="47">
        <f t="shared" si="24"/>
        <v>0</v>
      </c>
      <c r="BR66" s="604">
        <f t="shared" si="82"/>
        <v>0</v>
      </c>
      <c r="BS66" s="44">
        <f t="shared" si="83"/>
        <v>0</v>
      </c>
      <c r="BT66" s="44">
        <f t="shared" si="84"/>
        <v>0</v>
      </c>
      <c r="BU66" s="44">
        <f t="shared" si="85"/>
        <v>0</v>
      </c>
      <c r="BV66" s="44">
        <f t="shared" si="86"/>
        <v>160000</v>
      </c>
      <c r="BW66" s="44">
        <f t="shared" si="87"/>
        <v>0</v>
      </c>
      <c r="BX66" s="44">
        <f t="shared" si="25"/>
        <v>0</v>
      </c>
      <c r="BY66" s="44">
        <f t="shared" si="88"/>
        <v>0</v>
      </c>
      <c r="BZ66" s="44">
        <f t="shared" si="26"/>
        <v>0</v>
      </c>
      <c r="CA66" s="44">
        <f t="shared" si="89"/>
        <v>0</v>
      </c>
      <c r="CB66" s="44">
        <f t="shared" si="27"/>
        <v>160000</v>
      </c>
      <c r="CC66" s="46">
        <f t="shared" si="28"/>
        <v>0</v>
      </c>
      <c r="CD66" s="47">
        <f t="shared" si="29"/>
        <v>0</v>
      </c>
      <c r="CE66" s="604">
        <f t="shared" si="90"/>
        <v>0</v>
      </c>
      <c r="CF66" s="44">
        <f t="shared" si="91"/>
        <v>0</v>
      </c>
      <c r="CG66" s="44">
        <f t="shared" si="92"/>
        <v>0</v>
      </c>
      <c r="CH66" s="44">
        <f t="shared" si="93"/>
        <v>0</v>
      </c>
      <c r="CI66" s="44">
        <f t="shared" si="94"/>
        <v>160000</v>
      </c>
      <c r="CJ66" s="44">
        <f t="shared" si="95"/>
        <v>0</v>
      </c>
      <c r="CK66" s="44">
        <f t="shared" si="30"/>
        <v>0</v>
      </c>
      <c r="CL66" s="44">
        <f t="shared" si="96"/>
        <v>0</v>
      </c>
      <c r="CM66" s="44">
        <f t="shared" si="31"/>
        <v>0</v>
      </c>
      <c r="CN66" s="44">
        <f t="shared" si="97"/>
        <v>0</v>
      </c>
      <c r="CO66" s="44">
        <f t="shared" si="32"/>
        <v>160000</v>
      </c>
      <c r="CP66" s="46">
        <f t="shared" si="33"/>
        <v>0</v>
      </c>
      <c r="CQ66" s="47">
        <f t="shared" si="34"/>
        <v>0</v>
      </c>
      <c r="CR66" s="604">
        <f t="shared" si="98"/>
        <v>0</v>
      </c>
      <c r="CS66" s="44">
        <f t="shared" si="99"/>
        <v>0</v>
      </c>
      <c r="CT66" s="44">
        <f t="shared" si="100"/>
        <v>0</v>
      </c>
      <c r="CU66" s="44">
        <f t="shared" si="101"/>
        <v>0</v>
      </c>
      <c r="CV66" s="44">
        <f t="shared" si="102"/>
        <v>160000</v>
      </c>
      <c r="CW66" s="44">
        <f t="shared" si="103"/>
        <v>0</v>
      </c>
      <c r="CX66" s="44">
        <f t="shared" si="35"/>
        <v>0</v>
      </c>
      <c r="CY66" s="44">
        <f t="shared" si="104"/>
        <v>0</v>
      </c>
      <c r="CZ66" s="44">
        <f t="shared" si="36"/>
        <v>0</v>
      </c>
      <c r="DA66" s="44">
        <f t="shared" si="105"/>
        <v>0</v>
      </c>
      <c r="DB66" s="44">
        <f t="shared" si="37"/>
        <v>160000</v>
      </c>
      <c r="DC66" s="46">
        <f t="shared" si="38"/>
        <v>0</v>
      </c>
      <c r="DD66" s="47">
        <f t="shared" si="39"/>
        <v>0</v>
      </c>
      <c r="DE66" s="604">
        <f t="shared" si="106"/>
        <v>0</v>
      </c>
      <c r="DF66" s="44">
        <f t="shared" si="107"/>
        <v>0</v>
      </c>
      <c r="DG66" s="44">
        <f t="shared" si="108"/>
        <v>0</v>
      </c>
      <c r="DH66" s="44">
        <f t="shared" si="109"/>
        <v>0</v>
      </c>
      <c r="DI66" s="44">
        <f t="shared" si="110"/>
        <v>160000</v>
      </c>
      <c r="DJ66" s="44">
        <f t="shared" si="111"/>
        <v>0</v>
      </c>
      <c r="DK66" s="44">
        <f t="shared" si="40"/>
        <v>0</v>
      </c>
      <c r="DL66" s="44">
        <f t="shared" si="112"/>
        <v>0</v>
      </c>
      <c r="DM66" s="44">
        <f t="shared" si="41"/>
        <v>0</v>
      </c>
      <c r="DN66" s="44">
        <f t="shared" si="113"/>
        <v>0</v>
      </c>
      <c r="DO66" s="44">
        <f t="shared" si="42"/>
        <v>160000</v>
      </c>
      <c r="DP66" s="46">
        <f t="shared" si="43"/>
        <v>0</v>
      </c>
      <c r="DQ66" s="47">
        <f t="shared" si="44"/>
        <v>0</v>
      </c>
      <c r="DR66" s="604">
        <f t="shared" si="114"/>
        <v>0</v>
      </c>
      <c r="DS66" s="44">
        <f t="shared" si="115"/>
        <v>0</v>
      </c>
      <c r="DT66" s="44">
        <f t="shared" si="116"/>
        <v>0</v>
      </c>
      <c r="DU66" s="44">
        <f t="shared" si="117"/>
        <v>0</v>
      </c>
      <c r="DV66" s="44">
        <f t="shared" si="118"/>
        <v>160000</v>
      </c>
      <c r="DW66" s="44">
        <f t="shared" si="119"/>
        <v>0</v>
      </c>
      <c r="DX66" s="44">
        <f t="shared" si="45"/>
        <v>0</v>
      </c>
      <c r="DY66" s="44">
        <f t="shared" si="120"/>
        <v>0</v>
      </c>
      <c r="DZ66" s="44">
        <f t="shared" si="46"/>
        <v>0</v>
      </c>
      <c r="EA66" s="44">
        <f t="shared" si="121"/>
        <v>0</v>
      </c>
      <c r="EB66" s="44">
        <f t="shared" si="47"/>
        <v>160000</v>
      </c>
      <c r="EC66" s="46">
        <f t="shared" si="48"/>
        <v>0</v>
      </c>
      <c r="ED66" s="47">
        <f t="shared" si="49"/>
        <v>0</v>
      </c>
    </row>
    <row r="67" spans="1:134" x14ac:dyDescent="0.35">
      <c r="A67" s="81">
        <v>1985</v>
      </c>
      <c r="B67" s="82" t="s">
        <v>237</v>
      </c>
      <c r="C67" s="82"/>
      <c r="D67" s="83" t="s">
        <v>32</v>
      </c>
      <c r="E67" s="87">
        <v>80000</v>
      </c>
      <c r="F67" s="85">
        <v>35977</v>
      </c>
      <c r="G67" s="86">
        <v>12.5</v>
      </c>
      <c r="H67" s="179"/>
      <c r="I67" s="180"/>
      <c r="J67" s="181"/>
      <c r="K67" s="42">
        <f t="shared" si="0"/>
        <v>0.08</v>
      </c>
      <c r="L67" s="43">
        <f t="shared" si="1"/>
        <v>6400</v>
      </c>
      <c r="M67" s="44">
        <f t="shared" si="2"/>
        <v>0</v>
      </c>
      <c r="N67" s="44"/>
      <c r="O67" s="44">
        <f t="shared" si="3"/>
        <v>80000</v>
      </c>
      <c r="P67" s="45"/>
      <c r="Q67" s="44">
        <f t="shared" si="4"/>
        <v>80000</v>
      </c>
      <c r="R67" s="604">
        <f t="shared" si="50"/>
        <v>0</v>
      </c>
      <c r="S67" s="44">
        <f t="shared" si="51"/>
        <v>0</v>
      </c>
      <c r="T67" s="44">
        <f t="shared" si="52"/>
        <v>0</v>
      </c>
      <c r="U67" s="44">
        <f t="shared" si="53"/>
        <v>0</v>
      </c>
      <c r="V67" s="44">
        <f t="shared" si="54"/>
        <v>80000</v>
      </c>
      <c r="W67" s="44">
        <f t="shared" si="55"/>
        <v>0</v>
      </c>
      <c r="X67" s="44">
        <f t="shared" si="5"/>
        <v>0</v>
      </c>
      <c r="Y67" s="44">
        <f t="shared" si="56"/>
        <v>0</v>
      </c>
      <c r="Z67" s="44">
        <f t="shared" si="6"/>
        <v>0</v>
      </c>
      <c r="AA67" s="44">
        <f t="shared" si="57"/>
        <v>0</v>
      </c>
      <c r="AB67" s="44">
        <f t="shared" si="7"/>
        <v>80000</v>
      </c>
      <c r="AC67" s="46">
        <f t="shared" si="8"/>
        <v>0</v>
      </c>
      <c r="AD67" s="47">
        <f t="shared" si="9"/>
        <v>0</v>
      </c>
      <c r="AE67" s="604">
        <f t="shared" si="58"/>
        <v>0</v>
      </c>
      <c r="AF67" s="44">
        <f t="shared" si="59"/>
        <v>0</v>
      </c>
      <c r="AG67" s="44">
        <f t="shared" si="60"/>
        <v>0</v>
      </c>
      <c r="AH67" s="44">
        <f t="shared" si="61"/>
        <v>0</v>
      </c>
      <c r="AI67" s="44">
        <f t="shared" si="62"/>
        <v>80000</v>
      </c>
      <c r="AJ67" s="44">
        <f t="shared" si="63"/>
        <v>0</v>
      </c>
      <c r="AK67" s="44">
        <f t="shared" si="10"/>
        <v>0</v>
      </c>
      <c r="AL67" s="44">
        <f t="shared" si="64"/>
        <v>0</v>
      </c>
      <c r="AM67" s="44">
        <f t="shared" si="11"/>
        <v>0</v>
      </c>
      <c r="AN67" s="44">
        <f t="shared" si="65"/>
        <v>0</v>
      </c>
      <c r="AO67" s="44">
        <f t="shared" si="12"/>
        <v>80000</v>
      </c>
      <c r="AP67" s="46">
        <f t="shared" si="13"/>
        <v>0</v>
      </c>
      <c r="AQ67" s="47">
        <f t="shared" si="14"/>
        <v>0</v>
      </c>
      <c r="AR67" s="604">
        <f t="shared" si="66"/>
        <v>0</v>
      </c>
      <c r="AS67" s="44">
        <f t="shared" si="67"/>
        <v>0</v>
      </c>
      <c r="AT67" s="44">
        <f t="shared" si="68"/>
        <v>0</v>
      </c>
      <c r="AU67" s="44">
        <f t="shared" si="69"/>
        <v>0</v>
      </c>
      <c r="AV67" s="44">
        <f t="shared" si="70"/>
        <v>80000</v>
      </c>
      <c r="AW67" s="44">
        <f t="shared" si="71"/>
        <v>0</v>
      </c>
      <c r="AX67" s="44">
        <f t="shared" si="15"/>
        <v>0</v>
      </c>
      <c r="AY67" s="44">
        <f t="shared" si="72"/>
        <v>0</v>
      </c>
      <c r="AZ67" s="44">
        <f t="shared" si="16"/>
        <v>0</v>
      </c>
      <c r="BA67" s="44">
        <f t="shared" si="73"/>
        <v>0</v>
      </c>
      <c r="BB67" s="44">
        <f t="shared" si="17"/>
        <v>80000</v>
      </c>
      <c r="BC67" s="46">
        <f t="shared" si="18"/>
        <v>0</v>
      </c>
      <c r="BD67" s="47">
        <f t="shared" si="19"/>
        <v>0</v>
      </c>
      <c r="BE67" s="604">
        <f t="shared" si="74"/>
        <v>0</v>
      </c>
      <c r="BF67" s="44">
        <f t="shared" si="75"/>
        <v>0</v>
      </c>
      <c r="BG67" s="44">
        <f t="shared" si="76"/>
        <v>0</v>
      </c>
      <c r="BH67" s="44">
        <f t="shared" si="77"/>
        <v>0</v>
      </c>
      <c r="BI67" s="44">
        <f t="shared" si="78"/>
        <v>80000</v>
      </c>
      <c r="BJ67" s="44">
        <f t="shared" si="79"/>
        <v>0</v>
      </c>
      <c r="BK67" s="44">
        <f t="shared" si="20"/>
        <v>0</v>
      </c>
      <c r="BL67" s="44">
        <f t="shared" si="80"/>
        <v>0</v>
      </c>
      <c r="BM67" s="44">
        <f t="shared" si="21"/>
        <v>0</v>
      </c>
      <c r="BN67" s="44">
        <f t="shared" si="81"/>
        <v>0</v>
      </c>
      <c r="BO67" s="44">
        <f t="shared" si="22"/>
        <v>80000</v>
      </c>
      <c r="BP67" s="46">
        <f t="shared" si="23"/>
        <v>0</v>
      </c>
      <c r="BQ67" s="47">
        <f t="shared" si="24"/>
        <v>0</v>
      </c>
      <c r="BR67" s="604">
        <f t="shared" si="82"/>
        <v>0</v>
      </c>
      <c r="BS67" s="44">
        <f t="shared" si="83"/>
        <v>0</v>
      </c>
      <c r="BT67" s="44">
        <f t="shared" si="84"/>
        <v>0</v>
      </c>
      <c r="BU67" s="44">
        <f t="shared" si="85"/>
        <v>0</v>
      </c>
      <c r="BV67" s="44">
        <f t="shared" si="86"/>
        <v>80000</v>
      </c>
      <c r="BW67" s="44">
        <f t="shared" si="87"/>
        <v>0</v>
      </c>
      <c r="BX67" s="44">
        <f t="shared" si="25"/>
        <v>0</v>
      </c>
      <c r="BY67" s="44">
        <f t="shared" si="88"/>
        <v>0</v>
      </c>
      <c r="BZ67" s="44">
        <f t="shared" si="26"/>
        <v>0</v>
      </c>
      <c r="CA67" s="44">
        <f t="shared" si="89"/>
        <v>0</v>
      </c>
      <c r="CB67" s="44">
        <f t="shared" si="27"/>
        <v>80000</v>
      </c>
      <c r="CC67" s="46">
        <f t="shared" si="28"/>
        <v>0</v>
      </c>
      <c r="CD67" s="47">
        <f t="shared" si="29"/>
        <v>0</v>
      </c>
      <c r="CE67" s="604">
        <f t="shared" si="90"/>
        <v>0</v>
      </c>
      <c r="CF67" s="44">
        <f t="shared" si="91"/>
        <v>0</v>
      </c>
      <c r="CG67" s="44">
        <f t="shared" si="92"/>
        <v>0</v>
      </c>
      <c r="CH67" s="44">
        <f t="shared" si="93"/>
        <v>0</v>
      </c>
      <c r="CI67" s="44">
        <f t="shared" si="94"/>
        <v>80000</v>
      </c>
      <c r="CJ67" s="44">
        <f t="shared" si="95"/>
        <v>0</v>
      </c>
      <c r="CK67" s="44">
        <f t="shared" si="30"/>
        <v>0</v>
      </c>
      <c r="CL67" s="44">
        <f t="shared" si="96"/>
        <v>0</v>
      </c>
      <c r="CM67" s="44">
        <f t="shared" si="31"/>
        <v>0</v>
      </c>
      <c r="CN67" s="44">
        <f t="shared" si="97"/>
        <v>0</v>
      </c>
      <c r="CO67" s="44">
        <f t="shared" si="32"/>
        <v>80000</v>
      </c>
      <c r="CP67" s="46">
        <f t="shared" si="33"/>
        <v>0</v>
      </c>
      <c r="CQ67" s="47">
        <f t="shared" si="34"/>
        <v>0</v>
      </c>
      <c r="CR67" s="604">
        <f t="shared" si="98"/>
        <v>0</v>
      </c>
      <c r="CS67" s="44">
        <f t="shared" si="99"/>
        <v>0</v>
      </c>
      <c r="CT67" s="44">
        <f t="shared" si="100"/>
        <v>0</v>
      </c>
      <c r="CU67" s="44">
        <f t="shared" si="101"/>
        <v>0</v>
      </c>
      <c r="CV67" s="44">
        <f t="shared" si="102"/>
        <v>80000</v>
      </c>
      <c r="CW67" s="44">
        <f t="shared" si="103"/>
        <v>0</v>
      </c>
      <c r="CX67" s="44">
        <f t="shared" si="35"/>
        <v>0</v>
      </c>
      <c r="CY67" s="44">
        <f t="shared" si="104"/>
        <v>0</v>
      </c>
      <c r="CZ67" s="44">
        <f t="shared" si="36"/>
        <v>0</v>
      </c>
      <c r="DA67" s="44">
        <f t="shared" si="105"/>
        <v>0</v>
      </c>
      <c r="DB67" s="44">
        <f t="shared" si="37"/>
        <v>80000</v>
      </c>
      <c r="DC67" s="46">
        <f t="shared" si="38"/>
        <v>0</v>
      </c>
      <c r="DD67" s="47">
        <f t="shared" si="39"/>
        <v>0</v>
      </c>
      <c r="DE67" s="604">
        <f t="shared" si="106"/>
        <v>0</v>
      </c>
      <c r="DF67" s="44">
        <f t="shared" si="107"/>
        <v>0</v>
      </c>
      <c r="DG67" s="44">
        <f t="shared" si="108"/>
        <v>0</v>
      </c>
      <c r="DH67" s="44">
        <f t="shared" si="109"/>
        <v>0</v>
      </c>
      <c r="DI67" s="44">
        <f t="shared" si="110"/>
        <v>80000</v>
      </c>
      <c r="DJ67" s="44">
        <f t="shared" si="111"/>
        <v>0</v>
      </c>
      <c r="DK67" s="44">
        <f t="shared" si="40"/>
        <v>0</v>
      </c>
      <c r="DL67" s="44">
        <f t="shared" si="112"/>
        <v>0</v>
      </c>
      <c r="DM67" s="44">
        <f t="shared" si="41"/>
        <v>0</v>
      </c>
      <c r="DN67" s="44">
        <f t="shared" si="113"/>
        <v>0</v>
      </c>
      <c r="DO67" s="44">
        <f t="shared" si="42"/>
        <v>80000</v>
      </c>
      <c r="DP67" s="46">
        <f t="shared" si="43"/>
        <v>0</v>
      </c>
      <c r="DQ67" s="47">
        <f t="shared" si="44"/>
        <v>0</v>
      </c>
      <c r="DR67" s="604">
        <f t="shared" si="114"/>
        <v>0</v>
      </c>
      <c r="DS67" s="44">
        <f t="shared" si="115"/>
        <v>0</v>
      </c>
      <c r="DT67" s="44">
        <f t="shared" si="116"/>
        <v>0</v>
      </c>
      <c r="DU67" s="44">
        <f t="shared" si="117"/>
        <v>0</v>
      </c>
      <c r="DV67" s="44">
        <f t="shared" si="118"/>
        <v>80000</v>
      </c>
      <c r="DW67" s="44">
        <f t="shared" si="119"/>
        <v>0</v>
      </c>
      <c r="DX67" s="44">
        <f t="shared" si="45"/>
        <v>0</v>
      </c>
      <c r="DY67" s="44">
        <f t="shared" si="120"/>
        <v>0</v>
      </c>
      <c r="DZ67" s="44">
        <f t="shared" si="46"/>
        <v>0</v>
      </c>
      <c r="EA67" s="44">
        <f t="shared" si="121"/>
        <v>0</v>
      </c>
      <c r="EB67" s="44">
        <f t="shared" si="47"/>
        <v>80000</v>
      </c>
      <c r="EC67" s="46">
        <f t="shared" si="48"/>
        <v>0</v>
      </c>
      <c r="ED67" s="47">
        <f t="shared" si="49"/>
        <v>0</v>
      </c>
    </row>
    <row r="68" spans="1:134" x14ac:dyDescent="0.35">
      <c r="A68" s="81">
        <v>1985</v>
      </c>
      <c r="B68" s="82" t="s">
        <v>238</v>
      </c>
      <c r="C68" s="82" t="s">
        <v>239</v>
      </c>
      <c r="D68" s="83" t="s">
        <v>32</v>
      </c>
      <c r="E68" s="87">
        <v>26000</v>
      </c>
      <c r="F68" s="85">
        <v>36342</v>
      </c>
      <c r="G68" s="185">
        <v>12.5</v>
      </c>
      <c r="H68" s="179"/>
      <c r="I68" s="180"/>
      <c r="J68" s="181"/>
      <c r="K68" s="42">
        <f t="shared" si="0"/>
        <v>0.08</v>
      </c>
      <c r="L68" s="43">
        <f t="shared" si="1"/>
        <v>2080</v>
      </c>
      <c r="M68" s="44">
        <f t="shared" si="2"/>
        <v>0</v>
      </c>
      <c r="N68" s="44"/>
      <c r="O68" s="44">
        <f t="shared" si="3"/>
        <v>26000</v>
      </c>
      <c r="P68" s="45"/>
      <c r="Q68" s="44">
        <f t="shared" si="4"/>
        <v>26000</v>
      </c>
      <c r="R68" s="604">
        <f t="shared" si="50"/>
        <v>0</v>
      </c>
      <c r="S68" s="44">
        <f t="shared" si="51"/>
        <v>0</v>
      </c>
      <c r="T68" s="44">
        <f t="shared" si="52"/>
        <v>0</v>
      </c>
      <c r="U68" s="44">
        <f t="shared" si="53"/>
        <v>0</v>
      </c>
      <c r="V68" s="44">
        <f t="shared" si="54"/>
        <v>26000</v>
      </c>
      <c r="W68" s="44">
        <f t="shared" si="55"/>
        <v>0</v>
      </c>
      <c r="X68" s="44">
        <f t="shared" si="5"/>
        <v>0</v>
      </c>
      <c r="Y68" s="44">
        <f t="shared" si="56"/>
        <v>0</v>
      </c>
      <c r="Z68" s="44">
        <f t="shared" si="6"/>
        <v>0</v>
      </c>
      <c r="AA68" s="44">
        <f t="shared" si="57"/>
        <v>0</v>
      </c>
      <c r="AB68" s="44">
        <f t="shared" si="7"/>
        <v>26000</v>
      </c>
      <c r="AC68" s="46">
        <f t="shared" si="8"/>
        <v>0</v>
      </c>
      <c r="AD68" s="47">
        <f t="shared" si="9"/>
        <v>0</v>
      </c>
      <c r="AE68" s="604">
        <f t="shared" si="58"/>
        <v>0</v>
      </c>
      <c r="AF68" s="44">
        <f t="shared" si="59"/>
        <v>0</v>
      </c>
      <c r="AG68" s="44">
        <f t="shared" si="60"/>
        <v>0</v>
      </c>
      <c r="AH68" s="44">
        <f t="shared" si="61"/>
        <v>0</v>
      </c>
      <c r="AI68" s="44">
        <f t="shared" si="62"/>
        <v>26000</v>
      </c>
      <c r="AJ68" s="44">
        <f t="shared" si="63"/>
        <v>0</v>
      </c>
      <c r="AK68" s="44">
        <f t="shared" si="10"/>
        <v>0</v>
      </c>
      <c r="AL68" s="44">
        <f t="shared" si="64"/>
        <v>0</v>
      </c>
      <c r="AM68" s="44">
        <f t="shared" si="11"/>
        <v>0</v>
      </c>
      <c r="AN68" s="44">
        <f t="shared" si="65"/>
        <v>0</v>
      </c>
      <c r="AO68" s="44">
        <f t="shared" si="12"/>
        <v>26000</v>
      </c>
      <c r="AP68" s="46">
        <f t="shared" si="13"/>
        <v>0</v>
      </c>
      <c r="AQ68" s="47">
        <f t="shared" si="14"/>
        <v>0</v>
      </c>
      <c r="AR68" s="604">
        <f t="shared" si="66"/>
        <v>0</v>
      </c>
      <c r="AS68" s="44">
        <f t="shared" si="67"/>
        <v>0</v>
      </c>
      <c r="AT68" s="44">
        <f t="shared" si="68"/>
        <v>0</v>
      </c>
      <c r="AU68" s="44">
        <f t="shared" si="69"/>
        <v>0</v>
      </c>
      <c r="AV68" s="44">
        <f t="shared" si="70"/>
        <v>26000</v>
      </c>
      <c r="AW68" s="44">
        <f t="shared" si="71"/>
        <v>0</v>
      </c>
      <c r="AX68" s="44">
        <f t="shared" si="15"/>
        <v>0</v>
      </c>
      <c r="AY68" s="44">
        <f t="shared" si="72"/>
        <v>0</v>
      </c>
      <c r="AZ68" s="44">
        <f t="shared" si="16"/>
        <v>0</v>
      </c>
      <c r="BA68" s="44">
        <f t="shared" si="73"/>
        <v>0</v>
      </c>
      <c r="BB68" s="44">
        <f t="shared" si="17"/>
        <v>26000</v>
      </c>
      <c r="BC68" s="46">
        <f t="shared" si="18"/>
        <v>0</v>
      </c>
      <c r="BD68" s="47">
        <f t="shared" si="19"/>
        <v>0</v>
      </c>
      <c r="BE68" s="604">
        <f t="shared" si="74"/>
        <v>0</v>
      </c>
      <c r="BF68" s="44">
        <f t="shared" si="75"/>
        <v>0</v>
      </c>
      <c r="BG68" s="44">
        <f t="shared" si="76"/>
        <v>0</v>
      </c>
      <c r="BH68" s="44">
        <f t="shared" si="77"/>
        <v>0</v>
      </c>
      <c r="BI68" s="44">
        <f t="shared" si="78"/>
        <v>26000</v>
      </c>
      <c r="BJ68" s="44">
        <f t="shared" si="79"/>
        <v>0</v>
      </c>
      <c r="BK68" s="44">
        <f t="shared" si="20"/>
        <v>0</v>
      </c>
      <c r="BL68" s="44">
        <f t="shared" si="80"/>
        <v>0</v>
      </c>
      <c r="BM68" s="44">
        <f t="shared" si="21"/>
        <v>0</v>
      </c>
      <c r="BN68" s="44">
        <f t="shared" si="81"/>
        <v>0</v>
      </c>
      <c r="BO68" s="44">
        <f t="shared" si="22"/>
        <v>26000</v>
      </c>
      <c r="BP68" s="46">
        <f t="shared" si="23"/>
        <v>0</v>
      </c>
      <c r="BQ68" s="47">
        <f t="shared" si="24"/>
        <v>0</v>
      </c>
      <c r="BR68" s="604">
        <f t="shared" si="82"/>
        <v>0</v>
      </c>
      <c r="BS68" s="44">
        <f t="shared" si="83"/>
        <v>0</v>
      </c>
      <c r="BT68" s="44">
        <f t="shared" si="84"/>
        <v>0</v>
      </c>
      <c r="BU68" s="44">
        <f t="shared" si="85"/>
        <v>0</v>
      </c>
      <c r="BV68" s="44">
        <f t="shared" si="86"/>
        <v>26000</v>
      </c>
      <c r="BW68" s="44">
        <f t="shared" si="87"/>
        <v>0</v>
      </c>
      <c r="BX68" s="44">
        <f t="shared" si="25"/>
        <v>0</v>
      </c>
      <c r="BY68" s="44">
        <f t="shared" si="88"/>
        <v>0</v>
      </c>
      <c r="BZ68" s="44">
        <f t="shared" si="26"/>
        <v>0</v>
      </c>
      <c r="CA68" s="44">
        <f t="shared" si="89"/>
        <v>0</v>
      </c>
      <c r="CB68" s="44">
        <f t="shared" si="27"/>
        <v>26000</v>
      </c>
      <c r="CC68" s="46">
        <f t="shared" si="28"/>
        <v>0</v>
      </c>
      <c r="CD68" s="47">
        <f t="shared" si="29"/>
        <v>0</v>
      </c>
      <c r="CE68" s="604">
        <f t="shared" si="90"/>
        <v>0</v>
      </c>
      <c r="CF68" s="44">
        <f t="shared" si="91"/>
        <v>0</v>
      </c>
      <c r="CG68" s="44">
        <f t="shared" si="92"/>
        <v>0</v>
      </c>
      <c r="CH68" s="44">
        <f t="shared" si="93"/>
        <v>0</v>
      </c>
      <c r="CI68" s="44">
        <f t="shared" si="94"/>
        <v>26000</v>
      </c>
      <c r="CJ68" s="44">
        <f t="shared" si="95"/>
        <v>0</v>
      </c>
      <c r="CK68" s="44">
        <f t="shared" si="30"/>
        <v>0</v>
      </c>
      <c r="CL68" s="44">
        <f t="shared" si="96"/>
        <v>0</v>
      </c>
      <c r="CM68" s="44">
        <f t="shared" si="31"/>
        <v>0</v>
      </c>
      <c r="CN68" s="44">
        <f t="shared" si="97"/>
        <v>0</v>
      </c>
      <c r="CO68" s="44">
        <f t="shared" si="32"/>
        <v>26000</v>
      </c>
      <c r="CP68" s="46">
        <f t="shared" si="33"/>
        <v>0</v>
      </c>
      <c r="CQ68" s="47">
        <f t="shared" si="34"/>
        <v>0</v>
      </c>
      <c r="CR68" s="604">
        <f t="shared" si="98"/>
        <v>0</v>
      </c>
      <c r="CS68" s="44">
        <f t="shared" si="99"/>
        <v>0</v>
      </c>
      <c r="CT68" s="44">
        <f t="shared" si="100"/>
        <v>0</v>
      </c>
      <c r="CU68" s="44">
        <f t="shared" si="101"/>
        <v>0</v>
      </c>
      <c r="CV68" s="44">
        <f t="shared" si="102"/>
        <v>26000</v>
      </c>
      <c r="CW68" s="44">
        <f t="shared" si="103"/>
        <v>0</v>
      </c>
      <c r="CX68" s="44">
        <f t="shared" si="35"/>
        <v>0</v>
      </c>
      <c r="CY68" s="44">
        <f t="shared" si="104"/>
        <v>0</v>
      </c>
      <c r="CZ68" s="44">
        <f t="shared" si="36"/>
        <v>0</v>
      </c>
      <c r="DA68" s="44">
        <f t="shared" si="105"/>
        <v>0</v>
      </c>
      <c r="DB68" s="44">
        <f t="shared" si="37"/>
        <v>26000</v>
      </c>
      <c r="DC68" s="46">
        <f t="shared" si="38"/>
        <v>0</v>
      </c>
      <c r="DD68" s="47">
        <f t="shared" si="39"/>
        <v>0</v>
      </c>
      <c r="DE68" s="604">
        <f t="shared" si="106"/>
        <v>0</v>
      </c>
      <c r="DF68" s="44">
        <f t="shared" si="107"/>
        <v>0</v>
      </c>
      <c r="DG68" s="44">
        <f t="shared" si="108"/>
        <v>0</v>
      </c>
      <c r="DH68" s="44">
        <f t="shared" si="109"/>
        <v>0</v>
      </c>
      <c r="DI68" s="44">
        <f t="shared" si="110"/>
        <v>26000</v>
      </c>
      <c r="DJ68" s="44">
        <f t="shared" si="111"/>
        <v>0</v>
      </c>
      <c r="DK68" s="44">
        <f t="shared" si="40"/>
        <v>0</v>
      </c>
      <c r="DL68" s="44">
        <f t="shared" si="112"/>
        <v>0</v>
      </c>
      <c r="DM68" s="44">
        <f t="shared" si="41"/>
        <v>0</v>
      </c>
      <c r="DN68" s="44">
        <f t="shared" si="113"/>
        <v>0</v>
      </c>
      <c r="DO68" s="44">
        <f t="shared" si="42"/>
        <v>26000</v>
      </c>
      <c r="DP68" s="46">
        <f t="shared" si="43"/>
        <v>0</v>
      </c>
      <c r="DQ68" s="47">
        <f t="shared" si="44"/>
        <v>0</v>
      </c>
      <c r="DR68" s="604">
        <f t="shared" si="114"/>
        <v>0</v>
      </c>
      <c r="DS68" s="44">
        <f t="shared" si="115"/>
        <v>0</v>
      </c>
      <c r="DT68" s="44">
        <f t="shared" si="116"/>
        <v>0</v>
      </c>
      <c r="DU68" s="44">
        <f t="shared" si="117"/>
        <v>0</v>
      </c>
      <c r="DV68" s="44">
        <f t="shared" si="118"/>
        <v>26000</v>
      </c>
      <c r="DW68" s="44">
        <f t="shared" si="119"/>
        <v>0</v>
      </c>
      <c r="DX68" s="44">
        <f t="shared" si="45"/>
        <v>0</v>
      </c>
      <c r="DY68" s="44">
        <f t="shared" si="120"/>
        <v>0</v>
      </c>
      <c r="DZ68" s="44">
        <f t="shared" si="46"/>
        <v>0</v>
      </c>
      <c r="EA68" s="44">
        <f t="shared" si="121"/>
        <v>0</v>
      </c>
      <c r="EB68" s="44">
        <f t="shared" si="47"/>
        <v>26000</v>
      </c>
      <c r="EC68" s="46">
        <f t="shared" si="48"/>
        <v>0</v>
      </c>
      <c r="ED68" s="47">
        <f t="shared" si="49"/>
        <v>0</v>
      </c>
    </row>
    <row r="69" spans="1:134" x14ac:dyDescent="0.35">
      <c r="A69" s="81"/>
      <c r="B69" s="82"/>
      <c r="C69" s="82"/>
      <c r="D69" s="83"/>
      <c r="E69" s="87"/>
      <c r="F69" s="85"/>
      <c r="G69" s="185"/>
      <c r="H69" s="179"/>
      <c r="I69" s="180"/>
      <c r="J69" s="181"/>
      <c r="K69" s="42">
        <f t="shared" ref="K69:K132" si="122">IF(AND(G69&gt;0,G69&lt;=1,H69=0),1,IF(H69&gt;=1,1,IF(AND(H69&gt;0,H69&lt;1),H69,IF(AND(G69&gt;1,OR(H69=0,H69="")),ROUND(1/G69,4),0))))</f>
        <v>0</v>
      </c>
      <c r="L69" s="43">
        <f t="shared" ref="L69:L132" si="123">IF(AND(E69&gt;0,F69&gt;0,OR(G69&gt;0,H69&gt;0)),ROUND((E69-I69)*K69,2),IF(AND(E69&lt;0,F69&gt;0,OR(G69&gt;0,H69&gt;0)),ROUND(E69*K69,2),0))</f>
        <v>0</v>
      </c>
      <c r="M69" s="44">
        <f t="shared" ref="M69:M132" si="124">IF(AND(E69-O69&gt;=0,F69&gt;0,YEAR(M$4)&gt;=YEAR(F69)),E69-O69,IF(AND(E69-O69&lt;0,F69&gt;0,YEAR(M$4)&gt;=YEAR(F69)),E69-O69,0))</f>
        <v>0</v>
      </c>
      <c r="N69" s="44"/>
      <c r="O69" s="44">
        <f t="shared" ref="O69:O132" si="125">IF(AND(YEAR(F69)&lt;=YEAR(M$4),E69&lt;1000,E69&gt;-1000,F69&gt;0,K69=1),E69-I69,IF(AND(YEAR(F69)&lt;=YEAR(M$4),E69&gt;0,F69&gt;0,K69&gt;0,E69&gt;L69*(YEAR(M$4)-YEAR(F69))+ROUND((L69/12)*(13-MONTH(F69)),2)+I69),L69*(YEAR(M$4)-YEAR(F69))+ROUND((L69/12)*(13-MONTH(F69)),2),IF(AND(YEAR(F69)&lt;=YEAR(M$4),E69&gt;0,F69&gt;0,K69&gt;0,E69&lt;=(L69*(YEAR(M$4)-YEAR(F69)+ROUND((L69/12)*(13-MONTH(F69)),2)))+I69),E69-I69,IF(AND(YEAR(F69)&lt;=YEAR(M$4),E69&lt;0,F69&gt;0,K69&gt;0,E69&lt;L69*(YEAR(M$4)-YEAR(F69))+ROUND((L69/12)*(13-MONTH(F69)),2)+I69),L69*(YEAR(M$4)-YEAR(F69))+ROUND((L69/12)*(13-MONTH(F69)),2),IF(AND(YEAR(F69)&lt;=YEAR(M$4),E69&lt;0,F69&gt;0,K69&gt;0,E69&lt;=(L69*(YEAR(M$4)-YEAR(F69)+ROUND((L69/12)*(13-MONTH(F69)),2)))),E69,0)))))</f>
        <v>0</v>
      </c>
      <c r="P69" s="45"/>
      <c r="Q69" s="44">
        <f t="shared" ref="Q69:Q132" si="126">IF(AND(F69&gt;0,F69&lt;=M$4),E69,0)</f>
        <v>0</v>
      </c>
      <c r="R69" s="604">
        <f t="shared" si="50"/>
        <v>0</v>
      </c>
      <c r="S69" s="44">
        <f t="shared" si="51"/>
        <v>0</v>
      </c>
      <c r="T69" s="44">
        <f t="shared" si="52"/>
        <v>0</v>
      </c>
      <c r="U69" s="44">
        <f t="shared" si="53"/>
        <v>0</v>
      </c>
      <c r="V69" s="44">
        <f t="shared" si="54"/>
        <v>0</v>
      </c>
      <c r="W69" s="44">
        <f t="shared" si="55"/>
        <v>0</v>
      </c>
      <c r="X69" s="44">
        <f t="shared" ref="X69:X132" si="127">IF(AND(YEAR($F69)=YEAR(Z$4),$E69&lt;1000,$E69&gt;-1000,$F69&gt;0,$K69=1),$E69-$I69,IF(AND(YEAR($F69)=YEAR(Z$4),$F69&gt;0,$K69&gt;0),ROUND(($L69/12)*(13-MONTH($F69)),2),IF(AND(YEAR($F69)&lt;YEAR(Z$4),$E69&gt;0,$F69&gt;0,$K69&gt;0,M69&gt;$L69+$I69),$L69,IF(AND(YEAR($F69)&lt;YEAR(Z$4),$E69&gt;0,$F69&gt;0,$K69&gt;0,M69&gt;0,M69&lt;=$L69+$I69),M69-$I69,IF(AND(YEAR($F69)&lt;YEAR(Z$4),$E69&lt;0,$F69&gt;0,$K69&gt;0,M69&lt;0,M69&lt;=$L69),$L69,IF(AND(YEAR($F69)&lt;YEAR(Z$4),$E69&lt;0,$F69&gt;0,$K69&gt;0,M69&lt;0,M69&gt;$L69),M69,0))))))</f>
        <v>0</v>
      </c>
      <c r="Y69" s="44">
        <f t="shared" si="56"/>
        <v>0</v>
      </c>
      <c r="Z69" s="44">
        <f t="shared" ref="Z69:Z132" si="128">IF(AND(YEAR(Z$4)=YEAR($F69),$E69&gt;0,$F69&gt;0,$E69-X69&gt;=0),$E69-X69,IF(AND(YEAR(Z$4)&gt;YEAR($F69),$E69&gt;0,$F69&gt;0,M69-X69&gt;=0),M69-X69,IF(AND(YEAR(Z$4)=YEAR($F69),$E69&lt;0,$F69&gt;0,$E69-X69&lt;0),$E69-X69,IF(AND(YEAR(Z$4)&gt;YEAR($F69),$E69&lt;0,$F69&gt;0,M69-X69&lt;=0),M69-X69,0))))</f>
        <v>0</v>
      </c>
      <c r="AA69" s="44">
        <f t="shared" si="57"/>
        <v>0</v>
      </c>
      <c r="AB69" s="44">
        <f t="shared" ref="AB69:AB132" si="129">O69+X69</f>
        <v>0</v>
      </c>
      <c r="AC69" s="46">
        <f t="shared" ref="AC69:AC132" si="130">IF(AND(R69&lt;&gt;0,$J69="H",$L69=0),T69,IF(AND(YEAR(Z$4)&gt;YEAR($F69),$J69="H",$F69&gt;0,$L69=0),$E69,0))</f>
        <v>0</v>
      </c>
      <c r="AD69" s="47">
        <f t="shared" ref="AD69:AD132" si="131">IF(AND(YEAR(Z$4)&gt;=YEAR($F69),$E69&gt;0,$F69&gt;0,X69&gt;0,$J69="H"),ROUND(X69/$L69*$E69,2),IF(AND(YEAR(Z$4)&gt;=YEAR($F69),$E69&lt;0,$F69&gt;0,X69&lt;0,$J69="H"),ROUND(X69/$L69*$E69,2),0))</f>
        <v>0</v>
      </c>
      <c r="AE69" s="604">
        <f t="shared" si="58"/>
        <v>0</v>
      </c>
      <c r="AF69" s="44">
        <f t="shared" si="59"/>
        <v>0</v>
      </c>
      <c r="AG69" s="44">
        <f t="shared" si="60"/>
        <v>0</v>
      </c>
      <c r="AH69" s="44">
        <f t="shared" si="61"/>
        <v>0</v>
      </c>
      <c r="AI69" s="44">
        <f t="shared" si="62"/>
        <v>0</v>
      </c>
      <c r="AJ69" s="44">
        <f t="shared" si="63"/>
        <v>0</v>
      </c>
      <c r="AK69" s="44">
        <f t="shared" ref="AK69:AK132" si="132">IF(AND(YEAR($F69)=YEAR(AM$4),$E69&lt;1000,$E69&gt;-1000,$F69&gt;0,$K69=1),$E69-$I69,IF(AND(YEAR($F69)=YEAR(AM$4),$F69&gt;0,$K69&gt;0),ROUND(($L69/12)*(13-MONTH($F69)),2),IF(AND(YEAR($F69)&lt;YEAR(AM$4),$E69&gt;0,$F69&gt;0,$K69&gt;0,Z69&gt;$L69+$I69),$L69,IF(AND(YEAR($F69)&lt;YEAR(AM$4),$E69&gt;0,$F69&gt;0,$K69&gt;0,Z69&gt;0,Z69&lt;=$L69+$I69),Z69-$I69,IF(AND(YEAR($F69)&lt;YEAR(AM$4),$E69&lt;0,$F69&gt;0,$K69&gt;0,Z69&lt;0,Z69&lt;=$L69),$L69,IF(AND(YEAR($F69)&lt;YEAR(AM$4),$E69&lt;0,$F69&gt;0,$K69&gt;0,Z69&lt;0,Z69&gt;$L69),Z69,0))))))</f>
        <v>0</v>
      </c>
      <c r="AL69" s="44">
        <f t="shared" si="64"/>
        <v>0</v>
      </c>
      <c r="AM69" s="44">
        <f t="shared" ref="AM69:AM132" si="133">IF(AND(YEAR(AM$4)=YEAR($F69),$E69&gt;0,$F69&gt;0,$E69-AK69&gt;=0),$E69-AK69,IF(AND(YEAR(AM$4)&gt;YEAR($F69),$E69&gt;0,$F69&gt;0,Z69-AK69&gt;=0),Z69-AK69,IF(AND(YEAR(AM$4)=YEAR($F69),$E69&lt;0,$F69&gt;0,$E69-AK69&lt;0),$E69-AK69,IF(AND(YEAR(AM$4)&gt;YEAR($F69),$E69&lt;0,$F69&gt;0,Z69-AK69&lt;=0),Z69-AK69,0))))</f>
        <v>0</v>
      </c>
      <c r="AN69" s="44">
        <f t="shared" si="65"/>
        <v>0</v>
      </c>
      <c r="AO69" s="44">
        <f t="shared" ref="AO69:AO132" si="134">AB69+AK69</f>
        <v>0</v>
      </c>
      <c r="AP69" s="46">
        <f t="shared" ref="AP69:AP132" si="135">IF(AND(AE69&lt;&gt;0,$J69="H",$L69=0),AG69,IF(AND(YEAR(AM$4)&gt;YEAR($F69),$J69="H",$F69&gt;0,$L69=0),$E69,0))</f>
        <v>0</v>
      </c>
      <c r="AQ69" s="47">
        <f t="shared" ref="AQ69:AQ132" si="136">IF(AND(YEAR(AM$4)&gt;=YEAR($F69),$E69&gt;0,$F69&gt;0,AK69&gt;0,$J69="H"),ROUND(AK69/$L69*$E69,2),IF(AND(YEAR(AM$4)&gt;=YEAR($F69),$E69&lt;0,$F69&gt;0,AK69&lt;0,$J69="H"),ROUND(AK69/$L69*$E69,2),0))</f>
        <v>0</v>
      </c>
      <c r="AR69" s="604">
        <f t="shared" si="66"/>
        <v>0</v>
      </c>
      <c r="AS69" s="44">
        <f t="shared" si="67"/>
        <v>0</v>
      </c>
      <c r="AT69" s="44">
        <f t="shared" si="68"/>
        <v>0</v>
      </c>
      <c r="AU69" s="44">
        <f t="shared" si="69"/>
        <v>0</v>
      </c>
      <c r="AV69" s="44">
        <f t="shared" si="70"/>
        <v>0</v>
      </c>
      <c r="AW69" s="44">
        <f t="shared" si="71"/>
        <v>0</v>
      </c>
      <c r="AX69" s="44">
        <f t="shared" ref="AX69:AX132" si="137">IF(AND(YEAR($F69)=YEAR(AZ$4),$E69&lt;1000,$E69&gt;-1000,$F69&gt;0,$K69=1),$E69-$I69,IF(AND(YEAR($F69)=YEAR(AZ$4),$F69&gt;0,$K69&gt;0),ROUND(($L69/12)*(13-MONTH($F69)),2),IF(AND(YEAR($F69)&lt;YEAR(AZ$4),$E69&gt;0,$F69&gt;0,$K69&gt;0,AM69&gt;$L69+$I69),$L69,IF(AND(YEAR($F69)&lt;YEAR(AZ$4),$E69&gt;0,$F69&gt;0,$K69&gt;0,AM69&gt;0,AM69&lt;=$L69+$I69),AM69-$I69,IF(AND(YEAR($F69)&lt;YEAR(AZ$4),$E69&lt;0,$F69&gt;0,$K69&gt;0,AM69&lt;0,AM69&lt;=$L69),$L69,IF(AND(YEAR($F69)&lt;YEAR(AZ$4),$E69&lt;0,$F69&gt;0,$K69&gt;0,AM69&lt;0,AM69&gt;$L69),AM69,0))))))</f>
        <v>0</v>
      </c>
      <c r="AY69" s="44">
        <f t="shared" si="72"/>
        <v>0</v>
      </c>
      <c r="AZ69" s="44">
        <f t="shared" ref="AZ69:AZ132" si="138">IF(AND(YEAR(AZ$4)=YEAR($F69),$E69&gt;0,$F69&gt;0,$E69-AX69&gt;=0),$E69-AX69,IF(AND(YEAR(AZ$4)&gt;YEAR($F69),$E69&gt;0,$F69&gt;0,AM69-AX69&gt;=0),AM69-AX69,IF(AND(YEAR(AZ$4)=YEAR($F69),$E69&lt;0,$F69&gt;0,$E69-AX69&lt;0),$E69-AX69,IF(AND(YEAR(AZ$4)&gt;YEAR($F69),$E69&lt;0,$F69&gt;0,AM69-AX69&lt;=0),AM69-AX69,0))))</f>
        <v>0</v>
      </c>
      <c r="BA69" s="44">
        <f t="shared" si="73"/>
        <v>0</v>
      </c>
      <c r="BB69" s="44">
        <f t="shared" ref="BB69:BB132" si="139">AO69+AX69</f>
        <v>0</v>
      </c>
      <c r="BC69" s="46">
        <f t="shared" ref="BC69:BC132" si="140">IF(AND(AR69&lt;&gt;0,$J69="H",$L69=0),AT69,IF(AND(YEAR(AZ$4)&gt;YEAR($F69),$J69="H",$F69&gt;0,$L69=0),$E69,0))</f>
        <v>0</v>
      </c>
      <c r="BD69" s="47">
        <f t="shared" ref="BD69:BD132" si="141">IF(AND(YEAR(AZ$4)&gt;=YEAR($F69),$E69&gt;0,$F69&gt;0,AX69&gt;0,$J69="H"),ROUND(AX69/$L69*$E69,2),IF(AND(YEAR(AZ$4)&gt;=YEAR($F69),$E69&lt;0,$F69&gt;0,AX69&lt;0,$J69="H"),ROUND(AX69/$L69*$E69,2),0))</f>
        <v>0</v>
      </c>
      <c r="BE69" s="604">
        <f t="shared" si="74"/>
        <v>0</v>
      </c>
      <c r="BF69" s="44">
        <f t="shared" si="75"/>
        <v>0</v>
      </c>
      <c r="BG69" s="44">
        <f t="shared" si="76"/>
        <v>0</v>
      </c>
      <c r="BH69" s="44">
        <f t="shared" si="77"/>
        <v>0</v>
      </c>
      <c r="BI69" s="44">
        <f t="shared" si="78"/>
        <v>0</v>
      </c>
      <c r="BJ69" s="44">
        <f t="shared" si="79"/>
        <v>0</v>
      </c>
      <c r="BK69" s="44">
        <f t="shared" ref="BK69:BK132" si="142">IF(AND(YEAR($F69)=YEAR(BM$4),$E69&lt;1000,$E69&gt;-1000,$F69&gt;0,$K69=1),$E69-$I69,IF(AND(YEAR($F69)=YEAR(BM$4),$F69&gt;0,$K69&gt;0),ROUND(($L69/12)*(13-MONTH($F69)),2),IF(AND(YEAR($F69)&lt;YEAR(BM$4),$E69&gt;0,$F69&gt;0,$K69&gt;0,AZ69&gt;$L69+$I69),$L69,IF(AND(YEAR($F69)&lt;YEAR(BM$4),$E69&gt;0,$F69&gt;0,$K69&gt;0,AZ69&gt;0,AZ69&lt;=$L69+$I69),AZ69-$I69,IF(AND(YEAR($F69)&lt;YEAR(BM$4),$E69&lt;0,$F69&gt;0,$K69&gt;0,AZ69&lt;0,AZ69&lt;=$L69),$L69,IF(AND(YEAR($F69)&lt;YEAR(BM$4),$E69&lt;0,$F69&gt;0,$K69&gt;0,AZ69&lt;0,AZ69&gt;$L69),AZ69,0))))))</f>
        <v>0</v>
      </c>
      <c r="BL69" s="44">
        <f t="shared" si="80"/>
        <v>0</v>
      </c>
      <c r="BM69" s="44">
        <f t="shared" ref="BM69:BM132" si="143">IF(AND(YEAR(BM$4)=YEAR($F69),$E69&gt;0,$F69&gt;0,$E69-BK69&gt;=0),$E69-BK69,IF(AND(YEAR(BM$4)&gt;YEAR($F69),$E69&gt;0,$F69&gt;0,AZ69-BK69&gt;=0),AZ69-BK69,IF(AND(YEAR(BM$4)=YEAR($F69),$E69&lt;0,$F69&gt;0,$E69-BK69&lt;0),$E69-BK69,IF(AND(YEAR(BM$4)&gt;YEAR($F69),$E69&lt;0,$F69&gt;0,AZ69-BK69&lt;=0),AZ69-BK69,0))))</f>
        <v>0</v>
      </c>
      <c r="BN69" s="44">
        <f t="shared" si="81"/>
        <v>0</v>
      </c>
      <c r="BO69" s="44">
        <f t="shared" ref="BO69:BO132" si="144">BB69+BK69</f>
        <v>0</v>
      </c>
      <c r="BP69" s="46">
        <f t="shared" ref="BP69:BP132" si="145">IF(AND(BE69&lt;&gt;0,$J69="H",$L69=0),BG69,IF(AND(YEAR(BM$4)&gt;YEAR($F69),$J69="H",$F69&gt;0,$L69=0),$E69,0))</f>
        <v>0</v>
      </c>
      <c r="BQ69" s="47">
        <f t="shared" ref="BQ69:BQ132" si="146">IF(AND(YEAR(BM$4)&gt;=YEAR($F69),$E69&gt;0,$F69&gt;0,BK69&gt;0,$J69="H"),ROUND(BK69/$L69*$E69,2),IF(AND(YEAR(BM$4)&gt;=YEAR($F69),$E69&lt;0,$F69&gt;0,BK69&lt;0,$J69="H"),ROUND(BK69/$L69*$E69,2),0))</f>
        <v>0</v>
      </c>
      <c r="BR69" s="604">
        <f t="shared" si="82"/>
        <v>0</v>
      </c>
      <c r="BS69" s="44">
        <f t="shared" si="83"/>
        <v>0</v>
      </c>
      <c r="BT69" s="44">
        <f t="shared" si="84"/>
        <v>0</v>
      </c>
      <c r="BU69" s="44">
        <f t="shared" si="85"/>
        <v>0</v>
      </c>
      <c r="BV69" s="44">
        <f t="shared" si="86"/>
        <v>0</v>
      </c>
      <c r="BW69" s="44">
        <f t="shared" si="87"/>
        <v>0</v>
      </c>
      <c r="BX69" s="44">
        <f t="shared" ref="BX69:BX132" si="147">IF(AND(YEAR($F69)=YEAR(BZ$4),$E69&lt;1000,$E69&gt;-1000,$F69&gt;0,$K69=1),$E69-$I69,IF(AND(YEAR($F69)=YEAR(BZ$4),$F69&gt;0,$K69&gt;0),ROUND(($L69/12)*(13-MONTH($F69)),2),IF(AND(YEAR($F69)&lt;YEAR(BZ$4),$E69&gt;0,$F69&gt;0,$K69&gt;0,BM69&gt;$L69+$I69),$L69,IF(AND(YEAR($F69)&lt;YEAR(BZ$4),$E69&gt;0,$F69&gt;0,$K69&gt;0,BM69&gt;0,BM69&lt;=$L69+$I69),BM69-$I69,IF(AND(YEAR($F69)&lt;YEAR(BZ$4),$E69&lt;0,$F69&gt;0,$K69&gt;0,BM69&lt;0,BM69&lt;=$L69),$L69,IF(AND(YEAR($F69)&lt;YEAR(BZ$4),$E69&lt;0,$F69&gt;0,$K69&gt;0,BM69&lt;0,BM69&gt;$L69),BM69,0))))))</f>
        <v>0</v>
      </c>
      <c r="BY69" s="44">
        <f t="shared" si="88"/>
        <v>0</v>
      </c>
      <c r="BZ69" s="44">
        <f t="shared" ref="BZ69:BZ132" si="148">IF(AND(YEAR(BZ$4)=YEAR($F69),$E69&gt;0,$F69&gt;0,$E69-BX69&gt;=0),$E69-BX69,IF(AND(YEAR(BZ$4)&gt;YEAR($F69),$E69&gt;0,$F69&gt;0,BM69-BX69&gt;=0),BM69-BX69,IF(AND(YEAR(BZ$4)=YEAR($F69),$E69&lt;0,$F69&gt;0,$E69-BX69&lt;0),$E69-BX69,IF(AND(YEAR(BZ$4)&gt;YEAR($F69),$E69&lt;0,$F69&gt;0,BM69-BX69&lt;=0),BM69-BX69,0))))</f>
        <v>0</v>
      </c>
      <c r="CA69" s="44">
        <f t="shared" si="89"/>
        <v>0</v>
      </c>
      <c r="CB69" s="44">
        <f t="shared" ref="CB69:CB132" si="149">BO69+BX69</f>
        <v>0</v>
      </c>
      <c r="CC69" s="46">
        <f t="shared" ref="CC69:CC132" si="150">IF(AND(BR69&lt;&gt;0,$J69="H",$L69=0),BT69,IF(AND(YEAR(BZ$4)&gt;YEAR($F69),$J69="H",$F69&gt;0,$L69=0),$E69,0))</f>
        <v>0</v>
      </c>
      <c r="CD69" s="47">
        <f t="shared" ref="CD69:CD132" si="151">IF(AND(YEAR(BZ$4)&gt;=YEAR($F69),$E69&gt;0,$F69&gt;0,BX69&gt;0,$J69="H"),ROUND(BX69/$L69*$E69,2),IF(AND(YEAR(BZ$4)&gt;=YEAR($F69),$E69&lt;0,$F69&gt;0,BX69&lt;0,$J69="H"),ROUND(BX69/$L69*$E69,2),0))</f>
        <v>0</v>
      </c>
      <c r="CE69" s="604">
        <f t="shared" si="90"/>
        <v>0</v>
      </c>
      <c r="CF69" s="44">
        <f t="shared" si="91"/>
        <v>0</v>
      </c>
      <c r="CG69" s="44">
        <f t="shared" si="92"/>
        <v>0</v>
      </c>
      <c r="CH69" s="44">
        <f t="shared" si="93"/>
        <v>0</v>
      </c>
      <c r="CI69" s="44">
        <f t="shared" si="94"/>
        <v>0</v>
      </c>
      <c r="CJ69" s="44">
        <f t="shared" si="95"/>
        <v>0</v>
      </c>
      <c r="CK69" s="44">
        <f t="shared" ref="CK69:CK132" si="152">IF(AND(YEAR($F69)=YEAR(CM$4),$E69&lt;1000,$E69&gt;-1000,$F69&gt;0,$K69=1),$E69-$I69,IF(AND(YEAR($F69)=YEAR(CM$4),$F69&gt;0,$K69&gt;0),ROUND(($L69/12)*(13-MONTH($F69)),2),IF(AND(YEAR($F69)&lt;YEAR(CM$4),$E69&gt;0,$F69&gt;0,$K69&gt;0,BZ69&gt;$L69+$I69),$L69,IF(AND(YEAR($F69)&lt;YEAR(CM$4),$E69&gt;0,$F69&gt;0,$K69&gt;0,BZ69&gt;0,BZ69&lt;=$L69+$I69),BZ69-$I69,IF(AND(YEAR($F69)&lt;YEAR(CM$4),$E69&lt;0,$F69&gt;0,$K69&gt;0,BZ69&lt;0,BZ69&lt;=$L69),$L69,IF(AND(YEAR($F69)&lt;YEAR(CM$4),$E69&lt;0,$F69&gt;0,$K69&gt;0,BZ69&lt;0,BZ69&gt;$L69),BZ69,0))))))</f>
        <v>0</v>
      </c>
      <c r="CL69" s="44">
        <f t="shared" si="96"/>
        <v>0</v>
      </c>
      <c r="CM69" s="44">
        <f t="shared" ref="CM69:CM132" si="153">IF(AND(YEAR(CM$4)=YEAR($F69),$E69&gt;0,$F69&gt;0,$E69-CK69&gt;=0),$E69-CK69,IF(AND(YEAR(CM$4)&gt;YEAR($F69),$E69&gt;0,$F69&gt;0,BZ69-CK69&gt;=0),BZ69-CK69,IF(AND(YEAR(CM$4)=YEAR($F69),$E69&lt;0,$F69&gt;0,$E69-CK69&lt;0),$E69-CK69,IF(AND(YEAR(CM$4)&gt;YEAR($F69),$E69&lt;0,$F69&gt;0,BZ69-CK69&lt;=0),BZ69-CK69,0))))</f>
        <v>0</v>
      </c>
      <c r="CN69" s="44">
        <f t="shared" si="97"/>
        <v>0</v>
      </c>
      <c r="CO69" s="44">
        <f t="shared" ref="CO69:CO132" si="154">CB69+CK69</f>
        <v>0</v>
      </c>
      <c r="CP69" s="46">
        <f t="shared" ref="CP69:CP132" si="155">IF(AND(CE69&lt;&gt;0,$J69="H",$L69=0),CG69,IF(AND(YEAR(CM$4)&gt;YEAR($F69),$J69="H",$F69&gt;0,$L69=0),$E69,0))</f>
        <v>0</v>
      </c>
      <c r="CQ69" s="47">
        <f t="shared" ref="CQ69:CQ132" si="156">IF(AND(YEAR(CM$4)&gt;=YEAR($F69),$E69&gt;0,$F69&gt;0,CK69&gt;0,$J69="H"),ROUND(CK69/$L69*$E69,2),IF(AND(YEAR(CM$4)&gt;=YEAR($F69),$E69&lt;0,$F69&gt;0,CK69&lt;0,$J69="H"),ROUND(CK69/$L69*$E69,2),0))</f>
        <v>0</v>
      </c>
      <c r="CR69" s="604">
        <f t="shared" si="98"/>
        <v>0</v>
      </c>
      <c r="CS69" s="44">
        <f t="shared" si="99"/>
        <v>0</v>
      </c>
      <c r="CT69" s="44">
        <f t="shared" si="100"/>
        <v>0</v>
      </c>
      <c r="CU69" s="44">
        <f t="shared" si="101"/>
        <v>0</v>
      </c>
      <c r="CV69" s="44">
        <f t="shared" si="102"/>
        <v>0</v>
      </c>
      <c r="CW69" s="44">
        <f t="shared" si="103"/>
        <v>0</v>
      </c>
      <c r="CX69" s="44">
        <f t="shared" ref="CX69:CX132" si="157">IF(AND(YEAR($F69)=YEAR(CZ$4),$E69&lt;1000,$E69&gt;-1000,$F69&gt;0,$K69=1),$E69-$I69,IF(AND(YEAR($F69)=YEAR(CZ$4),$F69&gt;0,$K69&gt;0),ROUND(($L69/12)*(13-MONTH($F69)),2),IF(AND(YEAR($F69)&lt;YEAR(CZ$4),$E69&gt;0,$F69&gt;0,$K69&gt;0,CM69&gt;$L69+$I69),$L69,IF(AND(YEAR($F69)&lt;YEAR(CZ$4),$E69&gt;0,$F69&gt;0,$K69&gt;0,CM69&gt;0,CM69&lt;=$L69+$I69),CM69-$I69,IF(AND(YEAR($F69)&lt;YEAR(CZ$4),$E69&lt;0,$F69&gt;0,$K69&gt;0,CM69&lt;0,CM69&lt;=$L69),$L69,IF(AND(YEAR($F69)&lt;YEAR(CZ$4),$E69&lt;0,$F69&gt;0,$K69&gt;0,CM69&lt;0,CM69&gt;$L69),CM69,0))))))</f>
        <v>0</v>
      </c>
      <c r="CY69" s="44">
        <f t="shared" si="104"/>
        <v>0</v>
      </c>
      <c r="CZ69" s="44">
        <f t="shared" ref="CZ69:CZ132" si="158">IF(AND(YEAR(CZ$4)=YEAR($F69),$E69&gt;0,$F69&gt;0,$E69-CX69&gt;=0),$E69-CX69,IF(AND(YEAR(CZ$4)&gt;YEAR($F69),$E69&gt;0,$F69&gt;0,CM69-CX69&gt;=0),CM69-CX69,IF(AND(YEAR(CZ$4)=YEAR($F69),$E69&lt;0,$F69&gt;0,$E69-CX69&lt;0),$E69-CX69,IF(AND(YEAR(CZ$4)&gt;YEAR($F69),$E69&lt;0,$F69&gt;0,CM69-CX69&lt;=0),CM69-CX69,0))))</f>
        <v>0</v>
      </c>
      <c r="DA69" s="44">
        <f t="shared" si="105"/>
        <v>0</v>
      </c>
      <c r="DB69" s="44">
        <f t="shared" ref="DB69:DB132" si="159">CO69+CX69</f>
        <v>0</v>
      </c>
      <c r="DC69" s="46">
        <f t="shared" ref="DC69:DC132" si="160">IF(AND(CR69&lt;&gt;0,$J69="H",$L69=0),CT69,IF(AND(YEAR(CZ$4)&gt;YEAR($F69),$J69="H",$F69&gt;0,$L69=0),$E69,0))</f>
        <v>0</v>
      </c>
      <c r="DD69" s="47">
        <f t="shared" ref="DD69:DD132" si="161">IF(AND(YEAR(CZ$4)&gt;=YEAR($F69),$E69&gt;0,$F69&gt;0,CX69&gt;0,$J69="H"),ROUND(CX69/$L69*$E69,2),IF(AND(YEAR(CZ$4)&gt;=YEAR($F69),$E69&lt;0,$F69&gt;0,CX69&lt;0,$J69="H"),ROUND(CX69/$L69*$E69,2),0))</f>
        <v>0</v>
      </c>
      <c r="DE69" s="604">
        <f t="shared" si="106"/>
        <v>0</v>
      </c>
      <c r="DF69" s="44">
        <f t="shared" si="107"/>
        <v>0</v>
      </c>
      <c r="DG69" s="44">
        <f t="shared" si="108"/>
        <v>0</v>
      </c>
      <c r="DH69" s="44">
        <f t="shared" si="109"/>
        <v>0</v>
      </c>
      <c r="DI69" s="44">
        <f t="shared" si="110"/>
        <v>0</v>
      </c>
      <c r="DJ69" s="44">
        <f t="shared" si="111"/>
        <v>0</v>
      </c>
      <c r="DK69" s="44">
        <f t="shared" ref="DK69:DK132" si="162">IF(AND(YEAR($F69)=YEAR(DM$4),$E69&lt;1000,$E69&gt;-1000,$F69&gt;0,$K69=1),$E69-$I69,IF(AND(YEAR($F69)=YEAR(DM$4),$F69&gt;0,$K69&gt;0),ROUND(($L69/12)*(13-MONTH($F69)),2),IF(AND(YEAR($F69)&lt;YEAR(DM$4),$E69&gt;0,$F69&gt;0,$K69&gt;0,CZ69&gt;$L69+$I69),$L69,IF(AND(YEAR($F69)&lt;YEAR(DM$4),$E69&gt;0,$F69&gt;0,$K69&gt;0,CZ69&gt;0,CZ69&lt;=$L69+$I69),CZ69-$I69,IF(AND(YEAR($F69)&lt;YEAR(DM$4),$E69&lt;0,$F69&gt;0,$K69&gt;0,CZ69&lt;0,CZ69&lt;=$L69),$L69,IF(AND(YEAR($F69)&lt;YEAR(DM$4),$E69&lt;0,$F69&gt;0,$K69&gt;0,CZ69&lt;0,CZ69&gt;$L69),CZ69,0))))))</f>
        <v>0</v>
      </c>
      <c r="DL69" s="44">
        <f t="shared" si="112"/>
        <v>0</v>
      </c>
      <c r="DM69" s="44">
        <f t="shared" ref="DM69:DM132" si="163">IF(AND(YEAR(DM$4)=YEAR($F69),$E69&gt;0,$F69&gt;0,$E69-DK69&gt;=0),$E69-DK69,IF(AND(YEAR(DM$4)&gt;YEAR($F69),$E69&gt;0,$F69&gt;0,CZ69-DK69&gt;=0),CZ69-DK69,IF(AND(YEAR(DM$4)=YEAR($F69),$E69&lt;0,$F69&gt;0,$E69-DK69&lt;0),$E69-DK69,IF(AND(YEAR(DM$4)&gt;YEAR($F69),$E69&lt;0,$F69&gt;0,CZ69-DK69&lt;=0),CZ69-DK69,0))))</f>
        <v>0</v>
      </c>
      <c r="DN69" s="44">
        <f t="shared" si="113"/>
        <v>0</v>
      </c>
      <c r="DO69" s="44">
        <f t="shared" ref="DO69:DO132" si="164">DB69+DK69</f>
        <v>0</v>
      </c>
      <c r="DP69" s="46">
        <f t="shared" ref="DP69:DP132" si="165">IF(AND(DE69&lt;&gt;0,$J69="H",$L69=0),DG69,IF(AND(YEAR(DM$4)&gt;YEAR($F69),$J69="H",$F69&gt;0,$L69=0),$E69,0))</f>
        <v>0</v>
      </c>
      <c r="DQ69" s="47">
        <f t="shared" ref="DQ69:DQ132" si="166">IF(AND(YEAR(DM$4)&gt;=YEAR($F69),$E69&gt;0,$F69&gt;0,DK69&gt;0,$J69="H"),ROUND(DK69/$L69*$E69,2),IF(AND(YEAR(DM$4)&gt;=YEAR($F69),$E69&lt;0,$F69&gt;0,DK69&lt;0,$J69="H"),ROUND(DK69/$L69*$E69,2),0))</f>
        <v>0</v>
      </c>
      <c r="DR69" s="604">
        <f t="shared" si="114"/>
        <v>0</v>
      </c>
      <c r="DS69" s="44">
        <f t="shared" si="115"/>
        <v>0</v>
      </c>
      <c r="DT69" s="44">
        <f t="shared" si="116"/>
        <v>0</v>
      </c>
      <c r="DU69" s="44">
        <f t="shared" si="117"/>
        <v>0</v>
      </c>
      <c r="DV69" s="44">
        <f t="shared" si="118"/>
        <v>0</v>
      </c>
      <c r="DW69" s="44">
        <f t="shared" si="119"/>
        <v>0</v>
      </c>
      <c r="DX69" s="44">
        <f t="shared" ref="DX69:DX132" si="167">IF(AND(YEAR($F69)=YEAR(DZ$4),$E69&lt;1000,$E69&gt;-1000,$F69&gt;0,$K69=1),$E69-$I69,IF(AND(YEAR($F69)=YEAR(DZ$4),$F69&gt;0,$K69&gt;0),ROUND(($L69/12)*(13-MONTH($F69)),2),IF(AND(YEAR($F69)&lt;YEAR(DZ$4),$E69&gt;0,$F69&gt;0,$K69&gt;0,DM69&gt;$L69+$I69),$L69,IF(AND(YEAR($F69)&lt;YEAR(DZ$4),$E69&gt;0,$F69&gt;0,$K69&gt;0,DM69&gt;0,DM69&lt;=$L69+$I69),DM69-$I69,IF(AND(YEAR($F69)&lt;YEAR(DZ$4),$E69&lt;0,$F69&gt;0,$K69&gt;0,DM69&lt;0,DM69&lt;=$L69),$L69,IF(AND(YEAR($F69)&lt;YEAR(DZ$4),$E69&lt;0,$F69&gt;0,$K69&gt;0,DM69&lt;0,DM69&gt;$L69),DM69,0))))))</f>
        <v>0</v>
      </c>
      <c r="DY69" s="44">
        <f t="shared" si="120"/>
        <v>0</v>
      </c>
      <c r="DZ69" s="44">
        <f t="shared" ref="DZ69:DZ132" si="168">IF(AND(YEAR(DZ$4)=YEAR($F69),$E69&gt;0,$F69&gt;0,$E69-DX69&gt;=0),$E69-DX69,IF(AND(YEAR(DZ$4)&gt;YEAR($F69),$E69&gt;0,$F69&gt;0,DM69-DX69&gt;=0),DM69-DX69,IF(AND(YEAR(DZ$4)=YEAR($F69),$E69&lt;0,$F69&gt;0,$E69-DX69&lt;0),$E69-DX69,IF(AND(YEAR(DZ$4)&gt;YEAR($F69),$E69&lt;0,$F69&gt;0,DM69-DX69&lt;=0),DM69-DX69,0))))</f>
        <v>0</v>
      </c>
      <c r="EA69" s="44">
        <f t="shared" si="121"/>
        <v>0</v>
      </c>
      <c r="EB69" s="44">
        <f t="shared" ref="EB69:EB132" si="169">DO69+DX69</f>
        <v>0</v>
      </c>
      <c r="EC69" s="46">
        <f t="shared" ref="EC69:EC132" si="170">IF(AND(DR69&lt;&gt;0,$J69="H",$L69=0),DT69,IF(AND(YEAR(DZ$4)&gt;YEAR($F69),$J69="H",$F69&gt;0,$L69=0),$E69,0))</f>
        <v>0</v>
      </c>
      <c r="ED69" s="47">
        <f t="shared" ref="ED69:ED132" si="171">IF(AND(YEAR(DZ$4)&gt;=YEAR($F69),$E69&gt;0,$F69&gt;0,DX69&gt;0,$J69="H"),ROUND(DX69/$L69*$E69,2),IF(AND(YEAR(DZ$4)&gt;=YEAR($F69),$E69&lt;0,$F69&gt;0,DX69&lt;0,$J69="H"),ROUND(DX69/$L69*$E69,2),0))</f>
        <v>0</v>
      </c>
    </row>
    <row r="70" spans="1:134" x14ac:dyDescent="0.35">
      <c r="A70" s="81">
        <v>1985</v>
      </c>
      <c r="B70" s="82" t="s">
        <v>240</v>
      </c>
      <c r="C70" s="82"/>
      <c r="D70" s="83"/>
      <c r="E70" s="87"/>
      <c r="F70" s="85"/>
      <c r="G70" s="185"/>
      <c r="H70" s="179"/>
      <c r="I70" s="180"/>
      <c r="J70" s="181"/>
      <c r="K70" s="42">
        <f t="shared" si="122"/>
        <v>0</v>
      </c>
      <c r="L70" s="43">
        <f t="shared" si="123"/>
        <v>0</v>
      </c>
      <c r="M70" s="44">
        <f t="shared" si="124"/>
        <v>0</v>
      </c>
      <c r="N70" s="44"/>
      <c r="O70" s="44">
        <f t="shared" si="125"/>
        <v>0</v>
      </c>
      <c r="P70" s="45"/>
      <c r="Q70" s="44">
        <f t="shared" si="126"/>
        <v>0</v>
      </c>
      <c r="R70" s="604">
        <f t="shared" si="50"/>
        <v>0</v>
      </c>
      <c r="S70" s="44">
        <f t="shared" si="51"/>
        <v>0</v>
      </c>
      <c r="T70" s="44">
        <f t="shared" si="52"/>
        <v>0</v>
      </c>
      <c r="U70" s="44">
        <f t="shared" si="53"/>
        <v>0</v>
      </c>
      <c r="V70" s="44">
        <f t="shared" si="54"/>
        <v>0</v>
      </c>
      <c r="W70" s="44">
        <f t="shared" si="55"/>
        <v>0</v>
      </c>
      <c r="X70" s="44">
        <f t="shared" si="127"/>
        <v>0</v>
      </c>
      <c r="Y70" s="44">
        <f t="shared" si="56"/>
        <v>0</v>
      </c>
      <c r="Z70" s="44">
        <f t="shared" si="128"/>
        <v>0</v>
      </c>
      <c r="AA70" s="44">
        <f t="shared" si="57"/>
        <v>0</v>
      </c>
      <c r="AB70" s="44">
        <f t="shared" si="129"/>
        <v>0</v>
      </c>
      <c r="AC70" s="46">
        <f t="shared" si="130"/>
        <v>0</v>
      </c>
      <c r="AD70" s="47">
        <f t="shared" si="131"/>
        <v>0</v>
      </c>
      <c r="AE70" s="604">
        <f t="shared" si="58"/>
        <v>0</v>
      </c>
      <c r="AF70" s="44">
        <f t="shared" si="59"/>
        <v>0</v>
      </c>
      <c r="AG70" s="44">
        <f t="shared" si="60"/>
        <v>0</v>
      </c>
      <c r="AH70" s="44">
        <f t="shared" si="61"/>
        <v>0</v>
      </c>
      <c r="AI70" s="44">
        <f t="shared" si="62"/>
        <v>0</v>
      </c>
      <c r="AJ70" s="44">
        <f t="shared" si="63"/>
        <v>0</v>
      </c>
      <c r="AK70" s="44">
        <f t="shared" si="132"/>
        <v>0</v>
      </c>
      <c r="AL70" s="44">
        <f t="shared" si="64"/>
        <v>0</v>
      </c>
      <c r="AM70" s="44">
        <f t="shared" si="133"/>
        <v>0</v>
      </c>
      <c r="AN70" s="44">
        <f t="shared" si="65"/>
        <v>0</v>
      </c>
      <c r="AO70" s="44">
        <f t="shared" si="134"/>
        <v>0</v>
      </c>
      <c r="AP70" s="46">
        <f t="shared" si="135"/>
        <v>0</v>
      </c>
      <c r="AQ70" s="47">
        <f t="shared" si="136"/>
        <v>0</v>
      </c>
      <c r="AR70" s="604">
        <f t="shared" si="66"/>
        <v>0</v>
      </c>
      <c r="AS70" s="44">
        <f t="shared" si="67"/>
        <v>0</v>
      </c>
      <c r="AT70" s="44">
        <f t="shared" si="68"/>
        <v>0</v>
      </c>
      <c r="AU70" s="44">
        <f t="shared" si="69"/>
        <v>0</v>
      </c>
      <c r="AV70" s="44">
        <f t="shared" si="70"/>
        <v>0</v>
      </c>
      <c r="AW70" s="44">
        <f t="shared" si="71"/>
        <v>0</v>
      </c>
      <c r="AX70" s="44">
        <f t="shared" si="137"/>
        <v>0</v>
      </c>
      <c r="AY70" s="44">
        <f t="shared" si="72"/>
        <v>0</v>
      </c>
      <c r="AZ70" s="44">
        <f t="shared" si="138"/>
        <v>0</v>
      </c>
      <c r="BA70" s="44">
        <f t="shared" si="73"/>
        <v>0</v>
      </c>
      <c r="BB70" s="44">
        <f t="shared" si="139"/>
        <v>0</v>
      </c>
      <c r="BC70" s="46">
        <f t="shared" si="140"/>
        <v>0</v>
      </c>
      <c r="BD70" s="47">
        <f t="shared" si="141"/>
        <v>0</v>
      </c>
      <c r="BE70" s="604">
        <f t="shared" si="74"/>
        <v>0</v>
      </c>
      <c r="BF70" s="44">
        <f t="shared" si="75"/>
        <v>0</v>
      </c>
      <c r="BG70" s="44">
        <f t="shared" si="76"/>
        <v>0</v>
      </c>
      <c r="BH70" s="44">
        <f t="shared" si="77"/>
        <v>0</v>
      </c>
      <c r="BI70" s="44">
        <f t="shared" si="78"/>
        <v>0</v>
      </c>
      <c r="BJ70" s="44">
        <f t="shared" si="79"/>
        <v>0</v>
      </c>
      <c r="BK70" s="44">
        <f t="shared" si="142"/>
        <v>0</v>
      </c>
      <c r="BL70" s="44">
        <f t="shared" si="80"/>
        <v>0</v>
      </c>
      <c r="BM70" s="44">
        <f t="shared" si="143"/>
        <v>0</v>
      </c>
      <c r="BN70" s="44">
        <f t="shared" si="81"/>
        <v>0</v>
      </c>
      <c r="BO70" s="44">
        <f t="shared" si="144"/>
        <v>0</v>
      </c>
      <c r="BP70" s="46">
        <f t="shared" si="145"/>
        <v>0</v>
      </c>
      <c r="BQ70" s="47">
        <f t="shared" si="146"/>
        <v>0</v>
      </c>
      <c r="BR70" s="604">
        <f t="shared" si="82"/>
        <v>0</v>
      </c>
      <c r="BS70" s="44">
        <f t="shared" si="83"/>
        <v>0</v>
      </c>
      <c r="BT70" s="44">
        <f t="shared" si="84"/>
        <v>0</v>
      </c>
      <c r="BU70" s="44">
        <f t="shared" si="85"/>
        <v>0</v>
      </c>
      <c r="BV70" s="44">
        <f t="shared" si="86"/>
        <v>0</v>
      </c>
      <c r="BW70" s="44">
        <f t="shared" si="87"/>
        <v>0</v>
      </c>
      <c r="BX70" s="44">
        <f t="shared" si="147"/>
        <v>0</v>
      </c>
      <c r="BY70" s="44">
        <f t="shared" si="88"/>
        <v>0</v>
      </c>
      <c r="BZ70" s="44">
        <f t="shared" si="148"/>
        <v>0</v>
      </c>
      <c r="CA70" s="44">
        <f t="shared" si="89"/>
        <v>0</v>
      </c>
      <c r="CB70" s="44">
        <f t="shared" si="149"/>
        <v>0</v>
      </c>
      <c r="CC70" s="46">
        <f t="shared" si="150"/>
        <v>0</v>
      </c>
      <c r="CD70" s="47">
        <f t="shared" si="151"/>
        <v>0</v>
      </c>
      <c r="CE70" s="604">
        <f t="shared" si="90"/>
        <v>0</v>
      </c>
      <c r="CF70" s="44">
        <f t="shared" si="91"/>
        <v>0</v>
      </c>
      <c r="CG70" s="44">
        <f t="shared" si="92"/>
        <v>0</v>
      </c>
      <c r="CH70" s="44">
        <f t="shared" si="93"/>
        <v>0</v>
      </c>
      <c r="CI70" s="44">
        <f t="shared" si="94"/>
        <v>0</v>
      </c>
      <c r="CJ70" s="44">
        <f t="shared" si="95"/>
        <v>0</v>
      </c>
      <c r="CK70" s="44">
        <f t="shared" si="152"/>
        <v>0</v>
      </c>
      <c r="CL70" s="44">
        <f t="shared" si="96"/>
        <v>0</v>
      </c>
      <c r="CM70" s="44">
        <f t="shared" si="153"/>
        <v>0</v>
      </c>
      <c r="CN70" s="44">
        <f t="shared" si="97"/>
        <v>0</v>
      </c>
      <c r="CO70" s="44">
        <f t="shared" si="154"/>
        <v>0</v>
      </c>
      <c r="CP70" s="46">
        <f t="shared" si="155"/>
        <v>0</v>
      </c>
      <c r="CQ70" s="47">
        <f t="shared" si="156"/>
        <v>0</v>
      </c>
      <c r="CR70" s="604">
        <f t="shared" si="98"/>
        <v>0</v>
      </c>
      <c r="CS70" s="44">
        <f t="shared" si="99"/>
        <v>0</v>
      </c>
      <c r="CT70" s="44">
        <f t="shared" si="100"/>
        <v>0</v>
      </c>
      <c r="CU70" s="44">
        <f t="shared" si="101"/>
        <v>0</v>
      </c>
      <c r="CV70" s="44">
        <f t="shared" si="102"/>
        <v>0</v>
      </c>
      <c r="CW70" s="44">
        <f t="shared" si="103"/>
        <v>0</v>
      </c>
      <c r="CX70" s="44">
        <f t="shared" si="157"/>
        <v>0</v>
      </c>
      <c r="CY70" s="44">
        <f t="shared" si="104"/>
        <v>0</v>
      </c>
      <c r="CZ70" s="44">
        <f t="shared" si="158"/>
        <v>0</v>
      </c>
      <c r="DA70" s="44">
        <f t="shared" si="105"/>
        <v>0</v>
      </c>
      <c r="DB70" s="44">
        <f t="shared" si="159"/>
        <v>0</v>
      </c>
      <c r="DC70" s="46">
        <f t="shared" si="160"/>
        <v>0</v>
      </c>
      <c r="DD70" s="47">
        <f t="shared" si="161"/>
        <v>0</v>
      </c>
      <c r="DE70" s="604">
        <f t="shared" si="106"/>
        <v>0</v>
      </c>
      <c r="DF70" s="44">
        <f t="shared" si="107"/>
        <v>0</v>
      </c>
      <c r="DG70" s="44">
        <f t="shared" si="108"/>
        <v>0</v>
      </c>
      <c r="DH70" s="44">
        <f t="shared" si="109"/>
        <v>0</v>
      </c>
      <c r="DI70" s="44">
        <f t="shared" si="110"/>
        <v>0</v>
      </c>
      <c r="DJ70" s="44">
        <f t="shared" si="111"/>
        <v>0</v>
      </c>
      <c r="DK70" s="44">
        <f t="shared" si="162"/>
        <v>0</v>
      </c>
      <c r="DL70" s="44">
        <f t="shared" si="112"/>
        <v>0</v>
      </c>
      <c r="DM70" s="44">
        <f t="shared" si="163"/>
        <v>0</v>
      </c>
      <c r="DN70" s="44">
        <f t="shared" si="113"/>
        <v>0</v>
      </c>
      <c r="DO70" s="44">
        <f t="shared" si="164"/>
        <v>0</v>
      </c>
      <c r="DP70" s="46">
        <f t="shared" si="165"/>
        <v>0</v>
      </c>
      <c r="DQ70" s="47">
        <f t="shared" si="166"/>
        <v>0</v>
      </c>
      <c r="DR70" s="604">
        <f t="shared" si="114"/>
        <v>0</v>
      </c>
      <c r="DS70" s="44">
        <f t="shared" si="115"/>
        <v>0</v>
      </c>
      <c r="DT70" s="44">
        <f t="shared" si="116"/>
        <v>0</v>
      </c>
      <c r="DU70" s="44">
        <f t="shared" si="117"/>
        <v>0</v>
      </c>
      <c r="DV70" s="44">
        <f t="shared" si="118"/>
        <v>0</v>
      </c>
      <c r="DW70" s="44">
        <f t="shared" si="119"/>
        <v>0</v>
      </c>
      <c r="DX70" s="44">
        <f t="shared" si="167"/>
        <v>0</v>
      </c>
      <c r="DY70" s="44">
        <f t="shared" si="120"/>
        <v>0</v>
      </c>
      <c r="DZ70" s="44">
        <f t="shared" si="168"/>
        <v>0</v>
      </c>
      <c r="EA70" s="44">
        <f t="shared" si="121"/>
        <v>0</v>
      </c>
      <c r="EB70" s="44">
        <f t="shared" si="169"/>
        <v>0</v>
      </c>
      <c r="EC70" s="46">
        <f t="shared" si="170"/>
        <v>0</v>
      </c>
      <c r="ED70" s="47">
        <f t="shared" si="171"/>
        <v>0</v>
      </c>
    </row>
    <row r="71" spans="1:134" x14ac:dyDescent="0.35">
      <c r="A71" s="81">
        <v>1985</v>
      </c>
      <c r="B71" s="82" t="s">
        <v>241</v>
      </c>
      <c r="C71" s="82"/>
      <c r="D71" s="83" t="s">
        <v>29</v>
      </c>
      <c r="E71" s="87">
        <v>178000</v>
      </c>
      <c r="F71" s="85">
        <v>31229</v>
      </c>
      <c r="G71" s="185">
        <v>20</v>
      </c>
      <c r="H71" s="179"/>
      <c r="I71" s="180"/>
      <c r="J71" s="181"/>
      <c r="K71" s="42">
        <f t="shared" si="122"/>
        <v>0.05</v>
      </c>
      <c r="L71" s="43">
        <f t="shared" si="123"/>
        <v>8900</v>
      </c>
      <c r="M71" s="44">
        <f t="shared" si="124"/>
        <v>0</v>
      </c>
      <c r="N71" s="44"/>
      <c r="O71" s="44">
        <f t="shared" si="125"/>
        <v>178000</v>
      </c>
      <c r="P71" s="45"/>
      <c r="Q71" s="44">
        <f t="shared" si="126"/>
        <v>178000</v>
      </c>
      <c r="R71" s="604">
        <f t="shared" ref="R71:R134" si="172">IF(YEAR($F71)=R$4,$E71,0)</f>
        <v>0</v>
      </c>
      <c r="S71" s="44">
        <f t="shared" ref="S71:S134" si="173">IF($J71&lt;&gt;"H",R71,0)</f>
        <v>0</v>
      </c>
      <c r="T71" s="44">
        <f t="shared" ref="T71:T134" si="174">IF(R71&lt;&gt;0,ROUND(R71*YEARFRAC($F71,Z$4,0),2),0)</f>
        <v>0</v>
      </c>
      <c r="U71" s="44">
        <f t="shared" ref="U71:U134" si="175">IF($J71&lt;&gt;"H",T71,0)</f>
        <v>0</v>
      </c>
      <c r="V71" s="44">
        <f t="shared" ref="V71:V134" si="176">IF(AND($F71&gt;0,$F71&lt;=Z$4),$E71,0)</f>
        <v>178000</v>
      </c>
      <c r="W71" s="44">
        <f t="shared" ref="W71:W134" si="177">IF(X71&lt;&gt;0,ROUND(X71/$L71*V71,2),0)</f>
        <v>0</v>
      </c>
      <c r="X71" s="44">
        <f t="shared" si="127"/>
        <v>0</v>
      </c>
      <c r="Y71" s="44">
        <f t="shared" ref="Y71:Y134" si="178">IF($J71&lt;&gt;"H",X71,0)</f>
        <v>0</v>
      </c>
      <c r="Z71" s="44">
        <f t="shared" si="128"/>
        <v>0</v>
      </c>
      <c r="AA71" s="44">
        <f t="shared" ref="AA71:AA134" si="179">IF($J71&lt;&gt;"H",Z71,0)</f>
        <v>0</v>
      </c>
      <c r="AB71" s="44">
        <f t="shared" si="129"/>
        <v>178000</v>
      </c>
      <c r="AC71" s="46">
        <f t="shared" si="130"/>
        <v>0</v>
      </c>
      <c r="AD71" s="47">
        <f t="shared" si="131"/>
        <v>0</v>
      </c>
      <c r="AE71" s="604">
        <f t="shared" ref="AE71:AE134" si="180">IF(YEAR($F71)=AE$4,$E71,0)</f>
        <v>0</v>
      </c>
      <c r="AF71" s="44">
        <f t="shared" ref="AF71:AF134" si="181">IF($J71&lt;&gt;"H",AE71,0)</f>
        <v>0</v>
      </c>
      <c r="AG71" s="44">
        <f t="shared" ref="AG71:AG134" si="182">IF(AE71&lt;&gt;0,ROUND(AE71*YEARFRAC($F71,AM$4,0),2),0)</f>
        <v>0</v>
      </c>
      <c r="AH71" s="44">
        <f t="shared" ref="AH71:AH134" si="183">IF($J71&lt;&gt;"H",AG71,0)</f>
        <v>0</v>
      </c>
      <c r="AI71" s="44">
        <f t="shared" ref="AI71:AI134" si="184">IF(AND($F71&gt;0,$F71&lt;=AM$4),$E71,0)</f>
        <v>178000</v>
      </c>
      <c r="AJ71" s="44">
        <f t="shared" ref="AJ71:AJ134" si="185">IF(AK71&lt;&gt;0,ROUND(AK71/$L71*AI71,2),0)</f>
        <v>0</v>
      </c>
      <c r="AK71" s="44">
        <f t="shared" si="132"/>
        <v>0</v>
      </c>
      <c r="AL71" s="44">
        <f t="shared" ref="AL71:AL134" si="186">IF($J71&lt;&gt;"H",AK71,0)</f>
        <v>0</v>
      </c>
      <c r="AM71" s="44">
        <f t="shared" si="133"/>
        <v>0</v>
      </c>
      <c r="AN71" s="44">
        <f t="shared" ref="AN71:AN134" si="187">IF($J71&lt;&gt;"H",AM71,0)</f>
        <v>0</v>
      </c>
      <c r="AO71" s="44">
        <f t="shared" si="134"/>
        <v>178000</v>
      </c>
      <c r="AP71" s="46">
        <f t="shared" si="135"/>
        <v>0</v>
      </c>
      <c r="AQ71" s="47">
        <f t="shared" si="136"/>
        <v>0</v>
      </c>
      <c r="AR71" s="604">
        <f t="shared" ref="AR71:AR134" si="188">IF(YEAR($F71)=AR$4,$E71,0)</f>
        <v>0</v>
      </c>
      <c r="AS71" s="44">
        <f t="shared" ref="AS71:AS134" si="189">IF($J71&lt;&gt;"H",AR71,0)</f>
        <v>0</v>
      </c>
      <c r="AT71" s="44">
        <f t="shared" ref="AT71:AT134" si="190">IF(AR71&lt;&gt;0,ROUND(AR71*YEARFRAC($F71,AZ$4,0),2),0)</f>
        <v>0</v>
      </c>
      <c r="AU71" s="44">
        <f t="shared" ref="AU71:AU134" si="191">IF($J71&lt;&gt;"H",AT71,0)</f>
        <v>0</v>
      </c>
      <c r="AV71" s="44">
        <f t="shared" ref="AV71:AV134" si="192">IF(AND($F71&gt;0,$F71&lt;=AZ$4),$E71,0)</f>
        <v>178000</v>
      </c>
      <c r="AW71" s="44">
        <f t="shared" ref="AW71:AW134" si="193">IF(AX71&lt;&gt;0,ROUND(AX71/$L71*AV71,2),0)</f>
        <v>0</v>
      </c>
      <c r="AX71" s="44">
        <f t="shared" si="137"/>
        <v>0</v>
      </c>
      <c r="AY71" s="44">
        <f t="shared" ref="AY71:AY134" si="194">IF($J71&lt;&gt;"H",AX71,0)</f>
        <v>0</v>
      </c>
      <c r="AZ71" s="44">
        <f t="shared" si="138"/>
        <v>0</v>
      </c>
      <c r="BA71" s="44">
        <f t="shared" ref="BA71:BA134" si="195">IF($J71&lt;&gt;"H",AZ71,0)</f>
        <v>0</v>
      </c>
      <c r="BB71" s="44">
        <f t="shared" si="139"/>
        <v>178000</v>
      </c>
      <c r="BC71" s="46">
        <f t="shared" si="140"/>
        <v>0</v>
      </c>
      <c r="BD71" s="47">
        <f t="shared" si="141"/>
        <v>0</v>
      </c>
      <c r="BE71" s="604">
        <f t="shared" ref="BE71:BE134" si="196">IF(YEAR($F71)=BE$4,$E71,0)</f>
        <v>0</v>
      </c>
      <c r="BF71" s="44">
        <f t="shared" ref="BF71:BF134" si="197">IF($J71&lt;&gt;"H",BE71,0)</f>
        <v>0</v>
      </c>
      <c r="BG71" s="44">
        <f t="shared" ref="BG71:BG134" si="198">IF(BE71&lt;&gt;0,ROUND(BE71*YEARFRAC($F71,BM$4,0),2),0)</f>
        <v>0</v>
      </c>
      <c r="BH71" s="44">
        <f t="shared" ref="BH71:BH134" si="199">IF($J71&lt;&gt;"H",BG71,0)</f>
        <v>0</v>
      </c>
      <c r="BI71" s="44">
        <f t="shared" ref="BI71:BI134" si="200">IF(AND($F71&gt;0,$F71&lt;=BM$4),$E71,0)</f>
        <v>178000</v>
      </c>
      <c r="BJ71" s="44">
        <f t="shared" ref="BJ71:BJ134" si="201">IF(BK71&lt;&gt;0,ROUND(BK71/$L71*BI71,2),0)</f>
        <v>0</v>
      </c>
      <c r="BK71" s="44">
        <f t="shared" si="142"/>
        <v>0</v>
      </c>
      <c r="BL71" s="44">
        <f t="shared" ref="BL71:BL134" si="202">IF($J71&lt;&gt;"H",BK71,0)</f>
        <v>0</v>
      </c>
      <c r="BM71" s="44">
        <f t="shared" si="143"/>
        <v>0</v>
      </c>
      <c r="BN71" s="44">
        <f t="shared" ref="BN71:BN134" si="203">IF($J71&lt;&gt;"H",BM71,0)</f>
        <v>0</v>
      </c>
      <c r="BO71" s="44">
        <f t="shared" si="144"/>
        <v>178000</v>
      </c>
      <c r="BP71" s="46">
        <f t="shared" si="145"/>
        <v>0</v>
      </c>
      <c r="BQ71" s="47">
        <f t="shared" si="146"/>
        <v>0</v>
      </c>
      <c r="BR71" s="604">
        <f t="shared" ref="BR71:BR134" si="204">IF(YEAR($F71)=BR$4,$E71,0)</f>
        <v>0</v>
      </c>
      <c r="BS71" s="44">
        <f t="shared" ref="BS71:BS134" si="205">IF($J71&lt;&gt;"H",BR71,0)</f>
        <v>0</v>
      </c>
      <c r="BT71" s="44">
        <f t="shared" ref="BT71:BT134" si="206">IF(BR71&lt;&gt;0,ROUND(BR71*YEARFRAC($F71,BZ$4,0),2),0)</f>
        <v>0</v>
      </c>
      <c r="BU71" s="44">
        <f t="shared" ref="BU71:BU134" si="207">IF($J71&lt;&gt;"H",BT71,0)</f>
        <v>0</v>
      </c>
      <c r="BV71" s="44">
        <f t="shared" ref="BV71:BV134" si="208">IF(AND($F71&gt;0,$F71&lt;=BZ$4),$E71,0)</f>
        <v>178000</v>
      </c>
      <c r="BW71" s="44">
        <f t="shared" ref="BW71:BW134" si="209">IF(BX71&lt;&gt;0,ROUND(BX71/$L71*BV71,2),0)</f>
        <v>0</v>
      </c>
      <c r="BX71" s="44">
        <f t="shared" si="147"/>
        <v>0</v>
      </c>
      <c r="BY71" s="44">
        <f t="shared" ref="BY71:BY134" si="210">IF($J71&lt;&gt;"H",BX71,0)</f>
        <v>0</v>
      </c>
      <c r="BZ71" s="44">
        <f t="shared" si="148"/>
        <v>0</v>
      </c>
      <c r="CA71" s="44">
        <f t="shared" ref="CA71:CA134" si="211">IF($J71&lt;&gt;"H",BZ71,0)</f>
        <v>0</v>
      </c>
      <c r="CB71" s="44">
        <f t="shared" si="149"/>
        <v>178000</v>
      </c>
      <c r="CC71" s="46">
        <f t="shared" si="150"/>
        <v>0</v>
      </c>
      <c r="CD71" s="47">
        <f t="shared" si="151"/>
        <v>0</v>
      </c>
      <c r="CE71" s="604">
        <f t="shared" ref="CE71:CE134" si="212">IF(YEAR($F71)=CE$4,$E71,0)</f>
        <v>0</v>
      </c>
      <c r="CF71" s="44">
        <f t="shared" ref="CF71:CF134" si="213">IF($J71&lt;&gt;"H",CE71,0)</f>
        <v>0</v>
      </c>
      <c r="CG71" s="44">
        <f t="shared" ref="CG71:CG134" si="214">IF(CE71&lt;&gt;0,ROUND(CE71*YEARFRAC($F71,CM$4,0),2),0)</f>
        <v>0</v>
      </c>
      <c r="CH71" s="44">
        <f t="shared" ref="CH71:CH134" si="215">IF($J71&lt;&gt;"H",CG71,0)</f>
        <v>0</v>
      </c>
      <c r="CI71" s="44">
        <f t="shared" ref="CI71:CI134" si="216">IF(AND($F71&gt;0,$F71&lt;=CM$4),$E71,0)</f>
        <v>178000</v>
      </c>
      <c r="CJ71" s="44">
        <f t="shared" ref="CJ71:CJ134" si="217">IF(CK71&lt;&gt;0,ROUND(CK71/$L71*CI71,2),0)</f>
        <v>0</v>
      </c>
      <c r="CK71" s="44">
        <f t="shared" si="152"/>
        <v>0</v>
      </c>
      <c r="CL71" s="44">
        <f t="shared" ref="CL71:CL134" si="218">IF($J71&lt;&gt;"H",CK71,0)</f>
        <v>0</v>
      </c>
      <c r="CM71" s="44">
        <f t="shared" si="153"/>
        <v>0</v>
      </c>
      <c r="CN71" s="44">
        <f t="shared" ref="CN71:CN134" si="219">IF($J71&lt;&gt;"H",CM71,0)</f>
        <v>0</v>
      </c>
      <c r="CO71" s="44">
        <f t="shared" si="154"/>
        <v>178000</v>
      </c>
      <c r="CP71" s="46">
        <f t="shared" si="155"/>
        <v>0</v>
      </c>
      <c r="CQ71" s="47">
        <f t="shared" si="156"/>
        <v>0</v>
      </c>
      <c r="CR71" s="604">
        <f t="shared" ref="CR71:CR134" si="220">IF(YEAR($F71)=CR$4,$E71,0)</f>
        <v>0</v>
      </c>
      <c r="CS71" s="44">
        <f t="shared" ref="CS71:CS134" si="221">IF($J71&lt;&gt;"H",CR71,0)</f>
        <v>0</v>
      </c>
      <c r="CT71" s="44">
        <f t="shared" ref="CT71:CT134" si="222">IF(CR71&lt;&gt;0,ROUND(CR71*YEARFRAC($F71,CZ$4,0),2),0)</f>
        <v>0</v>
      </c>
      <c r="CU71" s="44">
        <f t="shared" ref="CU71:CU134" si="223">IF($J71&lt;&gt;"H",CT71,0)</f>
        <v>0</v>
      </c>
      <c r="CV71" s="44">
        <f t="shared" ref="CV71:CV134" si="224">IF(AND($F71&gt;0,$F71&lt;=CZ$4),$E71,0)</f>
        <v>178000</v>
      </c>
      <c r="CW71" s="44">
        <f t="shared" ref="CW71:CW134" si="225">IF(CX71&lt;&gt;0,ROUND(CX71/$L71*CV71,2),0)</f>
        <v>0</v>
      </c>
      <c r="CX71" s="44">
        <f t="shared" si="157"/>
        <v>0</v>
      </c>
      <c r="CY71" s="44">
        <f t="shared" ref="CY71:CY134" si="226">IF($J71&lt;&gt;"H",CX71,0)</f>
        <v>0</v>
      </c>
      <c r="CZ71" s="44">
        <f t="shared" si="158"/>
        <v>0</v>
      </c>
      <c r="DA71" s="44">
        <f t="shared" ref="DA71:DA134" si="227">IF($J71&lt;&gt;"H",CZ71,0)</f>
        <v>0</v>
      </c>
      <c r="DB71" s="44">
        <f t="shared" si="159"/>
        <v>178000</v>
      </c>
      <c r="DC71" s="46">
        <f t="shared" si="160"/>
        <v>0</v>
      </c>
      <c r="DD71" s="47">
        <f t="shared" si="161"/>
        <v>0</v>
      </c>
      <c r="DE71" s="604">
        <f t="shared" ref="DE71:DE134" si="228">IF(YEAR($F71)=DE$4,$E71,0)</f>
        <v>0</v>
      </c>
      <c r="DF71" s="44">
        <f t="shared" ref="DF71:DF134" si="229">IF($J71&lt;&gt;"H",DE71,0)</f>
        <v>0</v>
      </c>
      <c r="DG71" s="44">
        <f t="shared" ref="DG71:DG134" si="230">IF(DE71&lt;&gt;0,ROUND(DE71*YEARFRAC($F71,DM$4,0),2),0)</f>
        <v>0</v>
      </c>
      <c r="DH71" s="44">
        <f t="shared" ref="DH71:DH134" si="231">IF($J71&lt;&gt;"H",DG71,0)</f>
        <v>0</v>
      </c>
      <c r="DI71" s="44">
        <f t="shared" ref="DI71:DI134" si="232">IF(AND($F71&gt;0,$F71&lt;=DM$4),$E71,0)</f>
        <v>178000</v>
      </c>
      <c r="DJ71" s="44">
        <f t="shared" ref="DJ71:DJ134" si="233">IF(DK71&lt;&gt;0,ROUND(DK71/$L71*DI71,2),0)</f>
        <v>0</v>
      </c>
      <c r="DK71" s="44">
        <f t="shared" si="162"/>
        <v>0</v>
      </c>
      <c r="DL71" s="44">
        <f t="shared" ref="DL71:DL134" si="234">IF($J71&lt;&gt;"H",DK71,0)</f>
        <v>0</v>
      </c>
      <c r="DM71" s="44">
        <f t="shared" si="163"/>
        <v>0</v>
      </c>
      <c r="DN71" s="44">
        <f t="shared" ref="DN71:DN134" si="235">IF($J71&lt;&gt;"H",DM71,0)</f>
        <v>0</v>
      </c>
      <c r="DO71" s="44">
        <f t="shared" si="164"/>
        <v>178000</v>
      </c>
      <c r="DP71" s="46">
        <f t="shared" si="165"/>
        <v>0</v>
      </c>
      <c r="DQ71" s="47">
        <f t="shared" si="166"/>
        <v>0</v>
      </c>
      <c r="DR71" s="604">
        <f t="shared" ref="DR71:DR134" si="236">IF(YEAR($F71)=DR$4,$E71,0)</f>
        <v>0</v>
      </c>
      <c r="DS71" s="44">
        <f t="shared" ref="DS71:DS134" si="237">IF($J71&lt;&gt;"H",DR71,0)</f>
        <v>0</v>
      </c>
      <c r="DT71" s="44">
        <f t="shared" ref="DT71:DT134" si="238">IF(DR71&lt;&gt;0,ROUND(DR71*YEARFRAC($F71,DZ$4,0),2),0)</f>
        <v>0</v>
      </c>
      <c r="DU71" s="44">
        <f t="shared" ref="DU71:DU134" si="239">IF($J71&lt;&gt;"H",DT71,0)</f>
        <v>0</v>
      </c>
      <c r="DV71" s="44">
        <f t="shared" ref="DV71:DV134" si="240">IF(AND($F71&gt;0,$F71&lt;=DZ$4),$E71,0)</f>
        <v>178000</v>
      </c>
      <c r="DW71" s="44">
        <f t="shared" ref="DW71:DW134" si="241">IF(DX71&lt;&gt;0,ROUND(DX71/$L71*DV71,2),0)</f>
        <v>0</v>
      </c>
      <c r="DX71" s="44">
        <f t="shared" si="167"/>
        <v>0</v>
      </c>
      <c r="DY71" s="44">
        <f t="shared" ref="DY71:DY134" si="242">IF($J71&lt;&gt;"H",DX71,0)</f>
        <v>0</v>
      </c>
      <c r="DZ71" s="44">
        <f t="shared" si="168"/>
        <v>0</v>
      </c>
      <c r="EA71" s="44">
        <f t="shared" ref="EA71:EA134" si="243">IF($J71&lt;&gt;"H",DZ71,0)</f>
        <v>0</v>
      </c>
      <c r="EB71" s="44">
        <f t="shared" si="169"/>
        <v>178000</v>
      </c>
      <c r="EC71" s="46">
        <f t="shared" si="170"/>
        <v>0</v>
      </c>
      <c r="ED71" s="47">
        <f t="shared" si="171"/>
        <v>0</v>
      </c>
    </row>
    <row r="72" spans="1:134" x14ac:dyDescent="0.35">
      <c r="A72" s="81">
        <v>1985</v>
      </c>
      <c r="B72" s="82" t="s">
        <v>242</v>
      </c>
      <c r="C72" s="82"/>
      <c r="D72" s="83" t="s">
        <v>29</v>
      </c>
      <c r="E72" s="87">
        <v>850000</v>
      </c>
      <c r="F72" s="85">
        <v>23924</v>
      </c>
      <c r="G72" s="185">
        <v>33.299999999999997</v>
      </c>
      <c r="H72" s="179"/>
      <c r="I72" s="180"/>
      <c r="J72" s="181"/>
      <c r="K72" s="42">
        <f t="shared" si="122"/>
        <v>0.03</v>
      </c>
      <c r="L72" s="43">
        <f t="shared" si="123"/>
        <v>25500</v>
      </c>
      <c r="M72" s="44">
        <f t="shared" si="124"/>
        <v>0</v>
      </c>
      <c r="N72" s="44"/>
      <c r="O72" s="44">
        <f t="shared" si="125"/>
        <v>850000</v>
      </c>
      <c r="P72" s="45"/>
      <c r="Q72" s="44">
        <f t="shared" si="126"/>
        <v>850000</v>
      </c>
      <c r="R72" s="604">
        <f t="shared" si="172"/>
        <v>0</v>
      </c>
      <c r="S72" s="44">
        <f t="shared" si="173"/>
        <v>0</v>
      </c>
      <c r="T72" s="44">
        <f t="shared" si="174"/>
        <v>0</v>
      </c>
      <c r="U72" s="44">
        <f t="shared" si="175"/>
        <v>0</v>
      </c>
      <c r="V72" s="44">
        <f t="shared" si="176"/>
        <v>850000</v>
      </c>
      <c r="W72" s="44">
        <f t="shared" si="177"/>
        <v>0</v>
      </c>
      <c r="X72" s="44">
        <f t="shared" si="127"/>
        <v>0</v>
      </c>
      <c r="Y72" s="44">
        <f t="shared" si="178"/>
        <v>0</v>
      </c>
      <c r="Z72" s="44">
        <f t="shared" si="128"/>
        <v>0</v>
      </c>
      <c r="AA72" s="44">
        <f t="shared" si="179"/>
        <v>0</v>
      </c>
      <c r="AB72" s="44">
        <f t="shared" si="129"/>
        <v>850000</v>
      </c>
      <c r="AC72" s="46">
        <f t="shared" si="130"/>
        <v>0</v>
      </c>
      <c r="AD72" s="47">
        <f t="shared" si="131"/>
        <v>0</v>
      </c>
      <c r="AE72" s="604">
        <f t="shared" si="180"/>
        <v>0</v>
      </c>
      <c r="AF72" s="44">
        <f t="shared" si="181"/>
        <v>0</v>
      </c>
      <c r="AG72" s="44">
        <f t="shared" si="182"/>
        <v>0</v>
      </c>
      <c r="AH72" s="44">
        <f t="shared" si="183"/>
        <v>0</v>
      </c>
      <c r="AI72" s="44">
        <f t="shared" si="184"/>
        <v>850000</v>
      </c>
      <c r="AJ72" s="44">
        <f t="shared" si="185"/>
        <v>0</v>
      </c>
      <c r="AK72" s="44">
        <f t="shared" si="132"/>
        <v>0</v>
      </c>
      <c r="AL72" s="44">
        <f t="shared" si="186"/>
        <v>0</v>
      </c>
      <c r="AM72" s="44">
        <f t="shared" si="133"/>
        <v>0</v>
      </c>
      <c r="AN72" s="44">
        <f t="shared" si="187"/>
        <v>0</v>
      </c>
      <c r="AO72" s="44">
        <f t="shared" si="134"/>
        <v>850000</v>
      </c>
      <c r="AP72" s="46">
        <f t="shared" si="135"/>
        <v>0</v>
      </c>
      <c r="AQ72" s="47">
        <f t="shared" si="136"/>
        <v>0</v>
      </c>
      <c r="AR72" s="604">
        <f t="shared" si="188"/>
        <v>0</v>
      </c>
      <c r="AS72" s="44">
        <f t="shared" si="189"/>
        <v>0</v>
      </c>
      <c r="AT72" s="44">
        <f t="shared" si="190"/>
        <v>0</v>
      </c>
      <c r="AU72" s="44">
        <f t="shared" si="191"/>
        <v>0</v>
      </c>
      <c r="AV72" s="44">
        <f t="shared" si="192"/>
        <v>850000</v>
      </c>
      <c r="AW72" s="44">
        <f t="shared" si="193"/>
        <v>0</v>
      </c>
      <c r="AX72" s="44">
        <f t="shared" si="137"/>
        <v>0</v>
      </c>
      <c r="AY72" s="44">
        <f t="shared" si="194"/>
        <v>0</v>
      </c>
      <c r="AZ72" s="44">
        <f t="shared" si="138"/>
        <v>0</v>
      </c>
      <c r="BA72" s="44">
        <f t="shared" si="195"/>
        <v>0</v>
      </c>
      <c r="BB72" s="44">
        <f t="shared" si="139"/>
        <v>850000</v>
      </c>
      <c r="BC72" s="46">
        <f t="shared" si="140"/>
        <v>0</v>
      </c>
      <c r="BD72" s="47">
        <f t="shared" si="141"/>
        <v>0</v>
      </c>
      <c r="BE72" s="604">
        <f t="shared" si="196"/>
        <v>0</v>
      </c>
      <c r="BF72" s="44">
        <f t="shared" si="197"/>
        <v>0</v>
      </c>
      <c r="BG72" s="44">
        <f t="shared" si="198"/>
        <v>0</v>
      </c>
      <c r="BH72" s="44">
        <f t="shared" si="199"/>
        <v>0</v>
      </c>
      <c r="BI72" s="44">
        <f t="shared" si="200"/>
        <v>850000</v>
      </c>
      <c r="BJ72" s="44">
        <f t="shared" si="201"/>
        <v>0</v>
      </c>
      <c r="BK72" s="44">
        <f t="shared" si="142"/>
        <v>0</v>
      </c>
      <c r="BL72" s="44">
        <f t="shared" si="202"/>
        <v>0</v>
      </c>
      <c r="BM72" s="44">
        <f t="shared" si="143"/>
        <v>0</v>
      </c>
      <c r="BN72" s="44">
        <f t="shared" si="203"/>
        <v>0</v>
      </c>
      <c r="BO72" s="44">
        <f t="shared" si="144"/>
        <v>850000</v>
      </c>
      <c r="BP72" s="46">
        <f t="shared" si="145"/>
        <v>0</v>
      </c>
      <c r="BQ72" s="47">
        <f t="shared" si="146"/>
        <v>0</v>
      </c>
      <c r="BR72" s="604">
        <f t="shared" si="204"/>
        <v>0</v>
      </c>
      <c r="BS72" s="44">
        <f t="shared" si="205"/>
        <v>0</v>
      </c>
      <c r="BT72" s="44">
        <f t="shared" si="206"/>
        <v>0</v>
      </c>
      <c r="BU72" s="44">
        <f t="shared" si="207"/>
        <v>0</v>
      </c>
      <c r="BV72" s="44">
        <f t="shared" si="208"/>
        <v>850000</v>
      </c>
      <c r="BW72" s="44">
        <f t="shared" si="209"/>
        <v>0</v>
      </c>
      <c r="BX72" s="44">
        <f t="shared" si="147"/>
        <v>0</v>
      </c>
      <c r="BY72" s="44">
        <f t="shared" si="210"/>
        <v>0</v>
      </c>
      <c r="BZ72" s="44">
        <f t="shared" si="148"/>
        <v>0</v>
      </c>
      <c r="CA72" s="44">
        <f t="shared" si="211"/>
        <v>0</v>
      </c>
      <c r="CB72" s="44">
        <f t="shared" si="149"/>
        <v>850000</v>
      </c>
      <c r="CC72" s="46">
        <f t="shared" si="150"/>
        <v>0</v>
      </c>
      <c r="CD72" s="47">
        <f t="shared" si="151"/>
        <v>0</v>
      </c>
      <c r="CE72" s="604">
        <f t="shared" si="212"/>
        <v>0</v>
      </c>
      <c r="CF72" s="44">
        <f t="shared" si="213"/>
        <v>0</v>
      </c>
      <c r="CG72" s="44">
        <f t="shared" si="214"/>
        <v>0</v>
      </c>
      <c r="CH72" s="44">
        <f t="shared" si="215"/>
        <v>0</v>
      </c>
      <c r="CI72" s="44">
        <f t="shared" si="216"/>
        <v>850000</v>
      </c>
      <c r="CJ72" s="44">
        <f t="shared" si="217"/>
        <v>0</v>
      </c>
      <c r="CK72" s="44">
        <f t="shared" si="152"/>
        <v>0</v>
      </c>
      <c r="CL72" s="44">
        <f t="shared" si="218"/>
        <v>0</v>
      </c>
      <c r="CM72" s="44">
        <f t="shared" si="153"/>
        <v>0</v>
      </c>
      <c r="CN72" s="44">
        <f t="shared" si="219"/>
        <v>0</v>
      </c>
      <c r="CO72" s="44">
        <f t="shared" si="154"/>
        <v>850000</v>
      </c>
      <c r="CP72" s="46">
        <f t="shared" si="155"/>
        <v>0</v>
      </c>
      <c r="CQ72" s="47">
        <f t="shared" si="156"/>
        <v>0</v>
      </c>
      <c r="CR72" s="604">
        <f t="shared" si="220"/>
        <v>0</v>
      </c>
      <c r="CS72" s="44">
        <f t="shared" si="221"/>
        <v>0</v>
      </c>
      <c r="CT72" s="44">
        <f t="shared" si="222"/>
        <v>0</v>
      </c>
      <c r="CU72" s="44">
        <f t="shared" si="223"/>
        <v>0</v>
      </c>
      <c r="CV72" s="44">
        <f t="shared" si="224"/>
        <v>850000</v>
      </c>
      <c r="CW72" s="44">
        <f t="shared" si="225"/>
        <v>0</v>
      </c>
      <c r="CX72" s="44">
        <f t="shared" si="157"/>
        <v>0</v>
      </c>
      <c r="CY72" s="44">
        <f t="shared" si="226"/>
        <v>0</v>
      </c>
      <c r="CZ72" s="44">
        <f t="shared" si="158"/>
        <v>0</v>
      </c>
      <c r="DA72" s="44">
        <f t="shared" si="227"/>
        <v>0</v>
      </c>
      <c r="DB72" s="44">
        <f t="shared" si="159"/>
        <v>850000</v>
      </c>
      <c r="DC72" s="46">
        <f t="shared" si="160"/>
        <v>0</v>
      </c>
      <c r="DD72" s="47">
        <f t="shared" si="161"/>
        <v>0</v>
      </c>
      <c r="DE72" s="604">
        <f t="shared" si="228"/>
        <v>0</v>
      </c>
      <c r="DF72" s="44">
        <f t="shared" si="229"/>
        <v>0</v>
      </c>
      <c r="DG72" s="44">
        <f t="shared" si="230"/>
        <v>0</v>
      </c>
      <c r="DH72" s="44">
        <f t="shared" si="231"/>
        <v>0</v>
      </c>
      <c r="DI72" s="44">
        <f t="shared" si="232"/>
        <v>850000</v>
      </c>
      <c r="DJ72" s="44">
        <f t="shared" si="233"/>
        <v>0</v>
      </c>
      <c r="DK72" s="44">
        <f t="shared" si="162"/>
        <v>0</v>
      </c>
      <c r="DL72" s="44">
        <f t="shared" si="234"/>
        <v>0</v>
      </c>
      <c r="DM72" s="44">
        <f t="shared" si="163"/>
        <v>0</v>
      </c>
      <c r="DN72" s="44">
        <f t="shared" si="235"/>
        <v>0</v>
      </c>
      <c r="DO72" s="44">
        <f t="shared" si="164"/>
        <v>850000</v>
      </c>
      <c r="DP72" s="46">
        <f t="shared" si="165"/>
        <v>0</v>
      </c>
      <c r="DQ72" s="47">
        <f t="shared" si="166"/>
        <v>0</v>
      </c>
      <c r="DR72" s="604">
        <f t="shared" si="236"/>
        <v>0</v>
      </c>
      <c r="DS72" s="44">
        <f t="shared" si="237"/>
        <v>0</v>
      </c>
      <c r="DT72" s="44">
        <f t="shared" si="238"/>
        <v>0</v>
      </c>
      <c r="DU72" s="44">
        <f t="shared" si="239"/>
        <v>0</v>
      </c>
      <c r="DV72" s="44">
        <f t="shared" si="240"/>
        <v>850000</v>
      </c>
      <c r="DW72" s="44">
        <f t="shared" si="241"/>
        <v>0</v>
      </c>
      <c r="DX72" s="44">
        <f t="shared" si="167"/>
        <v>0</v>
      </c>
      <c r="DY72" s="44">
        <f t="shared" si="242"/>
        <v>0</v>
      </c>
      <c r="DZ72" s="44">
        <f t="shared" si="168"/>
        <v>0</v>
      </c>
      <c r="EA72" s="44">
        <f t="shared" si="243"/>
        <v>0</v>
      </c>
      <c r="EB72" s="44">
        <f t="shared" si="169"/>
        <v>850000</v>
      </c>
      <c r="EC72" s="46">
        <f t="shared" si="170"/>
        <v>0</v>
      </c>
      <c r="ED72" s="47">
        <f t="shared" si="171"/>
        <v>0</v>
      </c>
    </row>
    <row r="73" spans="1:134" x14ac:dyDescent="0.35">
      <c r="A73" s="81">
        <v>1985</v>
      </c>
      <c r="B73" s="82" t="s">
        <v>243</v>
      </c>
      <c r="C73" s="82"/>
      <c r="D73" s="83" t="s">
        <v>29</v>
      </c>
      <c r="E73" s="87">
        <v>293000</v>
      </c>
      <c r="F73" s="85">
        <v>31229</v>
      </c>
      <c r="G73" s="185">
        <v>50</v>
      </c>
      <c r="H73" s="179"/>
      <c r="I73" s="180"/>
      <c r="J73" s="181"/>
      <c r="K73" s="42">
        <f t="shared" si="122"/>
        <v>0.02</v>
      </c>
      <c r="L73" s="43">
        <f t="shared" si="123"/>
        <v>5860</v>
      </c>
      <c r="M73" s="44">
        <f t="shared" si="124"/>
        <v>137710</v>
      </c>
      <c r="N73" s="44"/>
      <c r="O73" s="44">
        <f t="shared" si="125"/>
        <v>155290</v>
      </c>
      <c r="P73" s="45"/>
      <c r="Q73" s="44">
        <f t="shared" si="126"/>
        <v>293000</v>
      </c>
      <c r="R73" s="604">
        <f t="shared" si="172"/>
        <v>0</v>
      </c>
      <c r="S73" s="44">
        <f t="shared" si="173"/>
        <v>0</v>
      </c>
      <c r="T73" s="44">
        <f t="shared" si="174"/>
        <v>0</v>
      </c>
      <c r="U73" s="44">
        <f t="shared" si="175"/>
        <v>0</v>
      </c>
      <c r="V73" s="44">
        <f t="shared" si="176"/>
        <v>293000</v>
      </c>
      <c r="W73" s="44">
        <f t="shared" si="177"/>
        <v>293000</v>
      </c>
      <c r="X73" s="44">
        <f t="shared" si="127"/>
        <v>5860</v>
      </c>
      <c r="Y73" s="44">
        <f t="shared" si="178"/>
        <v>5860</v>
      </c>
      <c r="Z73" s="44">
        <f t="shared" si="128"/>
        <v>131850</v>
      </c>
      <c r="AA73" s="44">
        <f t="shared" si="179"/>
        <v>131850</v>
      </c>
      <c r="AB73" s="44">
        <f t="shared" si="129"/>
        <v>161150</v>
      </c>
      <c r="AC73" s="46">
        <f t="shared" si="130"/>
        <v>0</v>
      </c>
      <c r="AD73" s="47">
        <f t="shared" si="131"/>
        <v>0</v>
      </c>
      <c r="AE73" s="604">
        <f t="shared" si="180"/>
        <v>0</v>
      </c>
      <c r="AF73" s="44">
        <f t="shared" si="181"/>
        <v>0</v>
      </c>
      <c r="AG73" s="44">
        <f t="shared" si="182"/>
        <v>0</v>
      </c>
      <c r="AH73" s="44">
        <f t="shared" si="183"/>
        <v>0</v>
      </c>
      <c r="AI73" s="44">
        <f t="shared" si="184"/>
        <v>293000</v>
      </c>
      <c r="AJ73" s="44">
        <f t="shared" si="185"/>
        <v>293000</v>
      </c>
      <c r="AK73" s="44">
        <f t="shared" si="132"/>
        <v>5860</v>
      </c>
      <c r="AL73" s="44">
        <f t="shared" si="186"/>
        <v>5860</v>
      </c>
      <c r="AM73" s="44">
        <f t="shared" si="133"/>
        <v>125990</v>
      </c>
      <c r="AN73" s="44">
        <f t="shared" si="187"/>
        <v>125990</v>
      </c>
      <c r="AO73" s="44">
        <f t="shared" si="134"/>
        <v>167010</v>
      </c>
      <c r="AP73" s="46">
        <f t="shared" si="135"/>
        <v>0</v>
      </c>
      <c r="AQ73" s="47">
        <f t="shared" si="136"/>
        <v>0</v>
      </c>
      <c r="AR73" s="604">
        <f t="shared" si="188"/>
        <v>0</v>
      </c>
      <c r="AS73" s="44">
        <f t="shared" si="189"/>
        <v>0</v>
      </c>
      <c r="AT73" s="44">
        <f t="shared" si="190"/>
        <v>0</v>
      </c>
      <c r="AU73" s="44">
        <f t="shared" si="191"/>
        <v>0</v>
      </c>
      <c r="AV73" s="44">
        <f t="shared" si="192"/>
        <v>293000</v>
      </c>
      <c r="AW73" s="44">
        <f t="shared" si="193"/>
        <v>293000</v>
      </c>
      <c r="AX73" s="44">
        <f t="shared" si="137"/>
        <v>5860</v>
      </c>
      <c r="AY73" s="44">
        <f t="shared" si="194"/>
        <v>5860</v>
      </c>
      <c r="AZ73" s="44">
        <f t="shared" si="138"/>
        <v>120130</v>
      </c>
      <c r="BA73" s="44">
        <f t="shared" si="195"/>
        <v>120130</v>
      </c>
      <c r="BB73" s="44">
        <f t="shared" si="139"/>
        <v>172870</v>
      </c>
      <c r="BC73" s="46">
        <f t="shared" si="140"/>
        <v>0</v>
      </c>
      <c r="BD73" s="47">
        <f t="shared" si="141"/>
        <v>0</v>
      </c>
      <c r="BE73" s="604">
        <f t="shared" si="196"/>
        <v>0</v>
      </c>
      <c r="BF73" s="44">
        <f t="shared" si="197"/>
        <v>0</v>
      </c>
      <c r="BG73" s="44">
        <f t="shared" si="198"/>
        <v>0</v>
      </c>
      <c r="BH73" s="44">
        <f t="shared" si="199"/>
        <v>0</v>
      </c>
      <c r="BI73" s="44">
        <f t="shared" si="200"/>
        <v>293000</v>
      </c>
      <c r="BJ73" s="44">
        <f t="shared" si="201"/>
        <v>293000</v>
      </c>
      <c r="BK73" s="44">
        <f t="shared" si="142"/>
        <v>5860</v>
      </c>
      <c r="BL73" s="44">
        <f t="shared" si="202"/>
        <v>5860</v>
      </c>
      <c r="BM73" s="44">
        <f t="shared" si="143"/>
        <v>114270</v>
      </c>
      <c r="BN73" s="44">
        <f t="shared" si="203"/>
        <v>114270</v>
      </c>
      <c r="BO73" s="44">
        <f t="shared" si="144"/>
        <v>178730</v>
      </c>
      <c r="BP73" s="46">
        <f t="shared" si="145"/>
        <v>0</v>
      </c>
      <c r="BQ73" s="47">
        <f t="shared" si="146"/>
        <v>0</v>
      </c>
      <c r="BR73" s="604">
        <f t="shared" si="204"/>
        <v>0</v>
      </c>
      <c r="BS73" s="44">
        <f t="shared" si="205"/>
        <v>0</v>
      </c>
      <c r="BT73" s="44">
        <f t="shared" si="206"/>
        <v>0</v>
      </c>
      <c r="BU73" s="44">
        <f t="shared" si="207"/>
        <v>0</v>
      </c>
      <c r="BV73" s="44">
        <f t="shared" si="208"/>
        <v>293000</v>
      </c>
      <c r="BW73" s="44">
        <f t="shared" si="209"/>
        <v>293000</v>
      </c>
      <c r="BX73" s="44">
        <f t="shared" si="147"/>
        <v>5860</v>
      </c>
      <c r="BY73" s="44">
        <f t="shared" si="210"/>
        <v>5860</v>
      </c>
      <c r="BZ73" s="44">
        <f t="shared" si="148"/>
        <v>108410</v>
      </c>
      <c r="CA73" s="44">
        <f t="shared" si="211"/>
        <v>108410</v>
      </c>
      <c r="CB73" s="44">
        <f t="shared" si="149"/>
        <v>184590</v>
      </c>
      <c r="CC73" s="46">
        <f t="shared" si="150"/>
        <v>0</v>
      </c>
      <c r="CD73" s="47">
        <f t="shared" si="151"/>
        <v>0</v>
      </c>
      <c r="CE73" s="604">
        <f t="shared" si="212"/>
        <v>0</v>
      </c>
      <c r="CF73" s="44">
        <f t="shared" si="213"/>
        <v>0</v>
      </c>
      <c r="CG73" s="44">
        <f t="shared" si="214"/>
        <v>0</v>
      </c>
      <c r="CH73" s="44">
        <f t="shared" si="215"/>
        <v>0</v>
      </c>
      <c r="CI73" s="44">
        <f t="shared" si="216"/>
        <v>293000</v>
      </c>
      <c r="CJ73" s="44">
        <f t="shared" si="217"/>
        <v>293000</v>
      </c>
      <c r="CK73" s="44">
        <f t="shared" si="152"/>
        <v>5860</v>
      </c>
      <c r="CL73" s="44">
        <f t="shared" si="218"/>
        <v>5860</v>
      </c>
      <c r="CM73" s="44">
        <f t="shared" si="153"/>
        <v>102550</v>
      </c>
      <c r="CN73" s="44">
        <f t="shared" si="219"/>
        <v>102550</v>
      </c>
      <c r="CO73" s="44">
        <f t="shared" si="154"/>
        <v>190450</v>
      </c>
      <c r="CP73" s="46">
        <f t="shared" si="155"/>
        <v>0</v>
      </c>
      <c r="CQ73" s="47">
        <f t="shared" si="156"/>
        <v>0</v>
      </c>
      <c r="CR73" s="604">
        <f t="shared" si="220"/>
        <v>0</v>
      </c>
      <c r="CS73" s="44">
        <f t="shared" si="221"/>
        <v>0</v>
      </c>
      <c r="CT73" s="44">
        <f t="shared" si="222"/>
        <v>0</v>
      </c>
      <c r="CU73" s="44">
        <f t="shared" si="223"/>
        <v>0</v>
      </c>
      <c r="CV73" s="44">
        <f t="shared" si="224"/>
        <v>293000</v>
      </c>
      <c r="CW73" s="44">
        <f t="shared" si="225"/>
        <v>293000</v>
      </c>
      <c r="CX73" s="44">
        <f t="shared" si="157"/>
        <v>5860</v>
      </c>
      <c r="CY73" s="44">
        <f t="shared" si="226"/>
        <v>5860</v>
      </c>
      <c r="CZ73" s="44">
        <f t="shared" si="158"/>
        <v>96690</v>
      </c>
      <c r="DA73" s="44">
        <f t="shared" si="227"/>
        <v>96690</v>
      </c>
      <c r="DB73" s="44">
        <f t="shared" si="159"/>
        <v>196310</v>
      </c>
      <c r="DC73" s="46">
        <f t="shared" si="160"/>
        <v>0</v>
      </c>
      <c r="DD73" s="47">
        <f t="shared" si="161"/>
        <v>0</v>
      </c>
      <c r="DE73" s="604">
        <f t="shared" si="228"/>
        <v>0</v>
      </c>
      <c r="DF73" s="44">
        <f t="shared" si="229"/>
        <v>0</v>
      </c>
      <c r="DG73" s="44">
        <f t="shared" si="230"/>
        <v>0</v>
      </c>
      <c r="DH73" s="44">
        <f t="shared" si="231"/>
        <v>0</v>
      </c>
      <c r="DI73" s="44">
        <f t="shared" si="232"/>
        <v>293000</v>
      </c>
      <c r="DJ73" s="44">
        <f t="shared" si="233"/>
        <v>293000</v>
      </c>
      <c r="DK73" s="44">
        <f t="shared" si="162"/>
        <v>5860</v>
      </c>
      <c r="DL73" s="44">
        <f t="shared" si="234"/>
        <v>5860</v>
      </c>
      <c r="DM73" s="44">
        <f t="shared" si="163"/>
        <v>90830</v>
      </c>
      <c r="DN73" s="44">
        <f t="shared" si="235"/>
        <v>90830</v>
      </c>
      <c r="DO73" s="44">
        <f t="shared" si="164"/>
        <v>202170</v>
      </c>
      <c r="DP73" s="46">
        <f t="shared" si="165"/>
        <v>0</v>
      </c>
      <c r="DQ73" s="47">
        <f t="shared" si="166"/>
        <v>0</v>
      </c>
      <c r="DR73" s="604">
        <f t="shared" si="236"/>
        <v>0</v>
      </c>
      <c r="DS73" s="44">
        <f t="shared" si="237"/>
        <v>0</v>
      </c>
      <c r="DT73" s="44">
        <f t="shared" si="238"/>
        <v>0</v>
      </c>
      <c r="DU73" s="44">
        <f t="shared" si="239"/>
        <v>0</v>
      </c>
      <c r="DV73" s="44">
        <f t="shared" si="240"/>
        <v>293000</v>
      </c>
      <c r="DW73" s="44">
        <f t="shared" si="241"/>
        <v>293000</v>
      </c>
      <c r="DX73" s="44">
        <f t="shared" si="167"/>
        <v>5860</v>
      </c>
      <c r="DY73" s="44">
        <f t="shared" si="242"/>
        <v>5860</v>
      </c>
      <c r="DZ73" s="44">
        <f t="shared" si="168"/>
        <v>84970</v>
      </c>
      <c r="EA73" s="44">
        <f t="shared" si="243"/>
        <v>84970</v>
      </c>
      <c r="EB73" s="44">
        <f t="shared" si="169"/>
        <v>208030</v>
      </c>
      <c r="EC73" s="46">
        <f t="shared" si="170"/>
        <v>0</v>
      </c>
      <c r="ED73" s="47">
        <f t="shared" si="171"/>
        <v>0</v>
      </c>
    </row>
    <row r="74" spans="1:134" x14ac:dyDescent="0.35">
      <c r="A74" s="81">
        <v>1985</v>
      </c>
      <c r="B74" s="82" t="s">
        <v>244</v>
      </c>
      <c r="C74" s="82"/>
      <c r="D74" s="83" t="s">
        <v>29</v>
      </c>
      <c r="E74" s="87">
        <v>5000</v>
      </c>
      <c r="F74" s="85">
        <v>31229</v>
      </c>
      <c r="G74" s="185">
        <v>12.5</v>
      </c>
      <c r="H74" s="179"/>
      <c r="I74" s="180"/>
      <c r="J74" s="181"/>
      <c r="K74" s="42">
        <f t="shared" si="122"/>
        <v>0.08</v>
      </c>
      <c r="L74" s="43">
        <f t="shared" si="123"/>
        <v>400</v>
      </c>
      <c r="M74" s="44">
        <f t="shared" si="124"/>
        <v>0</v>
      </c>
      <c r="N74" s="44"/>
      <c r="O74" s="44">
        <f t="shared" si="125"/>
        <v>5000</v>
      </c>
      <c r="P74" s="45"/>
      <c r="Q74" s="44">
        <f t="shared" si="126"/>
        <v>5000</v>
      </c>
      <c r="R74" s="604">
        <f t="shared" si="172"/>
        <v>0</v>
      </c>
      <c r="S74" s="44">
        <f t="shared" si="173"/>
        <v>0</v>
      </c>
      <c r="T74" s="44">
        <f t="shared" si="174"/>
        <v>0</v>
      </c>
      <c r="U74" s="44">
        <f t="shared" si="175"/>
        <v>0</v>
      </c>
      <c r="V74" s="44">
        <f t="shared" si="176"/>
        <v>5000</v>
      </c>
      <c r="W74" s="44">
        <f t="shared" si="177"/>
        <v>0</v>
      </c>
      <c r="X74" s="44">
        <f t="shared" si="127"/>
        <v>0</v>
      </c>
      <c r="Y74" s="44">
        <f t="shared" si="178"/>
        <v>0</v>
      </c>
      <c r="Z74" s="44">
        <f t="shared" si="128"/>
        <v>0</v>
      </c>
      <c r="AA74" s="44">
        <f t="shared" si="179"/>
        <v>0</v>
      </c>
      <c r="AB74" s="44">
        <f t="shared" si="129"/>
        <v>5000</v>
      </c>
      <c r="AC74" s="46">
        <f t="shared" si="130"/>
        <v>0</v>
      </c>
      <c r="AD74" s="47">
        <f t="shared" si="131"/>
        <v>0</v>
      </c>
      <c r="AE74" s="604">
        <f t="shared" si="180"/>
        <v>0</v>
      </c>
      <c r="AF74" s="44">
        <f t="shared" si="181"/>
        <v>0</v>
      </c>
      <c r="AG74" s="44">
        <f t="shared" si="182"/>
        <v>0</v>
      </c>
      <c r="AH74" s="44">
        <f t="shared" si="183"/>
        <v>0</v>
      </c>
      <c r="AI74" s="44">
        <f t="shared" si="184"/>
        <v>5000</v>
      </c>
      <c r="AJ74" s="44">
        <f t="shared" si="185"/>
        <v>0</v>
      </c>
      <c r="AK74" s="44">
        <f t="shared" si="132"/>
        <v>0</v>
      </c>
      <c r="AL74" s="44">
        <f t="shared" si="186"/>
        <v>0</v>
      </c>
      <c r="AM74" s="44">
        <f t="shared" si="133"/>
        <v>0</v>
      </c>
      <c r="AN74" s="44">
        <f t="shared" si="187"/>
        <v>0</v>
      </c>
      <c r="AO74" s="44">
        <f t="shared" si="134"/>
        <v>5000</v>
      </c>
      <c r="AP74" s="46">
        <f t="shared" si="135"/>
        <v>0</v>
      </c>
      <c r="AQ74" s="47">
        <f t="shared" si="136"/>
        <v>0</v>
      </c>
      <c r="AR74" s="604">
        <f t="shared" si="188"/>
        <v>0</v>
      </c>
      <c r="AS74" s="44">
        <f t="shared" si="189"/>
        <v>0</v>
      </c>
      <c r="AT74" s="44">
        <f t="shared" si="190"/>
        <v>0</v>
      </c>
      <c r="AU74" s="44">
        <f t="shared" si="191"/>
        <v>0</v>
      </c>
      <c r="AV74" s="44">
        <f t="shared" si="192"/>
        <v>5000</v>
      </c>
      <c r="AW74" s="44">
        <f t="shared" si="193"/>
        <v>0</v>
      </c>
      <c r="AX74" s="44">
        <f t="shared" si="137"/>
        <v>0</v>
      </c>
      <c r="AY74" s="44">
        <f t="shared" si="194"/>
        <v>0</v>
      </c>
      <c r="AZ74" s="44">
        <f t="shared" si="138"/>
        <v>0</v>
      </c>
      <c r="BA74" s="44">
        <f t="shared" si="195"/>
        <v>0</v>
      </c>
      <c r="BB74" s="44">
        <f t="shared" si="139"/>
        <v>5000</v>
      </c>
      <c r="BC74" s="46">
        <f t="shared" si="140"/>
        <v>0</v>
      </c>
      <c r="BD74" s="47">
        <f t="shared" si="141"/>
        <v>0</v>
      </c>
      <c r="BE74" s="604">
        <f t="shared" si="196"/>
        <v>0</v>
      </c>
      <c r="BF74" s="44">
        <f t="shared" si="197"/>
        <v>0</v>
      </c>
      <c r="BG74" s="44">
        <f t="shared" si="198"/>
        <v>0</v>
      </c>
      <c r="BH74" s="44">
        <f t="shared" si="199"/>
        <v>0</v>
      </c>
      <c r="BI74" s="44">
        <f t="shared" si="200"/>
        <v>5000</v>
      </c>
      <c r="BJ74" s="44">
        <f t="shared" si="201"/>
        <v>0</v>
      </c>
      <c r="BK74" s="44">
        <f t="shared" si="142"/>
        <v>0</v>
      </c>
      <c r="BL74" s="44">
        <f t="shared" si="202"/>
        <v>0</v>
      </c>
      <c r="BM74" s="44">
        <f t="shared" si="143"/>
        <v>0</v>
      </c>
      <c r="BN74" s="44">
        <f t="shared" si="203"/>
        <v>0</v>
      </c>
      <c r="BO74" s="44">
        <f t="shared" si="144"/>
        <v>5000</v>
      </c>
      <c r="BP74" s="46">
        <f t="shared" si="145"/>
        <v>0</v>
      </c>
      <c r="BQ74" s="47">
        <f t="shared" si="146"/>
        <v>0</v>
      </c>
      <c r="BR74" s="604">
        <f t="shared" si="204"/>
        <v>0</v>
      </c>
      <c r="BS74" s="44">
        <f t="shared" si="205"/>
        <v>0</v>
      </c>
      <c r="BT74" s="44">
        <f t="shared" si="206"/>
        <v>0</v>
      </c>
      <c r="BU74" s="44">
        <f t="shared" si="207"/>
        <v>0</v>
      </c>
      <c r="BV74" s="44">
        <f t="shared" si="208"/>
        <v>5000</v>
      </c>
      <c r="BW74" s="44">
        <f t="shared" si="209"/>
        <v>0</v>
      </c>
      <c r="BX74" s="44">
        <f t="shared" si="147"/>
        <v>0</v>
      </c>
      <c r="BY74" s="44">
        <f t="shared" si="210"/>
        <v>0</v>
      </c>
      <c r="BZ74" s="44">
        <f t="shared" si="148"/>
        <v>0</v>
      </c>
      <c r="CA74" s="44">
        <f t="shared" si="211"/>
        <v>0</v>
      </c>
      <c r="CB74" s="44">
        <f t="shared" si="149"/>
        <v>5000</v>
      </c>
      <c r="CC74" s="46">
        <f t="shared" si="150"/>
        <v>0</v>
      </c>
      <c r="CD74" s="47">
        <f t="shared" si="151"/>
        <v>0</v>
      </c>
      <c r="CE74" s="604">
        <f t="shared" si="212"/>
        <v>0</v>
      </c>
      <c r="CF74" s="44">
        <f t="shared" si="213"/>
        <v>0</v>
      </c>
      <c r="CG74" s="44">
        <f t="shared" si="214"/>
        <v>0</v>
      </c>
      <c r="CH74" s="44">
        <f t="shared" si="215"/>
        <v>0</v>
      </c>
      <c r="CI74" s="44">
        <f t="shared" si="216"/>
        <v>5000</v>
      </c>
      <c r="CJ74" s="44">
        <f t="shared" si="217"/>
        <v>0</v>
      </c>
      <c r="CK74" s="44">
        <f t="shared" si="152"/>
        <v>0</v>
      </c>
      <c r="CL74" s="44">
        <f t="shared" si="218"/>
        <v>0</v>
      </c>
      <c r="CM74" s="44">
        <f t="shared" si="153"/>
        <v>0</v>
      </c>
      <c r="CN74" s="44">
        <f t="shared" si="219"/>
        <v>0</v>
      </c>
      <c r="CO74" s="44">
        <f t="shared" si="154"/>
        <v>5000</v>
      </c>
      <c r="CP74" s="46">
        <f t="shared" si="155"/>
        <v>0</v>
      </c>
      <c r="CQ74" s="47">
        <f t="shared" si="156"/>
        <v>0</v>
      </c>
      <c r="CR74" s="604">
        <f t="shared" si="220"/>
        <v>0</v>
      </c>
      <c r="CS74" s="44">
        <f t="shared" si="221"/>
        <v>0</v>
      </c>
      <c r="CT74" s="44">
        <f t="shared" si="222"/>
        <v>0</v>
      </c>
      <c r="CU74" s="44">
        <f t="shared" si="223"/>
        <v>0</v>
      </c>
      <c r="CV74" s="44">
        <f t="shared" si="224"/>
        <v>5000</v>
      </c>
      <c r="CW74" s="44">
        <f t="shared" si="225"/>
        <v>0</v>
      </c>
      <c r="CX74" s="44">
        <f t="shared" si="157"/>
        <v>0</v>
      </c>
      <c r="CY74" s="44">
        <f t="shared" si="226"/>
        <v>0</v>
      </c>
      <c r="CZ74" s="44">
        <f t="shared" si="158"/>
        <v>0</v>
      </c>
      <c r="DA74" s="44">
        <f t="shared" si="227"/>
        <v>0</v>
      </c>
      <c r="DB74" s="44">
        <f t="shared" si="159"/>
        <v>5000</v>
      </c>
      <c r="DC74" s="46">
        <f t="shared" si="160"/>
        <v>0</v>
      </c>
      <c r="DD74" s="47">
        <f t="shared" si="161"/>
        <v>0</v>
      </c>
      <c r="DE74" s="604">
        <f t="shared" si="228"/>
        <v>0</v>
      </c>
      <c r="DF74" s="44">
        <f t="shared" si="229"/>
        <v>0</v>
      </c>
      <c r="DG74" s="44">
        <f t="shared" si="230"/>
        <v>0</v>
      </c>
      <c r="DH74" s="44">
        <f t="shared" si="231"/>
        <v>0</v>
      </c>
      <c r="DI74" s="44">
        <f t="shared" si="232"/>
        <v>5000</v>
      </c>
      <c r="DJ74" s="44">
        <f t="shared" si="233"/>
        <v>0</v>
      </c>
      <c r="DK74" s="44">
        <f t="shared" si="162"/>
        <v>0</v>
      </c>
      <c r="DL74" s="44">
        <f t="shared" si="234"/>
        <v>0</v>
      </c>
      <c r="DM74" s="44">
        <f t="shared" si="163"/>
        <v>0</v>
      </c>
      <c r="DN74" s="44">
        <f t="shared" si="235"/>
        <v>0</v>
      </c>
      <c r="DO74" s="44">
        <f t="shared" si="164"/>
        <v>5000</v>
      </c>
      <c r="DP74" s="46">
        <f t="shared" si="165"/>
        <v>0</v>
      </c>
      <c r="DQ74" s="47">
        <f t="shared" si="166"/>
        <v>0</v>
      </c>
      <c r="DR74" s="604">
        <f t="shared" si="236"/>
        <v>0</v>
      </c>
      <c r="DS74" s="44">
        <f t="shared" si="237"/>
        <v>0</v>
      </c>
      <c r="DT74" s="44">
        <f t="shared" si="238"/>
        <v>0</v>
      </c>
      <c r="DU74" s="44">
        <f t="shared" si="239"/>
        <v>0</v>
      </c>
      <c r="DV74" s="44">
        <f t="shared" si="240"/>
        <v>5000</v>
      </c>
      <c r="DW74" s="44">
        <f t="shared" si="241"/>
        <v>0</v>
      </c>
      <c r="DX74" s="44">
        <f t="shared" si="167"/>
        <v>0</v>
      </c>
      <c r="DY74" s="44">
        <f t="shared" si="242"/>
        <v>0</v>
      </c>
      <c r="DZ74" s="44">
        <f t="shared" si="168"/>
        <v>0</v>
      </c>
      <c r="EA74" s="44">
        <f t="shared" si="243"/>
        <v>0</v>
      </c>
      <c r="EB74" s="44">
        <f t="shared" si="169"/>
        <v>5000</v>
      </c>
      <c r="EC74" s="46">
        <f t="shared" si="170"/>
        <v>0</v>
      </c>
      <c r="ED74" s="47">
        <f t="shared" si="171"/>
        <v>0</v>
      </c>
    </row>
    <row r="75" spans="1:134" x14ac:dyDescent="0.35">
      <c r="A75" s="81">
        <v>1985</v>
      </c>
      <c r="B75" s="82" t="s">
        <v>245</v>
      </c>
      <c r="C75" s="82"/>
      <c r="D75" s="83" t="s">
        <v>29</v>
      </c>
      <c r="E75" s="87">
        <v>2000</v>
      </c>
      <c r="F75" s="85">
        <v>31229</v>
      </c>
      <c r="G75" s="185">
        <v>10</v>
      </c>
      <c r="H75" s="179"/>
      <c r="I75" s="180"/>
      <c r="J75" s="181"/>
      <c r="K75" s="42">
        <f t="shared" si="122"/>
        <v>0.1</v>
      </c>
      <c r="L75" s="43">
        <f t="shared" si="123"/>
        <v>200</v>
      </c>
      <c r="M75" s="44">
        <f t="shared" si="124"/>
        <v>0</v>
      </c>
      <c r="N75" s="44"/>
      <c r="O75" s="44">
        <f t="shared" si="125"/>
        <v>2000</v>
      </c>
      <c r="P75" s="45"/>
      <c r="Q75" s="44">
        <f t="shared" si="126"/>
        <v>2000</v>
      </c>
      <c r="R75" s="604">
        <f t="shared" si="172"/>
        <v>0</v>
      </c>
      <c r="S75" s="44">
        <f t="shared" si="173"/>
        <v>0</v>
      </c>
      <c r="T75" s="44">
        <f t="shared" si="174"/>
        <v>0</v>
      </c>
      <c r="U75" s="44">
        <f t="shared" si="175"/>
        <v>0</v>
      </c>
      <c r="V75" s="44">
        <f t="shared" si="176"/>
        <v>2000</v>
      </c>
      <c r="W75" s="44">
        <f t="shared" si="177"/>
        <v>0</v>
      </c>
      <c r="X75" s="44">
        <f t="shared" si="127"/>
        <v>0</v>
      </c>
      <c r="Y75" s="44">
        <f t="shared" si="178"/>
        <v>0</v>
      </c>
      <c r="Z75" s="44">
        <f t="shared" si="128"/>
        <v>0</v>
      </c>
      <c r="AA75" s="44">
        <f t="shared" si="179"/>
        <v>0</v>
      </c>
      <c r="AB75" s="44">
        <f t="shared" si="129"/>
        <v>2000</v>
      </c>
      <c r="AC75" s="46">
        <f t="shared" si="130"/>
        <v>0</v>
      </c>
      <c r="AD75" s="47">
        <f t="shared" si="131"/>
        <v>0</v>
      </c>
      <c r="AE75" s="604">
        <f t="shared" si="180"/>
        <v>0</v>
      </c>
      <c r="AF75" s="44">
        <f t="shared" si="181"/>
        <v>0</v>
      </c>
      <c r="AG75" s="44">
        <f t="shared" si="182"/>
        <v>0</v>
      </c>
      <c r="AH75" s="44">
        <f t="shared" si="183"/>
        <v>0</v>
      </c>
      <c r="AI75" s="44">
        <f t="shared" si="184"/>
        <v>2000</v>
      </c>
      <c r="AJ75" s="44">
        <f t="shared" si="185"/>
        <v>0</v>
      </c>
      <c r="AK75" s="44">
        <f t="shared" si="132"/>
        <v>0</v>
      </c>
      <c r="AL75" s="44">
        <f t="shared" si="186"/>
        <v>0</v>
      </c>
      <c r="AM75" s="44">
        <f t="shared" si="133"/>
        <v>0</v>
      </c>
      <c r="AN75" s="44">
        <f t="shared" si="187"/>
        <v>0</v>
      </c>
      <c r="AO75" s="44">
        <f t="shared" si="134"/>
        <v>2000</v>
      </c>
      <c r="AP75" s="46">
        <f t="shared" si="135"/>
        <v>0</v>
      </c>
      <c r="AQ75" s="47">
        <f t="shared" si="136"/>
        <v>0</v>
      </c>
      <c r="AR75" s="604">
        <f t="shared" si="188"/>
        <v>0</v>
      </c>
      <c r="AS75" s="44">
        <f t="shared" si="189"/>
        <v>0</v>
      </c>
      <c r="AT75" s="44">
        <f t="shared" si="190"/>
        <v>0</v>
      </c>
      <c r="AU75" s="44">
        <f t="shared" si="191"/>
        <v>0</v>
      </c>
      <c r="AV75" s="44">
        <f t="shared" si="192"/>
        <v>2000</v>
      </c>
      <c r="AW75" s="44">
        <f t="shared" si="193"/>
        <v>0</v>
      </c>
      <c r="AX75" s="44">
        <f t="shared" si="137"/>
        <v>0</v>
      </c>
      <c r="AY75" s="44">
        <f t="shared" si="194"/>
        <v>0</v>
      </c>
      <c r="AZ75" s="44">
        <f t="shared" si="138"/>
        <v>0</v>
      </c>
      <c r="BA75" s="44">
        <f t="shared" si="195"/>
        <v>0</v>
      </c>
      <c r="BB75" s="44">
        <f t="shared" si="139"/>
        <v>2000</v>
      </c>
      <c r="BC75" s="46">
        <f t="shared" si="140"/>
        <v>0</v>
      </c>
      <c r="BD75" s="47">
        <f t="shared" si="141"/>
        <v>0</v>
      </c>
      <c r="BE75" s="604">
        <f t="shared" si="196"/>
        <v>0</v>
      </c>
      <c r="BF75" s="44">
        <f t="shared" si="197"/>
        <v>0</v>
      </c>
      <c r="BG75" s="44">
        <f t="shared" si="198"/>
        <v>0</v>
      </c>
      <c r="BH75" s="44">
        <f t="shared" si="199"/>
        <v>0</v>
      </c>
      <c r="BI75" s="44">
        <f t="shared" si="200"/>
        <v>2000</v>
      </c>
      <c r="BJ75" s="44">
        <f t="shared" si="201"/>
        <v>0</v>
      </c>
      <c r="BK75" s="44">
        <f t="shared" si="142"/>
        <v>0</v>
      </c>
      <c r="BL75" s="44">
        <f t="shared" si="202"/>
        <v>0</v>
      </c>
      <c r="BM75" s="44">
        <f t="shared" si="143"/>
        <v>0</v>
      </c>
      <c r="BN75" s="44">
        <f t="shared" si="203"/>
        <v>0</v>
      </c>
      <c r="BO75" s="44">
        <f t="shared" si="144"/>
        <v>2000</v>
      </c>
      <c r="BP75" s="46">
        <f t="shared" si="145"/>
        <v>0</v>
      </c>
      <c r="BQ75" s="47">
        <f t="shared" si="146"/>
        <v>0</v>
      </c>
      <c r="BR75" s="604">
        <f t="shared" si="204"/>
        <v>0</v>
      </c>
      <c r="BS75" s="44">
        <f t="shared" si="205"/>
        <v>0</v>
      </c>
      <c r="BT75" s="44">
        <f t="shared" si="206"/>
        <v>0</v>
      </c>
      <c r="BU75" s="44">
        <f t="shared" si="207"/>
        <v>0</v>
      </c>
      <c r="BV75" s="44">
        <f t="shared" si="208"/>
        <v>2000</v>
      </c>
      <c r="BW75" s="44">
        <f t="shared" si="209"/>
        <v>0</v>
      </c>
      <c r="BX75" s="44">
        <f t="shared" si="147"/>
        <v>0</v>
      </c>
      <c r="BY75" s="44">
        <f t="shared" si="210"/>
        <v>0</v>
      </c>
      <c r="BZ75" s="44">
        <f t="shared" si="148"/>
        <v>0</v>
      </c>
      <c r="CA75" s="44">
        <f t="shared" si="211"/>
        <v>0</v>
      </c>
      <c r="CB75" s="44">
        <f t="shared" si="149"/>
        <v>2000</v>
      </c>
      <c r="CC75" s="46">
        <f t="shared" si="150"/>
        <v>0</v>
      </c>
      <c r="CD75" s="47">
        <f t="shared" si="151"/>
        <v>0</v>
      </c>
      <c r="CE75" s="604">
        <f t="shared" si="212"/>
        <v>0</v>
      </c>
      <c r="CF75" s="44">
        <f t="shared" si="213"/>
        <v>0</v>
      </c>
      <c r="CG75" s="44">
        <f t="shared" si="214"/>
        <v>0</v>
      </c>
      <c r="CH75" s="44">
        <f t="shared" si="215"/>
        <v>0</v>
      </c>
      <c r="CI75" s="44">
        <f t="shared" si="216"/>
        <v>2000</v>
      </c>
      <c r="CJ75" s="44">
        <f t="shared" si="217"/>
        <v>0</v>
      </c>
      <c r="CK75" s="44">
        <f t="shared" si="152"/>
        <v>0</v>
      </c>
      <c r="CL75" s="44">
        <f t="shared" si="218"/>
        <v>0</v>
      </c>
      <c r="CM75" s="44">
        <f t="shared" si="153"/>
        <v>0</v>
      </c>
      <c r="CN75" s="44">
        <f t="shared" si="219"/>
        <v>0</v>
      </c>
      <c r="CO75" s="44">
        <f t="shared" si="154"/>
        <v>2000</v>
      </c>
      <c r="CP75" s="46">
        <f t="shared" si="155"/>
        <v>0</v>
      </c>
      <c r="CQ75" s="47">
        <f t="shared" si="156"/>
        <v>0</v>
      </c>
      <c r="CR75" s="604">
        <f t="shared" si="220"/>
        <v>0</v>
      </c>
      <c r="CS75" s="44">
        <f t="shared" si="221"/>
        <v>0</v>
      </c>
      <c r="CT75" s="44">
        <f t="shared" si="222"/>
        <v>0</v>
      </c>
      <c r="CU75" s="44">
        <f t="shared" si="223"/>
        <v>0</v>
      </c>
      <c r="CV75" s="44">
        <f t="shared" si="224"/>
        <v>2000</v>
      </c>
      <c r="CW75" s="44">
        <f t="shared" si="225"/>
        <v>0</v>
      </c>
      <c r="CX75" s="44">
        <f t="shared" si="157"/>
        <v>0</v>
      </c>
      <c r="CY75" s="44">
        <f t="shared" si="226"/>
        <v>0</v>
      </c>
      <c r="CZ75" s="44">
        <f t="shared" si="158"/>
        <v>0</v>
      </c>
      <c r="DA75" s="44">
        <f t="shared" si="227"/>
        <v>0</v>
      </c>
      <c r="DB75" s="44">
        <f t="shared" si="159"/>
        <v>2000</v>
      </c>
      <c r="DC75" s="46">
        <f t="shared" si="160"/>
        <v>0</v>
      </c>
      <c r="DD75" s="47">
        <f t="shared" si="161"/>
        <v>0</v>
      </c>
      <c r="DE75" s="604">
        <f t="shared" si="228"/>
        <v>0</v>
      </c>
      <c r="DF75" s="44">
        <f t="shared" si="229"/>
        <v>0</v>
      </c>
      <c r="DG75" s="44">
        <f t="shared" si="230"/>
        <v>0</v>
      </c>
      <c r="DH75" s="44">
        <f t="shared" si="231"/>
        <v>0</v>
      </c>
      <c r="DI75" s="44">
        <f t="shared" si="232"/>
        <v>2000</v>
      </c>
      <c r="DJ75" s="44">
        <f t="shared" si="233"/>
        <v>0</v>
      </c>
      <c r="DK75" s="44">
        <f t="shared" si="162"/>
        <v>0</v>
      </c>
      <c r="DL75" s="44">
        <f t="shared" si="234"/>
        <v>0</v>
      </c>
      <c r="DM75" s="44">
        <f t="shared" si="163"/>
        <v>0</v>
      </c>
      <c r="DN75" s="44">
        <f t="shared" si="235"/>
        <v>0</v>
      </c>
      <c r="DO75" s="44">
        <f t="shared" si="164"/>
        <v>2000</v>
      </c>
      <c r="DP75" s="46">
        <f t="shared" si="165"/>
        <v>0</v>
      </c>
      <c r="DQ75" s="47">
        <f t="shared" si="166"/>
        <v>0</v>
      </c>
      <c r="DR75" s="604">
        <f t="shared" si="236"/>
        <v>0</v>
      </c>
      <c r="DS75" s="44">
        <f t="shared" si="237"/>
        <v>0</v>
      </c>
      <c r="DT75" s="44">
        <f t="shared" si="238"/>
        <v>0</v>
      </c>
      <c r="DU75" s="44">
        <f t="shared" si="239"/>
        <v>0</v>
      </c>
      <c r="DV75" s="44">
        <f t="shared" si="240"/>
        <v>2000</v>
      </c>
      <c r="DW75" s="44">
        <f t="shared" si="241"/>
        <v>0</v>
      </c>
      <c r="DX75" s="44">
        <f t="shared" si="167"/>
        <v>0</v>
      </c>
      <c r="DY75" s="44">
        <f t="shared" si="242"/>
        <v>0</v>
      </c>
      <c r="DZ75" s="44">
        <f t="shared" si="168"/>
        <v>0</v>
      </c>
      <c r="EA75" s="44">
        <f t="shared" si="243"/>
        <v>0</v>
      </c>
      <c r="EB75" s="44">
        <f t="shared" si="169"/>
        <v>2000</v>
      </c>
      <c r="EC75" s="46">
        <f t="shared" si="170"/>
        <v>0</v>
      </c>
      <c r="ED75" s="47">
        <f t="shared" si="171"/>
        <v>0</v>
      </c>
    </row>
    <row r="76" spans="1:134" x14ac:dyDescent="0.35">
      <c r="A76" s="81">
        <v>1985</v>
      </c>
      <c r="B76" s="82" t="s">
        <v>246</v>
      </c>
      <c r="C76" s="82"/>
      <c r="D76" s="83" t="s">
        <v>29</v>
      </c>
      <c r="E76" s="87">
        <v>1000</v>
      </c>
      <c r="F76" s="85">
        <v>31229</v>
      </c>
      <c r="G76" s="185">
        <v>10</v>
      </c>
      <c r="H76" s="179"/>
      <c r="I76" s="180"/>
      <c r="J76" s="181"/>
      <c r="K76" s="42">
        <f t="shared" si="122"/>
        <v>0.1</v>
      </c>
      <c r="L76" s="43">
        <f t="shared" si="123"/>
        <v>100</v>
      </c>
      <c r="M76" s="44">
        <f t="shared" si="124"/>
        <v>0</v>
      </c>
      <c r="N76" s="44"/>
      <c r="O76" s="44">
        <f t="shared" si="125"/>
        <v>1000</v>
      </c>
      <c r="P76" s="45"/>
      <c r="Q76" s="44">
        <f t="shared" si="126"/>
        <v>1000</v>
      </c>
      <c r="R76" s="604">
        <f t="shared" si="172"/>
        <v>0</v>
      </c>
      <c r="S76" s="44">
        <f t="shared" si="173"/>
        <v>0</v>
      </c>
      <c r="T76" s="44">
        <f t="shared" si="174"/>
        <v>0</v>
      </c>
      <c r="U76" s="44">
        <f t="shared" si="175"/>
        <v>0</v>
      </c>
      <c r="V76" s="44">
        <f t="shared" si="176"/>
        <v>1000</v>
      </c>
      <c r="W76" s="44">
        <f t="shared" si="177"/>
        <v>0</v>
      </c>
      <c r="X76" s="44">
        <f t="shared" si="127"/>
        <v>0</v>
      </c>
      <c r="Y76" s="44">
        <f t="shared" si="178"/>
        <v>0</v>
      </c>
      <c r="Z76" s="44">
        <f t="shared" si="128"/>
        <v>0</v>
      </c>
      <c r="AA76" s="44">
        <f t="shared" si="179"/>
        <v>0</v>
      </c>
      <c r="AB76" s="44">
        <f t="shared" si="129"/>
        <v>1000</v>
      </c>
      <c r="AC76" s="46">
        <f t="shared" si="130"/>
        <v>0</v>
      </c>
      <c r="AD76" s="47">
        <f t="shared" si="131"/>
        <v>0</v>
      </c>
      <c r="AE76" s="604">
        <f t="shared" si="180"/>
        <v>0</v>
      </c>
      <c r="AF76" s="44">
        <f t="shared" si="181"/>
        <v>0</v>
      </c>
      <c r="AG76" s="44">
        <f t="shared" si="182"/>
        <v>0</v>
      </c>
      <c r="AH76" s="44">
        <f t="shared" si="183"/>
        <v>0</v>
      </c>
      <c r="AI76" s="44">
        <f t="shared" si="184"/>
        <v>1000</v>
      </c>
      <c r="AJ76" s="44">
        <f t="shared" si="185"/>
        <v>0</v>
      </c>
      <c r="AK76" s="44">
        <f t="shared" si="132"/>
        <v>0</v>
      </c>
      <c r="AL76" s="44">
        <f t="shared" si="186"/>
        <v>0</v>
      </c>
      <c r="AM76" s="44">
        <f t="shared" si="133"/>
        <v>0</v>
      </c>
      <c r="AN76" s="44">
        <f t="shared" si="187"/>
        <v>0</v>
      </c>
      <c r="AO76" s="44">
        <f t="shared" si="134"/>
        <v>1000</v>
      </c>
      <c r="AP76" s="46">
        <f t="shared" si="135"/>
        <v>0</v>
      </c>
      <c r="AQ76" s="47">
        <f t="shared" si="136"/>
        <v>0</v>
      </c>
      <c r="AR76" s="604">
        <f t="shared" si="188"/>
        <v>0</v>
      </c>
      <c r="AS76" s="44">
        <f t="shared" si="189"/>
        <v>0</v>
      </c>
      <c r="AT76" s="44">
        <f t="shared" si="190"/>
        <v>0</v>
      </c>
      <c r="AU76" s="44">
        <f t="shared" si="191"/>
        <v>0</v>
      </c>
      <c r="AV76" s="44">
        <f t="shared" si="192"/>
        <v>1000</v>
      </c>
      <c r="AW76" s="44">
        <f t="shared" si="193"/>
        <v>0</v>
      </c>
      <c r="AX76" s="44">
        <f t="shared" si="137"/>
        <v>0</v>
      </c>
      <c r="AY76" s="44">
        <f t="shared" si="194"/>
        <v>0</v>
      </c>
      <c r="AZ76" s="44">
        <f t="shared" si="138"/>
        <v>0</v>
      </c>
      <c r="BA76" s="44">
        <f t="shared" si="195"/>
        <v>0</v>
      </c>
      <c r="BB76" s="44">
        <f t="shared" si="139"/>
        <v>1000</v>
      </c>
      <c r="BC76" s="46">
        <f t="shared" si="140"/>
        <v>0</v>
      </c>
      <c r="BD76" s="47">
        <f t="shared" si="141"/>
        <v>0</v>
      </c>
      <c r="BE76" s="604">
        <f t="shared" si="196"/>
        <v>0</v>
      </c>
      <c r="BF76" s="44">
        <f t="shared" si="197"/>
        <v>0</v>
      </c>
      <c r="BG76" s="44">
        <f t="shared" si="198"/>
        <v>0</v>
      </c>
      <c r="BH76" s="44">
        <f t="shared" si="199"/>
        <v>0</v>
      </c>
      <c r="BI76" s="44">
        <f t="shared" si="200"/>
        <v>1000</v>
      </c>
      <c r="BJ76" s="44">
        <f t="shared" si="201"/>
        <v>0</v>
      </c>
      <c r="BK76" s="44">
        <f t="shared" si="142"/>
        <v>0</v>
      </c>
      <c r="BL76" s="44">
        <f t="shared" si="202"/>
        <v>0</v>
      </c>
      <c r="BM76" s="44">
        <f t="shared" si="143"/>
        <v>0</v>
      </c>
      <c r="BN76" s="44">
        <f t="shared" si="203"/>
        <v>0</v>
      </c>
      <c r="BO76" s="44">
        <f t="shared" si="144"/>
        <v>1000</v>
      </c>
      <c r="BP76" s="46">
        <f t="shared" si="145"/>
        <v>0</v>
      </c>
      <c r="BQ76" s="47">
        <f t="shared" si="146"/>
        <v>0</v>
      </c>
      <c r="BR76" s="604">
        <f t="shared" si="204"/>
        <v>0</v>
      </c>
      <c r="BS76" s="44">
        <f t="shared" si="205"/>
        <v>0</v>
      </c>
      <c r="BT76" s="44">
        <f t="shared" si="206"/>
        <v>0</v>
      </c>
      <c r="BU76" s="44">
        <f t="shared" si="207"/>
        <v>0</v>
      </c>
      <c r="BV76" s="44">
        <f t="shared" si="208"/>
        <v>1000</v>
      </c>
      <c r="BW76" s="44">
        <f t="shared" si="209"/>
        <v>0</v>
      </c>
      <c r="BX76" s="44">
        <f t="shared" si="147"/>
        <v>0</v>
      </c>
      <c r="BY76" s="44">
        <f t="shared" si="210"/>
        <v>0</v>
      </c>
      <c r="BZ76" s="44">
        <f t="shared" si="148"/>
        <v>0</v>
      </c>
      <c r="CA76" s="44">
        <f t="shared" si="211"/>
        <v>0</v>
      </c>
      <c r="CB76" s="44">
        <f t="shared" si="149"/>
        <v>1000</v>
      </c>
      <c r="CC76" s="46">
        <f t="shared" si="150"/>
        <v>0</v>
      </c>
      <c r="CD76" s="47">
        <f t="shared" si="151"/>
        <v>0</v>
      </c>
      <c r="CE76" s="604">
        <f t="shared" si="212"/>
        <v>0</v>
      </c>
      <c r="CF76" s="44">
        <f t="shared" si="213"/>
        <v>0</v>
      </c>
      <c r="CG76" s="44">
        <f t="shared" si="214"/>
        <v>0</v>
      </c>
      <c r="CH76" s="44">
        <f t="shared" si="215"/>
        <v>0</v>
      </c>
      <c r="CI76" s="44">
        <f t="shared" si="216"/>
        <v>1000</v>
      </c>
      <c r="CJ76" s="44">
        <f t="shared" si="217"/>
        <v>0</v>
      </c>
      <c r="CK76" s="44">
        <f t="shared" si="152"/>
        <v>0</v>
      </c>
      <c r="CL76" s="44">
        <f t="shared" si="218"/>
        <v>0</v>
      </c>
      <c r="CM76" s="44">
        <f t="shared" si="153"/>
        <v>0</v>
      </c>
      <c r="CN76" s="44">
        <f t="shared" si="219"/>
        <v>0</v>
      </c>
      <c r="CO76" s="44">
        <f t="shared" si="154"/>
        <v>1000</v>
      </c>
      <c r="CP76" s="46">
        <f t="shared" si="155"/>
        <v>0</v>
      </c>
      <c r="CQ76" s="47">
        <f t="shared" si="156"/>
        <v>0</v>
      </c>
      <c r="CR76" s="604">
        <f t="shared" si="220"/>
        <v>0</v>
      </c>
      <c r="CS76" s="44">
        <f t="shared" si="221"/>
        <v>0</v>
      </c>
      <c r="CT76" s="44">
        <f t="shared" si="222"/>
        <v>0</v>
      </c>
      <c r="CU76" s="44">
        <f t="shared" si="223"/>
        <v>0</v>
      </c>
      <c r="CV76" s="44">
        <f t="shared" si="224"/>
        <v>1000</v>
      </c>
      <c r="CW76" s="44">
        <f t="shared" si="225"/>
        <v>0</v>
      </c>
      <c r="CX76" s="44">
        <f t="shared" si="157"/>
        <v>0</v>
      </c>
      <c r="CY76" s="44">
        <f t="shared" si="226"/>
        <v>0</v>
      </c>
      <c r="CZ76" s="44">
        <f t="shared" si="158"/>
        <v>0</v>
      </c>
      <c r="DA76" s="44">
        <f t="shared" si="227"/>
        <v>0</v>
      </c>
      <c r="DB76" s="44">
        <f t="shared" si="159"/>
        <v>1000</v>
      </c>
      <c r="DC76" s="46">
        <f t="shared" si="160"/>
        <v>0</v>
      </c>
      <c r="DD76" s="47">
        <f t="shared" si="161"/>
        <v>0</v>
      </c>
      <c r="DE76" s="604">
        <f t="shared" si="228"/>
        <v>0</v>
      </c>
      <c r="DF76" s="44">
        <f t="shared" si="229"/>
        <v>0</v>
      </c>
      <c r="DG76" s="44">
        <f t="shared" si="230"/>
        <v>0</v>
      </c>
      <c r="DH76" s="44">
        <f t="shared" si="231"/>
        <v>0</v>
      </c>
      <c r="DI76" s="44">
        <f t="shared" si="232"/>
        <v>1000</v>
      </c>
      <c r="DJ76" s="44">
        <f t="shared" si="233"/>
        <v>0</v>
      </c>
      <c r="DK76" s="44">
        <f t="shared" si="162"/>
        <v>0</v>
      </c>
      <c r="DL76" s="44">
        <f t="shared" si="234"/>
        <v>0</v>
      </c>
      <c r="DM76" s="44">
        <f t="shared" si="163"/>
        <v>0</v>
      </c>
      <c r="DN76" s="44">
        <f t="shared" si="235"/>
        <v>0</v>
      </c>
      <c r="DO76" s="44">
        <f t="shared" si="164"/>
        <v>1000</v>
      </c>
      <c r="DP76" s="46">
        <f t="shared" si="165"/>
        <v>0</v>
      </c>
      <c r="DQ76" s="47">
        <f t="shared" si="166"/>
        <v>0</v>
      </c>
      <c r="DR76" s="604">
        <f t="shared" si="236"/>
        <v>0</v>
      </c>
      <c r="DS76" s="44">
        <f t="shared" si="237"/>
        <v>0</v>
      </c>
      <c r="DT76" s="44">
        <f t="shared" si="238"/>
        <v>0</v>
      </c>
      <c r="DU76" s="44">
        <f t="shared" si="239"/>
        <v>0</v>
      </c>
      <c r="DV76" s="44">
        <f t="shared" si="240"/>
        <v>1000</v>
      </c>
      <c r="DW76" s="44">
        <f t="shared" si="241"/>
        <v>0</v>
      </c>
      <c r="DX76" s="44">
        <f t="shared" si="167"/>
        <v>0</v>
      </c>
      <c r="DY76" s="44">
        <f t="shared" si="242"/>
        <v>0</v>
      </c>
      <c r="DZ76" s="44">
        <f t="shared" si="168"/>
        <v>0</v>
      </c>
      <c r="EA76" s="44">
        <f t="shared" si="243"/>
        <v>0</v>
      </c>
      <c r="EB76" s="44">
        <f t="shared" si="169"/>
        <v>1000</v>
      </c>
      <c r="EC76" s="46">
        <f t="shared" si="170"/>
        <v>0</v>
      </c>
      <c r="ED76" s="47">
        <f t="shared" si="171"/>
        <v>0</v>
      </c>
    </row>
    <row r="77" spans="1:134" x14ac:dyDescent="0.35">
      <c r="A77" s="81">
        <v>1985</v>
      </c>
      <c r="B77" s="82" t="s">
        <v>247</v>
      </c>
      <c r="C77" s="82"/>
      <c r="D77" s="83" t="s">
        <v>29</v>
      </c>
      <c r="E77" s="87">
        <v>185000</v>
      </c>
      <c r="F77" s="85">
        <v>31229</v>
      </c>
      <c r="G77" s="185">
        <v>25</v>
      </c>
      <c r="H77" s="179"/>
      <c r="I77" s="180"/>
      <c r="J77" s="181"/>
      <c r="K77" s="42">
        <f t="shared" si="122"/>
        <v>0.04</v>
      </c>
      <c r="L77" s="43">
        <f t="shared" si="123"/>
        <v>7400</v>
      </c>
      <c r="M77" s="44">
        <f t="shared" si="124"/>
        <v>0</v>
      </c>
      <c r="N77" s="44"/>
      <c r="O77" s="44">
        <f t="shared" si="125"/>
        <v>185000</v>
      </c>
      <c r="P77" s="45"/>
      <c r="Q77" s="44">
        <f t="shared" si="126"/>
        <v>185000</v>
      </c>
      <c r="R77" s="604">
        <f t="shared" si="172"/>
        <v>0</v>
      </c>
      <c r="S77" s="44">
        <f t="shared" si="173"/>
        <v>0</v>
      </c>
      <c r="T77" s="44">
        <f t="shared" si="174"/>
        <v>0</v>
      </c>
      <c r="U77" s="44">
        <f t="shared" si="175"/>
        <v>0</v>
      </c>
      <c r="V77" s="44">
        <f t="shared" si="176"/>
        <v>185000</v>
      </c>
      <c r="W77" s="44">
        <f t="shared" si="177"/>
        <v>0</v>
      </c>
      <c r="X77" s="44">
        <f t="shared" si="127"/>
        <v>0</v>
      </c>
      <c r="Y77" s="44">
        <f t="shared" si="178"/>
        <v>0</v>
      </c>
      <c r="Z77" s="44">
        <f t="shared" si="128"/>
        <v>0</v>
      </c>
      <c r="AA77" s="44">
        <f t="shared" si="179"/>
        <v>0</v>
      </c>
      <c r="AB77" s="44">
        <f t="shared" si="129"/>
        <v>185000</v>
      </c>
      <c r="AC77" s="46">
        <f t="shared" si="130"/>
        <v>0</v>
      </c>
      <c r="AD77" s="47">
        <f t="shared" si="131"/>
        <v>0</v>
      </c>
      <c r="AE77" s="604">
        <f t="shared" si="180"/>
        <v>0</v>
      </c>
      <c r="AF77" s="44">
        <f t="shared" si="181"/>
        <v>0</v>
      </c>
      <c r="AG77" s="44">
        <f t="shared" si="182"/>
        <v>0</v>
      </c>
      <c r="AH77" s="44">
        <f t="shared" si="183"/>
        <v>0</v>
      </c>
      <c r="AI77" s="44">
        <f t="shared" si="184"/>
        <v>185000</v>
      </c>
      <c r="AJ77" s="44">
        <f t="shared" si="185"/>
        <v>0</v>
      </c>
      <c r="AK77" s="44">
        <f t="shared" si="132"/>
        <v>0</v>
      </c>
      <c r="AL77" s="44">
        <f t="shared" si="186"/>
        <v>0</v>
      </c>
      <c r="AM77" s="44">
        <f t="shared" si="133"/>
        <v>0</v>
      </c>
      <c r="AN77" s="44">
        <f t="shared" si="187"/>
        <v>0</v>
      </c>
      <c r="AO77" s="44">
        <f t="shared" si="134"/>
        <v>185000</v>
      </c>
      <c r="AP77" s="46">
        <f t="shared" si="135"/>
        <v>0</v>
      </c>
      <c r="AQ77" s="47">
        <f t="shared" si="136"/>
        <v>0</v>
      </c>
      <c r="AR77" s="604">
        <f t="shared" si="188"/>
        <v>0</v>
      </c>
      <c r="AS77" s="44">
        <f t="shared" si="189"/>
        <v>0</v>
      </c>
      <c r="AT77" s="44">
        <f t="shared" si="190"/>
        <v>0</v>
      </c>
      <c r="AU77" s="44">
        <f t="shared" si="191"/>
        <v>0</v>
      </c>
      <c r="AV77" s="44">
        <f t="shared" si="192"/>
        <v>185000</v>
      </c>
      <c r="AW77" s="44">
        <f t="shared" si="193"/>
        <v>0</v>
      </c>
      <c r="AX77" s="44">
        <f t="shared" si="137"/>
        <v>0</v>
      </c>
      <c r="AY77" s="44">
        <f t="shared" si="194"/>
        <v>0</v>
      </c>
      <c r="AZ77" s="44">
        <f t="shared" si="138"/>
        <v>0</v>
      </c>
      <c r="BA77" s="44">
        <f t="shared" si="195"/>
        <v>0</v>
      </c>
      <c r="BB77" s="44">
        <f t="shared" si="139"/>
        <v>185000</v>
      </c>
      <c r="BC77" s="46">
        <f t="shared" si="140"/>
        <v>0</v>
      </c>
      <c r="BD77" s="47">
        <f t="shared" si="141"/>
        <v>0</v>
      </c>
      <c r="BE77" s="604">
        <f t="shared" si="196"/>
        <v>0</v>
      </c>
      <c r="BF77" s="44">
        <f t="shared" si="197"/>
        <v>0</v>
      </c>
      <c r="BG77" s="44">
        <f t="shared" si="198"/>
        <v>0</v>
      </c>
      <c r="BH77" s="44">
        <f t="shared" si="199"/>
        <v>0</v>
      </c>
      <c r="BI77" s="44">
        <f t="shared" si="200"/>
        <v>185000</v>
      </c>
      <c r="BJ77" s="44">
        <f t="shared" si="201"/>
        <v>0</v>
      </c>
      <c r="BK77" s="44">
        <f t="shared" si="142"/>
        <v>0</v>
      </c>
      <c r="BL77" s="44">
        <f t="shared" si="202"/>
        <v>0</v>
      </c>
      <c r="BM77" s="44">
        <f t="shared" si="143"/>
        <v>0</v>
      </c>
      <c r="BN77" s="44">
        <f t="shared" si="203"/>
        <v>0</v>
      </c>
      <c r="BO77" s="44">
        <f t="shared" si="144"/>
        <v>185000</v>
      </c>
      <c r="BP77" s="46">
        <f t="shared" si="145"/>
        <v>0</v>
      </c>
      <c r="BQ77" s="47">
        <f t="shared" si="146"/>
        <v>0</v>
      </c>
      <c r="BR77" s="604">
        <f t="shared" si="204"/>
        <v>0</v>
      </c>
      <c r="BS77" s="44">
        <f t="shared" si="205"/>
        <v>0</v>
      </c>
      <c r="BT77" s="44">
        <f t="shared" si="206"/>
        <v>0</v>
      </c>
      <c r="BU77" s="44">
        <f t="shared" si="207"/>
        <v>0</v>
      </c>
      <c r="BV77" s="44">
        <f t="shared" si="208"/>
        <v>185000</v>
      </c>
      <c r="BW77" s="44">
        <f t="shared" si="209"/>
        <v>0</v>
      </c>
      <c r="BX77" s="44">
        <f t="shared" si="147"/>
        <v>0</v>
      </c>
      <c r="BY77" s="44">
        <f t="shared" si="210"/>
        <v>0</v>
      </c>
      <c r="BZ77" s="44">
        <f t="shared" si="148"/>
        <v>0</v>
      </c>
      <c r="CA77" s="44">
        <f t="shared" si="211"/>
        <v>0</v>
      </c>
      <c r="CB77" s="44">
        <f t="shared" si="149"/>
        <v>185000</v>
      </c>
      <c r="CC77" s="46">
        <f t="shared" si="150"/>
        <v>0</v>
      </c>
      <c r="CD77" s="47">
        <f t="shared" si="151"/>
        <v>0</v>
      </c>
      <c r="CE77" s="604">
        <f t="shared" si="212"/>
        <v>0</v>
      </c>
      <c r="CF77" s="44">
        <f t="shared" si="213"/>
        <v>0</v>
      </c>
      <c r="CG77" s="44">
        <f t="shared" si="214"/>
        <v>0</v>
      </c>
      <c r="CH77" s="44">
        <f t="shared" si="215"/>
        <v>0</v>
      </c>
      <c r="CI77" s="44">
        <f t="shared" si="216"/>
        <v>185000</v>
      </c>
      <c r="CJ77" s="44">
        <f t="shared" si="217"/>
        <v>0</v>
      </c>
      <c r="CK77" s="44">
        <f t="shared" si="152"/>
        <v>0</v>
      </c>
      <c r="CL77" s="44">
        <f t="shared" si="218"/>
        <v>0</v>
      </c>
      <c r="CM77" s="44">
        <f t="shared" si="153"/>
        <v>0</v>
      </c>
      <c r="CN77" s="44">
        <f t="shared" si="219"/>
        <v>0</v>
      </c>
      <c r="CO77" s="44">
        <f t="shared" si="154"/>
        <v>185000</v>
      </c>
      <c r="CP77" s="46">
        <f t="shared" si="155"/>
        <v>0</v>
      </c>
      <c r="CQ77" s="47">
        <f t="shared" si="156"/>
        <v>0</v>
      </c>
      <c r="CR77" s="604">
        <f t="shared" si="220"/>
        <v>0</v>
      </c>
      <c r="CS77" s="44">
        <f t="shared" si="221"/>
        <v>0</v>
      </c>
      <c r="CT77" s="44">
        <f t="shared" si="222"/>
        <v>0</v>
      </c>
      <c r="CU77" s="44">
        <f t="shared" si="223"/>
        <v>0</v>
      </c>
      <c r="CV77" s="44">
        <f t="shared" si="224"/>
        <v>185000</v>
      </c>
      <c r="CW77" s="44">
        <f t="shared" si="225"/>
        <v>0</v>
      </c>
      <c r="CX77" s="44">
        <f t="shared" si="157"/>
        <v>0</v>
      </c>
      <c r="CY77" s="44">
        <f t="shared" si="226"/>
        <v>0</v>
      </c>
      <c r="CZ77" s="44">
        <f t="shared" si="158"/>
        <v>0</v>
      </c>
      <c r="DA77" s="44">
        <f t="shared" si="227"/>
        <v>0</v>
      </c>
      <c r="DB77" s="44">
        <f t="shared" si="159"/>
        <v>185000</v>
      </c>
      <c r="DC77" s="46">
        <f t="shared" si="160"/>
        <v>0</v>
      </c>
      <c r="DD77" s="47">
        <f t="shared" si="161"/>
        <v>0</v>
      </c>
      <c r="DE77" s="604">
        <f t="shared" si="228"/>
        <v>0</v>
      </c>
      <c r="DF77" s="44">
        <f t="shared" si="229"/>
        <v>0</v>
      </c>
      <c r="DG77" s="44">
        <f t="shared" si="230"/>
        <v>0</v>
      </c>
      <c r="DH77" s="44">
        <f t="shared" si="231"/>
        <v>0</v>
      </c>
      <c r="DI77" s="44">
        <f t="shared" si="232"/>
        <v>185000</v>
      </c>
      <c r="DJ77" s="44">
        <f t="shared" si="233"/>
        <v>0</v>
      </c>
      <c r="DK77" s="44">
        <f t="shared" si="162"/>
        <v>0</v>
      </c>
      <c r="DL77" s="44">
        <f t="shared" si="234"/>
        <v>0</v>
      </c>
      <c r="DM77" s="44">
        <f t="shared" si="163"/>
        <v>0</v>
      </c>
      <c r="DN77" s="44">
        <f t="shared" si="235"/>
        <v>0</v>
      </c>
      <c r="DO77" s="44">
        <f t="shared" si="164"/>
        <v>185000</v>
      </c>
      <c r="DP77" s="46">
        <f t="shared" si="165"/>
        <v>0</v>
      </c>
      <c r="DQ77" s="47">
        <f t="shared" si="166"/>
        <v>0</v>
      </c>
      <c r="DR77" s="604">
        <f t="shared" si="236"/>
        <v>0</v>
      </c>
      <c r="DS77" s="44">
        <f t="shared" si="237"/>
        <v>0</v>
      </c>
      <c r="DT77" s="44">
        <f t="shared" si="238"/>
        <v>0</v>
      </c>
      <c r="DU77" s="44">
        <f t="shared" si="239"/>
        <v>0</v>
      </c>
      <c r="DV77" s="44">
        <f t="shared" si="240"/>
        <v>185000</v>
      </c>
      <c r="DW77" s="44">
        <f t="shared" si="241"/>
        <v>0</v>
      </c>
      <c r="DX77" s="44">
        <f t="shared" si="167"/>
        <v>0</v>
      </c>
      <c r="DY77" s="44">
        <f t="shared" si="242"/>
        <v>0</v>
      </c>
      <c r="DZ77" s="44">
        <f t="shared" si="168"/>
        <v>0</v>
      </c>
      <c r="EA77" s="44">
        <f t="shared" si="243"/>
        <v>0</v>
      </c>
      <c r="EB77" s="44">
        <f t="shared" si="169"/>
        <v>185000</v>
      </c>
      <c r="EC77" s="46">
        <f t="shared" si="170"/>
        <v>0</v>
      </c>
      <c r="ED77" s="47">
        <f t="shared" si="171"/>
        <v>0</v>
      </c>
    </row>
    <row r="78" spans="1:134" x14ac:dyDescent="0.35">
      <c r="A78" s="81">
        <v>1985</v>
      </c>
      <c r="B78" s="82" t="s">
        <v>248</v>
      </c>
      <c r="C78" s="82"/>
      <c r="D78" s="83" t="s">
        <v>29</v>
      </c>
      <c r="E78" s="87">
        <v>2000</v>
      </c>
      <c r="F78" s="85">
        <v>31229</v>
      </c>
      <c r="G78" s="185">
        <v>10</v>
      </c>
      <c r="H78" s="179"/>
      <c r="I78" s="180"/>
      <c r="J78" s="181"/>
      <c r="K78" s="42">
        <f t="shared" si="122"/>
        <v>0.1</v>
      </c>
      <c r="L78" s="43">
        <f t="shared" si="123"/>
        <v>200</v>
      </c>
      <c r="M78" s="44">
        <f t="shared" si="124"/>
        <v>0</v>
      </c>
      <c r="N78" s="44"/>
      <c r="O78" s="44">
        <f t="shared" si="125"/>
        <v>2000</v>
      </c>
      <c r="P78" s="45"/>
      <c r="Q78" s="44">
        <f t="shared" si="126"/>
        <v>2000</v>
      </c>
      <c r="R78" s="604">
        <f t="shared" si="172"/>
        <v>0</v>
      </c>
      <c r="S78" s="44">
        <f t="shared" si="173"/>
        <v>0</v>
      </c>
      <c r="T78" s="44">
        <f t="shared" si="174"/>
        <v>0</v>
      </c>
      <c r="U78" s="44">
        <f t="shared" si="175"/>
        <v>0</v>
      </c>
      <c r="V78" s="44">
        <f t="shared" si="176"/>
        <v>2000</v>
      </c>
      <c r="W78" s="44">
        <f t="shared" si="177"/>
        <v>0</v>
      </c>
      <c r="X78" s="44">
        <f t="shared" si="127"/>
        <v>0</v>
      </c>
      <c r="Y78" s="44">
        <f t="shared" si="178"/>
        <v>0</v>
      </c>
      <c r="Z78" s="44">
        <f t="shared" si="128"/>
        <v>0</v>
      </c>
      <c r="AA78" s="44">
        <f t="shared" si="179"/>
        <v>0</v>
      </c>
      <c r="AB78" s="44">
        <f t="shared" si="129"/>
        <v>2000</v>
      </c>
      <c r="AC78" s="46">
        <f t="shared" si="130"/>
        <v>0</v>
      </c>
      <c r="AD78" s="47">
        <f t="shared" si="131"/>
        <v>0</v>
      </c>
      <c r="AE78" s="604">
        <f t="shared" si="180"/>
        <v>0</v>
      </c>
      <c r="AF78" s="44">
        <f t="shared" si="181"/>
        <v>0</v>
      </c>
      <c r="AG78" s="44">
        <f t="shared" si="182"/>
        <v>0</v>
      </c>
      <c r="AH78" s="44">
        <f t="shared" si="183"/>
        <v>0</v>
      </c>
      <c r="AI78" s="44">
        <f t="shared" si="184"/>
        <v>2000</v>
      </c>
      <c r="AJ78" s="44">
        <f t="shared" si="185"/>
        <v>0</v>
      </c>
      <c r="AK78" s="44">
        <f t="shared" si="132"/>
        <v>0</v>
      </c>
      <c r="AL78" s="44">
        <f t="shared" si="186"/>
        <v>0</v>
      </c>
      <c r="AM78" s="44">
        <f t="shared" si="133"/>
        <v>0</v>
      </c>
      <c r="AN78" s="44">
        <f t="shared" si="187"/>
        <v>0</v>
      </c>
      <c r="AO78" s="44">
        <f t="shared" si="134"/>
        <v>2000</v>
      </c>
      <c r="AP78" s="46">
        <f t="shared" si="135"/>
        <v>0</v>
      </c>
      <c r="AQ78" s="47">
        <f t="shared" si="136"/>
        <v>0</v>
      </c>
      <c r="AR78" s="604">
        <f t="shared" si="188"/>
        <v>0</v>
      </c>
      <c r="AS78" s="44">
        <f t="shared" si="189"/>
        <v>0</v>
      </c>
      <c r="AT78" s="44">
        <f t="shared" si="190"/>
        <v>0</v>
      </c>
      <c r="AU78" s="44">
        <f t="shared" si="191"/>
        <v>0</v>
      </c>
      <c r="AV78" s="44">
        <f t="shared" si="192"/>
        <v>2000</v>
      </c>
      <c r="AW78" s="44">
        <f t="shared" si="193"/>
        <v>0</v>
      </c>
      <c r="AX78" s="44">
        <f t="shared" si="137"/>
        <v>0</v>
      </c>
      <c r="AY78" s="44">
        <f t="shared" si="194"/>
        <v>0</v>
      </c>
      <c r="AZ78" s="44">
        <f t="shared" si="138"/>
        <v>0</v>
      </c>
      <c r="BA78" s="44">
        <f t="shared" si="195"/>
        <v>0</v>
      </c>
      <c r="BB78" s="44">
        <f t="shared" si="139"/>
        <v>2000</v>
      </c>
      <c r="BC78" s="46">
        <f t="shared" si="140"/>
        <v>0</v>
      </c>
      <c r="BD78" s="47">
        <f t="shared" si="141"/>
        <v>0</v>
      </c>
      <c r="BE78" s="604">
        <f t="shared" si="196"/>
        <v>0</v>
      </c>
      <c r="BF78" s="44">
        <f t="shared" si="197"/>
        <v>0</v>
      </c>
      <c r="BG78" s="44">
        <f t="shared" si="198"/>
        <v>0</v>
      </c>
      <c r="BH78" s="44">
        <f t="shared" si="199"/>
        <v>0</v>
      </c>
      <c r="BI78" s="44">
        <f t="shared" si="200"/>
        <v>2000</v>
      </c>
      <c r="BJ78" s="44">
        <f t="shared" si="201"/>
        <v>0</v>
      </c>
      <c r="BK78" s="44">
        <f t="shared" si="142"/>
        <v>0</v>
      </c>
      <c r="BL78" s="44">
        <f t="shared" si="202"/>
        <v>0</v>
      </c>
      <c r="BM78" s="44">
        <f t="shared" si="143"/>
        <v>0</v>
      </c>
      <c r="BN78" s="44">
        <f t="shared" si="203"/>
        <v>0</v>
      </c>
      <c r="BO78" s="44">
        <f t="shared" si="144"/>
        <v>2000</v>
      </c>
      <c r="BP78" s="46">
        <f t="shared" si="145"/>
        <v>0</v>
      </c>
      <c r="BQ78" s="47">
        <f t="shared" si="146"/>
        <v>0</v>
      </c>
      <c r="BR78" s="604">
        <f t="shared" si="204"/>
        <v>0</v>
      </c>
      <c r="BS78" s="44">
        <f t="shared" si="205"/>
        <v>0</v>
      </c>
      <c r="BT78" s="44">
        <f t="shared" si="206"/>
        <v>0</v>
      </c>
      <c r="BU78" s="44">
        <f t="shared" si="207"/>
        <v>0</v>
      </c>
      <c r="BV78" s="44">
        <f t="shared" si="208"/>
        <v>2000</v>
      </c>
      <c r="BW78" s="44">
        <f t="shared" si="209"/>
        <v>0</v>
      </c>
      <c r="BX78" s="44">
        <f t="shared" si="147"/>
        <v>0</v>
      </c>
      <c r="BY78" s="44">
        <f t="shared" si="210"/>
        <v>0</v>
      </c>
      <c r="BZ78" s="44">
        <f t="shared" si="148"/>
        <v>0</v>
      </c>
      <c r="CA78" s="44">
        <f t="shared" si="211"/>
        <v>0</v>
      </c>
      <c r="CB78" s="44">
        <f t="shared" si="149"/>
        <v>2000</v>
      </c>
      <c r="CC78" s="46">
        <f t="shared" si="150"/>
        <v>0</v>
      </c>
      <c r="CD78" s="47">
        <f t="shared" si="151"/>
        <v>0</v>
      </c>
      <c r="CE78" s="604">
        <f t="shared" si="212"/>
        <v>0</v>
      </c>
      <c r="CF78" s="44">
        <f t="shared" si="213"/>
        <v>0</v>
      </c>
      <c r="CG78" s="44">
        <f t="shared" si="214"/>
        <v>0</v>
      </c>
      <c r="CH78" s="44">
        <f t="shared" si="215"/>
        <v>0</v>
      </c>
      <c r="CI78" s="44">
        <f t="shared" si="216"/>
        <v>2000</v>
      </c>
      <c r="CJ78" s="44">
        <f t="shared" si="217"/>
        <v>0</v>
      </c>
      <c r="CK78" s="44">
        <f t="shared" si="152"/>
        <v>0</v>
      </c>
      <c r="CL78" s="44">
        <f t="shared" si="218"/>
        <v>0</v>
      </c>
      <c r="CM78" s="44">
        <f t="shared" si="153"/>
        <v>0</v>
      </c>
      <c r="CN78" s="44">
        <f t="shared" si="219"/>
        <v>0</v>
      </c>
      <c r="CO78" s="44">
        <f t="shared" si="154"/>
        <v>2000</v>
      </c>
      <c r="CP78" s="46">
        <f t="shared" si="155"/>
        <v>0</v>
      </c>
      <c r="CQ78" s="47">
        <f t="shared" si="156"/>
        <v>0</v>
      </c>
      <c r="CR78" s="604">
        <f t="shared" si="220"/>
        <v>0</v>
      </c>
      <c r="CS78" s="44">
        <f t="shared" si="221"/>
        <v>0</v>
      </c>
      <c r="CT78" s="44">
        <f t="shared" si="222"/>
        <v>0</v>
      </c>
      <c r="CU78" s="44">
        <f t="shared" si="223"/>
        <v>0</v>
      </c>
      <c r="CV78" s="44">
        <f t="shared" si="224"/>
        <v>2000</v>
      </c>
      <c r="CW78" s="44">
        <f t="shared" si="225"/>
        <v>0</v>
      </c>
      <c r="CX78" s="44">
        <f t="shared" si="157"/>
        <v>0</v>
      </c>
      <c r="CY78" s="44">
        <f t="shared" si="226"/>
        <v>0</v>
      </c>
      <c r="CZ78" s="44">
        <f t="shared" si="158"/>
        <v>0</v>
      </c>
      <c r="DA78" s="44">
        <f t="shared" si="227"/>
        <v>0</v>
      </c>
      <c r="DB78" s="44">
        <f t="shared" si="159"/>
        <v>2000</v>
      </c>
      <c r="DC78" s="46">
        <f t="shared" si="160"/>
        <v>0</v>
      </c>
      <c r="DD78" s="47">
        <f t="shared" si="161"/>
        <v>0</v>
      </c>
      <c r="DE78" s="604">
        <f t="shared" si="228"/>
        <v>0</v>
      </c>
      <c r="DF78" s="44">
        <f t="shared" si="229"/>
        <v>0</v>
      </c>
      <c r="DG78" s="44">
        <f t="shared" si="230"/>
        <v>0</v>
      </c>
      <c r="DH78" s="44">
        <f t="shared" si="231"/>
        <v>0</v>
      </c>
      <c r="DI78" s="44">
        <f t="shared" si="232"/>
        <v>2000</v>
      </c>
      <c r="DJ78" s="44">
        <f t="shared" si="233"/>
        <v>0</v>
      </c>
      <c r="DK78" s="44">
        <f t="shared" si="162"/>
        <v>0</v>
      </c>
      <c r="DL78" s="44">
        <f t="shared" si="234"/>
        <v>0</v>
      </c>
      <c r="DM78" s="44">
        <f t="shared" si="163"/>
        <v>0</v>
      </c>
      <c r="DN78" s="44">
        <f t="shared" si="235"/>
        <v>0</v>
      </c>
      <c r="DO78" s="44">
        <f t="shared" si="164"/>
        <v>2000</v>
      </c>
      <c r="DP78" s="46">
        <f t="shared" si="165"/>
        <v>0</v>
      </c>
      <c r="DQ78" s="47">
        <f t="shared" si="166"/>
        <v>0</v>
      </c>
      <c r="DR78" s="604">
        <f t="shared" si="236"/>
        <v>0</v>
      </c>
      <c r="DS78" s="44">
        <f t="shared" si="237"/>
        <v>0</v>
      </c>
      <c r="DT78" s="44">
        <f t="shared" si="238"/>
        <v>0</v>
      </c>
      <c r="DU78" s="44">
        <f t="shared" si="239"/>
        <v>0</v>
      </c>
      <c r="DV78" s="44">
        <f t="shared" si="240"/>
        <v>2000</v>
      </c>
      <c r="DW78" s="44">
        <f t="shared" si="241"/>
        <v>0</v>
      </c>
      <c r="DX78" s="44">
        <f t="shared" si="167"/>
        <v>0</v>
      </c>
      <c r="DY78" s="44">
        <f t="shared" si="242"/>
        <v>0</v>
      </c>
      <c r="DZ78" s="44">
        <f t="shared" si="168"/>
        <v>0</v>
      </c>
      <c r="EA78" s="44">
        <f t="shared" si="243"/>
        <v>0</v>
      </c>
      <c r="EB78" s="44">
        <f t="shared" si="169"/>
        <v>2000</v>
      </c>
      <c r="EC78" s="46">
        <f t="shared" si="170"/>
        <v>0</v>
      </c>
      <c r="ED78" s="47">
        <f t="shared" si="171"/>
        <v>0</v>
      </c>
    </row>
    <row r="79" spans="1:134" x14ac:dyDescent="0.35">
      <c r="A79" s="81">
        <v>1985</v>
      </c>
      <c r="B79" s="82" t="s">
        <v>249</v>
      </c>
      <c r="C79" s="82"/>
      <c r="D79" s="83" t="s">
        <v>29</v>
      </c>
      <c r="E79" s="87">
        <v>2000</v>
      </c>
      <c r="F79" s="85">
        <v>31229</v>
      </c>
      <c r="G79" s="86">
        <v>12.5</v>
      </c>
      <c r="H79" s="179"/>
      <c r="I79" s="180"/>
      <c r="J79" s="181"/>
      <c r="K79" s="42">
        <f t="shared" si="122"/>
        <v>0.08</v>
      </c>
      <c r="L79" s="43">
        <f t="shared" si="123"/>
        <v>160</v>
      </c>
      <c r="M79" s="44">
        <f t="shared" si="124"/>
        <v>0</v>
      </c>
      <c r="N79" s="44"/>
      <c r="O79" s="44">
        <f t="shared" si="125"/>
        <v>2000</v>
      </c>
      <c r="P79" s="45"/>
      <c r="Q79" s="44">
        <f t="shared" si="126"/>
        <v>2000</v>
      </c>
      <c r="R79" s="604">
        <f t="shared" si="172"/>
        <v>0</v>
      </c>
      <c r="S79" s="44">
        <f t="shared" si="173"/>
        <v>0</v>
      </c>
      <c r="T79" s="44">
        <f t="shared" si="174"/>
        <v>0</v>
      </c>
      <c r="U79" s="44">
        <f t="shared" si="175"/>
        <v>0</v>
      </c>
      <c r="V79" s="44">
        <f t="shared" si="176"/>
        <v>2000</v>
      </c>
      <c r="W79" s="44">
        <f t="shared" si="177"/>
        <v>0</v>
      </c>
      <c r="X79" s="44">
        <f t="shared" si="127"/>
        <v>0</v>
      </c>
      <c r="Y79" s="44">
        <f t="shared" si="178"/>
        <v>0</v>
      </c>
      <c r="Z79" s="44">
        <f t="shared" si="128"/>
        <v>0</v>
      </c>
      <c r="AA79" s="44">
        <f t="shared" si="179"/>
        <v>0</v>
      </c>
      <c r="AB79" s="44">
        <f t="shared" si="129"/>
        <v>2000</v>
      </c>
      <c r="AC79" s="46">
        <f t="shared" si="130"/>
        <v>0</v>
      </c>
      <c r="AD79" s="47">
        <f t="shared" si="131"/>
        <v>0</v>
      </c>
      <c r="AE79" s="604">
        <f t="shared" si="180"/>
        <v>0</v>
      </c>
      <c r="AF79" s="44">
        <f t="shared" si="181"/>
        <v>0</v>
      </c>
      <c r="AG79" s="44">
        <f t="shared" si="182"/>
        <v>0</v>
      </c>
      <c r="AH79" s="44">
        <f t="shared" si="183"/>
        <v>0</v>
      </c>
      <c r="AI79" s="44">
        <f t="shared" si="184"/>
        <v>2000</v>
      </c>
      <c r="AJ79" s="44">
        <f t="shared" si="185"/>
        <v>0</v>
      </c>
      <c r="AK79" s="44">
        <f t="shared" si="132"/>
        <v>0</v>
      </c>
      <c r="AL79" s="44">
        <f t="shared" si="186"/>
        <v>0</v>
      </c>
      <c r="AM79" s="44">
        <f t="shared" si="133"/>
        <v>0</v>
      </c>
      <c r="AN79" s="44">
        <f t="shared" si="187"/>
        <v>0</v>
      </c>
      <c r="AO79" s="44">
        <f t="shared" si="134"/>
        <v>2000</v>
      </c>
      <c r="AP79" s="46">
        <f t="shared" si="135"/>
        <v>0</v>
      </c>
      <c r="AQ79" s="47">
        <f t="shared" si="136"/>
        <v>0</v>
      </c>
      <c r="AR79" s="604">
        <f t="shared" si="188"/>
        <v>0</v>
      </c>
      <c r="AS79" s="44">
        <f t="shared" si="189"/>
        <v>0</v>
      </c>
      <c r="AT79" s="44">
        <f t="shared" si="190"/>
        <v>0</v>
      </c>
      <c r="AU79" s="44">
        <f t="shared" si="191"/>
        <v>0</v>
      </c>
      <c r="AV79" s="44">
        <f t="shared" si="192"/>
        <v>2000</v>
      </c>
      <c r="AW79" s="44">
        <f t="shared" si="193"/>
        <v>0</v>
      </c>
      <c r="AX79" s="44">
        <f t="shared" si="137"/>
        <v>0</v>
      </c>
      <c r="AY79" s="44">
        <f t="shared" si="194"/>
        <v>0</v>
      </c>
      <c r="AZ79" s="44">
        <f t="shared" si="138"/>
        <v>0</v>
      </c>
      <c r="BA79" s="44">
        <f t="shared" si="195"/>
        <v>0</v>
      </c>
      <c r="BB79" s="44">
        <f t="shared" si="139"/>
        <v>2000</v>
      </c>
      <c r="BC79" s="46">
        <f t="shared" si="140"/>
        <v>0</v>
      </c>
      <c r="BD79" s="47">
        <f t="shared" si="141"/>
        <v>0</v>
      </c>
      <c r="BE79" s="604">
        <f t="shared" si="196"/>
        <v>0</v>
      </c>
      <c r="BF79" s="44">
        <f t="shared" si="197"/>
        <v>0</v>
      </c>
      <c r="BG79" s="44">
        <f t="shared" si="198"/>
        <v>0</v>
      </c>
      <c r="BH79" s="44">
        <f t="shared" si="199"/>
        <v>0</v>
      </c>
      <c r="BI79" s="44">
        <f t="shared" si="200"/>
        <v>2000</v>
      </c>
      <c r="BJ79" s="44">
        <f t="shared" si="201"/>
        <v>0</v>
      </c>
      <c r="BK79" s="44">
        <f t="shared" si="142"/>
        <v>0</v>
      </c>
      <c r="BL79" s="44">
        <f t="shared" si="202"/>
        <v>0</v>
      </c>
      <c r="BM79" s="44">
        <f t="shared" si="143"/>
        <v>0</v>
      </c>
      <c r="BN79" s="44">
        <f t="shared" si="203"/>
        <v>0</v>
      </c>
      <c r="BO79" s="44">
        <f t="shared" si="144"/>
        <v>2000</v>
      </c>
      <c r="BP79" s="46">
        <f t="shared" si="145"/>
        <v>0</v>
      </c>
      <c r="BQ79" s="47">
        <f t="shared" si="146"/>
        <v>0</v>
      </c>
      <c r="BR79" s="604">
        <f t="shared" si="204"/>
        <v>0</v>
      </c>
      <c r="BS79" s="44">
        <f t="shared" si="205"/>
        <v>0</v>
      </c>
      <c r="BT79" s="44">
        <f t="shared" si="206"/>
        <v>0</v>
      </c>
      <c r="BU79" s="44">
        <f t="shared" si="207"/>
        <v>0</v>
      </c>
      <c r="BV79" s="44">
        <f t="shared" si="208"/>
        <v>2000</v>
      </c>
      <c r="BW79" s="44">
        <f t="shared" si="209"/>
        <v>0</v>
      </c>
      <c r="BX79" s="44">
        <f t="shared" si="147"/>
        <v>0</v>
      </c>
      <c r="BY79" s="44">
        <f t="shared" si="210"/>
        <v>0</v>
      </c>
      <c r="BZ79" s="44">
        <f t="shared" si="148"/>
        <v>0</v>
      </c>
      <c r="CA79" s="44">
        <f t="shared" si="211"/>
        <v>0</v>
      </c>
      <c r="CB79" s="44">
        <f t="shared" si="149"/>
        <v>2000</v>
      </c>
      <c r="CC79" s="46">
        <f t="shared" si="150"/>
        <v>0</v>
      </c>
      <c r="CD79" s="47">
        <f t="shared" si="151"/>
        <v>0</v>
      </c>
      <c r="CE79" s="604">
        <f t="shared" si="212"/>
        <v>0</v>
      </c>
      <c r="CF79" s="44">
        <f t="shared" si="213"/>
        <v>0</v>
      </c>
      <c r="CG79" s="44">
        <f t="shared" si="214"/>
        <v>0</v>
      </c>
      <c r="CH79" s="44">
        <f t="shared" si="215"/>
        <v>0</v>
      </c>
      <c r="CI79" s="44">
        <f t="shared" si="216"/>
        <v>2000</v>
      </c>
      <c r="CJ79" s="44">
        <f t="shared" si="217"/>
        <v>0</v>
      </c>
      <c r="CK79" s="44">
        <f t="shared" si="152"/>
        <v>0</v>
      </c>
      <c r="CL79" s="44">
        <f t="shared" si="218"/>
        <v>0</v>
      </c>
      <c r="CM79" s="44">
        <f t="shared" si="153"/>
        <v>0</v>
      </c>
      <c r="CN79" s="44">
        <f t="shared" si="219"/>
        <v>0</v>
      </c>
      <c r="CO79" s="44">
        <f t="shared" si="154"/>
        <v>2000</v>
      </c>
      <c r="CP79" s="46">
        <f t="shared" si="155"/>
        <v>0</v>
      </c>
      <c r="CQ79" s="47">
        <f t="shared" si="156"/>
        <v>0</v>
      </c>
      <c r="CR79" s="604">
        <f t="shared" si="220"/>
        <v>0</v>
      </c>
      <c r="CS79" s="44">
        <f t="shared" si="221"/>
        <v>0</v>
      </c>
      <c r="CT79" s="44">
        <f t="shared" si="222"/>
        <v>0</v>
      </c>
      <c r="CU79" s="44">
        <f t="shared" si="223"/>
        <v>0</v>
      </c>
      <c r="CV79" s="44">
        <f t="shared" si="224"/>
        <v>2000</v>
      </c>
      <c r="CW79" s="44">
        <f t="shared" si="225"/>
        <v>0</v>
      </c>
      <c r="CX79" s="44">
        <f t="shared" si="157"/>
        <v>0</v>
      </c>
      <c r="CY79" s="44">
        <f t="shared" si="226"/>
        <v>0</v>
      </c>
      <c r="CZ79" s="44">
        <f t="shared" si="158"/>
        <v>0</v>
      </c>
      <c r="DA79" s="44">
        <f t="shared" si="227"/>
        <v>0</v>
      </c>
      <c r="DB79" s="44">
        <f t="shared" si="159"/>
        <v>2000</v>
      </c>
      <c r="DC79" s="46">
        <f t="shared" si="160"/>
        <v>0</v>
      </c>
      <c r="DD79" s="47">
        <f t="shared" si="161"/>
        <v>0</v>
      </c>
      <c r="DE79" s="604">
        <f t="shared" si="228"/>
        <v>0</v>
      </c>
      <c r="DF79" s="44">
        <f t="shared" si="229"/>
        <v>0</v>
      </c>
      <c r="DG79" s="44">
        <f t="shared" si="230"/>
        <v>0</v>
      </c>
      <c r="DH79" s="44">
        <f t="shared" si="231"/>
        <v>0</v>
      </c>
      <c r="DI79" s="44">
        <f t="shared" si="232"/>
        <v>2000</v>
      </c>
      <c r="DJ79" s="44">
        <f t="shared" si="233"/>
        <v>0</v>
      </c>
      <c r="DK79" s="44">
        <f t="shared" si="162"/>
        <v>0</v>
      </c>
      <c r="DL79" s="44">
        <f t="shared" si="234"/>
        <v>0</v>
      </c>
      <c r="DM79" s="44">
        <f t="shared" si="163"/>
        <v>0</v>
      </c>
      <c r="DN79" s="44">
        <f t="shared" si="235"/>
        <v>0</v>
      </c>
      <c r="DO79" s="44">
        <f t="shared" si="164"/>
        <v>2000</v>
      </c>
      <c r="DP79" s="46">
        <f t="shared" si="165"/>
        <v>0</v>
      </c>
      <c r="DQ79" s="47">
        <f t="shared" si="166"/>
        <v>0</v>
      </c>
      <c r="DR79" s="604">
        <f t="shared" si="236"/>
        <v>0</v>
      </c>
      <c r="DS79" s="44">
        <f t="shared" si="237"/>
        <v>0</v>
      </c>
      <c r="DT79" s="44">
        <f t="shared" si="238"/>
        <v>0</v>
      </c>
      <c r="DU79" s="44">
        <f t="shared" si="239"/>
        <v>0</v>
      </c>
      <c r="DV79" s="44">
        <f t="shared" si="240"/>
        <v>2000</v>
      </c>
      <c r="DW79" s="44">
        <f t="shared" si="241"/>
        <v>0</v>
      </c>
      <c r="DX79" s="44">
        <f t="shared" si="167"/>
        <v>0</v>
      </c>
      <c r="DY79" s="44">
        <f t="shared" si="242"/>
        <v>0</v>
      </c>
      <c r="DZ79" s="44">
        <f t="shared" si="168"/>
        <v>0</v>
      </c>
      <c r="EA79" s="44">
        <f t="shared" si="243"/>
        <v>0</v>
      </c>
      <c r="EB79" s="44">
        <f t="shared" si="169"/>
        <v>2000</v>
      </c>
      <c r="EC79" s="46">
        <f t="shared" si="170"/>
        <v>0</v>
      </c>
      <c r="ED79" s="47">
        <f t="shared" si="171"/>
        <v>0</v>
      </c>
    </row>
    <row r="80" spans="1:134" x14ac:dyDescent="0.35">
      <c r="A80" s="81">
        <v>1999</v>
      </c>
      <c r="B80" s="82" t="s">
        <v>250</v>
      </c>
      <c r="C80" s="82"/>
      <c r="D80" s="83" t="s">
        <v>29</v>
      </c>
      <c r="E80" s="87">
        <v>3000</v>
      </c>
      <c r="F80" s="85">
        <v>38899</v>
      </c>
      <c r="G80" s="86">
        <v>20</v>
      </c>
      <c r="H80" s="179"/>
      <c r="I80" s="180"/>
      <c r="J80" s="181"/>
      <c r="K80" s="42">
        <f t="shared" si="122"/>
        <v>0.05</v>
      </c>
      <c r="L80" s="43">
        <f t="shared" si="123"/>
        <v>150</v>
      </c>
      <c r="M80" s="44">
        <f t="shared" si="124"/>
        <v>2175</v>
      </c>
      <c r="N80" s="44"/>
      <c r="O80" s="44">
        <f t="shared" si="125"/>
        <v>825</v>
      </c>
      <c r="P80" s="45"/>
      <c r="Q80" s="44">
        <f t="shared" si="126"/>
        <v>3000</v>
      </c>
      <c r="R80" s="604">
        <f t="shared" si="172"/>
        <v>0</v>
      </c>
      <c r="S80" s="44">
        <f t="shared" si="173"/>
        <v>0</v>
      </c>
      <c r="T80" s="44">
        <f t="shared" si="174"/>
        <v>0</v>
      </c>
      <c r="U80" s="44">
        <f t="shared" si="175"/>
        <v>0</v>
      </c>
      <c r="V80" s="44">
        <f t="shared" si="176"/>
        <v>3000</v>
      </c>
      <c r="W80" s="44">
        <f t="shared" si="177"/>
        <v>3000</v>
      </c>
      <c r="X80" s="44">
        <f t="shared" si="127"/>
        <v>150</v>
      </c>
      <c r="Y80" s="44">
        <f t="shared" si="178"/>
        <v>150</v>
      </c>
      <c r="Z80" s="44">
        <f t="shared" si="128"/>
        <v>2025</v>
      </c>
      <c r="AA80" s="44">
        <f t="shared" si="179"/>
        <v>2025</v>
      </c>
      <c r="AB80" s="44">
        <f t="shared" si="129"/>
        <v>975</v>
      </c>
      <c r="AC80" s="46">
        <f t="shared" si="130"/>
        <v>0</v>
      </c>
      <c r="AD80" s="47">
        <f t="shared" si="131"/>
        <v>0</v>
      </c>
      <c r="AE80" s="604">
        <f t="shared" si="180"/>
        <v>0</v>
      </c>
      <c r="AF80" s="44">
        <f t="shared" si="181"/>
        <v>0</v>
      </c>
      <c r="AG80" s="44">
        <f t="shared" si="182"/>
        <v>0</v>
      </c>
      <c r="AH80" s="44">
        <f t="shared" si="183"/>
        <v>0</v>
      </c>
      <c r="AI80" s="44">
        <f t="shared" si="184"/>
        <v>3000</v>
      </c>
      <c r="AJ80" s="44">
        <f t="shared" si="185"/>
        <v>3000</v>
      </c>
      <c r="AK80" s="44">
        <f t="shared" si="132"/>
        <v>150</v>
      </c>
      <c r="AL80" s="44">
        <f t="shared" si="186"/>
        <v>150</v>
      </c>
      <c r="AM80" s="44">
        <f t="shared" si="133"/>
        <v>1875</v>
      </c>
      <c r="AN80" s="44">
        <f t="shared" si="187"/>
        <v>1875</v>
      </c>
      <c r="AO80" s="44">
        <f t="shared" si="134"/>
        <v>1125</v>
      </c>
      <c r="AP80" s="46">
        <f t="shared" si="135"/>
        <v>0</v>
      </c>
      <c r="AQ80" s="47">
        <f t="shared" si="136"/>
        <v>0</v>
      </c>
      <c r="AR80" s="604">
        <f t="shared" si="188"/>
        <v>0</v>
      </c>
      <c r="AS80" s="44">
        <f t="shared" si="189"/>
        <v>0</v>
      </c>
      <c r="AT80" s="44">
        <f t="shared" si="190"/>
        <v>0</v>
      </c>
      <c r="AU80" s="44">
        <f t="shared" si="191"/>
        <v>0</v>
      </c>
      <c r="AV80" s="44">
        <f t="shared" si="192"/>
        <v>3000</v>
      </c>
      <c r="AW80" s="44">
        <f t="shared" si="193"/>
        <v>3000</v>
      </c>
      <c r="AX80" s="44">
        <f t="shared" si="137"/>
        <v>150</v>
      </c>
      <c r="AY80" s="44">
        <f t="shared" si="194"/>
        <v>150</v>
      </c>
      <c r="AZ80" s="44">
        <f t="shared" si="138"/>
        <v>1725</v>
      </c>
      <c r="BA80" s="44">
        <f t="shared" si="195"/>
        <v>1725</v>
      </c>
      <c r="BB80" s="44">
        <f t="shared" si="139"/>
        <v>1275</v>
      </c>
      <c r="BC80" s="46">
        <f t="shared" si="140"/>
        <v>0</v>
      </c>
      <c r="BD80" s="47">
        <f t="shared" si="141"/>
        <v>0</v>
      </c>
      <c r="BE80" s="604">
        <f t="shared" si="196"/>
        <v>0</v>
      </c>
      <c r="BF80" s="44">
        <f t="shared" si="197"/>
        <v>0</v>
      </c>
      <c r="BG80" s="44">
        <f t="shared" si="198"/>
        <v>0</v>
      </c>
      <c r="BH80" s="44">
        <f t="shared" si="199"/>
        <v>0</v>
      </c>
      <c r="BI80" s="44">
        <f t="shared" si="200"/>
        <v>3000</v>
      </c>
      <c r="BJ80" s="44">
        <f t="shared" si="201"/>
        <v>3000</v>
      </c>
      <c r="BK80" s="44">
        <f t="shared" si="142"/>
        <v>150</v>
      </c>
      <c r="BL80" s="44">
        <f t="shared" si="202"/>
        <v>150</v>
      </c>
      <c r="BM80" s="44">
        <f t="shared" si="143"/>
        <v>1575</v>
      </c>
      <c r="BN80" s="44">
        <f t="shared" si="203"/>
        <v>1575</v>
      </c>
      <c r="BO80" s="44">
        <f t="shared" si="144"/>
        <v>1425</v>
      </c>
      <c r="BP80" s="46">
        <f t="shared" si="145"/>
        <v>0</v>
      </c>
      <c r="BQ80" s="47">
        <f t="shared" si="146"/>
        <v>0</v>
      </c>
      <c r="BR80" s="604">
        <f t="shared" si="204"/>
        <v>0</v>
      </c>
      <c r="BS80" s="44">
        <f t="shared" si="205"/>
        <v>0</v>
      </c>
      <c r="BT80" s="44">
        <f t="shared" si="206"/>
        <v>0</v>
      </c>
      <c r="BU80" s="44">
        <f t="shared" si="207"/>
        <v>0</v>
      </c>
      <c r="BV80" s="44">
        <f t="shared" si="208"/>
        <v>3000</v>
      </c>
      <c r="BW80" s="44">
        <f t="shared" si="209"/>
        <v>3000</v>
      </c>
      <c r="BX80" s="44">
        <f t="shared" si="147"/>
        <v>150</v>
      </c>
      <c r="BY80" s="44">
        <f t="shared" si="210"/>
        <v>150</v>
      </c>
      <c r="BZ80" s="44">
        <f t="shared" si="148"/>
        <v>1425</v>
      </c>
      <c r="CA80" s="44">
        <f t="shared" si="211"/>
        <v>1425</v>
      </c>
      <c r="CB80" s="44">
        <f t="shared" si="149"/>
        <v>1575</v>
      </c>
      <c r="CC80" s="46">
        <f t="shared" si="150"/>
        <v>0</v>
      </c>
      <c r="CD80" s="47">
        <f t="shared" si="151"/>
        <v>0</v>
      </c>
      <c r="CE80" s="604">
        <f t="shared" si="212"/>
        <v>0</v>
      </c>
      <c r="CF80" s="44">
        <f t="shared" si="213"/>
        <v>0</v>
      </c>
      <c r="CG80" s="44">
        <f t="shared" si="214"/>
        <v>0</v>
      </c>
      <c r="CH80" s="44">
        <f t="shared" si="215"/>
        <v>0</v>
      </c>
      <c r="CI80" s="44">
        <f t="shared" si="216"/>
        <v>3000</v>
      </c>
      <c r="CJ80" s="44">
        <f t="shared" si="217"/>
        <v>3000</v>
      </c>
      <c r="CK80" s="44">
        <f t="shared" si="152"/>
        <v>150</v>
      </c>
      <c r="CL80" s="44">
        <f t="shared" si="218"/>
        <v>150</v>
      </c>
      <c r="CM80" s="44">
        <f t="shared" si="153"/>
        <v>1275</v>
      </c>
      <c r="CN80" s="44">
        <f t="shared" si="219"/>
        <v>1275</v>
      </c>
      <c r="CO80" s="44">
        <f t="shared" si="154"/>
        <v>1725</v>
      </c>
      <c r="CP80" s="46">
        <f t="shared" si="155"/>
        <v>0</v>
      </c>
      <c r="CQ80" s="47">
        <f t="shared" si="156"/>
        <v>0</v>
      </c>
      <c r="CR80" s="604">
        <f t="shared" si="220"/>
        <v>0</v>
      </c>
      <c r="CS80" s="44">
        <f t="shared" si="221"/>
        <v>0</v>
      </c>
      <c r="CT80" s="44">
        <f t="shared" si="222"/>
        <v>0</v>
      </c>
      <c r="CU80" s="44">
        <f t="shared" si="223"/>
        <v>0</v>
      </c>
      <c r="CV80" s="44">
        <f t="shared" si="224"/>
        <v>3000</v>
      </c>
      <c r="CW80" s="44">
        <f t="shared" si="225"/>
        <v>3000</v>
      </c>
      <c r="CX80" s="44">
        <f t="shared" si="157"/>
        <v>150</v>
      </c>
      <c r="CY80" s="44">
        <f t="shared" si="226"/>
        <v>150</v>
      </c>
      <c r="CZ80" s="44">
        <f t="shared" si="158"/>
        <v>1125</v>
      </c>
      <c r="DA80" s="44">
        <f t="shared" si="227"/>
        <v>1125</v>
      </c>
      <c r="DB80" s="44">
        <f t="shared" si="159"/>
        <v>1875</v>
      </c>
      <c r="DC80" s="46">
        <f t="shared" si="160"/>
        <v>0</v>
      </c>
      <c r="DD80" s="47">
        <f t="shared" si="161"/>
        <v>0</v>
      </c>
      <c r="DE80" s="604">
        <f t="shared" si="228"/>
        <v>0</v>
      </c>
      <c r="DF80" s="44">
        <f t="shared" si="229"/>
        <v>0</v>
      </c>
      <c r="DG80" s="44">
        <f t="shared" si="230"/>
        <v>0</v>
      </c>
      <c r="DH80" s="44">
        <f t="shared" si="231"/>
        <v>0</v>
      </c>
      <c r="DI80" s="44">
        <f t="shared" si="232"/>
        <v>3000</v>
      </c>
      <c r="DJ80" s="44">
        <f t="shared" si="233"/>
        <v>3000</v>
      </c>
      <c r="DK80" s="44">
        <f t="shared" si="162"/>
        <v>150</v>
      </c>
      <c r="DL80" s="44">
        <f t="shared" si="234"/>
        <v>150</v>
      </c>
      <c r="DM80" s="44">
        <f t="shared" si="163"/>
        <v>975</v>
      </c>
      <c r="DN80" s="44">
        <f t="shared" si="235"/>
        <v>975</v>
      </c>
      <c r="DO80" s="44">
        <f t="shared" si="164"/>
        <v>2025</v>
      </c>
      <c r="DP80" s="46">
        <f t="shared" si="165"/>
        <v>0</v>
      </c>
      <c r="DQ80" s="47">
        <f t="shared" si="166"/>
        <v>0</v>
      </c>
      <c r="DR80" s="604">
        <f t="shared" si="236"/>
        <v>0</v>
      </c>
      <c r="DS80" s="44">
        <f t="shared" si="237"/>
        <v>0</v>
      </c>
      <c r="DT80" s="44">
        <f t="shared" si="238"/>
        <v>0</v>
      </c>
      <c r="DU80" s="44">
        <f t="shared" si="239"/>
        <v>0</v>
      </c>
      <c r="DV80" s="44">
        <f t="shared" si="240"/>
        <v>3000</v>
      </c>
      <c r="DW80" s="44">
        <f t="shared" si="241"/>
        <v>3000</v>
      </c>
      <c r="DX80" s="44">
        <f t="shared" si="167"/>
        <v>150</v>
      </c>
      <c r="DY80" s="44">
        <f t="shared" si="242"/>
        <v>150</v>
      </c>
      <c r="DZ80" s="44">
        <f t="shared" si="168"/>
        <v>825</v>
      </c>
      <c r="EA80" s="44">
        <f t="shared" si="243"/>
        <v>825</v>
      </c>
      <c r="EB80" s="44">
        <f t="shared" si="169"/>
        <v>2175</v>
      </c>
      <c r="EC80" s="46">
        <f t="shared" si="170"/>
        <v>0</v>
      </c>
      <c r="ED80" s="47">
        <f t="shared" si="171"/>
        <v>0</v>
      </c>
    </row>
    <row r="81" spans="1:134" x14ac:dyDescent="0.35">
      <c r="A81" s="81">
        <v>1999</v>
      </c>
      <c r="B81" s="82" t="s">
        <v>251</v>
      </c>
      <c r="C81" s="82"/>
      <c r="D81" s="83" t="s">
        <v>29</v>
      </c>
      <c r="E81" s="87">
        <v>170000</v>
      </c>
      <c r="F81" s="85">
        <v>38899</v>
      </c>
      <c r="G81" s="86">
        <v>10</v>
      </c>
      <c r="H81" s="179"/>
      <c r="I81" s="180"/>
      <c r="J81" s="181"/>
      <c r="K81" s="42">
        <f t="shared" si="122"/>
        <v>0.1</v>
      </c>
      <c r="L81" s="43">
        <f t="shared" si="123"/>
        <v>17000</v>
      </c>
      <c r="M81" s="44">
        <f t="shared" si="124"/>
        <v>76500</v>
      </c>
      <c r="N81" s="44"/>
      <c r="O81" s="44">
        <f t="shared" si="125"/>
        <v>93500</v>
      </c>
      <c r="P81" s="45"/>
      <c r="Q81" s="44">
        <f t="shared" si="126"/>
        <v>170000</v>
      </c>
      <c r="R81" s="604">
        <f t="shared" si="172"/>
        <v>0</v>
      </c>
      <c r="S81" s="44">
        <f t="shared" si="173"/>
        <v>0</v>
      </c>
      <c r="T81" s="44">
        <f t="shared" si="174"/>
        <v>0</v>
      </c>
      <c r="U81" s="44">
        <f t="shared" si="175"/>
        <v>0</v>
      </c>
      <c r="V81" s="44">
        <f t="shared" si="176"/>
        <v>170000</v>
      </c>
      <c r="W81" s="44">
        <f t="shared" si="177"/>
        <v>170000</v>
      </c>
      <c r="X81" s="44">
        <f t="shared" si="127"/>
        <v>17000</v>
      </c>
      <c r="Y81" s="44">
        <f t="shared" si="178"/>
        <v>17000</v>
      </c>
      <c r="Z81" s="44">
        <f t="shared" si="128"/>
        <v>59500</v>
      </c>
      <c r="AA81" s="44">
        <f t="shared" si="179"/>
        <v>59500</v>
      </c>
      <c r="AB81" s="44">
        <f t="shared" si="129"/>
        <v>110500</v>
      </c>
      <c r="AC81" s="46">
        <f t="shared" si="130"/>
        <v>0</v>
      </c>
      <c r="AD81" s="47">
        <f t="shared" si="131"/>
        <v>0</v>
      </c>
      <c r="AE81" s="604">
        <f t="shared" si="180"/>
        <v>0</v>
      </c>
      <c r="AF81" s="44">
        <f t="shared" si="181"/>
        <v>0</v>
      </c>
      <c r="AG81" s="44">
        <f t="shared" si="182"/>
        <v>0</v>
      </c>
      <c r="AH81" s="44">
        <f t="shared" si="183"/>
        <v>0</v>
      </c>
      <c r="AI81" s="44">
        <f t="shared" si="184"/>
        <v>170000</v>
      </c>
      <c r="AJ81" s="44">
        <f t="shared" si="185"/>
        <v>170000</v>
      </c>
      <c r="AK81" s="44">
        <f t="shared" si="132"/>
        <v>17000</v>
      </c>
      <c r="AL81" s="44">
        <f t="shared" si="186"/>
        <v>17000</v>
      </c>
      <c r="AM81" s="44">
        <f t="shared" si="133"/>
        <v>42500</v>
      </c>
      <c r="AN81" s="44">
        <f t="shared" si="187"/>
        <v>42500</v>
      </c>
      <c r="AO81" s="44">
        <f t="shared" si="134"/>
        <v>127500</v>
      </c>
      <c r="AP81" s="46">
        <f t="shared" si="135"/>
        <v>0</v>
      </c>
      <c r="AQ81" s="47">
        <f t="shared" si="136"/>
        <v>0</v>
      </c>
      <c r="AR81" s="604">
        <f t="shared" si="188"/>
        <v>0</v>
      </c>
      <c r="AS81" s="44">
        <f t="shared" si="189"/>
        <v>0</v>
      </c>
      <c r="AT81" s="44">
        <f t="shared" si="190"/>
        <v>0</v>
      </c>
      <c r="AU81" s="44">
        <f t="shared" si="191"/>
        <v>0</v>
      </c>
      <c r="AV81" s="44">
        <f t="shared" si="192"/>
        <v>170000</v>
      </c>
      <c r="AW81" s="44">
        <f t="shared" si="193"/>
        <v>170000</v>
      </c>
      <c r="AX81" s="44">
        <f t="shared" si="137"/>
        <v>17000</v>
      </c>
      <c r="AY81" s="44">
        <f t="shared" si="194"/>
        <v>17000</v>
      </c>
      <c r="AZ81" s="44">
        <f t="shared" si="138"/>
        <v>25500</v>
      </c>
      <c r="BA81" s="44">
        <f t="shared" si="195"/>
        <v>25500</v>
      </c>
      <c r="BB81" s="44">
        <f t="shared" si="139"/>
        <v>144500</v>
      </c>
      <c r="BC81" s="46">
        <f t="shared" si="140"/>
        <v>0</v>
      </c>
      <c r="BD81" s="47">
        <f t="shared" si="141"/>
        <v>0</v>
      </c>
      <c r="BE81" s="604">
        <f t="shared" si="196"/>
        <v>0</v>
      </c>
      <c r="BF81" s="44">
        <f t="shared" si="197"/>
        <v>0</v>
      </c>
      <c r="BG81" s="44">
        <f t="shared" si="198"/>
        <v>0</v>
      </c>
      <c r="BH81" s="44">
        <f t="shared" si="199"/>
        <v>0</v>
      </c>
      <c r="BI81" s="44">
        <f t="shared" si="200"/>
        <v>170000</v>
      </c>
      <c r="BJ81" s="44">
        <f t="shared" si="201"/>
        <v>170000</v>
      </c>
      <c r="BK81" s="44">
        <f t="shared" si="142"/>
        <v>17000</v>
      </c>
      <c r="BL81" s="44">
        <f t="shared" si="202"/>
        <v>17000</v>
      </c>
      <c r="BM81" s="44">
        <f t="shared" si="143"/>
        <v>8500</v>
      </c>
      <c r="BN81" s="44">
        <f t="shared" si="203"/>
        <v>8500</v>
      </c>
      <c r="BO81" s="44">
        <f t="shared" si="144"/>
        <v>161500</v>
      </c>
      <c r="BP81" s="46">
        <f t="shared" si="145"/>
        <v>0</v>
      </c>
      <c r="BQ81" s="47">
        <f t="shared" si="146"/>
        <v>0</v>
      </c>
      <c r="BR81" s="604">
        <f t="shared" si="204"/>
        <v>0</v>
      </c>
      <c r="BS81" s="44">
        <f t="shared" si="205"/>
        <v>0</v>
      </c>
      <c r="BT81" s="44">
        <f t="shared" si="206"/>
        <v>0</v>
      </c>
      <c r="BU81" s="44">
        <f t="shared" si="207"/>
        <v>0</v>
      </c>
      <c r="BV81" s="44">
        <f t="shared" si="208"/>
        <v>170000</v>
      </c>
      <c r="BW81" s="44">
        <f t="shared" si="209"/>
        <v>85000</v>
      </c>
      <c r="BX81" s="44">
        <f t="shared" si="147"/>
        <v>8500</v>
      </c>
      <c r="BY81" s="44">
        <f t="shared" si="210"/>
        <v>8500</v>
      </c>
      <c r="BZ81" s="44">
        <f t="shared" si="148"/>
        <v>0</v>
      </c>
      <c r="CA81" s="44">
        <f t="shared" si="211"/>
        <v>0</v>
      </c>
      <c r="CB81" s="44">
        <f t="shared" si="149"/>
        <v>170000</v>
      </c>
      <c r="CC81" s="46">
        <f t="shared" si="150"/>
        <v>0</v>
      </c>
      <c r="CD81" s="47">
        <f t="shared" si="151"/>
        <v>0</v>
      </c>
      <c r="CE81" s="604">
        <f t="shared" si="212"/>
        <v>0</v>
      </c>
      <c r="CF81" s="44">
        <f t="shared" si="213"/>
        <v>0</v>
      </c>
      <c r="CG81" s="44">
        <f t="shared" si="214"/>
        <v>0</v>
      </c>
      <c r="CH81" s="44">
        <f t="shared" si="215"/>
        <v>0</v>
      </c>
      <c r="CI81" s="44">
        <f t="shared" si="216"/>
        <v>170000</v>
      </c>
      <c r="CJ81" s="44">
        <f t="shared" si="217"/>
        <v>0</v>
      </c>
      <c r="CK81" s="44">
        <f t="shared" si="152"/>
        <v>0</v>
      </c>
      <c r="CL81" s="44">
        <f t="shared" si="218"/>
        <v>0</v>
      </c>
      <c r="CM81" s="44">
        <f t="shared" si="153"/>
        <v>0</v>
      </c>
      <c r="CN81" s="44">
        <f t="shared" si="219"/>
        <v>0</v>
      </c>
      <c r="CO81" s="44">
        <f t="shared" si="154"/>
        <v>170000</v>
      </c>
      <c r="CP81" s="46">
        <f t="shared" si="155"/>
        <v>0</v>
      </c>
      <c r="CQ81" s="47">
        <f t="shared" si="156"/>
        <v>0</v>
      </c>
      <c r="CR81" s="604">
        <f t="shared" si="220"/>
        <v>0</v>
      </c>
      <c r="CS81" s="44">
        <f t="shared" si="221"/>
        <v>0</v>
      </c>
      <c r="CT81" s="44">
        <f t="shared" si="222"/>
        <v>0</v>
      </c>
      <c r="CU81" s="44">
        <f t="shared" si="223"/>
        <v>0</v>
      </c>
      <c r="CV81" s="44">
        <f t="shared" si="224"/>
        <v>170000</v>
      </c>
      <c r="CW81" s="44">
        <f t="shared" si="225"/>
        <v>0</v>
      </c>
      <c r="CX81" s="44">
        <f t="shared" si="157"/>
        <v>0</v>
      </c>
      <c r="CY81" s="44">
        <f t="shared" si="226"/>
        <v>0</v>
      </c>
      <c r="CZ81" s="44">
        <f t="shared" si="158"/>
        <v>0</v>
      </c>
      <c r="DA81" s="44">
        <f t="shared" si="227"/>
        <v>0</v>
      </c>
      <c r="DB81" s="44">
        <f t="shared" si="159"/>
        <v>170000</v>
      </c>
      <c r="DC81" s="46">
        <f t="shared" si="160"/>
        <v>0</v>
      </c>
      <c r="DD81" s="47">
        <f t="shared" si="161"/>
        <v>0</v>
      </c>
      <c r="DE81" s="604">
        <f t="shared" si="228"/>
        <v>0</v>
      </c>
      <c r="DF81" s="44">
        <f t="shared" si="229"/>
        <v>0</v>
      </c>
      <c r="DG81" s="44">
        <f t="shared" si="230"/>
        <v>0</v>
      </c>
      <c r="DH81" s="44">
        <f t="shared" si="231"/>
        <v>0</v>
      </c>
      <c r="DI81" s="44">
        <f t="shared" si="232"/>
        <v>170000</v>
      </c>
      <c r="DJ81" s="44">
        <f t="shared" si="233"/>
        <v>0</v>
      </c>
      <c r="DK81" s="44">
        <f t="shared" si="162"/>
        <v>0</v>
      </c>
      <c r="DL81" s="44">
        <f t="shared" si="234"/>
        <v>0</v>
      </c>
      <c r="DM81" s="44">
        <f t="shared" si="163"/>
        <v>0</v>
      </c>
      <c r="DN81" s="44">
        <f t="shared" si="235"/>
        <v>0</v>
      </c>
      <c r="DO81" s="44">
        <f t="shared" si="164"/>
        <v>170000</v>
      </c>
      <c r="DP81" s="46">
        <f t="shared" si="165"/>
        <v>0</v>
      </c>
      <c r="DQ81" s="47">
        <f t="shared" si="166"/>
        <v>0</v>
      </c>
      <c r="DR81" s="604">
        <f t="shared" si="236"/>
        <v>0</v>
      </c>
      <c r="DS81" s="44">
        <f t="shared" si="237"/>
        <v>0</v>
      </c>
      <c r="DT81" s="44">
        <f t="shared" si="238"/>
        <v>0</v>
      </c>
      <c r="DU81" s="44">
        <f t="shared" si="239"/>
        <v>0</v>
      </c>
      <c r="DV81" s="44">
        <f t="shared" si="240"/>
        <v>170000</v>
      </c>
      <c r="DW81" s="44">
        <f t="shared" si="241"/>
        <v>0</v>
      </c>
      <c r="DX81" s="44">
        <f t="shared" si="167"/>
        <v>0</v>
      </c>
      <c r="DY81" s="44">
        <f t="shared" si="242"/>
        <v>0</v>
      </c>
      <c r="DZ81" s="44">
        <f t="shared" si="168"/>
        <v>0</v>
      </c>
      <c r="EA81" s="44">
        <f t="shared" si="243"/>
        <v>0</v>
      </c>
      <c r="EB81" s="44">
        <f t="shared" si="169"/>
        <v>170000</v>
      </c>
      <c r="EC81" s="46">
        <f t="shared" si="170"/>
        <v>0</v>
      </c>
      <c r="ED81" s="47">
        <f t="shared" si="171"/>
        <v>0</v>
      </c>
    </row>
    <row r="82" spans="1:134" x14ac:dyDescent="0.35">
      <c r="A82" s="81">
        <v>1999</v>
      </c>
      <c r="B82" s="82" t="s">
        <v>252</v>
      </c>
      <c r="C82" s="82"/>
      <c r="D82" s="83" t="s">
        <v>29</v>
      </c>
      <c r="E82" s="87">
        <v>6000</v>
      </c>
      <c r="F82" s="85">
        <v>38899</v>
      </c>
      <c r="G82" s="86">
        <v>12.5</v>
      </c>
      <c r="H82" s="179"/>
      <c r="I82" s="180"/>
      <c r="J82" s="181"/>
      <c r="K82" s="42">
        <f t="shared" si="122"/>
        <v>0.08</v>
      </c>
      <c r="L82" s="43">
        <f t="shared" si="123"/>
        <v>480</v>
      </c>
      <c r="M82" s="44">
        <f t="shared" si="124"/>
        <v>3360</v>
      </c>
      <c r="N82" s="44"/>
      <c r="O82" s="44">
        <f t="shared" si="125"/>
        <v>2640</v>
      </c>
      <c r="P82" s="45"/>
      <c r="Q82" s="44">
        <f t="shared" si="126"/>
        <v>6000</v>
      </c>
      <c r="R82" s="604">
        <f t="shared" si="172"/>
        <v>0</v>
      </c>
      <c r="S82" s="44">
        <f t="shared" si="173"/>
        <v>0</v>
      </c>
      <c r="T82" s="44">
        <f t="shared" si="174"/>
        <v>0</v>
      </c>
      <c r="U82" s="44">
        <f t="shared" si="175"/>
        <v>0</v>
      </c>
      <c r="V82" s="44">
        <f t="shared" si="176"/>
        <v>6000</v>
      </c>
      <c r="W82" s="44">
        <f t="shared" si="177"/>
        <v>6000</v>
      </c>
      <c r="X82" s="44">
        <f t="shared" si="127"/>
        <v>480</v>
      </c>
      <c r="Y82" s="44">
        <f t="shared" si="178"/>
        <v>480</v>
      </c>
      <c r="Z82" s="44">
        <f t="shared" si="128"/>
        <v>2880</v>
      </c>
      <c r="AA82" s="44">
        <f t="shared" si="179"/>
        <v>2880</v>
      </c>
      <c r="AB82" s="44">
        <f t="shared" si="129"/>
        <v>3120</v>
      </c>
      <c r="AC82" s="46">
        <f t="shared" si="130"/>
        <v>0</v>
      </c>
      <c r="AD82" s="47">
        <f t="shared" si="131"/>
        <v>0</v>
      </c>
      <c r="AE82" s="604">
        <f t="shared" si="180"/>
        <v>0</v>
      </c>
      <c r="AF82" s="44">
        <f t="shared" si="181"/>
        <v>0</v>
      </c>
      <c r="AG82" s="44">
        <f t="shared" si="182"/>
        <v>0</v>
      </c>
      <c r="AH82" s="44">
        <f t="shared" si="183"/>
        <v>0</v>
      </c>
      <c r="AI82" s="44">
        <f t="shared" si="184"/>
        <v>6000</v>
      </c>
      <c r="AJ82" s="44">
        <f t="shared" si="185"/>
        <v>6000</v>
      </c>
      <c r="AK82" s="44">
        <f t="shared" si="132"/>
        <v>480</v>
      </c>
      <c r="AL82" s="44">
        <f t="shared" si="186"/>
        <v>480</v>
      </c>
      <c r="AM82" s="44">
        <f t="shared" si="133"/>
        <v>2400</v>
      </c>
      <c r="AN82" s="44">
        <f t="shared" si="187"/>
        <v>2400</v>
      </c>
      <c r="AO82" s="44">
        <f t="shared" si="134"/>
        <v>3600</v>
      </c>
      <c r="AP82" s="46">
        <f t="shared" si="135"/>
        <v>0</v>
      </c>
      <c r="AQ82" s="47">
        <f t="shared" si="136"/>
        <v>0</v>
      </c>
      <c r="AR82" s="604">
        <f t="shared" si="188"/>
        <v>0</v>
      </c>
      <c r="AS82" s="44">
        <f t="shared" si="189"/>
        <v>0</v>
      </c>
      <c r="AT82" s="44">
        <f t="shared" si="190"/>
        <v>0</v>
      </c>
      <c r="AU82" s="44">
        <f t="shared" si="191"/>
        <v>0</v>
      </c>
      <c r="AV82" s="44">
        <f t="shared" si="192"/>
        <v>6000</v>
      </c>
      <c r="AW82" s="44">
        <f t="shared" si="193"/>
        <v>6000</v>
      </c>
      <c r="AX82" s="44">
        <f t="shared" si="137"/>
        <v>480</v>
      </c>
      <c r="AY82" s="44">
        <f t="shared" si="194"/>
        <v>480</v>
      </c>
      <c r="AZ82" s="44">
        <f t="shared" si="138"/>
        <v>1920</v>
      </c>
      <c r="BA82" s="44">
        <f t="shared" si="195"/>
        <v>1920</v>
      </c>
      <c r="BB82" s="44">
        <f t="shared" si="139"/>
        <v>4080</v>
      </c>
      <c r="BC82" s="46">
        <f t="shared" si="140"/>
        <v>0</v>
      </c>
      <c r="BD82" s="47">
        <f t="shared" si="141"/>
        <v>0</v>
      </c>
      <c r="BE82" s="604">
        <f t="shared" si="196"/>
        <v>0</v>
      </c>
      <c r="BF82" s="44">
        <f t="shared" si="197"/>
        <v>0</v>
      </c>
      <c r="BG82" s="44">
        <f t="shared" si="198"/>
        <v>0</v>
      </c>
      <c r="BH82" s="44">
        <f t="shared" si="199"/>
        <v>0</v>
      </c>
      <c r="BI82" s="44">
        <f t="shared" si="200"/>
        <v>6000</v>
      </c>
      <c r="BJ82" s="44">
        <f t="shared" si="201"/>
        <v>6000</v>
      </c>
      <c r="BK82" s="44">
        <f t="shared" si="142"/>
        <v>480</v>
      </c>
      <c r="BL82" s="44">
        <f t="shared" si="202"/>
        <v>480</v>
      </c>
      <c r="BM82" s="44">
        <f t="shared" si="143"/>
        <v>1440</v>
      </c>
      <c r="BN82" s="44">
        <f t="shared" si="203"/>
        <v>1440</v>
      </c>
      <c r="BO82" s="44">
        <f t="shared" si="144"/>
        <v>4560</v>
      </c>
      <c r="BP82" s="46">
        <f t="shared" si="145"/>
        <v>0</v>
      </c>
      <c r="BQ82" s="47">
        <f t="shared" si="146"/>
        <v>0</v>
      </c>
      <c r="BR82" s="604">
        <f t="shared" si="204"/>
        <v>0</v>
      </c>
      <c r="BS82" s="44">
        <f t="shared" si="205"/>
        <v>0</v>
      </c>
      <c r="BT82" s="44">
        <f t="shared" si="206"/>
        <v>0</v>
      </c>
      <c r="BU82" s="44">
        <f t="shared" si="207"/>
        <v>0</v>
      </c>
      <c r="BV82" s="44">
        <f t="shared" si="208"/>
        <v>6000</v>
      </c>
      <c r="BW82" s="44">
        <f t="shared" si="209"/>
        <v>6000</v>
      </c>
      <c r="BX82" s="44">
        <f t="shared" si="147"/>
        <v>480</v>
      </c>
      <c r="BY82" s="44">
        <f t="shared" si="210"/>
        <v>480</v>
      </c>
      <c r="BZ82" s="44">
        <f t="shared" si="148"/>
        <v>960</v>
      </c>
      <c r="CA82" s="44">
        <f t="shared" si="211"/>
        <v>960</v>
      </c>
      <c r="CB82" s="44">
        <f t="shared" si="149"/>
        <v>5040</v>
      </c>
      <c r="CC82" s="46">
        <f t="shared" si="150"/>
        <v>0</v>
      </c>
      <c r="CD82" s="47">
        <f t="shared" si="151"/>
        <v>0</v>
      </c>
      <c r="CE82" s="604">
        <f t="shared" si="212"/>
        <v>0</v>
      </c>
      <c r="CF82" s="44">
        <f t="shared" si="213"/>
        <v>0</v>
      </c>
      <c r="CG82" s="44">
        <f t="shared" si="214"/>
        <v>0</v>
      </c>
      <c r="CH82" s="44">
        <f t="shared" si="215"/>
        <v>0</v>
      </c>
      <c r="CI82" s="44">
        <f t="shared" si="216"/>
        <v>6000</v>
      </c>
      <c r="CJ82" s="44">
        <f t="shared" si="217"/>
        <v>6000</v>
      </c>
      <c r="CK82" s="44">
        <f t="shared" si="152"/>
        <v>480</v>
      </c>
      <c r="CL82" s="44">
        <f t="shared" si="218"/>
        <v>480</v>
      </c>
      <c r="CM82" s="44">
        <f t="shared" si="153"/>
        <v>480</v>
      </c>
      <c r="CN82" s="44">
        <f t="shared" si="219"/>
        <v>480</v>
      </c>
      <c r="CO82" s="44">
        <f t="shared" si="154"/>
        <v>5520</v>
      </c>
      <c r="CP82" s="46">
        <f t="shared" si="155"/>
        <v>0</v>
      </c>
      <c r="CQ82" s="47">
        <f t="shared" si="156"/>
        <v>0</v>
      </c>
      <c r="CR82" s="604">
        <f t="shared" si="220"/>
        <v>0</v>
      </c>
      <c r="CS82" s="44">
        <f t="shared" si="221"/>
        <v>0</v>
      </c>
      <c r="CT82" s="44">
        <f t="shared" si="222"/>
        <v>0</v>
      </c>
      <c r="CU82" s="44">
        <f t="shared" si="223"/>
        <v>0</v>
      </c>
      <c r="CV82" s="44">
        <f t="shared" si="224"/>
        <v>6000</v>
      </c>
      <c r="CW82" s="44">
        <f t="shared" si="225"/>
        <v>6000</v>
      </c>
      <c r="CX82" s="44">
        <f t="shared" si="157"/>
        <v>480</v>
      </c>
      <c r="CY82" s="44">
        <f t="shared" si="226"/>
        <v>480</v>
      </c>
      <c r="CZ82" s="44">
        <f t="shared" si="158"/>
        <v>0</v>
      </c>
      <c r="DA82" s="44">
        <f t="shared" si="227"/>
        <v>0</v>
      </c>
      <c r="DB82" s="44">
        <f t="shared" si="159"/>
        <v>6000</v>
      </c>
      <c r="DC82" s="46">
        <f t="shared" si="160"/>
        <v>0</v>
      </c>
      <c r="DD82" s="47">
        <f t="shared" si="161"/>
        <v>0</v>
      </c>
      <c r="DE82" s="604">
        <f t="shared" si="228"/>
        <v>0</v>
      </c>
      <c r="DF82" s="44">
        <f t="shared" si="229"/>
        <v>0</v>
      </c>
      <c r="DG82" s="44">
        <f t="shared" si="230"/>
        <v>0</v>
      </c>
      <c r="DH82" s="44">
        <f t="shared" si="231"/>
        <v>0</v>
      </c>
      <c r="DI82" s="44">
        <f t="shared" si="232"/>
        <v>6000</v>
      </c>
      <c r="DJ82" s="44">
        <f t="shared" si="233"/>
        <v>0</v>
      </c>
      <c r="DK82" s="44">
        <f t="shared" si="162"/>
        <v>0</v>
      </c>
      <c r="DL82" s="44">
        <f t="shared" si="234"/>
        <v>0</v>
      </c>
      <c r="DM82" s="44">
        <f t="shared" si="163"/>
        <v>0</v>
      </c>
      <c r="DN82" s="44">
        <f t="shared" si="235"/>
        <v>0</v>
      </c>
      <c r="DO82" s="44">
        <f t="shared" si="164"/>
        <v>6000</v>
      </c>
      <c r="DP82" s="46">
        <f t="shared" si="165"/>
        <v>0</v>
      </c>
      <c r="DQ82" s="47">
        <f t="shared" si="166"/>
        <v>0</v>
      </c>
      <c r="DR82" s="604">
        <f t="shared" si="236"/>
        <v>0</v>
      </c>
      <c r="DS82" s="44">
        <f t="shared" si="237"/>
        <v>0</v>
      </c>
      <c r="DT82" s="44">
        <f t="shared" si="238"/>
        <v>0</v>
      </c>
      <c r="DU82" s="44">
        <f t="shared" si="239"/>
        <v>0</v>
      </c>
      <c r="DV82" s="44">
        <f t="shared" si="240"/>
        <v>6000</v>
      </c>
      <c r="DW82" s="44">
        <f t="shared" si="241"/>
        <v>0</v>
      </c>
      <c r="DX82" s="44">
        <f t="shared" si="167"/>
        <v>0</v>
      </c>
      <c r="DY82" s="44">
        <f t="shared" si="242"/>
        <v>0</v>
      </c>
      <c r="DZ82" s="44">
        <f t="shared" si="168"/>
        <v>0</v>
      </c>
      <c r="EA82" s="44">
        <f t="shared" si="243"/>
        <v>0</v>
      </c>
      <c r="EB82" s="44">
        <f t="shared" si="169"/>
        <v>6000</v>
      </c>
      <c r="EC82" s="46">
        <f t="shared" si="170"/>
        <v>0</v>
      </c>
      <c r="ED82" s="47">
        <f t="shared" si="171"/>
        <v>0</v>
      </c>
    </row>
    <row r="83" spans="1:134" x14ac:dyDescent="0.35">
      <c r="A83" s="81">
        <v>1999</v>
      </c>
      <c r="B83" s="82" t="s">
        <v>253</v>
      </c>
      <c r="C83" s="82"/>
      <c r="D83" s="83" t="s">
        <v>29</v>
      </c>
      <c r="E83" s="87">
        <v>48000</v>
      </c>
      <c r="F83" s="85">
        <v>38899</v>
      </c>
      <c r="G83" s="86">
        <v>12.5</v>
      </c>
      <c r="H83" s="179"/>
      <c r="I83" s="180"/>
      <c r="J83" s="181"/>
      <c r="K83" s="42">
        <f t="shared" si="122"/>
        <v>0.08</v>
      </c>
      <c r="L83" s="43">
        <f t="shared" si="123"/>
        <v>3840</v>
      </c>
      <c r="M83" s="44">
        <f t="shared" si="124"/>
        <v>26880</v>
      </c>
      <c r="N83" s="44"/>
      <c r="O83" s="44">
        <f t="shared" si="125"/>
        <v>21120</v>
      </c>
      <c r="P83" s="45"/>
      <c r="Q83" s="44">
        <f t="shared" si="126"/>
        <v>48000</v>
      </c>
      <c r="R83" s="604">
        <f t="shared" si="172"/>
        <v>0</v>
      </c>
      <c r="S83" s="44">
        <f t="shared" si="173"/>
        <v>0</v>
      </c>
      <c r="T83" s="44">
        <f t="shared" si="174"/>
        <v>0</v>
      </c>
      <c r="U83" s="44">
        <f t="shared" si="175"/>
        <v>0</v>
      </c>
      <c r="V83" s="44">
        <f t="shared" si="176"/>
        <v>48000</v>
      </c>
      <c r="W83" s="44">
        <f t="shared" si="177"/>
        <v>48000</v>
      </c>
      <c r="X83" s="44">
        <f t="shared" si="127"/>
        <v>3840</v>
      </c>
      <c r="Y83" s="44">
        <f t="shared" si="178"/>
        <v>3840</v>
      </c>
      <c r="Z83" s="44">
        <f t="shared" si="128"/>
        <v>23040</v>
      </c>
      <c r="AA83" s="44">
        <f t="shared" si="179"/>
        <v>23040</v>
      </c>
      <c r="AB83" s="44">
        <f t="shared" si="129"/>
        <v>24960</v>
      </c>
      <c r="AC83" s="46">
        <f t="shared" si="130"/>
        <v>0</v>
      </c>
      <c r="AD83" s="47">
        <f t="shared" si="131"/>
        <v>0</v>
      </c>
      <c r="AE83" s="604">
        <f t="shared" si="180"/>
        <v>0</v>
      </c>
      <c r="AF83" s="44">
        <f t="shared" si="181"/>
        <v>0</v>
      </c>
      <c r="AG83" s="44">
        <f t="shared" si="182"/>
        <v>0</v>
      </c>
      <c r="AH83" s="44">
        <f t="shared" si="183"/>
        <v>0</v>
      </c>
      <c r="AI83" s="44">
        <f t="shared" si="184"/>
        <v>48000</v>
      </c>
      <c r="AJ83" s="44">
        <f t="shared" si="185"/>
        <v>48000</v>
      </c>
      <c r="AK83" s="44">
        <f t="shared" si="132"/>
        <v>3840</v>
      </c>
      <c r="AL83" s="44">
        <f t="shared" si="186"/>
        <v>3840</v>
      </c>
      <c r="AM83" s="44">
        <f t="shared" si="133"/>
        <v>19200</v>
      </c>
      <c r="AN83" s="44">
        <f t="shared" si="187"/>
        <v>19200</v>
      </c>
      <c r="AO83" s="44">
        <f t="shared" si="134"/>
        <v>28800</v>
      </c>
      <c r="AP83" s="46">
        <f t="shared" si="135"/>
        <v>0</v>
      </c>
      <c r="AQ83" s="47">
        <f t="shared" si="136"/>
        <v>0</v>
      </c>
      <c r="AR83" s="604">
        <f t="shared" si="188"/>
        <v>0</v>
      </c>
      <c r="AS83" s="44">
        <f t="shared" si="189"/>
        <v>0</v>
      </c>
      <c r="AT83" s="44">
        <f t="shared" si="190"/>
        <v>0</v>
      </c>
      <c r="AU83" s="44">
        <f t="shared" si="191"/>
        <v>0</v>
      </c>
      <c r="AV83" s="44">
        <f t="shared" si="192"/>
        <v>48000</v>
      </c>
      <c r="AW83" s="44">
        <f t="shared" si="193"/>
        <v>48000</v>
      </c>
      <c r="AX83" s="44">
        <f t="shared" si="137"/>
        <v>3840</v>
      </c>
      <c r="AY83" s="44">
        <f t="shared" si="194"/>
        <v>3840</v>
      </c>
      <c r="AZ83" s="44">
        <f t="shared" si="138"/>
        <v>15360</v>
      </c>
      <c r="BA83" s="44">
        <f t="shared" si="195"/>
        <v>15360</v>
      </c>
      <c r="BB83" s="44">
        <f t="shared" si="139"/>
        <v>32640</v>
      </c>
      <c r="BC83" s="46">
        <f t="shared" si="140"/>
        <v>0</v>
      </c>
      <c r="BD83" s="47">
        <f t="shared" si="141"/>
        <v>0</v>
      </c>
      <c r="BE83" s="604">
        <f t="shared" si="196"/>
        <v>0</v>
      </c>
      <c r="BF83" s="44">
        <f t="shared" si="197"/>
        <v>0</v>
      </c>
      <c r="BG83" s="44">
        <f t="shared" si="198"/>
        <v>0</v>
      </c>
      <c r="BH83" s="44">
        <f t="shared" si="199"/>
        <v>0</v>
      </c>
      <c r="BI83" s="44">
        <f t="shared" si="200"/>
        <v>48000</v>
      </c>
      <c r="BJ83" s="44">
        <f t="shared" si="201"/>
        <v>48000</v>
      </c>
      <c r="BK83" s="44">
        <f t="shared" si="142"/>
        <v>3840</v>
      </c>
      <c r="BL83" s="44">
        <f t="shared" si="202"/>
        <v>3840</v>
      </c>
      <c r="BM83" s="44">
        <f t="shared" si="143"/>
        <v>11520</v>
      </c>
      <c r="BN83" s="44">
        <f t="shared" si="203"/>
        <v>11520</v>
      </c>
      <c r="BO83" s="44">
        <f t="shared" si="144"/>
        <v>36480</v>
      </c>
      <c r="BP83" s="46">
        <f t="shared" si="145"/>
        <v>0</v>
      </c>
      <c r="BQ83" s="47">
        <f t="shared" si="146"/>
        <v>0</v>
      </c>
      <c r="BR83" s="604">
        <f t="shared" si="204"/>
        <v>0</v>
      </c>
      <c r="BS83" s="44">
        <f t="shared" si="205"/>
        <v>0</v>
      </c>
      <c r="BT83" s="44">
        <f t="shared" si="206"/>
        <v>0</v>
      </c>
      <c r="BU83" s="44">
        <f t="shared" si="207"/>
        <v>0</v>
      </c>
      <c r="BV83" s="44">
        <f t="shared" si="208"/>
        <v>48000</v>
      </c>
      <c r="BW83" s="44">
        <f t="shared" si="209"/>
        <v>48000</v>
      </c>
      <c r="BX83" s="44">
        <f t="shared" si="147"/>
        <v>3840</v>
      </c>
      <c r="BY83" s="44">
        <f t="shared" si="210"/>
        <v>3840</v>
      </c>
      <c r="BZ83" s="44">
        <f t="shared" si="148"/>
        <v>7680</v>
      </c>
      <c r="CA83" s="44">
        <f t="shared" si="211"/>
        <v>7680</v>
      </c>
      <c r="CB83" s="44">
        <f t="shared" si="149"/>
        <v>40320</v>
      </c>
      <c r="CC83" s="46">
        <f t="shared" si="150"/>
        <v>0</v>
      </c>
      <c r="CD83" s="47">
        <f t="shared" si="151"/>
        <v>0</v>
      </c>
      <c r="CE83" s="604">
        <f t="shared" si="212"/>
        <v>0</v>
      </c>
      <c r="CF83" s="44">
        <f t="shared" si="213"/>
        <v>0</v>
      </c>
      <c r="CG83" s="44">
        <f t="shared" si="214"/>
        <v>0</v>
      </c>
      <c r="CH83" s="44">
        <f t="shared" si="215"/>
        <v>0</v>
      </c>
      <c r="CI83" s="44">
        <f t="shared" si="216"/>
        <v>48000</v>
      </c>
      <c r="CJ83" s="44">
        <f t="shared" si="217"/>
        <v>48000</v>
      </c>
      <c r="CK83" s="44">
        <f t="shared" si="152"/>
        <v>3840</v>
      </c>
      <c r="CL83" s="44">
        <f t="shared" si="218"/>
        <v>3840</v>
      </c>
      <c r="CM83" s="44">
        <f t="shared" si="153"/>
        <v>3840</v>
      </c>
      <c r="CN83" s="44">
        <f t="shared" si="219"/>
        <v>3840</v>
      </c>
      <c r="CO83" s="44">
        <f t="shared" si="154"/>
        <v>44160</v>
      </c>
      <c r="CP83" s="46">
        <f t="shared" si="155"/>
        <v>0</v>
      </c>
      <c r="CQ83" s="47">
        <f t="shared" si="156"/>
        <v>0</v>
      </c>
      <c r="CR83" s="604">
        <f t="shared" si="220"/>
        <v>0</v>
      </c>
      <c r="CS83" s="44">
        <f t="shared" si="221"/>
        <v>0</v>
      </c>
      <c r="CT83" s="44">
        <f t="shared" si="222"/>
        <v>0</v>
      </c>
      <c r="CU83" s="44">
        <f t="shared" si="223"/>
        <v>0</v>
      </c>
      <c r="CV83" s="44">
        <f t="shared" si="224"/>
        <v>48000</v>
      </c>
      <c r="CW83" s="44">
        <f t="shared" si="225"/>
        <v>48000</v>
      </c>
      <c r="CX83" s="44">
        <f t="shared" si="157"/>
        <v>3840</v>
      </c>
      <c r="CY83" s="44">
        <f t="shared" si="226"/>
        <v>3840</v>
      </c>
      <c r="CZ83" s="44">
        <f t="shared" si="158"/>
        <v>0</v>
      </c>
      <c r="DA83" s="44">
        <f t="shared" si="227"/>
        <v>0</v>
      </c>
      <c r="DB83" s="44">
        <f t="shared" si="159"/>
        <v>48000</v>
      </c>
      <c r="DC83" s="46">
        <f t="shared" si="160"/>
        <v>0</v>
      </c>
      <c r="DD83" s="47">
        <f t="shared" si="161"/>
        <v>0</v>
      </c>
      <c r="DE83" s="604">
        <f t="shared" si="228"/>
        <v>0</v>
      </c>
      <c r="DF83" s="44">
        <f t="shared" si="229"/>
        <v>0</v>
      </c>
      <c r="DG83" s="44">
        <f t="shared" si="230"/>
        <v>0</v>
      </c>
      <c r="DH83" s="44">
        <f t="shared" si="231"/>
        <v>0</v>
      </c>
      <c r="DI83" s="44">
        <f t="shared" si="232"/>
        <v>48000</v>
      </c>
      <c r="DJ83" s="44">
        <f t="shared" si="233"/>
        <v>0</v>
      </c>
      <c r="DK83" s="44">
        <f t="shared" si="162"/>
        <v>0</v>
      </c>
      <c r="DL83" s="44">
        <f t="shared" si="234"/>
        <v>0</v>
      </c>
      <c r="DM83" s="44">
        <f t="shared" si="163"/>
        <v>0</v>
      </c>
      <c r="DN83" s="44">
        <f t="shared" si="235"/>
        <v>0</v>
      </c>
      <c r="DO83" s="44">
        <f t="shared" si="164"/>
        <v>48000</v>
      </c>
      <c r="DP83" s="46">
        <f t="shared" si="165"/>
        <v>0</v>
      </c>
      <c r="DQ83" s="47">
        <f t="shared" si="166"/>
        <v>0</v>
      </c>
      <c r="DR83" s="604">
        <f t="shared" si="236"/>
        <v>0</v>
      </c>
      <c r="DS83" s="44">
        <f t="shared" si="237"/>
        <v>0</v>
      </c>
      <c r="DT83" s="44">
        <f t="shared" si="238"/>
        <v>0</v>
      </c>
      <c r="DU83" s="44">
        <f t="shared" si="239"/>
        <v>0</v>
      </c>
      <c r="DV83" s="44">
        <f t="shared" si="240"/>
        <v>48000</v>
      </c>
      <c r="DW83" s="44">
        <f t="shared" si="241"/>
        <v>0</v>
      </c>
      <c r="DX83" s="44">
        <f t="shared" si="167"/>
        <v>0</v>
      </c>
      <c r="DY83" s="44">
        <f t="shared" si="242"/>
        <v>0</v>
      </c>
      <c r="DZ83" s="44">
        <f t="shared" si="168"/>
        <v>0</v>
      </c>
      <c r="EA83" s="44">
        <f t="shared" si="243"/>
        <v>0</v>
      </c>
      <c r="EB83" s="44">
        <f t="shared" si="169"/>
        <v>48000</v>
      </c>
      <c r="EC83" s="46">
        <f t="shared" si="170"/>
        <v>0</v>
      </c>
      <c r="ED83" s="47">
        <f t="shared" si="171"/>
        <v>0</v>
      </c>
    </row>
    <row r="84" spans="1:134" x14ac:dyDescent="0.35">
      <c r="A84" s="81">
        <v>1999</v>
      </c>
      <c r="B84" s="82" t="s">
        <v>254</v>
      </c>
      <c r="C84" s="82"/>
      <c r="D84" s="83" t="s">
        <v>29</v>
      </c>
      <c r="E84" s="87">
        <v>556000</v>
      </c>
      <c r="F84" s="85">
        <v>38899</v>
      </c>
      <c r="G84" s="86">
        <v>12.5</v>
      </c>
      <c r="H84" s="179"/>
      <c r="I84" s="180"/>
      <c r="J84" s="181"/>
      <c r="K84" s="42">
        <f t="shared" si="122"/>
        <v>0.08</v>
      </c>
      <c r="L84" s="43">
        <f t="shared" si="123"/>
        <v>44480</v>
      </c>
      <c r="M84" s="44">
        <f t="shared" si="124"/>
        <v>311360</v>
      </c>
      <c r="N84" s="44"/>
      <c r="O84" s="44">
        <f t="shared" si="125"/>
        <v>244640</v>
      </c>
      <c r="P84" s="45"/>
      <c r="Q84" s="44">
        <f t="shared" si="126"/>
        <v>556000</v>
      </c>
      <c r="R84" s="604">
        <f t="shared" si="172"/>
        <v>0</v>
      </c>
      <c r="S84" s="44">
        <f t="shared" si="173"/>
        <v>0</v>
      </c>
      <c r="T84" s="44">
        <f t="shared" si="174"/>
        <v>0</v>
      </c>
      <c r="U84" s="44">
        <f t="shared" si="175"/>
        <v>0</v>
      </c>
      <c r="V84" s="44">
        <f t="shared" si="176"/>
        <v>556000</v>
      </c>
      <c r="W84" s="44">
        <f t="shared" si="177"/>
        <v>556000</v>
      </c>
      <c r="X84" s="44">
        <f t="shared" si="127"/>
        <v>44480</v>
      </c>
      <c r="Y84" s="44">
        <f t="shared" si="178"/>
        <v>44480</v>
      </c>
      <c r="Z84" s="44">
        <f t="shared" si="128"/>
        <v>266880</v>
      </c>
      <c r="AA84" s="44">
        <f t="shared" si="179"/>
        <v>266880</v>
      </c>
      <c r="AB84" s="44">
        <f t="shared" si="129"/>
        <v>289120</v>
      </c>
      <c r="AC84" s="46">
        <f t="shared" si="130"/>
        <v>0</v>
      </c>
      <c r="AD84" s="47">
        <f t="shared" si="131"/>
        <v>0</v>
      </c>
      <c r="AE84" s="604">
        <f t="shared" si="180"/>
        <v>0</v>
      </c>
      <c r="AF84" s="44">
        <f t="shared" si="181"/>
        <v>0</v>
      </c>
      <c r="AG84" s="44">
        <f t="shared" si="182"/>
        <v>0</v>
      </c>
      <c r="AH84" s="44">
        <f t="shared" si="183"/>
        <v>0</v>
      </c>
      <c r="AI84" s="44">
        <f t="shared" si="184"/>
        <v>556000</v>
      </c>
      <c r="AJ84" s="44">
        <f t="shared" si="185"/>
        <v>556000</v>
      </c>
      <c r="AK84" s="44">
        <f t="shared" si="132"/>
        <v>44480</v>
      </c>
      <c r="AL84" s="44">
        <f t="shared" si="186"/>
        <v>44480</v>
      </c>
      <c r="AM84" s="44">
        <f t="shared" si="133"/>
        <v>222400</v>
      </c>
      <c r="AN84" s="44">
        <f t="shared" si="187"/>
        <v>222400</v>
      </c>
      <c r="AO84" s="44">
        <f t="shared" si="134"/>
        <v>333600</v>
      </c>
      <c r="AP84" s="46">
        <f t="shared" si="135"/>
        <v>0</v>
      </c>
      <c r="AQ84" s="47">
        <f t="shared" si="136"/>
        <v>0</v>
      </c>
      <c r="AR84" s="604">
        <f t="shared" si="188"/>
        <v>0</v>
      </c>
      <c r="AS84" s="44">
        <f t="shared" si="189"/>
        <v>0</v>
      </c>
      <c r="AT84" s="44">
        <f t="shared" si="190"/>
        <v>0</v>
      </c>
      <c r="AU84" s="44">
        <f t="shared" si="191"/>
        <v>0</v>
      </c>
      <c r="AV84" s="44">
        <f t="shared" si="192"/>
        <v>556000</v>
      </c>
      <c r="AW84" s="44">
        <f t="shared" si="193"/>
        <v>556000</v>
      </c>
      <c r="AX84" s="44">
        <f t="shared" si="137"/>
        <v>44480</v>
      </c>
      <c r="AY84" s="44">
        <f t="shared" si="194"/>
        <v>44480</v>
      </c>
      <c r="AZ84" s="44">
        <f t="shared" si="138"/>
        <v>177920</v>
      </c>
      <c r="BA84" s="44">
        <f t="shared" si="195"/>
        <v>177920</v>
      </c>
      <c r="BB84" s="44">
        <f t="shared" si="139"/>
        <v>378080</v>
      </c>
      <c r="BC84" s="46">
        <f t="shared" si="140"/>
        <v>0</v>
      </c>
      <c r="BD84" s="47">
        <f t="shared" si="141"/>
        <v>0</v>
      </c>
      <c r="BE84" s="604">
        <f t="shared" si="196"/>
        <v>0</v>
      </c>
      <c r="BF84" s="44">
        <f t="shared" si="197"/>
        <v>0</v>
      </c>
      <c r="BG84" s="44">
        <f t="shared" si="198"/>
        <v>0</v>
      </c>
      <c r="BH84" s="44">
        <f t="shared" si="199"/>
        <v>0</v>
      </c>
      <c r="BI84" s="44">
        <f t="shared" si="200"/>
        <v>556000</v>
      </c>
      <c r="BJ84" s="44">
        <f t="shared" si="201"/>
        <v>556000</v>
      </c>
      <c r="BK84" s="44">
        <f t="shared" si="142"/>
        <v>44480</v>
      </c>
      <c r="BL84" s="44">
        <f t="shared" si="202"/>
        <v>44480</v>
      </c>
      <c r="BM84" s="44">
        <f t="shared" si="143"/>
        <v>133440</v>
      </c>
      <c r="BN84" s="44">
        <f t="shared" si="203"/>
        <v>133440</v>
      </c>
      <c r="BO84" s="44">
        <f t="shared" si="144"/>
        <v>422560</v>
      </c>
      <c r="BP84" s="46">
        <f t="shared" si="145"/>
        <v>0</v>
      </c>
      <c r="BQ84" s="47">
        <f t="shared" si="146"/>
        <v>0</v>
      </c>
      <c r="BR84" s="604">
        <f t="shared" si="204"/>
        <v>0</v>
      </c>
      <c r="BS84" s="44">
        <f t="shared" si="205"/>
        <v>0</v>
      </c>
      <c r="BT84" s="44">
        <f t="shared" si="206"/>
        <v>0</v>
      </c>
      <c r="BU84" s="44">
        <f t="shared" si="207"/>
        <v>0</v>
      </c>
      <c r="BV84" s="44">
        <f t="shared" si="208"/>
        <v>556000</v>
      </c>
      <c r="BW84" s="44">
        <f t="shared" si="209"/>
        <v>556000</v>
      </c>
      <c r="BX84" s="44">
        <f t="shared" si="147"/>
        <v>44480</v>
      </c>
      <c r="BY84" s="44">
        <f t="shared" si="210"/>
        <v>44480</v>
      </c>
      <c r="BZ84" s="44">
        <f t="shared" si="148"/>
        <v>88960</v>
      </c>
      <c r="CA84" s="44">
        <f t="shared" si="211"/>
        <v>88960</v>
      </c>
      <c r="CB84" s="44">
        <f t="shared" si="149"/>
        <v>467040</v>
      </c>
      <c r="CC84" s="46">
        <f t="shared" si="150"/>
        <v>0</v>
      </c>
      <c r="CD84" s="47">
        <f t="shared" si="151"/>
        <v>0</v>
      </c>
      <c r="CE84" s="604">
        <f t="shared" si="212"/>
        <v>0</v>
      </c>
      <c r="CF84" s="44">
        <f t="shared" si="213"/>
        <v>0</v>
      </c>
      <c r="CG84" s="44">
        <f t="shared" si="214"/>
        <v>0</v>
      </c>
      <c r="CH84" s="44">
        <f t="shared" si="215"/>
        <v>0</v>
      </c>
      <c r="CI84" s="44">
        <f t="shared" si="216"/>
        <v>556000</v>
      </c>
      <c r="CJ84" s="44">
        <f t="shared" si="217"/>
        <v>556000</v>
      </c>
      <c r="CK84" s="44">
        <f t="shared" si="152"/>
        <v>44480</v>
      </c>
      <c r="CL84" s="44">
        <f t="shared" si="218"/>
        <v>44480</v>
      </c>
      <c r="CM84" s="44">
        <f t="shared" si="153"/>
        <v>44480</v>
      </c>
      <c r="CN84" s="44">
        <f t="shared" si="219"/>
        <v>44480</v>
      </c>
      <c r="CO84" s="44">
        <f t="shared" si="154"/>
        <v>511520</v>
      </c>
      <c r="CP84" s="46">
        <f t="shared" si="155"/>
        <v>0</v>
      </c>
      <c r="CQ84" s="47">
        <f t="shared" si="156"/>
        <v>0</v>
      </c>
      <c r="CR84" s="604">
        <f t="shared" si="220"/>
        <v>0</v>
      </c>
      <c r="CS84" s="44">
        <f t="shared" si="221"/>
        <v>0</v>
      </c>
      <c r="CT84" s="44">
        <f t="shared" si="222"/>
        <v>0</v>
      </c>
      <c r="CU84" s="44">
        <f t="shared" si="223"/>
        <v>0</v>
      </c>
      <c r="CV84" s="44">
        <f t="shared" si="224"/>
        <v>556000</v>
      </c>
      <c r="CW84" s="44">
        <f t="shared" si="225"/>
        <v>556000</v>
      </c>
      <c r="CX84" s="44">
        <f t="shared" si="157"/>
        <v>44480</v>
      </c>
      <c r="CY84" s="44">
        <f t="shared" si="226"/>
        <v>44480</v>
      </c>
      <c r="CZ84" s="44">
        <f t="shared" si="158"/>
        <v>0</v>
      </c>
      <c r="DA84" s="44">
        <f t="shared" si="227"/>
        <v>0</v>
      </c>
      <c r="DB84" s="44">
        <f t="shared" si="159"/>
        <v>556000</v>
      </c>
      <c r="DC84" s="46">
        <f t="shared" si="160"/>
        <v>0</v>
      </c>
      <c r="DD84" s="47">
        <f t="shared" si="161"/>
        <v>0</v>
      </c>
      <c r="DE84" s="604">
        <f t="shared" si="228"/>
        <v>0</v>
      </c>
      <c r="DF84" s="44">
        <f t="shared" si="229"/>
        <v>0</v>
      </c>
      <c r="DG84" s="44">
        <f t="shared" si="230"/>
        <v>0</v>
      </c>
      <c r="DH84" s="44">
        <f t="shared" si="231"/>
        <v>0</v>
      </c>
      <c r="DI84" s="44">
        <f t="shared" si="232"/>
        <v>556000</v>
      </c>
      <c r="DJ84" s="44">
        <f t="shared" si="233"/>
        <v>0</v>
      </c>
      <c r="DK84" s="44">
        <f t="shared" si="162"/>
        <v>0</v>
      </c>
      <c r="DL84" s="44">
        <f t="shared" si="234"/>
        <v>0</v>
      </c>
      <c r="DM84" s="44">
        <f t="shared" si="163"/>
        <v>0</v>
      </c>
      <c r="DN84" s="44">
        <f t="shared" si="235"/>
        <v>0</v>
      </c>
      <c r="DO84" s="44">
        <f t="shared" si="164"/>
        <v>556000</v>
      </c>
      <c r="DP84" s="46">
        <f t="shared" si="165"/>
        <v>0</v>
      </c>
      <c r="DQ84" s="47">
        <f t="shared" si="166"/>
        <v>0</v>
      </c>
      <c r="DR84" s="604">
        <f t="shared" si="236"/>
        <v>0</v>
      </c>
      <c r="DS84" s="44">
        <f t="shared" si="237"/>
        <v>0</v>
      </c>
      <c r="DT84" s="44">
        <f t="shared" si="238"/>
        <v>0</v>
      </c>
      <c r="DU84" s="44">
        <f t="shared" si="239"/>
        <v>0</v>
      </c>
      <c r="DV84" s="44">
        <f t="shared" si="240"/>
        <v>556000</v>
      </c>
      <c r="DW84" s="44">
        <f t="shared" si="241"/>
        <v>0</v>
      </c>
      <c r="DX84" s="44">
        <f t="shared" si="167"/>
        <v>0</v>
      </c>
      <c r="DY84" s="44">
        <f t="shared" si="242"/>
        <v>0</v>
      </c>
      <c r="DZ84" s="44">
        <f t="shared" si="168"/>
        <v>0</v>
      </c>
      <c r="EA84" s="44">
        <f t="shared" si="243"/>
        <v>0</v>
      </c>
      <c r="EB84" s="44">
        <f t="shared" si="169"/>
        <v>556000</v>
      </c>
      <c r="EC84" s="46">
        <f t="shared" si="170"/>
        <v>0</v>
      </c>
      <c r="ED84" s="47">
        <f t="shared" si="171"/>
        <v>0</v>
      </c>
    </row>
    <row r="85" spans="1:134" x14ac:dyDescent="0.35">
      <c r="A85" s="81">
        <v>1999</v>
      </c>
      <c r="B85" s="82" t="s">
        <v>255</v>
      </c>
      <c r="C85" s="82"/>
      <c r="D85" s="83" t="s">
        <v>29</v>
      </c>
      <c r="E85" s="87">
        <v>1592000</v>
      </c>
      <c r="F85" s="85">
        <v>38899</v>
      </c>
      <c r="G85" s="86">
        <v>50</v>
      </c>
      <c r="H85" s="179"/>
      <c r="I85" s="180"/>
      <c r="J85" s="181"/>
      <c r="K85" s="42">
        <f t="shared" si="122"/>
        <v>0.02</v>
      </c>
      <c r="L85" s="43">
        <f t="shared" si="123"/>
        <v>31840</v>
      </c>
      <c r="M85" s="44">
        <f t="shared" si="124"/>
        <v>1416880</v>
      </c>
      <c r="N85" s="44"/>
      <c r="O85" s="44">
        <f t="shared" si="125"/>
        <v>175120</v>
      </c>
      <c r="P85" s="45"/>
      <c r="Q85" s="44">
        <f t="shared" si="126"/>
        <v>1592000</v>
      </c>
      <c r="R85" s="604">
        <f t="shared" si="172"/>
        <v>0</v>
      </c>
      <c r="S85" s="44">
        <f t="shared" si="173"/>
        <v>0</v>
      </c>
      <c r="T85" s="44">
        <f t="shared" si="174"/>
        <v>0</v>
      </c>
      <c r="U85" s="44">
        <f t="shared" si="175"/>
        <v>0</v>
      </c>
      <c r="V85" s="44">
        <f t="shared" si="176"/>
        <v>1592000</v>
      </c>
      <c r="W85" s="44">
        <f t="shared" si="177"/>
        <v>1592000</v>
      </c>
      <c r="X85" s="44">
        <f t="shared" si="127"/>
        <v>31840</v>
      </c>
      <c r="Y85" s="44">
        <f t="shared" si="178"/>
        <v>31840</v>
      </c>
      <c r="Z85" s="44">
        <f t="shared" si="128"/>
        <v>1385040</v>
      </c>
      <c r="AA85" s="44">
        <f t="shared" si="179"/>
        <v>1385040</v>
      </c>
      <c r="AB85" s="44">
        <f t="shared" si="129"/>
        <v>206960</v>
      </c>
      <c r="AC85" s="46">
        <f t="shared" si="130"/>
        <v>0</v>
      </c>
      <c r="AD85" s="47">
        <f t="shared" si="131"/>
        <v>0</v>
      </c>
      <c r="AE85" s="604">
        <f t="shared" si="180"/>
        <v>0</v>
      </c>
      <c r="AF85" s="44">
        <f t="shared" si="181"/>
        <v>0</v>
      </c>
      <c r="AG85" s="44">
        <f t="shared" si="182"/>
        <v>0</v>
      </c>
      <c r="AH85" s="44">
        <f t="shared" si="183"/>
        <v>0</v>
      </c>
      <c r="AI85" s="44">
        <f t="shared" si="184"/>
        <v>1592000</v>
      </c>
      <c r="AJ85" s="44">
        <f t="shared" si="185"/>
        <v>1592000</v>
      </c>
      <c r="AK85" s="44">
        <f t="shared" si="132"/>
        <v>31840</v>
      </c>
      <c r="AL85" s="44">
        <f t="shared" si="186"/>
        <v>31840</v>
      </c>
      <c r="AM85" s="44">
        <f t="shared" si="133"/>
        <v>1353200</v>
      </c>
      <c r="AN85" s="44">
        <f t="shared" si="187"/>
        <v>1353200</v>
      </c>
      <c r="AO85" s="44">
        <f t="shared" si="134"/>
        <v>238800</v>
      </c>
      <c r="AP85" s="46">
        <f t="shared" si="135"/>
        <v>0</v>
      </c>
      <c r="AQ85" s="47">
        <f t="shared" si="136"/>
        <v>0</v>
      </c>
      <c r="AR85" s="604">
        <f t="shared" si="188"/>
        <v>0</v>
      </c>
      <c r="AS85" s="44">
        <f t="shared" si="189"/>
        <v>0</v>
      </c>
      <c r="AT85" s="44">
        <f t="shared" si="190"/>
        <v>0</v>
      </c>
      <c r="AU85" s="44">
        <f t="shared" si="191"/>
        <v>0</v>
      </c>
      <c r="AV85" s="44">
        <f t="shared" si="192"/>
        <v>1592000</v>
      </c>
      <c r="AW85" s="44">
        <f t="shared" si="193"/>
        <v>1592000</v>
      </c>
      <c r="AX85" s="44">
        <f t="shared" si="137"/>
        <v>31840</v>
      </c>
      <c r="AY85" s="44">
        <f t="shared" si="194"/>
        <v>31840</v>
      </c>
      <c r="AZ85" s="44">
        <f t="shared" si="138"/>
        <v>1321360</v>
      </c>
      <c r="BA85" s="44">
        <f t="shared" si="195"/>
        <v>1321360</v>
      </c>
      <c r="BB85" s="44">
        <f t="shared" si="139"/>
        <v>270640</v>
      </c>
      <c r="BC85" s="46">
        <f t="shared" si="140"/>
        <v>0</v>
      </c>
      <c r="BD85" s="47">
        <f t="shared" si="141"/>
        <v>0</v>
      </c>
      <c r="BE85" s="604">
        <f t="shared" si="196"/>
        <v>0</v>
      </c>
      <c r="BF85" s="44">
        <f t="shared" si="197"/>
        <v>0</v>
      </c>
      <c r="BG85" s="44">
        <f t="shared" si="198"/>
        <v>0</v>
      </c>
      <c r="BH85" s="44">
        <f t="shared" si="199"/>
        <v>0</v>
      </c>
      <c r="BI85" s="44">
        <f t="shared" si="200"/>
        <v>1592000</v>
      </c>
      <c r="BJ85" s="44">
        <f t="shared" si="201"/>
        <v>1592000</v>
      </c>
      <c r="BK85" s="44">
        <f t="shared" si="142"/>
        <v>31840</v>
      </c>
      <c r="BL85" s="44">
        <f t="shared" si="202"/>
        <v>31840</v>
      </c>
      <c r="BM85" s="44">
        <f t="shared" si="143"/>
        <v>1289520</v>
      </c>
      <c r="BN85" s="44">
        <f t="shared" si="203"/>
        <v>1289520</v>
      </c>
      <c r="BO85" s="44">
        <f t="shared" si="144"/>
        <v>302480</v>
      </c>
      <c r="BP85" s="46">
        <f t="shared" si="145"/>
        <v>0</v>
      </c>
      <c r="BQ85" s="47">
        <f t="shared" si="146"/>
        <v>0</v>
      </c>
      <c r="BR85" s="604">
        <f t="shared" si="204"/>
        <v>0</v>
      </c>
      <c r="BS85" s="44">
        <f t="shared" si="205"/>
        <v>0</v>
      </c>
      <c r="BT85" s="44">
        <f t="shared" si="206"/>
        <v>0</v>
      </c>
      <c r="BU85" s="44">
        <f t="shared" si="207"/>
        <v>0</v>
      </c>
      <c r="BV85" s="44">
        <f t="shared" si="208"/>
        <v>1592000</v>
      </c>
      <c r="BW85" s="44">
        <f t="shared" si="209"/>
        <v>1592000</v>
      </c>
      <c r="BX85" s="44">
        <f t="shared" si="147"/>
        <v>31840</v>
      </c>
      <c r="BY85" s="44">
        <f t="shared" si="210"/>
        <v>31840</v>
      </c>
      <c r="BZ85" s="44">
        <f t="shared" si="148"/>
        <v>1257680</v>
      </c>
      <c r="CA85" s="44">
        <f t="shared" si="211"/>
        <v>1257680</v>
      </c>
      <c r="CB85" s="44">
        <f t="shared" si="149"/>
        <v>334320</v>
      </c>
      <c r="CC85" s="46">
        <f t="shared" si="150"/>
        <v>0</v>
      </c>
      <c r="CD85" s="47">
        <f t="shared" si="151"/>
        <v>0</v>
      </c>
      <c r="CE85" s="604">
        <f t="shared" si="212"/>
        <v>0</v>
      </c>
      <c r="CF85" s="44">
        <f t="shared" si="213"/>
        <v>0</v>
      </c>
      <c r="CG85" s="44">
        <f t="shared" si="214"/>
        <v>0</v>
      </c>
      <c r="CH85" s="44">
        <f t="shared" si="215"/>
        <v>0</v>
      </c>
      <c r="CI85" s="44">
        <f t="shared" si="216"/>
        <v>1592000</v>
      </c>
      <c r="CJ85" s="44">
        <f t="shared" si="217"/>
        <v>1592000</v>
      </c>
      <c r="CK85" s="44">
        <f t="shared" si="152"/>
        <v>31840</v>
      </c>
      <c r="CL85" s="44">
        <f t="shared" si="218"/>
        <v>31840</v>
      </c>
      <c r="CM85" s="44">
        <f t="shared" si="153"/>
        <v>1225840</v>
      </c>
      <c r="CN85" s="44">
        <f t="shared" si="219"/>
        <v>1225840</v>
      </c>
      <c r="CO85" s="44">
        <f t="shared" si="154"/>
        <v>366160</v>
      </c>
      <c r="CP85" s="46">
        <f t="shared" si="155"/>
        <v>0</v>
      </c>
      <c r="CQ85" s="47">
        <f t="shared" si="156"/>
        <v>0</v>
      </c>
      <c r="CR85" s="604">
        <f t="shared" si="220"/>
        <v>0</v>
      </c>
      <c r="CS85" s="44">
        <f t="shared" si="221"/>
        <v>0</v>
      </c>
      <c r="CT85" s="44">
        <f t="shared" si="222"/>
        <v>0</v>
      </c>
      <c r="CU85" s="44">
        <f t="shared" si="223"/>
        <v>0</v>
      </c>
      <c r="CV85" s="44">
        <f t="shared" si="224"/>
        <v>1592000</v>
      </c>
      <c r="CW85" s="44">
        <f t="shared" si="225"/>
        <v>1592000</v>
      </c>
      <c r="CX85" s="44">
        <f t="shared" si="157"/>
        <v>31840</v>
      </c>
      <c r="CY85" s="44">
        <f t="shared" si="226"/>
        <v>31840</v>
      </c>
      <c r="CZ85" s="44">
        <f t="shared" si="158"/>
        <v>1194000</v>
      </c>
      <c r="DA85" s="44">
        <f t="shared" si="227"/>
        <v>1194000</v>
      </c>
      <c r="DB85" s="44">
        <f t="shared" si="159"/>
        <v>398000</v>
      </c>
      <c r="DC85" s="46">
        <f t="shared" si="160"/>
        <v>0</v>
      </c>
      <c r="DD85" s="47">
        <f t="shared" si="161"/>
        <v>0</v>
      </c>
      <c r="DE85" s="604">
        <f t="shared" si="228"/>
        <v>0</v>
      </c>
      <c r="DF85" s="44">
        <f t="shared" si="229"/>
        <v>0</v>
      </c>
      <c r="DG85" s="44">
        <f t="shared" si="230"/>
        <v>0</v>
      </c>
      <c r="DH85" s="44">
        <f t="shared" si="231"/>
        <v>0</v>
      </c>
      <c r="DI85" s="44">
        <f t="shared" si="232"/>
        <v>1592000</v>
      </c>
      <c r="DJ85" s="44">
        <f t="shared" si="233"/>
        <v>1592000</v>
      </c>
      <c r="DK85" s="44">
        <f t="shared" si="162"/>
        <v>31840</v>
      </c>
      <c r="DL85" s="44">
        <f t="shared" si="234"/>
        <v>31840</v>
      </c>
      <c r="DM85" s="44">
        <f t="shared" si="163"/>
        <v>1162160</v>
      </c>
      <c r="DN85" s="44">
        <f t="shared" si="235"/>
        <v>1162160</v>
      </c>
      <c r="DO85" s="44">
        <f t="shared" si="164"/>
        <v>429840</v>
      </c>
      <c r="DP85" s="46">
        <f t="shared" si="165"/>
        <v>0</v>
      </c>
      <c r="DQ85" s="47">
        <f t="shared" si="166"/>
        <v>0</v>
      </c>
      <c r="DR85" s="604">
        <f t="shared" si="236"/>
        <v>0</v>
      </c>
      <c r="DS85" s="44">
        <f t="shared" si="237"/>
        <v>0</v>
      </c>
      <c r="DT85" s="44">
        <f t="shared" si="238"/>
        <v>0</v>
      </c>
      <c r="DU85" s="44">
        <f t="shared" si="239"/>
        <v>0</v>
      </c>
      <c r="DV85" s="44">
        <f t="shared" si="240"/>
        <v>1592000</v>
      </c>
      <c r="DW85" s="44">
        <f t="shared" si="241"/>
        <v>1592000</v>
      </c>
      <c r="DX85" s="44">
        <f t="shared" si="167"/>
        <v>31840</v>
      </c>
      <c r="DY85" s="44">
        <f t="shared" si="242"/>
        <v>31840</v>
      </c>
      <c r="DZ85" s="44">
        <f t="shared" si="168"/>
        <v>1130320</v>
      </c>
      <c r="EA85" s="44">
        <f t="shared" si="243"/>
        <v>1130320</v>
      </c>
      <c r="EB85" s="44">
        <f t="shared" si="169"/>
        <v>461680</v>
      </c>
      <c r="EC85" s="46">
        <f t="shared" si="170"/>
        <v>0</v>
      </c>
      <c r="ED85" s="47">
        <f t="shared" si="171"/>
        <v>0</v>
      </c>
    </row>
    <row r="86" spans="1:134" x14ac:dyDescent="0.35">
      <c r="A86" s="81">
        <v>1999</v>
      </c>
      <c r="B86" s="82" t="s">
        <v>256</v>
      </c>
      <c r="C86" s="82"/>
      <c r="D86" s="83" t="s">
        <v>29</v>
      </c>
      <c r="E86" s="87">
        <v>340000</v>
      </c>
      <c r="F86" s="85">
        <v>38899</v>
      </c>
      <c r="G86" s="86">
        <v>25</v>
      </c>
      <c r="H86" s="179"/>
      <c r="I86" s="180"/>
      <c r="J86" s="181"/>
      <c r="K86" s="42">
        <f t="shared" si="122"/>
        <v>0.04</v>
      </c>
      <c r="L86" s="43">
        <f t="shared" si="123"/>
        <v>13600</v>
      </c>
      <c r="M86" s="44">
        <f t="shared" si="124"/>
        <v>265200</v>
      </c>
      <c r="N86" s="44"/>
      <c r="O86" s="44">
        <f t="shared" si="125"/>
        <v>74800</v>
      </c>
      <c r="P86" s="45"/>
      <c r="Q86" s="44">
        <f t="shared" si="126"/>
        <v>340000</v>
      </c>
      <c r="R86" s="604">
        <f t="shared" si="172"/>
        <v>0</v>
      </c>
      <c r="S86" s="44">
        <f t="shared" si="173"/>
        <v>0</v>
      </c>
      <c r="T86" s="44">
        <f t="shared" si="174"/>
        <v>0</v>
      </c>
      <c r="U86" s="44">
        <f t="shared" si="175"/>
        <v>0</v>
      </c>
      <c r="V86" s="44">
        <f t="shared" si="176"/>
        <v>340000</v>
      </c>
      <c r="W86" s="44">
        <f t="shared" si="177"/>
        <v>340000</v>
      </c>
      <c r="X86" s="44">
        <f t="shared" si="127"/>
        <v>13600</v>
      </c>
      <c r="Y86" s="44">
        <f t="shared" si="178"/>
        <v>13600</v>
      </c>
      <c r="Z86" s="44">
        <f t="shared" si="128"/>
        <v>251600</v>
      </c>
      <c r="AA86" s="44">
        <f t="shared" si="179"/>
        <v>251600</v>
      </c>
      <c r="AB86" s="44">
        <f t="shared" si="129"/>
        <v>88400</v>
      </c>
      <c r="AC86" s="46">
        <f t="shared" si="130"/>
        <v>0</v>
      </c>
      <c r="AD86" s="47">
        <f t="shared" si="131"/>
        <v>0</v>
      </c>
      <c r="AE86" s="604">
        <f t="shared" si="180"/>
        <v>0</v>
      </c>
      <c r="AF86" s="44">
        <f t="shared" si="181"/>
        <v>0</v>
      </c>
      <c r="AG86" s="44">
        <f t="shared" si="182"/>
        <v>0</v>
      </c>
      <c r="AH86" s="44">
        <f t="shared" si="183"/>
        <v>0</v>
      </c>
      <c r="AI86" s="44">
        <f t="shared" si="184"/>
        <v>340000</v>
      </c>
      <c r="AJ86" s="44">
        <f t="shared" si="185"/>
        <v>340000</v>
      </c>
      <c r="AK86" s="44">
        <f t="shared" si="132"/>
        <v>13600</v>
      </c>
      <c r="AL86" s="44">
        <f t="shared" si="186"/>
        <v>13600</v>
      </c>
      <c r="AM86" s="44">
        <f t="shared" si="133"/>
        <v>238000</v>
      </c>
      <c r="AN86" s="44">
        <f t="shared" si="187"/>
        <v>238000</v>
      </c>
      <c r="AO86" s="44">
        <f t="shared" si="134"/>
        <v>102000</v>
      </c>
      <c r="AP86" s="46">
        <f t="shared" si="135"/>
        <v>0</v>
      </c>
      <c r="AQ86" s="47">
        <f t="shared" si="136"/>
        <v>0</v>
      </c>
      <c r="AR86" s="604">
        <f t="shared" si="188"/>
        <v>0</v>
      </c>
      <c r="AS86" s="44">
        <f t="shared" si="189"/>
        <v>0</v>
      </c>
      <c r="AT86" s="44">
        <f t="shared" si="190"/>
        <v>0</v>
      </c>
      <c r="AU86" s="44">
        <f t="shared" si="191"/>
        <v>0</v>
      </c>
      <c r="AV86" s="44">
        <f t="shared" si="192"/>
        <v>340000</v>
      </c>
      <c r="AW86" s="44">
        <f t="shared" si="193"/>
        <v>340000</v>
      </c>
      <c r="AX86" s="44">
        <f t="shared" si="137"/>
        <v>13600</v>
      </c>
      <c r="AY86" s="44">
        <f t="shared" si="194"/>
        <v>13600</v>
      </c>
      <c r="AZ86" s="44">
        <f t="shared" si="138"/>
        <v>224400</v>
      </c>
      <c r="BA86" s="44">
        <f t="shared" si="195"/>
        <v>224400</v>
      </c>
      <c r="BB86" s="44">
        <f t="shared" si="139"/>
        <v>115600</v>
      </c>
      <c r="BC86" s="46">
        <f t="shared" si="140"/>
        <v>0</v>
      </c>
      <c r="BD86" s="47">
        <f t="shared" si="141"/>
        <v>0</v>
      </c>
      <c r="BE86" s="604">
        <f t="shared" si="196"/>
        <v>0</v>
      </c>
      <c r="BF86" s="44">
        <f t="shared" si="197"/>
        <v>0</v>
      </c>
      <c r="BG86" s="44">
        <f t="shared" si="198"/>
        <v>0</v>
      </c>
      <c r="BH86" s="44">
        <f t="shared" si="199"/>
        <v>0</v>
      </c>
      <c r="BI86" s="44">
        <f t="shared" si="200"/>
        <v>340000</v>
      </c>
      <c r="BJ86" s="44">
        <f t="shared" si="201"/>
        <v>340000</v>
      </c>
      <c r="BK86" s="44">
        <f t="shared" si="142"/>
        <v>13600</v>
      </c>
      <c r="BL86" s="44">
        <f t="shared" si="202"/>
        <v>13600</v>
      </c>
      <c r="BM86" s="44">
        <f t="shared" si="143"/>
        <v>210800</v>
      </c>
      <c r="BN86" s="44">
        <f t="shared" si="203"/>
        <v>210800</v>
      </c>
      <c r="BO86" s="44">
        <f t="shared" si="144"/>
        <v>129200</v>
      </c>
      <c r="BP86" s="46">
        <f t="shared" si="145"/>
        <v>0</v>
      </c>
      <c r="BQ86" s="47">
        <f t="shared" si="146"/>
        <v>0</v>
      </c>
      <c r="BR86" s="604">
        <f t="shared" si="204"/>
        <v>0</v>
      </c>
      <c r="BS86" s="44">
        <f t="shared" si="205"/>
        <v>0</v>
      </c>
      <c r="BT86" s="44">
        <f t="shared" si="206"/>
        <v>0</v>
      </c>
      <c r="BU86" s="44">
        <f t="shared" si="207"/>
        <v>0</v>
      </c>
      <c r="BV86" s="44">
        <f t="shared" si="208"/>
        <v>340000</v>
      </c>
      <c r="BW86" s="44">
        <f t="shared" si="209"/>
        <v>340000</v>
      </c>
      <c r="BX86" s="44">
        <f t="shared" si="147"/>
        <v>13600</v>
      </c>
      <c r="BY86" s="44">
        <f t="shared" si="210"/>
        <v>13600</v>
      </c>
      <c r="BZ86" s="44">
        <f t="shared" si="148"/>
        <v>197200</v>
      </c>
      <c r="CA86" s="44">
        <f t="shared" si="211"/>
        <v>197200</v>
      </c>
      <c r="CB86" s="44">
        <f t="shared" si="149"/>
        <v>142800</v>
      </c>
      <c r="CC86" s="46">
        <f t="shared" si="150"/>
        <v>0</v>
      </c>
      <c r="CD86" s="47">
        <f t="shared" si="151"/>
        <v>0</v>
      </c>
      <c r="CE86" s="604">
        <f t="shared" si="212"/>
        <v>0</v>
      </c>
      <c r="CF86" s="44">
        <f t="shared" si="213"/>
        <v>0</v>
      </c>
      <c r="CG86" s="44">
        <f t="shared" si="214"/>
        <v>0</v>
      </c>
      <c r="CH86" s="44">
        <f t="shared" si="215"/>
        <v>0</v>
      </c>
      <c r="CI86" s="44">
        <f t="shared" si="216"/>
        <v>340000</v>
      </c>
      <c r="CJ86" s="44">
        <f t="shared" si="217"/>
        <v>340000</v>
      </c>
      <c r="CK86" s="44">
        <f t="shared" si="152"/>
        <v>13600</v>
      </c>
      <c r="CL86" s="44">
        <f t="shared" si="218"/>
        <v>13600</v>
      </c>
      <c r="CM86" s="44">
        <f t="shared" si="153"/>
        <v>183600</v>
      </c>
      <c r="CN86" s="44">
        <f t="shared" si="219"/>
        <v>183600</v>
      </c>
      <c r="CO86" s="44">
        <f t="shared" si="154"/>
        <v>156400</v>
      </c>
      <c r="CP86" s="46">
        <f t="shared" si="155"/>
        <v>0</v>
      </c>
      <c r="CQ86" s="47">
        <f t="shared" si="156"/>
        <v>0</v>
      </c>
      <c r="CR86" s="604">
        <f t="shared" si="220"/>
        <v>0</v>
      </c>
      <c r="CS86" s="44">
        <f t="shared" si="221"/>
        <v>0</v>
      </c>
      <c r="CT86" s="44">
        <f t="shared" si="222"/>
        <v>0</v>
      </c>
      <c r="CU86" s="44">
        <f t="shared" si="223"/>
        <v>0</v>
      </c>
      <c r="CV86" s="44">
        <f t="shared" si="224"/>
        <v>340000</v>
      </c>
      <c r="CW86" s="44">
        <f t="shared" si="225"/>
        <v>340000</v>
      </c>
      <c r="CX86" s="44">
        <f t="shared" si="157"/>
        <v>13600</v>
      </c>
      <c r="CY86" s="44">
        <f t="shared" si="226"/>
        <v>13600</v>
      </c>
      <c r="CZ86" s="44">
        <f t="shared" si="158"/>
        <v>170000</v>
      </c>
      <c r="DA86" s="44">
        <f t="shared" si="227"/>
        <v>170000</v>
      </c>
      <c r="DB86" s="44">
        <f t="shared" si="159"/>
        <v>170000</v>
      </c>
      <c r="DC86" s="46">
        <f t="shared" si="160"/>
        <v>0</v>
      </c>
      <c r="DD86" s="47">
        <f t="shared" si="161"/>
        <v>0</v>
      </c>
      <c r="DE86" s="604">
        <f t="shared" si="228"/>
        <v>0</v>
      </c>
      <c r="DF86" s="44">
        <f t="shared" si="229"/>
        <v>0</v>
      </c>
      <c r="DG86" s="44">
        <f t="shared" si="230"/>
        <v>0</v>
      </c>
      <c r="DH86" s="44">
        <f t="shared" si="231"/>
        <v>0</v>
      </c>
      <c r="DI86" s="44">
        <f t="shared" si="232"/>
        <v>340000</v>
      </c>
      <c r="DJ86" s="44">
        <f t="shared" si="233"/>
        <v>340000</v>
      </c>
      <c r="DK86" s="44">
        <f t="shared" si="162"/>
        <v>13600</v>
      </c>
      <c r="DL86" s="44">
        <f t="shared" si="234"/>
        <v>13600</v>
      </c>
      <c r="DM86" s="44">
        <f t="shared" si="163"/>
        <v>156400</v>
      </c>
      <c r="DN86" s="44">
        <f t="shared" si="235"/>
        <v>156400</v>
      </c>
      <c r="DO86" s="44">
        <f t="shared" si="164"/>
        <v>183600</v>
      </c>
      <c r="DP86" s="46">
        <f t="shared" si="165"/>
        <v>0</v>
      </c>
      <c r="DQ86" s="47">
        <f t="shared" si="166"/>
        <v>0</v>
      </c>
      <c r="DR86" s="604">
        <f t="shared" si="236"/>
        <v>0</v>
      </c>
      <c r="DS86" s="44">
        <f t="shared" si="237"/>
        <v>0</v>
      </c>
      <c r="DT86" s="44">
        <f t="shared" si="238"/>
        <v>0</v>
      </c>
      <c r="DU86" s="44">
        <f t="shared" si="239"/>
        <v>0</v>
      </c>
      <c r="DV86" s="44">
        <f t="shared" si="240"/>
        <v>340000</v>
      </c>
      <c r="DW86" s="44">
        <f t="shared" si="241"/>
        <v>340000</v>
      </c>
      <c r="DX86" s="44">
        <f t="shared" si="167"/>
        <v>13600</v>
      </c>
      <c r="DY86" s="44">
        <f t="shared" si="242"/>
        <v>13600</v>
      </c>
      <c r="DZ86" s="44">
        <f t="shared" si="168"/>
        <v>142800</v>
      </c>
      <c r="EA86" s="44">
        <f t="shared" si="243"/>
        <v>142800</v>
      </c>
      <c r="EB86" s="44">
        <f t="shared" si="169"/>
        <v>197200</v>
      </c>
      <c r="EC86" s="46">
        <f t="shared" si="170"/>
        <v>0</v>
      </c>
      <c r="ED86" s="47">
        <f t="shared" si="171"/>
        <v>0</v>
      </c>
    </row>
    <row r="87" spans="1:134" x14ac:dyDescent="0.35">
      <c r="A87" s="81">
        <v>1999</v>
      </c>
      <c r="B87" s="82" t="s">
        <v>257</v>
      </c>
      <c r="C87" s="82"/>
      <c r="D87" s="83" t="s">
        <v>29</v>
      </c>
      <c r="E87" s="87">
        <v>29000</v>
      </c>
      <c r="F87" s="85">
        <v>38899</v>
      </c>
      <c r="G87" s="86">
        <v>50</v>
      </c>
      <c r="H87" s="179"/>
      <c r="I87" s="180"/>
      <c r="J87" s="181"/>
      <c r="K87" s="42">
        <f t="shared" si="122"/>
        <v>0.02</v>
      </c>
      <c r="L87" s="43">
        <f t="shared" si="123"/>
        <v>580</v>
      </c>
      <c r="M87" s="44">
        <f t="shared" si="124"/>
        <v>25810</v>
      </c>
      <c r="N87" s="44"/>
      <c r="O87" s="44">
        <f t="shared" si="125"/>
        <v>3190</v>
      </c>
      <c r="P87" s="45"/>
      <c r="Q87" s="44">
        <f t="shared" si="126"/>
        <v>29000</v>
      </c>
      <c r="R87" s="604">
        <f t="shared" si="172"/>
        <v>0</v>
      </c>
      <c r="S87" s="44">
        <f t="shared" si="173"/>
        <v>0</v>
      </c>
      <c r="T87" s="44">
        <f t="shared" si="174"/>
        <v>0</v>
      </c>
      <c r="U87" s="44">
        <f t="shared" si="175"/>
        <v>0</v>
      </c>
      <c r="V87" s="44">
        <f t="shared" si="176"/>
        <v>29000</v>
      </c>
      <c r="W87" s="44">
        <f t="shared" si="177"/>
        <v>29000</v>
      </c>
      <c r="X87" s="44">
        <f t="shared" si="127"/>
        <v>580</v>
      </c>
      <c r="Y87" s="44">
        <f t="shared" si="178"/>
        <v>580</v>
      </c>
      <c r="Z87" s="44">
        <f t="shared" si="128"/>
        <v>25230</v>
      </c>
      <c r="AA87" s="44">
        <f t="shared" si="179"/>
        <v>25230</v>
      </c>
      <c r="AB87" s="44">
        <f t="shared" si="129"/>
        <v>3770</v>
      </c>
      <c r="AC87" s="46">
        <f t="shared" si="130"/>
        <v>0</v>
      </c>
      <c r="AD87" s="47">
        <f t="shared" si="131"/>
        <v>0</v>
      </c>
      <c r="AE87" s="604">
        <f t="shared" si="180"/>
        <v>0</v>
      </c>
      <c r="AF87" s="44">
        <f t="shared" si="181"/>
        <v>0</v>
      </c>
      <c r="AG87" s="44">
        <f t="shared" si="182"/>
        <v>0</v>
      </c>
      <c r="AH87" s="44">
        <f t="shared" si="183"/>
        <v>0</v>
      </c>
      <c r="AI87" s="44">
        <f t="shared" si="184"/>
        <v>29000</v>
      </c>
      <c r="AJ87" s="44">
        <f t="shared" si="185"/>
        <v>29000</v>
      </c>
      <c r="AK87" s="44">
        <f t="shared" si="132"/>
        <v>580</v>
      </c>
      <c r="AL87" s="44">
        <f t="shared" si="186"/>
        <v>580</v>
      </c>
      <c r="AM87" s="44">
        <f t="shared" si="133"/>
        <v>24650</v>
      </c>
      <c r="AN87" s="44">
        <f t="shared" si="187"/>
        <v>24650</v>
      </c>
      <c r="AO87" s="44">
        <f t="shared" si="134"/>
        <v>4350</v>
      </c>
      <c r="AP87" s="46">
        <f t="shared" si="135"/>
        <v>0</v>
      </c>
      <c r="AQ87" s="47">
        <f t="shared" si="136"/>
        <v>0</v>
      </c>
      <c r="AR87" s="604">
        <f t="shared" si="188"/>
        <v>0</v>
      </c>
      <c r="AS87" s="44">
        <f t="shared" si="189"/>
        <v>0</v>
      </c>
      <c r="AT87" s="44">
        <f t="shared" si="190"/>
        <v>0</v>
      </c>
      <c r="AU87" s="44">
        <f t="shared" si="191"/>
        <v>0</v>
      </c>
      <c r="AV87" s="44">
        <f t="shared" si="192"/>
        <v>29000</v>
      </c>
      <c r="AW87" s="44">
        <f t="shared" si="193"/>
        <v>29000</v>
      </c>
      <c r="AX87" s="44">
        <f t="shared" si="137"/>
        <v>580</v>
      </c>
      <c r="AY87" s="44">
        <f t="shared" si="194"/>
        <v>580</v>
      </c>
      <c r="AZ87" s="44">
        <f t="shared" si="138"/>
        <v>24070</v>
      </c>
      <c r="BA87" s="44">
        <f t="shared" si="195"/>
        <v>24070</v>
      </c>
      <c r="BB87" s="44">
        <f t="shared" si="139"/>
        <v>4930</v>
      </c>
      <c r="BC87" s="46">
        <f t="shared" si="140"/>
        <v>0</v>
      </c>
      <c r="BD87" s="47">
        <f t="shared" si="141"/>
        <v>0</v>
      </c>
      <c r="BE87" s="604">
        <f t="shared" si="196"/>
        <v>0</v>
      </c>
      <c r="BF87" s="44">
        <f t="shared" si="197"/>
        <v>0</v>
      </c>
      <c r="BG87" s="44">
        <f t="shared" si="198"/>
        <v>0</v>
      </c>
      <c r="BH87" s="44">
        <f t="shared" si="199"/>
        <v>0</v>
      </c>
      <c r="BI87" s="44">
        <f t="shared" si="200"/>
        <v>29000</v>
      </c>
      <c r="BJ87" s="44">
        <f t="shared" si="201"/>
        <v>29000</v>
      </c>
      <c r="BK87" s="44">
        <f t="shared" si="142"/>
        <v>580</v>
      </c>
      <c r="BL87" s="44">
        <f t="shared" si="202"/>
        <v>580</v>
      </c>
      <c r="BM87" s="44">
        <f t="shared" si="143"/>
        <v>23490</v>
      </c>
      <c r="BN87" s="44">
        <f t="shared" si="203"/>
        <v>23490</v>
      </c>
      <c r="BO87" s="44">
        <f t="shared" si="144"/>
        <v>5510</v>
      </c>
      <c r="BP87" s="46">
        <f t="shared" si="145"/>
        <v>0</v>
      </c>
      <c r="BQ87" s="47">
        <f t="shared" si="146"/>
        <v>0</v>
      </c>
      <c r="BR87" s="604">
        <f t="shared" si="204"/>
        <v>0</v>
      </c>
      <c r="BS87" s="44">
        <f t="shared" si="205"/>
        <v>0</v>
      </c>
      <c r="BT87" s="44">
        <f t="shared" si="206"/>
        <v>0</v>
      </c>
      <c r="BU87" s="44">
        <f t="shared" si="207"/>
        <v>0</v>
      </c>
      <c r="BV87" s="44">
        <f t="shared" si="208"/>
        <v>29000</v>
      </c>
      <c r="BW87" s="44">
        <f t="shared" si="209"/>
        <v>29000</v>
      </c>
      <c r="BX87" s="44">
        <f t="shared" si="147"/>
        <v>580</v>
      </c>
      <c r="BY87" s="44">
        <f t="shared" si="210"/>
        <v>580</v>
      </c>
      <c r="BZ87" s="44">
        <f t="shared" si="148"/>
        <v>22910</v>
      </c>
      <c r="CA87" s="44">
        <f t="shared" si="211"/>
        <v>22910</v>
      </c>
      <c r="CB87" s="44">
        <f t="shared" si="149"/>
        <v>6090</v>
      </c>
      <c r="CC87" s="46">
        <f t="shared" si="150"/>
        <v>0</v>
      </c>
      <c r="CD87" s="47">
        <f t="shared" si="151"/>
        <v>0</v>
      </c>
      <c r="CE87" s="604">
        <f t="shared" si="212"/>
        <v>0</v>
      </c>
      <c r="CF87" s="44">
        <f t="shared" si="213"/>
        <v>0</v>
      </c>
      <c r="CG87" s="44">
        <f t="shared" si="214"/>
        <v>0</v>
      </c>
      <c r="CH87" s="44">
        <f t="shared" si="215"/>
        <v>0</v>
      </c>
      <c r="CI87" s="44">
        <f t="shared" si="216"/>
        <v>29000</v>
      </c>
      <c r="CJ87" s="44">
        <f t="shared" si="217"/>
        <v>29000</v>
      </c>
      <c r="CK87" s="44">
        <f t="shared" si="152"/>
        <v>580</v>
      </c>
      <c r="CL87" s="44">
        <f t="shared" si="218"/>
        <v>580</v>
      </c>
      <c r="CM87" s="44">
        <f t="shared" si="153"/>
        <v>22330</v>
      </c>
      <c r="CN87" s="44">
        <f t="shared" si="219"/>
        <v>22330</v>
      </c>
      <c r="CO87" s="44">
        <f t="shared" si="154"/>
        <v>6670</v>
      </c>
      <c r="CP87" s="46">
        <f t="shared" si="155"/>
        <v>0</v>
      </c>
      <c r="CQ87" s="47">
        <f t="shared" si="156"/>
        <v>0</v>
      </c>
      <c r="CR87" s="604">
        <f t="shared" si="220"/>
        <v>0</v>
      </c>
      <c r="CS87" s="44">
        <f t="shared" si="221"/>
        <v>0</v>
      </c>
      <c r="CT87" s="44">
        <f t="shared" si="222"/>
        <v>0</v>
      </c>
      <c r="CU87" s="44">
        <f t="shared" si="223"/>
        <v>0</v>
      </c>
      <c r="CV87" s="44">
        <f t="shared" si="224"/>
        <v>29000</v>
      </c>
      <c r="CW87" s="44">
        <f t="shared" si="225"/>
        <v>29000</v>
      </c>
      <c r="CX87" s="44">
        <f t="shared" si="157"/>
        <v>580</v>
      </c>
      <c r="CY87" s="44">
        <f t="shared" si="226"/>
        <v>580</v>
      </c>
      <c r="CZ87" s="44">
        <f t="shared" si="158"/>
        <v>21750</v>
      </c>
      <c r="DA87" s="44">
        <f t="shared" si="227"/>
        <v>21750</v>
      </c>
      <c r="DB87" s="44">
        <f t="shared" si="159"/>
        <v>7250</v>
      </c>
      <c r="DC87" s="46">
        <f t="shared" si="160"/>
        <v>0</v>
      </c>
      <c r="DD87" s="47">
        <f t="shared" si="161"/>
        <v>0</v>
      </c>
      <c r="DE87" s="604">
        <f t="shared" si="228"/>
        <v>0</v>
      </c>
      <c r="DF87" s="44">
        <f t="shared" si="229"/>
        <v>0</v>
      </c>
      <c r="DG87" s="44">
        <f t="shared" si="230"/>
        <v>0</v>
      </c>
      <c r="DH87" s="44">
        <f t="shared" si="231"/>
        <v>0</v>
      </c>
      <c r="DI87" s="44">
        <f t="shared" si="232"/>
        <v>29000</v>
      </c>
      <c r="DJ87" s="44">
        <f t="shared" si="233"/>
        <v>29000</v>
      </c>
      <c r="DK87" s="44">
        <f t="shared" si="162"/>
        <v>580</v>
      </c>
      <c r="DL87" s="44">
        <f t="shared" si="234"/>
        <v>580</v>
      </c>
      <c r="DM87" s="44">
        <f t="shared" si="163"/>
        <v>21170</v>
      </c>
      <c r="DN87" s="44">
        <f t="shared" si="235"/>
        <v>21170</v>
      </c>
      <c r="DO87" s="44">
        <f t="shared" si="164"/>
        <v>7830</v>
      </c>
      <c r="DP87" s="46">
        <f t="shared" si="165"/>
        <v>0</v>
      </c>
      <c r="DQ87" s="47">
        <f t="shared" si="166"/>
        <v>0</v>
      </c>
      <c r="DR87" s="604">
        <f t="shared" si="236"/>
        <v>0</v>
      </c>
      <c r="DS87" s="44">
        <f t="shared" si="237"/>
        <v>0</v>
      </c>
      <c r="DT87" s="44">
        <f t="shared" si="238"/>
        <v>0</v>
      </c>
      <c r="DU87" s="44">
        <f t="shared" si="239"/>
        <v>0</v>
      </c>
      <c r="DV87" s="44">
        <f t="shared" si="240"/>
        <v>29000</v>
      </c>
      <c r="DW87" s="44">
        <f t="shared" si="241"/>
        <v>29000</v>
      </c>
      <c r="DX87" s="44">
        <f t="shared" si="167"/>
        <v>580</v>
      </c>
      <c r="DY87" s="44">
        <f t="shared" si="242"/>
        <v>580</v>
      </c>
      <c r="DZ87" s="44">
        <f t="shared" si="168"/>
        <v>20590</v>
      </c>
      <c r="EA87" s="44">
        <f t="shared" si="243"/>
        <v>20590</v>
      </c>
      <c r="EB87" s="44">
        <f t="shared" si="169"/>
        <v>8410</v>
      </c>
      <c r="EC87" s="46">
        <f t="shared" si="170"/>
        <v>0</v>
      </c>
      <c r="ED87" s="47">
        <f t="shared" si="171"/>
        <v>0</v>
      </c>
    </row>
    <row r="88" spans="1:134" x14ac:dyDescent="0.35">
      <c r="A88" s="81">
        <v>1999</v>
      </c>
      <c r="B88" s="82" t="s">
        <v>258</v>
      </c>
      <c r="C88" s="82"/>
      <c r="D88" s="83" t="s">
        <v>29</v>
      </c>
      <c r="E88" s="87">
        <v>47000</v>
      </c>
      <c r="F88" s="85">
        <v>38899</v>
      </c>
      <c r="G88" s="86">
        <v>50</v>
      </c>
      <c r="H88" s="179"/>
      <c r="I88" s="180"/>
      <c r="J88" s="181"/>
      <c r="K88" s="42">
        <f t="shared" si="122"/>
        <v>0.02</v>
      </c>
      <c r="L88" s="43">
        <f t="shared" si="123"/>
        <v>940</v>
      </c>
      <c r="M88" s="44">
        <f t="shared" si="124"/>
        <v>41830</v>
      </c>
      <c r="N88" s="44"/>
      <c r="O88" s="44">
        <f t="shared" si="125"/>
        <v>5170</v>
      </c>
      <c r="P88" s="45"/>
      <c r="Q88" s="44">
        <f t="shared" si="126"/>
        <v>47000</v>
      </c>
      <c r="R88" s="604">
        <f t="shared" si="172"/>
        <v>0</v>
      </c>
      <c r="S88" s="44">
        <f t="shared" si="173"/>
        <v>0</v>
      </c>
      <c r="T88" s="44">
        <f t="shared" si="174"/>
        <v>0</v>
      </c>
      <c r="U88" s="44">
        <f t="shared" si="175"/>
        <v>0</v>
      </c>
      <c r="V88" s="44">
        <f t="shared" si="176"/>
        <v>47000</v>
      </c>
      <c r="W88" s="44">
        <f t="shared" si="177"/>
        <v>47000</v>
      </c>
      <c r="X88" s="44">
        <f t="shared" si="127"/>
        <v>940</v>
      </c>
      <c r="Y88" s="44">
        <f t="shared" si="178"/>
        <v>940</v>
      </c>
      <c r="Z88" s="44">
        <f t="shared" si="128"/>
        <v>40890</v>
      </c>
      <c r="AA88" s="44">
        <f t="shared" si="179"/>
        <v>40890</v>
      </c>
      <c r="AB88" s="44">
        <f t="shared" si="129"/>
        <v>6110</v>
      </c>
      <c r="AC88" s="46">
        <f t="shared" si="130"/>
        <v>0</v>
      </c>
      <c r="AD88" s="47">
        <f t="shared" si="131"/>
        <v>0</v>
      </c>
      <c r="AE88" s="604">
        <f t="shared" si="180"/>
        <v>0</v>
      </c>
      <c r="AF88" s="44">
        <f t="shared" si="181"/>
        <v>0</v>
      </c>
      <c r="AG88" s="44">
        <f t="shared" si="182"/>
        <v>0</v>
      </c>
      <c r="AH88" s="44">
        <f t="shared" si="183"/>
        <v>0</v>
      </c>
      <c r="AI88" s="44">
        <f t="shared" si="184"/>
        <v>47000</v>
      </c>
      <c r="AJ88" s="44">
        <f t="shared" si="185"/>
        <v>47000</v>
      </c>
      <c r="AK88" s="44">
        <f t="shared" si="132"/>
        <v>940</v>
      </c>
      <c r="AL88" s="44">
        <f t="shared" si="186"/>
        <v>940</v>
      </c>
      <c r="AM88" s="44">
        <f t="shared" si="133"/>
        <v>39950</v>
      </c>
      <c r="AN88" s="44">
        <f t="shared" si="187"/>
        <v>39950</v>
      </c>
      <c r="AO88" s="44">
        <f t="shared" si="134"/>
        <v>7050</v>
      </c>
      <c r="AP88" s="46">
        <f t="shared" si="135"/>
        <v>0</v>
      </c>
      <c r="AQ88" s="47">
        <f t="shared" si="136"/>
        <v>0</v>
      </c>
      <c r="AR88" s="604">
        <f t="shared" si="188"/>
        <v>0</v>
      </c>
      <c r="AS88" s="44">
        <f t="shared" si="189"/>
        <v>0</v>
      </c>
      <c r="AT88" s="44">
        <f t="shared" si="190"/>
        <v>0</v>
      </c>
      <c r="AU88" s="44">
        <f t="shared" si="191"/>
        <v>0</v>
      </c>
      <c r="AV88" s="44">
        <f t="shared" si="192"/>
        <v>47000</v>
      </c>
      <c r="AW88" s="44">
        <f t="shared" si="193"/>
        <v>47000</v>
      </c>
      <c r="AX88" s="44">
        <f t="shared" si="137"/>
        <v>940</v>
      </c>
      <c r="AY88" s="44">
        <f t="shared" si="194"/>
        <v>940</v>
      </c>
      <c r="AZ88" s="44">
        <f t="shared" si="138"/>
        <v>39010</v>
      </c>
      <c r="BA88" s="44">
        <f t="shared" si="195"/>
        <v>39010</v>
      </c>
      <c r="BB88" s="44">
        <f t="shared" si="139"/>
        <v>7990</v>
      </c>
      <c r="BC88" s="46">
        <f t="shared" si="140"/>
        <v>0</v>
      </c>
      <c r="BD88" s="47">
        <f t="shared" si="141"/>
        <v>0</v>
      </c>
      <c r="BE88" s="604">
        <f t="shared" si="196"/>
        <v>0</v>
      </c>
      <c r="BF88" s="44">
        <f t="shared" si="197"/>
        <v>0</v>
      </c>
      <c r="BG88" s="44">
        <f t="shared" si="198"/>
        <v>0</v>
      </c>
      <c r="BH88" s="44">
        <f t="shared" si="199"/>
        <v>0</v>
      </c>
      <c r="BI88" s="44">
        <f t="shared" si="200"/>
        <v>47000</v>
      </c>
      <c r="BJ88" s="44">
        <f t="shared" si="201"/>
        <v>47000</v>
      </c>
      <c r="BK88" s="44">
        <f t="shared" si="142"/>
        <v>940</v>
      </c>
      <c r="BL88" s="44">
        <f t="shared" si="202"/>
        <v>940</v>
      </c>
      <c r="BM88" s="44">
        <f t="shared" si="143"/>
        <v>38070</v>
      </c>
      <c r="BN88" s="44">
        <f t="shared" si="203"/>
        <v>38070</v>
      </c>
      <c r="BO88" s="44">
        <f t="shared" si="144"/>
        <v>8930</v>
      </c>
      <c r="BP88" s="46">
        <f t="shared" si="145"/>
        <v>0</v>
      </c>
      <c r="BQ88" s="47">
        <f t="shared" si="146"/>
        <v>0</v>
      </c>
      <c r="BR88" s="604">
        <f t="shared" si="204"/>
        <v>0</v>
      </c>
      <c r="BS88" s="44">
        <f t="shared" si="205"/>
        <v>0</v>
      </c>
      <c r="BT88" s="44">
        <f t="shared" si="206"/>
        <v>0</v>
      </c>
      <c r="BU88" s="44">
        <f t="shared" si="207"/>
        <v>0</v>
      </c>
      <c r="BV88" s="44">
        <f t="shared" si="208"/>
        <v>47000</v>
      </c>
      <c r="BW88" s="44">
        <f t="shared" si="209"/>
        <v>47000</v>
      </c>
      <c r="BX88" s="44">
        <f t="shared" si="147"/>
        <v>940</v>
      </c>
      <c r="BY88" s="44">
        <f t="shared" si="210"/>
        <v>940</v>
      </c>
      <c r="BZ88" s="44">
        <f t="shared" si="148"/>
        <v>37130</v>
      </c>
      <c r="CA88" s="44">
        <f t="shared" si="211"/>
        <v>37130</v>
      </c>
      <c r="CB88" s="44">
        <f t="shared" si="149"/>
        <v>9870</v>
      </c>
      <c r="CC88" s="46">
        <f t="shared" si="150"/>
        <v>0</v>
      </c>
      <c r="CD88" s="47">
        <f t="shared" si="151"/>
        <v>0</v>
      </c>
      <c r="CE88" s="604">
        <f t="shared" si="212"/>
        <v>0</v>
      </c>
      <c r="CF88" s="44">
        <f t="shared" si="213"/>
        <v>0</v>
      </c>
      <c r="CG88" s="44">
        <f t="shared" si="214"/>
        <v>0</v>
      </c>
      <c r="CH88" s="44">
        <f t="shared" si="215"/>
        <v>0</v>
      </c>
      <c r="CI88" s="44">
        <f t="shared" si="216"/>
        <v>47000</v>
      </c>
      <c r="CJ88" s="44">
        <f t="shared" si="217"/>
        <v>47000</v>
      </c>
      <c r="CK88" s="44">
        <f t="shared" si="152"/>
        <v>940</v>
      </c>
      <c r="CL88" s="44">
        <f t="shared" si="218"/>
        <v>940</v>
      </c>
      <c r="CM88" s="44">
        <f t="shared" si="153"/>
        <v>36190</v>
      </c>
      <c r="CN88" s="44">
        <f t="shared" si="219"/>
        <v>36190</v>
      </c>
      <c r="CO88" s="44">
        <f t="shared" si="154"/>
        <v>10810</v>
      </c>
      <c r="CP88" s="46">
        <f t="shared" si="155"/>
        <v>0</v>
      </c>
      <c r="CQ88" s="47">
        <f t="shared" si="156"/>
        <v>0</v>
      </c>
      <c r="CR88" s="604">
        <f t="shared" si="220"/>
        <v>0</v>
      </c>
      <c r="CS88" s="44">
        <f t="shared" si="221"/>
        <v>0</v>
      </c>
      <c r="CT88" s="44">
        <f t="shared" si="222"/>
        <v>0</v>
      </c>
      <c r="CU88" s="44">
        <f t="shared" si="223"/>
        <v>0</v>
      </c>
      <c r="CV88" s="44">
        <f t="shared" si="224"/>
        <v>47000</v>
      </c>
      <c r="CW88" s="44">
        <f t="shared" si="225"/>
        <v>47000</v>
      </c>
      <c r="CX88" s="44">
        <f t="shared" si="157"/>
        <v>940</v>
      </c>
      <c r="CY88" s="44">
        <f t="shared" si="226"/>
        <v>940</v>
      </c>
      <c r="CZ88" s="44">
        <f t="shared" si="158"/>
        <v>35250</v>
      </c>
      <c r="DA88" s="44">
        <f t="shared" si="227"/>
        <v>35250</v>
      </c>
      <c r="DB88" s="44">
        <f t="shared" si="159"/>
        <v>11750</v>
      </c>
      <c r="DC88" s="46">
        <f t="shared" si="160"/>
        <v>0</v>
      </c>
      <c r="DD88" s="47">
        <f t="shared" si="161"/>
        <v>0</v>
      </c>
      <c r="DE88" s="604">
        <f t="shared" si="228"/>
        <v>0</v>
      </c>
      <c r="DF88" s="44">
        <f t="shared" si="229"/>
        <v>0</v>
      </c>
      <c r="DG88" s="44">
        <f t="shared" si="230"/>
        <v>0</v>
      </c>
      <c r="DH88" s="44">
        <f t="shared" si="231"/>
        <v>0</v>
      </c>
      <c r="DI88" s="44">
        <f t="shared" si="232"/>
        <v>47000</v>
      </c>
      <c r="DJ88" s="44">
        <f t="shared" si="233"/>
        <v>47000</v>
      </c>
      <c r="DK88" s="44">
        <f t="shared" si="162"/>
        <v>940</v>
      </c>
      <c r="DL88" s="44">
        <f t="shared" si="234"/>
        <v>940</v>
      </c>
      <c r="DM88" s="44">
        <f t="shared" si="163"/>
        <v>34310</v>
      </c>
      <c r="DN88" s="44">
        <f t="shared" si="235"/>
        <v>34310</v>
      </c>
      <c r="DO88" s="44">
        <f t="shared" si="164"/>
        <v>12690</v>
      </c>
      <c r="DP88" s="46">
        <f t="shared" si="165"/>
        <v>0</v>
      </c>
      <c r="DQ88" s="47">
        <f t="shared" si="166"/>
        <v>0</v>
      </c>
      <c r="DR88" s="604">
        <f t="shared" si="236"/>
        <v>0</v>
      </c>
      <c r="DS88" s="44">
        <f t="shared" si="237"/>
        <v>0</v>
      </c>
      <c r="DT88" s="44">
        <f t="shared" si="238"/>
        <v>0</v>
      </c>
      <c r="DU88" s="44">
        <f t="shared" si="239"/>
        <v>0</v>
      </c>
      <c r="DV88" s="44">
        <f t="shared" si="240"/>
        <v>47000</v>
      </c>
      <c r="DW88" s="44">
        <f t="shared" si="241"/>
        <v>47000</v>
      </c>
      <c r="DX88" s="44">
        <f t="shared" si="167"/>
        <v>940</v>
      </c>
      <c r="DY88" s="44">
        <f t="shared" si="242"/>
        <v>940</v>
      </c>
      <c r="DZ88" s="44">
        <f t="shared" si="168"/>
        <v>33370</v>
      </c>
      <c r="EA88" s="44">
        <f t="shared" si="243"/>
        <v>33370</v>
      </c>
      <c r="EB88" s="44">
        <f t="shared" si="169"/>
        <v>13630</v>
      </c>
      <c r="EC88" s="46">
        <f t="shared" si="170"/>
        <v>0</v>
      </c>
      <c r="ED88" s="47">
        <f t="shared" si="171"/>
        <v>0</v>
      </c>
    </row>
    <row r="89" spans="1:134" x14ac:dyDescent="0.35">
      <c r="A89" s="81">
        <v>1999</v>
      </c>
      <c r="B89" s="82" t="s">
        <v>259</v>
      </c>
      <c r="C89" s="82"/>
      <c r="D89" s="83" t="s">
        <v>29</v>
      </c>
      <c r="E89" s="87">
        <v>48000</v>
      </c>
      <c r="F89" s="85">
        <v>38899</v>
      </c>
      <c r="G89" s="86">
        <v>50</v>
      </c>
      <c r="H89" s="179"/>
      <c r="I89" s="180"/>
      <c r="J89" s="181"/>
      <c r="K89" s="42">
        <f t="shared" si="122"/>
        <v>0.02</v>
      </c>
      <c r="L89" s="43">
        <f t="shared" si="123"/>
        <v>960</v>
      </c>
      <c r="M89" s="44">
        <f t="shared" si="124"/>
        <v>42720</v>
      </c>
      <c r="N89" s="44"/>
      <c r="O89" s="44">
        <f t="shared" si="125"/>
        <v>5280</v>
      </c>
      <c r="P89" s="45"/>
      <c r="Q89" s="44">
        <f t="shared" si="126"/>
        <v>48000</v>
      </c>
      <c r="R89" s="604">
        <f t="shared" si="172"/>
        <v>0</v>
      </c>
      <c r="S89" s="44">
        <f t="shared" si="173"/>
        <v>0</v>
      </c>
      <c r="T89" s="44">
        <f t="shared" si="174"/>
        <v>0</v>
      </c>
      <c r="U89" s="44">
        <f t="shared" si="175"/>
        <v>0</v>
      </c>
      <c r="V89" s="44">
        <f t="shared" si="176"/>
        <v>48000</v>
      </c>
      <c r="W89" s="44">
        <f t="shared" si="177"/>
        <v>48000</v>
      </c>
      <c r="X89" s="44">
        <f t="shared" si="127"/>
        <v>960</v>
      </c>
      <c r="Y89" s="44">
        <f t="shared" si="178"/>
        <v>960</v>
      </c>
      <c r="Z89" s="44">
        <f t="shared" si="128"/>
        <v>41760</v>
      </c>
      <c r="AA89" s="44">
        <f t="shared" si="179"/>
        <v>41760</v>
      </c>
      <c r="AB89" s="44">
        <f t="shared" si="129"/>
        <v>6240</v>
      </c>
      <c r="AC89" s="46">
        <f t="shared" si="130"/>
        <v>0</v>
      </c>
      <c r="AD89" s="47">
        <f t="shared" si="131"/>
        <v>0</v>
      </c>
      <c r="AE89" s="604">
        <f t="shared" si="180"/>
        <v>0</v>
      </c>
      <c r="AF89" s="44">
        <f t="shared" si="181"/>
        <v>0</v>
      </c>
      <c r="AG89" s="44">
        <f t="shared" si="182"/>
        <v>0</v>
      </c>
      <c r="AH89" s="44">
        <f t="shared" si="183"/>
        <v>0</v>
      </c>
      <c r="AI89" s="44">
        <f t="shared" si="184"/>
        <v>48000</v>
      </c>
      <c r="AJ89" s="44">
        <f t="shared" si="185"/>
        <v>48000</v>
      </c>
      <c r="AK89" s="44">
        <f t="shared" si="132"/>
        <v>960</v>
      </c>
      <c r="AL89" s="44">
        <f t="shared" si="186"/>
        <v>960</v>
      </c>
      <c r="AM89" s="44">
        <f t="shared" si="133"/>
        <v>40800</v>
      </c>
      <c r="AN89" s="44">
        <f t="shared" si="187"/>
        <v>40800</v>
      </c>
      <c r="AO89" s="44">
        <f t="shared" si="134"/>
        <v>7200</v>
      </c>
      <c r="AP89" s="46">
        <f t="shared" si="135"/>
        <v>0</v>
      </c>
      <c r="AQ89" s="47">
        <f t="shared" si="136"/>
        <v>0</v>
      </c>
      <c r="AR89" s="604">
        <f t="shared" si="188"/>
        <v>0</v>
      </c>
      <c r="AS89" s="44">
        <f t="shared" si="189"/>
        <v>0</v>
      </c>
      <c r="AT89" s="44">
        <f t="shared" si="190"/>
        <v>0</v>
      </c>
      <c r="AU89" s="44">
        <f t="shared" si="191"/>
        <v>0</v>
      </c>
      <c r="AV89" s="44">
        <f t="shared" si="192"/>
        <v>48000</v>
      </c>
      <c r="AW89" s="44">
        <f t="shared" si="193"/>
        <v>48000</v>
      </c>
      <c r="AX89" s="44">
        <f t="shared" si="137"/>
        <v>960</v>
      </c>
      <c r="AY89" s="44">
        <f t="shared" si="194"/>
        <v>960</v>
      </c>
      <c r="AZ89" s="44">
        <f t="shared" si="138"/>
        <v>39840</v>
      </c>
      <c r="BA89" s="44">
        <f t="shared" si="195"/>
        <v>39840</v>
      </c>
      <c r="BB89" s="44">
        <f t="shared" si="139"/>
        <v>8160</v>
      </c>
      <c r="BC89" s="46">
        <f t="shared" si="140"/>
        <v>0</v>
      </c>
      <c r="BD89" s="47">
        <f t="shared" si="141"/>
        <v>0</v>
      </c>
      <c r="BE89" s="604">
        <f t="shared" si="196"/>
        <v>0</v>
      </c>
      <c r="BF89" s="44">
        <f t="shared" si="197"/>
        <v>0</v>
      </c>
      <c r="BG89" s="44">
        <f t="shared" si="198"/>
        <v>0</v>
      </c>
      <c r="BH89" s="44">
        <f t="shared" si="199"/>
        <v>0</v>
      </c>
      <c r="BI89" s="44">
        <f t="shared" si="200"/>
        <v>48000</v>
      </c>
      <c r="BJ89" s="44">
        <f t="shared" si="201"/>
        <v>48000</v>
      </c>
      <c r="BK89" s="44">
        <f t="shared" si="142"/>
        <v>960</v>
      </c>
      <c r="BL89" s="44">
        <f t="shared" si="202"/>
        <v>960</v>
      </c>
      <c r="BM89" s="44">
        <f t="shared" si="143"/>
        <v>38880</v>
      </c>
      <c r="BN89" s="44">
        <f t="shared" si="203"/>
        <v>38880</v>
      </c>
      <c r="BO89" s="44">
        <f t="shared" si="144"/>
        <v>9120</v>
      </c>
      <c r="BP89" s="46">
        <f t="shared" si="145"/>
        <v>0</v>
      </c>
      <c r="BQ89" s="47">
        <f t="shared" si="146"/>
        <v>0</v>
      </c>
      <c r="BR89" s="604">
        <f t="shared" si="204"/>
        <v>0</v>
      </c>
      <c r="BS89" s="44">
        <f t="shared" si="205"/>
        <v>0</v>
      </c>
      <c r="BT89" s="44">
        <f t="shared" si="206"/>
        <v>0</v>
      </c>
      <c r="BU89" s="44">
        <f t="shared" si="207"/>
        <v>0</v>
      </c>
      <c r="BV89" s="44">
        <f t="shared" si="208"/>
        <v>48000</v>
      </c>
      <c r="BW89" s="44">
        <f t="shared" si="209"/>
        <v>48000</v>
      </c>
      <c r="BX89" s="44">
        <f t="shared" si="147"/>
        <v>960</v>
      </c>
      <c r="BY89" s="44">
        <f t="shared" si="210"/>
        <v>960</v>
      </c>
      <c r="BZ89" s="44">
        <f t="shared" si="148"/>
        <v>37920</v>
      </c>
      <c r="CA89" s="44">
        <f t="shared" si="211"/>
        <v>37920</v>
      </c>
      <c r="CB89" s="44">
        <f t="shared" si="149"/>
        <v>10080</v>
      </c>
      <c r="CC89" s="46">
        <f t="shared" si="150"/>
        <v>0</v>
      </c>
      <c r="CD89" s="47">
        <f t="shared" si="151"/>
        <v>0</v>
      </c>
      <c r="CE89" s="604">
        <f t="shared" si="212"/>
        <v>0</v>
      </c>
      <c r="CF89" s="44">
        <f t="shared" si="213"/>
        <v>0</v>
      </c>
      <c r="CG89" s="44">
        <f t="shared" si="214"/>
        <v>0</v>
      </c>
      <c r="CH89" s="44">
        <f t="shared" si="215"/>
        <v>0</v>
      </c>
      <c r="CI89" s="44">
        <f t="shared" si="216"/>
        <v>48000</v>
      </c>
      <c r="CJ89" s="44">
        <f t="shared" si="217"/>
        <v>48000</v>
      </c>
      <c r="CK89" s="44">
        <f t="shared" si="152"/>
        <v>960</v>
      </c>
      <c r="CL89" s="44">
        <f t="shared" si="218"/>
        <v>960</v>
      </c>
      <c r="CM89" s="44">
        <f t="shared" si="153"/>
        <v>36960</v>
      </c>
      <c r="CN89" s="44">
        <f t="shared" si="219"/>
        <v>36960</v>
      </c>
      <c r="CO89" s="44">
        <f t="shared" si="154"/>
        <v>11040</v>
      </c>
      <c r="CP89" s="46">
        <f t="shared" si="155"/>
        <v>0</v>
      </c>
      <c r="CQ89" s="47">
        <f t="shared" si="156"/>
        <v>0</v>
      </c>
      <c r="CR89" s="604">
        <f t="shared" si="220"/>
        <v>0</v>
      </c>
      <c r="CS89" s="44">
        <f t="shared" si="221"/>
        <v>0</v>
      </c>
      <c r="CT89" s="44">
        <f t="shared" si="222"/>
        <v>0</v>
      </c>
      <c r="CU89" s="44">
        <f t="shared" si="223"/>
        <v>0</v>
      </c>
      <c r="CV89" s="44">
        <f t="shared" si="224"/>
        <v>48000</v>
      </c>
      <c r="CW89" s="44">
        <f t="shared" si="225"/>
        <v>48000</v>
      </c>
      <c r="CX89" s="44">
        <f t="shared" si="157"/>
        <v>960</v>
      </c>
      <c r="CY89" s="44">
        <f t="shared" si="226"/>
        <v>960</v>
      </c>
      <c r="CZ89" s="44">
        <f t="shared" si="158"/>
        <v>36000</v>
      </c>
      <c r="DA89" s="44">
        <f t="shared" si="227"/>
        <v>36000</v>
      </c>
      <c r="DB89" s="44">
        <f t="shared" si="159"/>
        <v>12000</v>
      </c>
      <c r="DC89" s="46">
        <f t="shared" si="160"/>
        <v>0</v>
      </c>
      <c r="DD89" s="47">
        <f t="shared" si="161"/>
        <v>0</v>
      </c>
      <c r="DE89" s="604">
        <f t="shared" si="228"/>
        <v>0</v>
      </c>
      <c r="DF89" s="44">
        <f t="shared" si="229"/>
        <v>0</v>
      </c>
      <c r="DG89" s="44">
        <f t="shared" si="230"/>
        <v>0</v>
      </c>
      <c r="DH89" s="44">
        <f t="shared" si="231"/>
        <v>0</v>
      </c>
      <c r="DI89" s="44">
        <f t="shared" si="232"/>
        <v>48000</v>
      </c>
      <c r="DJ89" s="44">
        <f t="shared" si="233"/>
        <v>48000</v>
      </c>
      <c r="DK89" s="44">
        <f t="shared" si="162"/>
        <v>960</v>
      </c>
      <c r="DL89" s="44">
        <f t="shared" si="234"/>
        <v>960</v>
      </c>
      <c r="DM89" s="44">
        <f t="shared" si="163"/>
        <v>35040</v>
      </c>
      <c r="DN89" s="44">
        <f t="shared" si="235"/>
        <v>35040</v>
      </c>
      <c r="DO89" s="44">
        <f t="shared" si="164"/>
        <v>12960</v>
      </c>
      <c r="DP89" s="46">
        <f t="shared" si="165"/>
        <v>0</v>
      </c>
      <c r="DQ89" s="47">
        <f t="shared" si="166"/>
        <v>0</v>
      </c>
      <c r="DR89" s="604">
        <f t="shared" si="236"/>
        <v>0</v>
      </c>
      <c r="DS89" s="44">
        <f t="shared" si="237"/>
        <v>0</v>
      </c>
      <c r="DT89" s="44">
        <f t="shared" si="238"/>
        <v>0</v>
      </c>
      <c r="DU89" s="44">
        <f t="shared" si="239"/>
        <v>0</v>
      </c>
      <c r="DV89" s="44">
        <f t="shared" si="240"/>
        <v>48000</v>
      </c>
      <c r="DW89" s="44">
        <f t="shared" si="241"/>
        <v>48000</v>
      </c>
      <c r="DX89" s="44">
        <f t="shared" si="167"/>
        <v>960</v>
      </c>
      <c r="DY89" s="44">
        <f t="shared" si="242"/>
        <v>960</v>
      </c>
      <c r="DZ89" s="44">
        <f t="shared" si="168"/>
        <v>34080</v>
      </c>
      <c r="EA89" s="44">
        <f t="shared" si="243"/>
        <v>34080</v>
      </c>
      <c r="EB89" s="44">
        <f t="shared" si="169"/>
        <v>13920</v>
      </c>
      <c r="EC89" s="46">
        <f t="shared" si="170"/>
        <v>0</v>
      </c>
      <c r="ED89" s="47">
        <f t="shared" si="171"/>
        <v>0</v>
      </c>
    </row>
    <row r="90" spans="1:134" x14ac:dyDescent="0.35">
      <c r="A90" s="81">
        <v>1999</v>
      </c>
      <c r="B90" s="82" t="s">
        <v>260</v>
      </c>
      <c r="C90" s="82"/>
      <c r="D90" s="83" t="s">
        <v>29</v>
      </c>
      <c r="E90" s="87">
        <v>1555000</v>
      </c>
      <c r="F90" s="85">
        <v>38899</v>
      </c>
      <c r="G90" s="86">
        <v>50</v>
      </c>
      <c r="H90" s="179"/>
      <c r="I90" s="180"/>
      <c r="J90" s="181"/>
      <c r="K90" s="42">
        <f t="shared" si="122"/>
        <v>0.02</v>
      </c>
      <c r="L90" s="43">
        <f t="shared" si="123"/>
        <v>31100</v>
      </c>
      <c r="M90" s="44">
        <f t="shared" si="124"/>
        <v>1383950</v>
      </c>
      <c r="N90" s="44"/>
      <c r="O90" s="44">
        <f t="shared" si="125"/>
        <v>171050</v>
      </c>
      <c r="P90" s="45"/>
      <c r="Q90" s="44">
        <f t="shared" si="126"/>
        <v>1555000</v>
      </c>
      <c r="R90" s="604">
        <f t="shared" si="172"/>
        <v>0</v>
      </c>
      <c r="S90" s="44">
        <f t="shared" si="173"/>
        <v>0</v>
      </c>
      <c r="T90" s="44">
        <f t="shared" si="174"/>
        <v>0</v>
      </c>
      <c r="U90" s="44">
        <f t="shared" si="175"/>
        <v>0</v>
      </c>
      <c r="V90" s="44">
        <f t="shared" si="176"/>
        <v>1555000</v>
      </c>
      <c r="W90" s="44">
        <f t="shared" si="177"/>
        <v>1555000</v>
      </c>
      <c r="X90" s="44">
        <f t="shared" si="127"/>
        <v>31100</v>
      </c>
      <c r="Y90" s="44">
        <f t="shared" si="178"/>
        <v>31100</v>
      </c>
      <c r="Z90" s="44">
        <f t="shared" si="128"/>
        <v>1352850</v>
      </c>
      <c r="AA90" s="44">
        <f t="shared" si="179"/>
        <v>1352850</v>
      </c>
      <c r="AB90" s="44">
        <f t="shared" si="129"/>
        <v>202150</v>
      </c>
      <c r="AC90" s="46">
        <f t="shared" si="130"/>
        <v>0</v>
      </c>
      <c r="AD90" s="47">
        <f t="shared" si="131"/>
        <v>0</v>
      </c>
      <c r="AE90" s="604">
        <f t="shared" si="180"/>
        <v>0</v>
      </c>
      <c r="AF90" s="44">
        <f t="shared" si="181"/>
        <v>0</v>
      </c>
      <c r="AG90" s="44">
        <f t="shared" si="182"/>
        <v>0</v>
      </c>
      <c r="AH90" s="44">
        <f t="shared" si="183"/>
        <v>0</v>
      </c>
      <c r="AI90" s="44">
        <f t="shared" si="184"/>
        <v>1555000</v>
      </c>
      <c r="AJ90" s="44">
        <f t="shared" si="185"/>
        <v>1555000</v>
      </c>
      <c r="AK90" s="44">
        <f t="shared" si="132"/>
        <v>31100</v>
      </c>
      <c r="AL90" s="44">
        <f t="shared" si="186"/>
        <v>31100</v>
      </c>
      <c r="AM90" s="44">
        <f t="shared" si="133"/>
        <v>1321750</v>
      </c>
      <c r="AN90" s="44">
        <f t="shared" si="187"/>
        <v>1321750</v>
      </c>
      <c r="AO90" s="44">
        <f t="shared" si="134"/>
        <v>233250</v>
      </c>
      <c r="AP90" s="46">
        <f t="shared" si="135"/>
        <v>0</v>
      </c>
      <c r="AQ90" s="47">
        <f t="shared" si="136"/>
        <v>0</v>
      </c>
      <c r="AR90" s="604">
        <f t="shared" si="188"/>
        <v>0</v>
      </c>
      <c r="AS90" s="44">
        <f t="shared" si="189"/>
        <v>0</v>
      </c>
      <c r="AT90" s="44">
        <f t="shared" si="190"/>
        <v>0</v>
      </c>
      <c r="AU90" s="44">
        <f t="shared" si="191"/>
        <v>0</v>
      </c>
      <c r="AV90" s="44">
        <f t="shared" si="192"/>
        <v>1555000</v>
      </c>
      <c r="AW90" s="44">
        <f t="shared" si="193"/>
        <v>1555000</v>
      </c>
      <c r="AX90" s="44">
        <f t="shared" si="137"/>
        <v>31100</v>
      </c>
      <c r="AY90" s="44">
        <f t="shared" si="194"/>
        <v>31100</v>
      </c>
      <c r="AZ90" s="44">
        <f t="shared" si="138"/>
        <v>1290650</v>
      </c>
      <c r="BA90" s="44">
        <f t="shared" si="195"/>
        <v>1290650</v>
      </c>
      <c r="BB90" s="44">
        <f t="shared" si="139"/>
        <v>264350</v>
      </c>
      <c r="BC90" s="46">
        <f t="shared" si="140"/>
        <v>0</v>
      </c>
      <c r="BD90" s="47">
        <f t="shared" si="141"/>
        <v>0</v>
      </c>
      <c r="BE90" s="604">
        <f t="shared" si="196"/>
        <v>0</v>
      </c>
      <c r="BF90" s="44">
        <f t="shared" si="197"/>
        <v>0</v>
      </c>
      <c r="BG90" s="44">
        <f t="shared" si="198"/>
        <v>0</v>
      </c>
      <c r="BH90" s="44">
        <f t="shared" si="199"/>
        <v>0</v>
      </c>
      <c r="BI90" s="44">
        <f t="shared" si="200"/>
        <v>1555000</v>
      </c>
      <c r="BJ90" s="44">
        <f t="shared" si="201"/>
        <v>1555000</v>
      </c>
      <c r="BK90" s="44">
        <f t="shared" si="142"/>
        <v>31100</v>
      </c>
      <c r="BL90" s="44">
        <f t="shared" si="202"/>
        <v>31100</v>
      </c>
      <c r="BM90" s="44">
        <f t="shared" si="143"/>
        <v>1259550</v>
      </c>
      <c r="BN90" s="44">
        <f t="shared" si="203"/>
        <v>1259550</v>
      </c>
      <c r="BO90" s="44">
        <f t="shared" si="144"/>
        <v>295450</v>
      </c>
      <c r="BP90" s="46">
        <f t="shared" si="145"/>
        <v>0</v>
      </c>
      <c r="BQ90" s="47">
        <f t="shared" si="146"/>
        <v>0</v>
      </c>
      <c r="BR90" s="604">
        <f t="shared" si="204"/>
        <v>0</v>
      </c>
      <c r="BS90" s="44">
        <f t="shared" si="205"/>
        <v>0</v>
      </c>
      <c r="BT90" s="44">
        <f t="shared" si="206"/>
        <v>0</v>
      </c>
      <c r="BU90" s="44">
        <f t="shared" si="207"/>
        <v>0</v>
      </c>
      <c r="BV90" s="44">
        <f t="shared" si="208"/>
        <v>1555000</v>
      </c>
      <c r="BW90" s="44">
        <f t="shared" si="209"/>
        <v>1555000</v>
      </c>
      <c r="BX90" s="44">
        <f t="shared" si="147"/>
        <v>31100</v>
      </c>
      <c r="BY90" s="44">
        <f t="shared" si="210"/>
        <v>31100</v>
      </c>
      <c r="BZ90" s="44">
        <f t="shared" si="148"/>
        <v>1228450</v>
      </c>
      <c r="CA90" s="44">
        <f t="shared" si="211"/>
        <v>1228450</v>
      </c>
      <c r="CB90" s="44">
        <f t="shared" si="149"/>
        <v>326550</v>
      </c>
      <c r="CC90" s="46">
        <f t="shared" si="150"/>
        <v>0</v>
      </c>
      <c r="CD90" s="47">
        <f t="shared" si="151"/>
        <v>0</v>
      </c>
      <c r="CE90" s="604">
        <f t="shared" si="212"/>
        <v>0</v>
      </c>
      <c r="CF90" s="44">
        <f t="shared" si="213"/>
        <v>0</v>
      </c>
      <c r="CG90" s="44">
        <f t="shared" si="214"/>
        <v>0</v>
      </c>
      <c r="CH90" s="44">
        <f t="shared" si="215"/>
        <v>0</v>
      </c>
      <c r="CI90" s="44">
        <f t="shared" si="216"/>
        <v>1555000</v>
      </c>
      <c r="CJ90" s="44">
        <f t="shared" si="217"/>
        <v>1555000</v>
      </c>
      <c r="CK90" s="44">
        <f t="shared" si="152"/>
        <v>31100</v>
      </c>
      <c r="CL90" s="44">
        <f t="shared" si="218"/>
        <v>31100</v>
      </c>
      <c r="CM90" s="44">
        <f t="shared" si="153"/>
        <v>1197350</v>
      </c>
      <c r="CN90" s="44">
        <f t="shared" si="219"/>
        <v>1197350</v>
      </c>
      <c r="CO90" s="44">
        <f t="shared" si="154"/>
        <v>357650</v>
      </c>
      <c r="CP90" s="46">
        <f t="shared" si="155"/>
        <v>0</v>
      </c>
      <c r="CQ90" s="47">
        <f t="shared" si="156"/>
        <v>0</v>
      </c>
      <c r="CR90" s="604">
        <f t="shared" si="220"/>
        <v>0</v>
      </c>
      <c r="CS90" s="44">
        <f t="shared" si="221"/>
        <v>0</v>
      </c>
      <c r="CT90" s="44">
        <f t="shared" si="222"/>
        <v>0</v>
      </c>
      <c r="CU90" s="44">
        <f t="shared" si="223"/>
        <v>0</v>
      </c>
      <c r="CV90" s="44">
        <f t="shared" si="224"/>
        <v>1555000</v>
      </c>
      <c r="CW90" s="44">
        <f t="shared" si="225"/>
        <v>1555000</v>
      </c>
      <c r="CX90" s="44">
        <f t="shared" si="157"/>
        <v>31100</v>
      </c>
      <c r="CY90" s="44">
        <f t="shared" si="226"/>
        <v>31100</v>
      </c>
      <c r="CZ90" s="44">
        <f t="shared" si="158"/>
        <v>1166250</v>
      </c>
      <c r="DA90" s="44">
        <f t="shared" si="227"/>
        <v>1166250</v>
      </c>
      <c r="DB90" s="44">
        <f t="shared" si="159"/>
        <v>388750</v>
      </c>
      <c r="DC90" s="46">
        <f t="shared" si="160"/>
        <v>0</v>
      </c>
      <c r="DD90" s="47">
        <f t="shared" si="161"/>
        <v>0</v>
      </c>
      <c r="DE90" s="604">
        <f t="shared" si="228"/>
        <v>0</v>
      </c>
      <c r="DF90" s="44">
        <f t="shared" si="229"/>
        <v>0</v>
      </c>
      <c r="DG90" s="44">
        <f t="shared" si="230"/>
        <v>0</v>
      </c>
      <c r="DH90" s="44">
        <f t="shared" si="231"/>
        <v>0</v>
      </c>
      <c r="DI90" s="44">
        <f t="shared" si="232"/>
        <v>1555000</v>
      </c>
      <c r="DJ90" s="44">
        <f t="shared" si="233"/>
        <v>1555000</v>
      </c>
      <c r="DK90" s="44">
        <f t="shared" si="162"/>
        <v>31100</v>
      </c>
      <c r="DL90" s="44">
        <f t="shared" si="234"/>
        <v>31100</v>
      </c>
      <c r="DM90" s="44">
        <f t="shared" si="163"/>
        <v>1135150</v>
      </c>
      <c r="DN90" s="44">
        <f t="shared" si="235"/>
        <v>1135150</v>
      </c>
      <c r="DO90" s="44">
        <f t="shared" si="164"/>
        <v>419850</v>
      </c>
      <c r="DP90" s="46">
        <f t="shared" si="165"/>
        <v>0</v>
      </c>
      <c r="DQ90" s="47">
        <f t="shared" si="166"/>
        <v>0</v>
      </c>
      <c r="DR90" s="604">
        <f t="shared" si="236"/>
        <v>0</v>
      </c>
      <c r="DS90" s="44">
        <f t="shared" si="237"/>
        <v>0</v>
      </c>
      <c r="DT90" s="44">
        <f t="shared" si="238"/>
        <v>0</v>
      </c>
      <c r="DU90" s="44">
        <f t="shared" si="239"/>
        <v>0</v>
      </c>
      <c r="DV90" s="44">
        <f t="shared" si="240"/>
        <v>1555000</v>
      </c>
      <c r="DW90" s="44">
        <f t="shared" si="241"/>
        <v>1555000</v>
      </c>
      <c r="DX90" s="44">
        <f t="shared" si="167"/>
        <v>31100</v>
      </c>
      <c r="DY90" s="44">
        <f t="shared" si="242"/>
        <v>31100</v>
      </c>
      <c r="DZ90" s="44">
        <f t="shared" si="168"/>
        <v>1104050</v>
      </c>
      <c r="EA90" s="44">
        <f t="shared" si="243"/>
        <v>1104050</v>
      </c>
      <c r="EB90" s="44">
        <f t="shared" si="169"/>
        <v>450950</v>
      </c>
      <c r="EC90" s="46">
        <f t="shared" si="170"/>
        <v>0</v>
      </c>
      <c r="ED90" s="47">
        <f t="shared" si="171"/>
        <v>0</v>
      </c>
    </row>
    <row r="91" spans="1:134" x14ac:dyDescent="0.35">
      <c r="A91" s="81">
        <v>1999</v>
      </c>
      <c r="B91" s="82" t="s">
        <v>261</v>
      </c>
      <c r="C91" s="82"/>
      <c r="D91" s="83" t="s">
        <v>29</v>
      </c>
      <c r="E91" s="87">
        <v>40000</v>
      </c>
      <c r="F91" s="85">
        <v>38899</v>
      </c>
      <c r="G91" s="86">
        <v>50</v>
      </c>
      <c r="H91" s="179"/>
      <c r="I91" s="180"/>
      <c r="J91" s="181"/>
      <c r="K91" s="42">
        <f t="shared" si="122"/>
        <v>0.02</v>
      </c>
      <c r="L91" s="43">
        <f t="shared" si="123"/>
        <v>800</v>
      </c>
      <c r="M91" s="44">
        <f t="shared" si="124"/>
        <v>35600</v>
      </c>
      <c r="N91" s="44"/>
      <c r="O91" s="44">
        <f t="shared" si="125"/>
        <v>4400</v>
      </c>
      <c r="P91" s="45"/>
      <c r="Q91" s="44">
        <f t="shared" si="126"/>
        <v>40000</v>
      </c>
      <c r="R91" s="604">
        <f t="shared" si="172"/>
        <v>0</v>
      </c>
      <c r="S91" s="44">
        <f t="shared" si="173"/>
        <v>0</v>
      </c>
      <c r="T91" s="44">
        <f t="shared" si="174"/>
        <v>0</v>
      </c>
      <c r="U91" s="44">
        <f t="shared" si="175"/>
        <v>0</v>
      </c>
      <c r="V91" s="44">
        <f t="shared" si="176"/>
        <v>40000</v>
      </c>
      <c r="W91" s="44">
        <f t="shared" si="177"/>
        <v>40000</v>
      </c>
      <c r="X91" s="44">
        <f t="shared" si="127"/>
        <v>800</v>
      </c>
      <c r="Y91" s="44">
        <f t="shared" si="178"/>
        <v>800</v>
      </c>
      <c r="Z91" s="44">
        <f t="shared" si="128"/>
        <v>34800</v>
      </c>
      <c r="AA91" s="44">
        <f t="shared" si="179"/>
        <v>34800</v>
      </c>
      <c r="AB91" s="44">
        <f t="shared" si="129"/>
        <v>5200</v>
      </c>
      <c r="AC91" s="46">
        <f t="shared" si="130"/>
        <v>0</v>
      </c>
      <c r="AD91" s="47">
        <f t="shared" si="131"/>
        <v>0</v>
      </c>
      <c r="AE91" s="604">
        <f t="shared" si="180"/>
        <v>0</v>
      </c>
      <c r="AF91" s="44">
        <f t="shared" si="181"/>
        <v>0</v>
      </c>
      <c r="AG91" s="44">
        <f t="shared" si="182"/>
        <v>0</v>
      </c>
      <c r="AH91" s="44">
        <f t="shared" si="183"/>
        <v>0</v>
      </c>
      <c r="AI91" s="44">
        <f t="shared" si="184"/>
        <v>40000</v>
      </c>
      <c r="AJ91" s="44">
        <f t="shared" si="185"/>
        <v>40000</v>
      </c>
      <c r="AK91" s="44">
        <f t="shared" si="132"/>
        <v>800</v>
      </c>
      <c r="AL91" s="44">
        <f t="shared" si="186"/>
        <v>800</v>
      </c>
      <c r="AM91" s="44">
        <f t="shared" si="133"/>
        <v>34000</v>
      </c>
      <c r="AN91" s="44">
        <f t="shared" si="187"/>
        <v>34000</v>
      </c>
      <c r="AO91" s="44">
        <f t="shared" si="134"/>
        <v>6000</v>
      </c>
      <c r="AP91" s="46">
        <f t="shared" si="135"/>
        <v>0</v>
      </c>
      <c r="AQ91" s="47">
        <f t="shared" si="136"/>
        <v>0</v>
      </c>
      <c r="AR91" s="604">
        <f t="shared" si="188"/>
        <v>0</v>
      </c>
      <c r="AS91" s="44">
        <f t="shared" si="189"/>
        <v>0</v>
      </c>
      <c r="AT91" s="44">
        <f t="shared" si="190"/>
        <v>0</v>
      </c>
      <c r="AU91" s="44">
        <f t="shared" si="191"/>
        <v>0</v>
      </c>
      <c r="AV91" s="44">
        <f t="shared" si="192"/>
        <v>40000</v>
      </c>
      <c r="AW91" s="44">
        <f t="shared" si="193"/>
        <v>40000</v>
      </c>
      <c r="AX91" s="44">
        <f t="shared" si="137"/>
        <v>800</v>
      </c>
      <c r="AY91" s="44">
        <f t="shared" si="194"/>
        <v>800</v>
      </c>
      <c r="AZ91" s="44">
        <f t="shared" si="138"/>
        <v>33200</v>
      </c>
      <c r="BA91" s="44">
        <f t="shared" si="195"/>
        <v>33200</v>
      </c>
      <c r="BB91" s="44">
        <f t="shared" si="139"/>
        <v>6800</v>
      </c>
      <c r="BC91" s="46">
        <f t="shared" si="140"/>
        <v>0</v>
      </c>
      <c r="BD91" s="47">
        <f t="shared" si="141"/>
        <v>0</v>
      </c>
      <c r="BE91" s="604">
        <f t="shared" si="196"/>
        <v>0</v>
      </c>
      <c r="BF91" s="44">
        <f t="shared" si="197"/>
        <v>0</v>
      </c>
      <c r="BG91" s="44">
        <f t="shared" si="198"/>
        <v>0</v>
      </c>
      <c r="BH91" s="44">
        <f t="shared" si="199"/>
        <v>0</v>
      </c>
      <c r="BI91" s="44">
        <f t="shared" si="200"/>
        <v>40000</v>
      </c>
      <c r="BJ91" s="44">
        <f t="shared" si="201"/>
        <v>40000</v>
      </c>
      <c r="BK91" s="44">
        <f t="shared" si="142"/>
        <v>800</v>
      </c>
      <c r="BL91" s="44">
        <f t="shared" si="202"/>
        <v>800</v>
      </c>
      <c r="BM91" s="44">
        <f t="shared" si="143"/>
        <v>32400</v>
      </c>
      <c r="BN91" s="44">
        <f t="shared" si="203"/>
        <v>32400</v>
      </c>
      <c r="BO91" s="44">
        <f t="shared" si="144"/>
        <v>7600</v>
      </c>
      <c r="BP91" s="46">
        <f t="shared" si="145"/>
        <v>0</v>
      </c>
      <c r="BQ91" s="47">
        <f t="shared" si="146"/>
        <v>0</v>
      </c>
      <c r="BR91" s="604">
        <f t="shared" si="204"/>
        <v>0</v>
      </c>
      <c r="BS91" s="44">
        <f t="shared" si="205"/>
        <v>0</v>
      </c>
      <c r="BT91" s="44">
        <f t="shared" si="206"/>
        <v>0</v>
      </c>
      <c r="BU91" s="44">
        <f t="shared" si="207"/>
        <v>0</v>
      </c>
      <c r="BV91" s="44">
        <f t="shared" si="208"/>
        <v>40000</v>
      </c>
      <c r="BW91" s="44">
        <f t="shared" si="209"/>
        <v>40000</v>
      </c>
      <c r="BX91" s="44">
        <f t="shared" si="147"/>
        <v>800</v>
      </c>
      <c r="BY91" s="44">
        <f t="shared" si="210"/>
        <v>800</v>
      </c>
      <c r="BZ91" s="44">
        <f t="shared" si="148"/>
        <v>31600</v>
      </c>
      <c r="CA91" s="44">
        <f t="shared" si="211"/>
        <v>31600</v>
      </c>
      <c r="CB91" s="44">
        <f t="shared" si="149"/>
        <v>8400</v>
      </c>
      <c r="CC91" s="46">
        <f t="shared" si="150"/>
        <v>0</v>
      </c>
      <c r="CD91" s="47">
        <f t="shared" si="151"/>
        <v>0</v>
      </c>
      <c r="CE91" s="604">
        <f t="shared" si="212"/>
        <v>0</v>
      </c>
      <c r="CF91" s="44">
        <f t="shared" si="213"/>
        <v>0</v>
      </c>
      <c r="CG91" s="44">
        <f t="shared" si="214"/>
        <v>0</v>
      </c>
      <c r="CH91" s="44">
        <f t="shared" si="215"/>
        <v>0</v>
      </c>
      <c r="CI91" s="44">
        <f t="shared" si="216"/>
        <v>40000</v>
      </c>
      <c r="CJ91" s="44">
        <f t="shared" si="217"/>
        <v>40000</v>
      </c>
      <c r="CK91" s="44">
        <f t="shared" si="152"/>
        <v>800</v>
      </c>
      <c r="CL91" s="44">
        <f t="shared" si="218"/>
        <v>800</v>
      </c>
      <c r="CM91" s="44">
        <f t="shared" si="153"/>
        <v>30800</v>
      </c>
      <c r="CN91" s="44">
        <f t="shared" si="219"/>
        <v>30800</v>
      </c>
      <c r="CO91" s="44">
        <f t="shared" si="154"/>
        <v>9200</v>
      </c>
      <c r="CP91" s="46">
        <f t="shared" si="155"/>
        <v>0</v>
      </c>
      <c r="CQ91" s="47">
        <f t="shared" si="156"/>
        <v>0</v>
      </c>
      <c r="CR91" s="604">
        <f t="shared" si="220"/>
        <v>0</v>
      </c>
      <c r="CS91" s="44">
        <f t="shared" si="221"/>
        <v>0</v>
      </c>
      <c r="CT91" s="44">
        <f t="shared" si="222"/>
        <v>0</v>
      </c>
      <c r="CU91" s="44">
        <f t="shared" si="223"/>
        <v>0</v>
      </c>
      <c r="CV91" s="44">
        <f t="shared" si="224"/>
        <v>40000</v>
      </c>
      <c r="CW91" s="44">
        <f t="shared" si="225"/>
        <v>40000</v>
      </c>
      <c r="CX91" s="44">
        <f t="shared" si="157"/>
        <v>800</v>
      </c>
      <c r="CY91" s="44">
        <f t="shared" si="226"/>
        <v>800</v>
      </c>
      <c r="CZ91" s="44">
        <f t="shared" si="158"/>
        <v>30000</v>
      </c>
      <c r="DA91" s="44">
        <f t="shared" si="227"/>
        <v>30000</v>
      </c>
      <c r="DB91" s="44">
        <f t="shared" si="159"/>
        <v>10000</v>
      </c>
      <c r="DC91" s="46">
        <f t="shared" si="160"/>
        <v>0</v>
      </c>
      <c r="DD91" s="47">
        <f t="shared" si="161"/>
        <v>0</v>
      </c>
      <c r="DE91" s="604">
        <f t="shared" si="228"/>
        <v>0</v>
      </c>
      <c r="DF91" s="44">
        <f t="shared" si="229"/>
        <v>0</v>
      </c>
      <c r="DG91" s="44">
        <f t="shared" si="230"/>
        <v>0</v>
      </c>
      <c r="DH91" s="44">
        <f t="shared" si="231"/>
        <v>0</v>
      </c>
      <c r="DI91" s="44">
        <f t="shared" si="232"/>
        <v>40000</v>
      </c>
      <c r="DJ91" s="44">
        <f t="shared" si="233"/>
        <v>40000</v>
      </c>
      <c r="DK91" s="44">
        <f t="shared" si="162"/>
        <v>800</v>
      </c>
      <c r="DL91" s="44">
        <f t="shared" si="234"/>
        <v>800</v>
      </c>
      <c r="DM91" s="44">
        <f t="shared" si="163"/>
        <v>29200</v>
      </c>
      <c r="DN91" s="44">
        <f t="shared" si="235"/>
        <v>29200</v>
      </c>
      <c r="DO91" s="44">
        <f t="shared" si="164"/>
        <v>10800</v>
      </c>
      <c r="DP91" s="46">
        <f t="shared" si="165"/>
        <v>0</v>
      </c>
      <c r="DQ91" s="47">
        <f t="shared" si="166"/>
        <v>0</v>
      </c>
      <c r="DR91" s="604">
        <f t="shared" si="236"/>
        <v>0</v>
      </c>
      <c r="DS91" s="44">
        <f t="shared" si="237"/>
        <v>0</v>
      </c>
      <c r="DT91" s="44">
        <f t="shared" si="238"/>
        <v>0</v>
      </c>
      <c r="DU91" s="44">
        <f t="shared" si="239"/>
        <v>0</v>
      </c>
      <c r="DV91" s="44">
        <f t="shared" si="240"/>
        <v>40000</v>
      </c>
      <c r="DW91" s="44">
        <f t="shared" si="241"/>
        <v>40000</v>
      </c>
      <c r="DX91" s="44">
        <f t="shared" si="167"/>
        <v>800</v>
      </c>
      <c r="DY91" s="44">
        <f t="shared" si="242"/>
        <v>800</v>
      </c>
      <c r="DZ91" s="44">
        <f t="shared" si="168"/>
        <v>28400</v>
      </c>
      <c r="EA91" s="44">
        <f t="shared" si="243"/>
        <v>28400</v>
      </c>
      <c r="EB91" s="44">
        <f t="shared" si="169"/>
        <v>11600</v>
      </c>
      <c r="EC91" s="46">
        <f t="shared" si="170"/>
        <v>0</v>
      </c>
      <c r="ED91" s="47">
        <f t="shared" si="171"/>
        <v>0</v>
      </c>
    </row>
    <row r="92" spans="1:134" x14ac:dyDescent="0.35">
      <c r="A92" s="81">
        <v>1999</v>
      </c>
      <c r="B92" s="82" t="s">
        <v>262</v>
      </c>
      <c r="C92" s="82"/>
      <c r="D92" s="83" t="s">
        <v>29</v>
      </c>
      <c r="E92" s="87">
        <v>409000</v>
      </c>
      <c r="F92" s="85">
        <v>38899</v>
      </c>
      <c r="G92" s="86">
        <v>12.5</v>
      </c>
      <c r="H92" s="179"/>
      <c r="I92" s="180"/>
      <c r="J92" s="181"/>
      <c r="K92" s="42">
        <f t="shared" si="122"/>
        <v>0.08</v>
      </c>
      <c r="L92" s="43">
        <f t="shared" si="123"/>
        <v>32720</v>
      </c>
      <c r="M92" s="44">
        <f t="shared" si="124"/>
        <v>229040</v>
      </c>
      <c r="N92" s="44"/>
      <c r="O92" s="44">
        <f t="shared" si="125"/>
        <v>179960</v>
      </c>
      <c r="P92" s="45"/>
      <c r="Q92" s="44">
        <f t="shared" si="126"/>
        <v>409000</v>
      </c>
      <c r="R92" s="604">
        <f t="shared" si="172"/>
        <v>0</v>
      </c>
      <c r="S92" s="44">
        <f t="shared" si="173"/>
        <v>0</v>
      </c>
      <c r="T92" s="44">
        <f t="shared" si="174"/>
        <v>0</v>
      </c>
      <c r="U92" s="44">
        <f t="shared" si="175"/>
        <v>0</v>
      </c>
      <c r="V92" s="44">
        <f t="shared" si="176"/>
        <v>409000</v>
      </c>
      <c r="W92" s="44">
        <f t="shared" si="177"/>
        <v>409000</v>
      </c>
      <c r="X92" s="44">
        <f t="shared" si="127"/>
        <v>32720</v>
      </c>
      <c r="Y92" s="44">
        <f t="shared" si="178"/>
        <v>32720</v>
      </c>
      <c r="Z92" s="44">
        <f t="shared" si="128"/>
        <v>196320</v>
      </c>
      <c r="AA92" s="44">
        <f t="shared" si="179"/>
        <v>196320</v>
      </c>
      <c r="AB92" s="44">
        <f t="shared" si="129"/>
        <v>212680</v>
      </c>
      <c r="AC92" s="46">
        <f t="shared" si="130"/>
        <v>0</v>
      </c>
      <c r="AD92" s="47">
        <f t="shared" si="131"/>
        <v>0</v>
      </c>
      <c r="AE92" s="604">
        <f t="shared" si="180"/>
        <v>0</v>
      </c>
      <c r="AF92" s="44">
        <f t="shared" si="181"/>
        <v>0</v>
      </c>
      <c r="AG92" s="44">
        <f t="shared" si="182"/>
        <v>0</v>
      </c>
      <c r="AH92" s="44">
        <f t="shared" si="183"/>
        <v>0</v>
      </c>
      <c r="AI92" s="44">
        <f t="shared" si="184"/>
        <v>409000</v>
      </c>
      <c r="AJ92" s="44">
        <f t="shared" si="185"/>
        <v>409000</v>
      </c>
      <c r="AK92" s="44">
        <f t="shared" si="132"/>
        <v>32720</v>
      </c>
      <c r="AL92" s="44">
        <f t="shared" si="186"/>
        <v>32720</v>
      </c>
      <c r="AM92" s="44">
        <f t="shared" si="133"/>
        <v>163600</v>
      </c>
      <c r="AN92" s="44">
        <f t="shared" si="187"/>
        <v>163600</v>
      </c>
      <c r="AO92" s="44">
        <f t="shared" si="134"/>
        <v>245400</v>
      </c>
      <c r="AP92" s="46">
        <f t="shared" si="135"/>
        <v>0</v>
      </c>
      <c r="AQ92" s="47">
        <f t="shared" si="136"/>
        <v>0</v>
      </c>
      <c r="AR92" s="604">
        <f t="shared" si="188"/>
        <v>0</v>
      </c>
      <c r="AS92" s="44">
        <f t="shared" si="189"/>
        <v>0</v>
      </c>
      <c r="AT92" s="44">
        <f t="shared" si="190"/>
        <v>0</v>
      </c>
      <c r="AU92" s="44">
        <f t="shared" si="191"/>
        <v>0</v>
      </c>
      <c r="AV92" s="44">
        <f t="shared" si="192"/>
        <v>409000</v>
      </c>
      <c r="AW92" s="44">
        <f t="shared" si="193"/>
        <v>409000</v>
      </c>
      <c r="AX92" s="44">
        <f t="shared" si="137"/>
        <v>32720</v>
      </c>
      <c r="AY92" s="44">
        <f t="shared" si="194"/>
        <v>32720</v>
      </c>
      <c r="AZ92" s="44">
        <f t="shared" si="138"/>
        <v>130880</v>
      </c>
      <c r="BA92" s="44">
        <f t="shared" si="195"/>
        <v>130880</v>
      </c>
      <c r="BB92" s="44">
        <f t="shared" si="139"/>
        <v>278120</v>
      </c>
      <c r="BC92" s="46">
        <f t="shared" si="140"/>
        <v>0</v>
      </c>
      <c r="BD92" s="47">
        <f t="shared" si="141"/>
        <v>0</v>
      </c>
      <c r="BE92" s="604">
        <f t="shared" si="196"/>
        <v>0</v>
      </c>
      <c r="BF92" s="44">
        <f t="shared" si="197"/>
        <v>0</v>
      </c>
      <c r="BG92" s="44">
        <f t="shared" si="198"/>
        <v>0</v>
      </c>
      <c r="BH92" s="44">
        <f t="shared" si="199"/>
        <v>0</v>
      </c>
      <c r="BI92" s="44">
        <f t="shared" si="200"/>
        <v>409000</v>
      </c>
      <c r="BJ92" s="44">
        <f t="shared" si="201"/>
        <v>409000</v>
      </c>
      <c r="BK92" s="44">
        <f t="shared" si="142"/>
        <v>32720</v>
      </c>
      <c r="BL92" s="44">
        <f t="shared" si="202"/>
        <v>32720</v>
      </c>
      <c r="BM92" s="44">
        <f t="shared" si="143"/>
        <v>98160</v>
      </c>
      <c r="BN92" s="44">
        <f t="shared" si="203"/>
        <v>98160</v>
      </c>
      <c r="BO92" s="44">
        <f t="shared" si="144"/>
        <v>310840</v>
      </c>
      <c r="BP92" s="46">
        <f t="shared" si="145"/>
        <v>0</v>
      </c>
      <c r="BQ92" s="47">
        <f t="shared" si="146"/>
        <v>0</v>
      </c>
      <c r="BR92" s="604">
        <f t="shared" si="204"/>
        <v>0</v>
      </c>
      <c r="BS92" s="44">
        <f t="shared" si="205"/>
        <v>0</v>
      </c>
      <c r="BT92" s="44">
        <f t="shared" si="206"/>
        <v>0</v>
      </c>
      <c r="BU92" s="44">
        <f t="shared" si="207"/>
        <v>0</v>
      </c>
      <c r="BV92" s="44">
        <f t="shared" si="208"/>
        <v>409000</v>
      </c>
      <c r="BW92" s="44">
        <f t="shared" si="209"/>
        <v>409000</v>
      </c>
      <c r="BX92" s="44">
        <f t="shared" si="147"/>
        <v>32720</v>
      </c>
      <c r="BY92" s="44">
        <f t="shared" si="210"/>
        <v>32720</v>
      </c>
      <c r="BZ92" s="44">
        <f t="shared" si="148"/>
        <v>65440</v>
      </c>
      <c r="CA92" s="44">
        <f t="shared" si="211"/>
        <v>65440</v>
      </c>
      <c r="CB92" s="44">
        <f t="shared" si="149"/>
        <v>343560</v>
      </c>
      <c r="CC92" s="46">
        <f t="shared" si="150"/>
        <v>0</v>
      </c>
      <c r="CD92" s="47">
        <f t="shared" si="151"/>
        <v>0</v>
      </c>
      <c r="CE92" s="604">
        <f t="shared" si="212"/>
        <v>0</v>
      </c>
      <c r="CF92" s="44">
        <f t="shared" si="213"/>
        <v>0</v>
      </c>
      <c r="CG92" s="44">
        <f t="shared" si="214"/>
        <v>0</v>
      </c>
      <c r="CH92" s="44">
        <f t="shared" si="215"/>
        <v>0</v>
      </c>
      <c r="CI92" s="44">
        <f t="shared" si="216"/>
        <v>409000</v>
      </c>
      <c r="CJ92" s="44">
        <f t="shared" si="217"/>
        <v>409000</v>
      </c>
      <c r="CK92" s="44">
        <f t="shared" si="152"/>
        <v>32720</v>
      </c>
      <c r="CL92" s="44">
        <f t="shared" si="218"/>
        <v>32720</v>
      </c>
      <c r="CM92" s="44">
        <f t="shared" si="153"/>
        <v>32720</v>
      </c>
      <c r="CN92" s="44">
        <f t="shared" si="219"/>
        <v>32720</v>
      </c>
      <c r="CO92" s="44">
        <f t="shared" si="154"/>
        <v>376280</v>
      </c>
      <c r="CP92" s="46">
        <f t="shared" si="155"/>
        <v>0</v>
      </c>
      <c r="CQ92" s="47">
        <f t="shared" si="156"/>
        <v>0</v>
      </c>
      <c r="CR92" s="604">
        <f t="shared" si="220"/>
        <v>0</v>
      </c>
      <c r="CS92" s="44">
        <f t="shared" si="221"/>
        <v>0</v>
      </c>
      <c r="CT92" s="44">
        <f t="shared" si="222"/>
        <v>0</v>
      </c>
      <c r="CU92" s="44">
        <f t="shared" si="223"/>
        <v>0</v>
      </c>
      <c r="CV92" s="44">
        <f t="shared" si="224"/>
        <v>409000</v>
      </c>
      <c r="CW92" s="44">
        <f t="shared" si="225"/>
        <v>409000</v>
      </c>
      <c r="CX92" s="44">
        <f t="shared" si="157"/>
        <v>32720</v>
      </c>
      <c r="CY92" s="44">
        <f t="shared" si="226"/>
        <v>32720</v>
      </c>
      <c r="CZ92" s="44">
        <f t="shared" si="158"/>
        <v>0</v>
      </c>
      <c r="DA92" s="44">
        <f t="shared" si="227"/>
        <v>0</v>
      </c>
      <c r="DB92" s="44">
        <f t="shared" si="159"/>
        <v>409000</v>
      </c>
      <c r="DC92" s="46">
        <f t="shared" si="160"/>
        <v>0</v>
      </c>
      <c r="DD92" s="47">
        <f t="shared" si="161"/>
        <v>0</v>
      </c>
      <c r="DE92" s="604">
        <f t="shared" si="228"/>
        <v>0</v>
      </c>
      <c r="DF92" s="44">
        <f t="shared" si="229"/>
        <v>0</v>
      </c>
      <c r="DG92" s="44">
        <f t="shared" si="230"/>
        <v>0</v>
      </c>
      <c r="DH92" s="44">
        <f t="shared" si="231"/>
        <v>0</v>
      </c>
      <c r="DI92" s="44">
        <f t="shared" si="232"/>
        <v>409000</v>
      </c>
      <c r="DJ92" s="44">
        <f t="shared" si="233"/>
        <v>0</v>
      </c>
      <c r="DK92" s="44">
        <f t="shared" si="162"/>
        <v>0</v>
      </c>
      <c r="DL92" s="44">
        <f t="shared" si="234"/>
        <v>0</v>
      </c>
      <c r="DM92" s="44">
        <f t="shared" si="163"/>
        <v>0</v>
      </c>
      <c r="DN92" s="44">
        <f t="shared" si="235"/>
        <v>0</v>
      </c>
      <c r="DO92" s="44">
        <f t="shared" si="164"/>
        <v>409000</v>
      </c>
      <c r="DP92" s="46">
        <f t="shared" si="165"/>
        <v>0</v>
      </c>
      <c r="DQ92" s="47">
        <f t="shared" si="166"/>
        <v>0</v>
      </c>
      <c r="DR92" s="604">
        <f t="shared" si="236"/>
        <v>0</v>
      </c>
      <c r="DS92" s="44">
        <f t="shared" si="237"/>
        <v>0</v>
      </c>
      <c r="DT92" s="44">
        <f t="shared" si="238"/>
        <v>0</v>
      </c>
      <c r="DU92" s="44">
        <f t="shared" si="239"/>
        <v>0</v>
      </c>
      <c r="DV92" s="44">
        <f t="shared" si="240"/>
        <v>409000</v>
      </c>
      <c r="DW92" s="44">
        <f t="shared" si="241"/>
        <v>0</v>
      </c>
      <c r="DX92" s="44">
        <f t="shared" si="167"/>
        <v>0</v>
      </c>
      <c r="DY92" s="44">
        <f t="shared" si="242"/>
        <v>0</v>
      </c>
      <c r="DZ92" s="44">
        <f t="shared" si="168"/>
        <v>0</v>
      </c>
      <c r="EA92" s="44">
        <f t="shared" si="243"/>
        <v>0</v>
      </c>
      <c r="EB92" s="44">
        <f t="shared" si="169"/>
        <v>409000</v>
      </c>
      <c r="EC92" s="46">
        <f t="shared" si="170"/>
        <v>0</v>
      </c>
      <c r="ED92" s="47">
        <f t="shared" si="171"/>
        <v>0</v>
      </c>
    </row>
    <row r="93" spans="1:134" x14ac:dyDescent="0.35">
      <c r="A93" s="81">
        <v>1999</v>
      </c>
      <c r="B93" s="82" t="s">
        <v>263</v>
      </c>
      <c r="C93" s="82"/>
      <c r="D93" s="83" t="s">
        <v>29</v>
      </c>
      <c r="E93" s="87">
        <v>1490000</v>
      </c>
      <c r="F93" s="85">
        <v>38899</v>
      </c>
      <c r="G93" s="86">
        <v>50</v>
      </c>
      <c r="H93" s="179"/>
      <c r="I93" s="180"/>
      <c r="J93" s="181"/>
      <c r="K93" s="42">
        <f t="shared" si="122"/>
        <v>0.02</v>
      </c>
      <c r="L93" s="43">
        <f t="shared" si="123"/>
        <v>29800</v>
      </c>
      <c r="M93" s="44">
        <f t="shared" si="124"/>
        <v>1326100</v>
      </c>
      <c r="N93" s="44"/>
      <c r="O93" s="44">
        <f t="shared" si="125"/>
        <v>163900</v>
      </c>
      <c r="P93" s="45"/>
      <c r="Q93" s="44">
        <f t="shared" si="126"/>
        <v>1490000</v>
      </c>
      <c r="R93" s="604">
        <f t="shared" si="172"/>
        <v>0</v>
      </c>
      <c r="S93" s="44">
        <f t="shared" si="173"/>
        <v>0</v>
      </c>
      <c r="T93" s="44">
        <f t="shared" si="174"/>
        <v>0</v>
      </c>
      <c r="U93" s="44">
        <f t="shared" si="175"/>
        <v>0</v>
      </c>
      <c r="V93" s="44">
        <f t="shared" si="176"/>
        <v>1490000</v>
      </c>
      <c r="W93" s="44">
        <f t="shared" si="177"/>
        <v>1490000</v>
      </c>
      <c r="X93" s="44">
        <f t="shared" si="127"/>
        <v>29800</v>
      </c>
      <c r="Y93" s="44">
        <f t="shared" si="178"/>
        <v>29800</v>
      </c>
      <c r="Z93" s="44">
        <f t="shared" si="128"/>
        <v>1296300</v>
      </c>
      <c r="AA93" s="44">
        <f t="shared" si="179"/>
        <v>1296300</v>
      </c>
      <c r="AB93" s="44">
        <f t="shared" si="129"/>
        <v>193700</v>
      </c>
      <c r="AC93" s="46">
        <f t="shared" si="130"/>
        <v>0</v>
      </c>
      <c r="AD93" s="47">
        <f t="shared" si="131"/>
        <v>0</v>
      </c>
      <c r="AE93" s="604">
        <f t="shared" si="180"/>
        <v>0</v>
      </c>
      <c r="AF93" s="44">
        <f t="shared" si="181"/>
        <v>0</v>
      </c>
      <c r="AG93" s="44">
        <f t="shared" si="182"/>
        <v>0</v>
      </c>
      <c r="AH93" s="44">
        <f t="shared" si="183"/>
        <v>0</v>
      </c>
      <c r="AI93" s="44">
        <f t="shared" si="184"/>
        <v>1490000</v>
      </c>
      <c r="AJ93" s="44">
        <f t="shared" si="185"/>
        <v>1490000</v>
      </c>
      <c r="AK93" s="44">
        <f t="shared" si="132"/>
        <v>29800</v>
      </c>
      <c r="AL93" s="44">
        <f t="shared" si="186"/>
        <v>29800</v>
      </c>
      <c r="AM93" s="44">
        <f t="shared" si="133"/>
        <v>1266500</v>
      </c>
      <c r="AN93" s="44">
        <f t="shared" si="187"/>
        <v>1266500</v>
      </c>
      <c r="AO93" s="44">
        <f t="shared" si="134"/>
        <v>223500</v>
      </c>
      <c r="AP93" s="46">
        <f t="shared" si="135"/>
        <v>0</v>
      </c>
      <c r="AQ93" s="47">
        <f t="shared" si="136"/>
        <v>0</v>
      </c>
      <c r="AR93" s="604">
        <f t="shared" si="188"/>
        <v>0</v>
      </c>
      <c r="AS93" s="44">
        <f t="shared" si="189"/>
        <v>0</v>
      </c>
      <c r="AT93" s="44">
        <f t="shared" si="190"/>
        <v>0</v>
      </c>
      <c r="AU93" s="44">
        <f t="shared" si="191"/>
        <v>0</v>
      </c>
      <c r="AV93" s="44">
        <f t="shared" si="192"/>
        <v>1490000</v>
      </c>
      <c r="AW93" s="44">
        <f t="shared" si="193"/>
        <v>1490000</v>
      </c>
      <c r="AX93" s="44">
        <f t="shared" si="137"/>
        <v>29800</v>
      </c>
      <c r="AY93" s="44">
        <f t="shared" si="194"/>
        <v>29800</v>
      </c>
      <c r="AZ93" s="44">
        <f t="shared" si="138"/>
        <v>1236700</v>
      </c>
      <c r="BA93" s="44">
        <f t="shared" si="195"/>
        <v>1236700</v>
      </c>
      <c r="BB93" s="44">
        <f t="shared" si="139"/>
        <v>253300</v>
      </c>
      <c r="BC93" s="46">
        <f t="shared" si="140"/>
        <v>0</v>
      </c>
      <c r="BD93" s="47">
        <f t="shared" si="141"/>
        <v>0</v>
      </c>
      <c r="BE93" s="604">
        <f t="shared" si="196"/>
        <v>0</v>
      </c>
      <c r="BF93" s="44">
        <f t="shared" si="197"/>
        <v>0</v>
      </c>
      <c r="BG93" s="44">
        <f t="shared" si="198"/>
        <v>0</v>
      </c>
      <c r="BH93" s="44">
        <f t="shared" si="199"/>
        <v>0</v>
      </c>
      <c r="BI93" s="44">
        <f t="shared" si="200"/>
        <v>1490000</v>
      </c>
      <c r="BJ93" s="44">
        <f t="shared" si="201"/>
        <v>1490000</v>
      </c>
      <c r="BK93" s="44">
        <f t="shared" si="142"/>
        <v>29800</v>
      </c>
      <c r="BL93" s="44">
        <f t="shared" si="202"/>
        <v>29800</v>
      </c>
      <c r="BM93" s="44">
        <f t="shared" si="143"/>
        <v>1206900</v>
      </c>
      <c r="BN93" s="44">
        <f t="shared" si="203"/>
        <v>1206900</v>
      </c>
      <c r="BO93" s="44">
        <f t="shared" si="144"/>
        <v>283100</v>
      </c>
      <c r="BP93" s="46">
        <f t="shared" si="145"/>
        <v>0</v>
      </c>
      <c r="BQ93" s="47">
        <f t="shared" si="146"/>
        <v>0</v>
      </c>
      <c r="BR93" s="604">
        <f t="shared" si="204"/>
        <v>0</v>
      </c>
      <c r="BS93" s="44">
        <f t="shared" si="205"/>
        <v>0</v>
      </c>
      <c r="BT93" s="44">
        <f t="shared" si="206"/>
        <v>0</v>
      </c>
      <c r="BU93" s="44">
        <f t="shared" si="207"/>
        <v>0</v>
      </c>
      <c r="BV93" s="44">
        <f t="shared" si="208"/>
        <v>1490000</v>
      </c>
      <c r="BW93" s="44">
        <f t="shared" si="209"/>
        <v>1490000</v>
      </c>
      <c r="BX93" s="44">
        <f t="shared" si="147"/>
        <v>29800</v>
      </c>
      <c r="BY93" s="44">
        <f t="shared" si="210"/>
        <v>29800</v>
      </c>
      <c r="BZ93" s="44">
        <f t="shared" si="148"/>
        <v>1177100</v>
      </c>
      <c r="CA93" s="44">
        <f t="shared" si="211"/>
        <v>1177100</v>
      </c>
      <c r="CB93" s="44">
        <f t="shared" si="149"/>
        <v>312900</v>
      </c>
      <c r="CC93" s="46">
        <f t="shared" si="150"/>
        <v>0</v>
      </c>
      <c r="CD93" s="47">
        <f t="shared" si="151"/>
        <v>0</v>
      </c>
      <c r="CE93" s="604">
        <f t="shared" si="212"/>
        <v>0</v>
      </c>
      <c r="CF93" s="44">
        <f t="shared" si="213"/>
        <v>0</v>
      </c>
      <c r="CG93" s="44">
        <f t="shared" si="214"/>
        <v>0</v>
      </c>
      <c r="CH93" s="44">
        <f t="shared" si="215"/>
        <v>0</v>
      </c>
      <c r="CI93" s="44">
        <f t="shared" si="216"/>
        <v>1490000</v>
      </c>
      <c r="CJ93" s="44">
        <f t="shared" si="217"/>
        <v>1490000</v>
      </c>
      <c r="CK93" s="44">
        <f t="shared" si="152"/>
        <v>29800</v>
      </c>
      <c r="CL93" s="44">
        <f t="shared" si="218"/>
        <v>29800</v>
      </c>
      <c r="CM93" s="44">
        <f t="shared" si="153"/>
        <v>1147300</v>
      </c>
      <c r="CN93" s="44">
        <f t="shared" si="219"/>
        <v>1147300</v>
      </c>
      <c r="CO93" s="44">
        <f t="shared" si="154"/>
        <v>342700</v>
      </c>
      <c r="CP93" s="46">
        <f t="shared" si="155"/>
        <v>0</v>
      </c>
      <c r="CQ93" s="47">
        <f t="shared" si="156"/>
        <v>0</v>
      </c>
      <c r="CR93" s="604">
        <f t="shared" si="220"/>
        <v>0</v>
      </c>
      <c r="CS93" s="44">
        <f t="shared" si="221"/>
        <v>0</v>
      </c>
      <c r="CT93" s="44">
        <f t="shared" si="222"/>
        <v>0</v>
      </c>
      <c r="CU93" s="44">
        <f t="shared" si="223"/>
        <v>0</v>
      </c>
      <c r="CV93" s="44">
        <f t="shared" si="224"/>
        <v>1490000</v>
      </c>
      <c r="CW93" s="44">
        <f t="shared" si="225"/>
        <v>1490000</v>
      </c>
      <c r="CX93" s="44">
        <f t="shared" si="157"/>
        <v>29800</v>
      </c>
      <c r="CY93" s="44">
        <f t="shared" si="226"/>
        <v>29800</v>
      </c>
      <c r="CZ93" s="44">
        <f t="shared" si="158"/>
        <v>1117500</v>
      </c>
      <c r="DA93" s="44">
        <f t="shared" si="227"/>
        <v>1117500</v>
      </c>
      <c r="DB93" s="44">
        <f t="shared" si="159"/>
        <v>372500</v>
      </c>
      <c r="DC93" s="46">
        <f t="shared" si="160"/>
        <v>0</v>
      </c>
      <c r="DD93" s="47">
        <f t="shared" si="161"/>
        <v>0</v>
      </c>
      <c r="DE93" s="604">
        <f t="shared" si="228"/>
        <v>0</v>
      </c>
      <c r="DF93" s="44">
        <f t="shared" si="229"/>
        <v>0</v>
      </c>
      <c r="DG93" s="44">
        <f t="shared" si="230"/>
        <v>0</v>
      </c>
      <c r="DH93" s="44">
        <f t="shared" si="231"/>
        <v>0</v>
      </c>
      <c r="DI93" s="44">
        <f t="shared" si="232"/>
        <v>1490000</v>
      </c>
      <c r="DJ93" s="44">
        <f t="shared" si="233"/>
        <v>1490000</v>
      </c>
      <c r="DK93" s="44">
        <f t="shared" si="162"/>
        <v>29800</v>
      </c>
      <c r="DL93" s="44">
        <f t="shared" si="234"/>
        <v>29800</v>
      </c>
      <c r="DM93" s="44">
        <f t="shared" si="163"/>
        <v>1087700</v>
      </c>
      <c r="DN93" s="44">
        <f t="shared" si="235"/>
        <v>1087700</v>
      </c>
      <c r="DO93" s="44">
        <f t="shared" si="164"/>
        <v>402300</v>
      </c>
      <c r="DP93" s="46">
        <f t="shared" si="165"/>
        <v>0</v>
      </c>
      <c r="DQ93" s="47">
        <f t="shared" si="166"/>
        <v>0</v>
      </c>
      <c r="DR93" s="604">
        <f t="shared" si="236"/>
        <v>0</v>
      </c>
      <c r="DS93" s="44">
        <f t="shared" si="237"/>
        <v>0</v>
      </c>
      <c r="DT93" s="44">
        <f t="shared" si="238"/>
        <v>0</v>
      </c>
      <c r="DU93" s="44">
        <f t="shared" si="239"/>
        <v>0</v>
      </c>
      <c r="DV93" s="44">
        <f t="shared" si="240"/>
        <v>1490000</v>
      </c>
      <c r="DW93" s="44">
        <f t="shared" si="241"/>
        <v>1490000</v>
      </c>
      <c r="DX93" s="44">
        <f t="shared" si="167"/>
        <v>29800</v>
      </c>
      <c r="DY93" s="44">
        <f t="shared" si="242"/>
        <v>29800</v>
      </c>
      <c r="DZ93" s="44">
        <f t="shared" si="168"/>
        <v>1057900</v>
      </c>
      <c r="EA93" s="44">
        <f t="shared" si="243"/>
        <v>1057900</v>
      </c>
      <c r="EB93" s="44">
        <f t="shared" si="169"/>
        <v>432100</v>
      </c>
      <c r="EC93" s="46">
        <f t="shared" si="170"/>
        <v>0</v>
      </c>
      <c r="ED93" s="47">
        <f t="shared" si="171"/>
        <v>0</v>
      </c>
    </row>
    <row r="94" spans="1:134" x14ac:dyDescent="0.35">
      <c r="A94" s="81">
        <v>1999</v>
      </c>
      <c r="B94" s="82" t="s">
        <v>264</v>
      </c>
      <c r="C94" s="82"/>
      <c r="D94" s="83" t="s">
        <v>29</v>
      </c>
      <c r="E94" s="87">
        <v>190000</v>
      </c>
      <c r="F94" s="85">
        <v>38899</v>
      </c>
      <c r="G94" s="86">
        <v>12.5</v>
      </c>
      <c r="H94" s="179"/>
      <c r="I94" s="180"/>
      <c r="J94" s="181"/>
      <c r="K94" s="42">
        <f t="shared" si="122"/>
        <v>0.08</v>
      </c>
      <c r="L94" s="43">
        <f t="shared" si="123"/>
        <v>15200</v>
      </c>
      <c r="M94" s="44">
        <f t="shared" si="124"/>
        <v>106400</v>
      </c>
      <c r="N94" s="44"/>
      <c r="O94" s="44">
        <f t="shared" si="125"/>
        <v>83600</v>
      </c>
      <c r="P94" s="45"/>
      <c r="Q94" s="44">
        <f t="shared" si="126"/>
        <v>190000</v>
      </c>
      <c r="R94" s="604">
        <f t="shared" si="172"/>
        <v>0</v>
      </c>
      <c r="S94" s="44">
        <f t="shared" si="173"/>
        <v>0</v>
      </c>
      <c r="T94" s="44">
        <f t="shared" si="174"/>
        <v>0</v>
      </c>
      <c r="U94" s="44">
        <f t="shared" si="175"/>
        <v>0</v>
      </c>
      <c r="V94" s="44">
        <f t="shared" si="176"/>
        <v>190000</v>
      </c>
      <c r="W94" s="44">
        <f t="shared" si="177"/>
        <v>190000</v>
      </c>
      <c r="X94" s="44">
        <f t="shared" si="127"/>
        <v>15200</v>
      </c>
      <c r="Y94" s="44">
        <f t="shared" si="178"/>
        <v>15200</v>
      </c>
      <c r="Z94" s="44">
        <f t="shared" si="128"/>
        <v>91200</v>
      </c>
      <c r="AA94" s="44">
        <f t="shared" si="179"/>
        <v>91200</v>
      </c>
      <c r="AB94" s="44">
        <f t="shared" si="129"/>
        <v>98800</v>
      </c>
      <c r="AC94" s="46">
        <f t="shared" si="130"/>
        <v>0</v>
      </c>
      <c r="AD94" s="47">
        <f t="shared" si="131"/>
        <v>0</v>
      </c>
      <c r="AE94" s="604">
        <f t="shared" si="180"/>
        <v>0</v>
      </c>
      <c r="AF94" s="44">
        <f t="shared" si="181"/>
        <v>0</v>
      </c>
      <c r="AG94" s="44">
        <f t="shared" si="182"/>
        <v>0</v>
      </c>
      <c r="AH94" s="44">
        <f t="shared" si="183"/>
        <v>0</v>
      </c>
      <c r="AI94" s="44">
        <f t="shared" si="184"/>
        <v>190000</v>
      </c>
      <c r="AJ94" s="44">
        <f t="shared" si="185"/>
        <v>190000</v>
      </c>
      <c r="AK94" s="44">
        <f t="shared" si="132"/>
        <v>15200</v>
      </c>
      <c r="AL94" s="44">
        <f t="shared" si="186"/>
        <v>15200</v>
      </c>
      <c r="AM94" s="44">
        <f t="shared" si="133"/>
        <v>76000</v>
      </c>
      <c r="AN94" s="44">
        <f t="shared" si="187"/>
        <v>76000</v>
      </c>
      <c r="AO94" s="44">
        <f t="shared" si="134"/>
        <v>114000</v>
      </c>
      <c r="AP94" s="46">
        <f t="shared" si="135"/>
        <v>0</v>
      </c>
      <c r="AQ94" s="47">
        <f t="shared" si="136"/>
        <v>0</v>
      </c>
      <c r="AR94" s="604">
        <f t="shared" si="188"/>
        <v>0</v>
      </c>
      <c r="AS94" s="44">
        <f t="shared" si="189"/>
        <v>0</v>
      </c>
      <c r="AT94" s="44">
        <f t="shared" si="190"/>
        <v>0</v>
      </c>
      <c r="AU94" s="44">
        <f t="shared" si="191"/>
        <v>0</v>
      </c>
      <c r="AV94" s="44">
        <f t="shared" si="192"/>
        <v>190000</v>
      </c>
      <c r="AW94" s="44">
        <f t="shared" si="193"/>
        <v>190000</v>
      </c>
      <c r="AX94" s="44">
        <f t="shared" si="137"/>
        <v>15200</v>
      </c>
      <c r="AY94" s="44">
        <f t="shared" si="194"/>
        <v>15200</v>
      </c>
      <c r="AZ94" s="44">
        <f t="shared" si="138"/>
        <v>60800</v>
      </c>
      <c r="BA94" s="44">
        <f t="shared" si="195"/>
        <v>60800</v>
      </c>
      <c r="BB94" s="44">
        <f t="shared" si="139"/>
        <v>129200</v>
      </c>
      <c r="BC94" s="46">
        <f t="shared" si="140"/>
        <v>0</v>
      </c>
      <c r="BD94" s="47">
        <f t="shared" si="141"/>
        <v>0</v>
      </c>
      <c r="BE94" s="604">
        <f t="shared" si="196"/>
        <v>0</v>
      </c>
      <c r="BF94" s="44">
        <f t="shared" si="197"/>
        <v>0</v>
      </c>
      <c r="BG94" s="44">
        <f t="shared" si="198"/>
        <v>0</v>
      </c>
      <c r="BH94" s="44">
        <f t="shared" si="199"/>
        <v>0</v>
      </c>
      <c r="BI94" s="44">
        <f t="shared" si="200"/>
        <v>190000</v>
      </c>
      <c r="BJ94" s="44">
        <f t="shared" si="201"/>
        <v>190000</v>
      </c>
      <c r="BK94" s="44">
        <f t="shared" si="142"/>
        <v>15200</v>
      </c>
      <c r="BL94" s="44">
        <f t="shared" si="202"/>
        <v>15200</v>
      </c>
      <c r="BM94" s="44">
        <f t="shared" si="143"/>
        <v>45600</v>
      </c>
      <c r="BN94" s="44">
        <f t="shared" si="203"/>
        <v>45600</v>
      </c>
      <c r="BO94" s="44">
        <f t="shared" si="144"/>
        <v>144400</v>
      </c>
      <c r="BP94" s="46">
        <f t="shared" si="145"/>
        <v>0</v>
      </c>
      <c r="BQ94" s="47">
        <f t="shared" si="146"/>
        <v>0</v>
      </c>
      <c r="BR94" s="604">
        <f t="shared" si="204"/>
        <v>0</v>
      </c>
      <c r="BS94" s="44">
        <f t="shared" si="205"/>
        <v>0</v>
      </c>
      <c r="BT94" s="44">
        <f t="shared" si="206"/>
        <v>0</v>
      </c>
      <c r="BU94" s="44">
        <f t="shared" si="207"/>
        <v>0</v>
      </c>
      <c r="BV94" s="44">
        <f t="shared" si="208"/>
        <v>190000</v>
      </c>
      <c r="BW94" s="44">
        <f t="shared" si="209"/>
        <v>190000</v>
      </c>
      <c r="BX94" s="44">
        <f t="shared" si="147"/>
        <v>15200</v>
      </c>
      <c r="BY94" s="44">
        <f t="shared" si="210"/>
        <v>15200</v>
      </c>
      <c r="BZ94" s="44">
        <f t="shared" si="148"/>
        <v>30400</v>
      </c>
      <c r="CA94" s="44">
        <f t="shared" si="211"/>
        <v>30400</v>
      </c>
      <c r="CB94" s="44">
        <f t="shared" si="149"/>
        <v>159600</v>
      </c>
      <c r="CC94" s="46">
        <f t="shared" si="150"/>
        <v>0</v>
      </c>
      <c r="CD94" s="47">
        <f t="shared" si="151"/>
        <v>0</v>
      </c>
      <c r="CE94" s="604">
        <f t="shared" si="212"/>
        <v>0</v>
      </c>
      <c r="CF94" s="44">
        <f t="shared" si="213"/>
        <v>0</v>
      </c>
      <c r="CG94" s="44">
        <f t="shared" si="214"/>
        <v>0</v>
      </c>
      <c r="CH94" s="44">
        <f t="shared" si="215"/>
        <v>0</v>
      </c>
      <c r="CI94" s="44">
        <f t="shared" si="216"/>
        <v>190000</v>
      </c>
      <c r="CJ94" s="44">
        <f t="shared" si="217"/>
        <v>190000</v>
      </c>
      <c r="CK94" s="44">
        <f t="shared" si="152"/>
        <v>15200</v>
      </c>
      <c r="CL94" s="44">
        <f t="shared" si="218"/>
        <v>15200</v>
      </c>
      <c r="CM94" s="44">
        <f t="shared" si="153"/>
        <v>15200</v>
      </c>
      <c r="CN94" s="44">
        <f t="shared" si="219"/>
        <v>15200</v>
      </c>
      <c r="CO94" s="44">
        <f t="shared" si="154"/>
        <v>174800</v>
      </c>
      <c r="CP94" s="46">
        <f t="shared" si="155"/>
        <v>0</v>
      </c>
      <c r="CQ94" s="47">
        <f t="shared" si="156"/>
        <v>0</v>
      </c>
      <c r="CR94" s="604">
        <f t="shared" si="220"/>
        <v>0</v>
      </c>
      <c r="CS94" s="44">
        <f t="shared" si="221"/>
        <v>0</v>
      </c>
      <c r="CT94" s="44">
        <f t="shared" si="222"/>
        <v>0</v>
      </c>
      <c r="CU94" s="44">
        <f t="shared" si="223"/>
        <v>0</v>
      </c>
      <c r="CV94" s="44">
        <f t="shared" si="224"/>
        <v>190000</v>
      </c>
      <c r="CW94" s="44">
        <f t="shared" si="225"/>
        <v>190000</v>
      </c>
      <c r="CX94" s="44">
        <f t="shared" si="157"/>
        <v>15200</v>
      </c>
      <c r="CY94" s="44">
        <f t="shared" si="226"/>
        <v>15200</v>
      </c>
      <c r="CZ94" s="44">
        <f t="shared" si="158"/>
        <v>0</v>
      </c>
      <c r="DA94" s="44">
        <f t="shared" si="227"/>
        <v>0</v>
      </c>
      <c r="DB94" s="44">
        <f t="shared" si="159"/>
        <v>190000</v>
      </c>
      <c r="DC94" s="46">
        <f t="shared" si="160"/>
        <v>0</v>
      </c>
      <c r="DD94" s="47">
        <f t="shared" si="161"/>
        <v>0</v>
      </c>
      <c r="DE94" s="604">
        <f t="shared" si="228"/>
        <v>0</v>
      </c>
      <c r="DF94" s="44">
        <f t="shared" si="229"/>
        <v>0</v>
      </c>
      <c r="DG94" s="44">
        <f t="shared" si="230"/>
        <v>0</v>
      </c>
      <c r="DH94" s="44">
        <f t="shared" si="231"/>
        <v>0</v>
      </c>
      <c r="DI94" s="44">
        <f t="shared" si="232"/>
        <v>190000</v>
      </c>
      <c r="DJ94" s="44">
        <f t="shared" si="233"/>
        <v>0</v>
      </c>
      <c r="DK94" s="44">
        <f t="shared" si="162"/>
        <v>0</v>
      </c>
      <c r="DL94" s="44">
        <f t="shared" si="234"/>
        <v>0</v>
      </c>
      <c r="DM94" s="44">
        <f t="shared" si="163"/>
        <v>0</v>
      </c>
      <c r="DN94" s="44">
        <f t="shared" si="235"/>
        <v>0</v>
      </c>
      <c r="DO94" s="44">
        <f t="shared" si="164"/>
        <v>190000</v>
      </c>
      <c r="DP94" s="46">
        <f t="shared" si="165"/>
        <v>0</v>
      </c>
      <c r="DQ94" s="47">
        <f t="shared" si="166"/>
        <v>0</v>
      </c>
      <c r="DR94" s="604">
        <f t="shared" si="236"/>
        <v>0</v>
      </c>
      <c r="DS94" s="44">
        <f t="shared" si="237"/>
        <v>0</v>
      </c>
      <c r="DT94" s="44">
        <f t="shared" si="238"/>
        <v>0</v>
      </c>
      <c r="DU94" s="44">
        <f t="shared" si="239"/>
        <v>0</v>
      </c>
      <c r="DV94" s="44">
        <f t="shared" si="240"/>
        <v>190000</v>
      </c>
      <c r="DW94" s="44">
        <f t="shared" si="241"/>
        <v>0</v>
      </c>
      <c r="DX94" s="44">
        <f t="shared" si="167"/>
        <v>0</v>
      </c>
      <c r="DY94" s="44">
        <f t="shared" si="242"/>
        <v>0</v>
      </c>
      <c r="DZ94" s="44">
        <f t="shared" si="168"/>
        <v>0</v>
      </c>
      <c r="EA94" s="44">
        <f t="shared" si="243"/>
        <v>0</v>
      </c>
      <c r="EB94" s="44">
        <f t="shared" si="169"/>
        <v>190000</v>
      </c>
      <c r="EC94" s="46">
        <f t="shared" si="170"/>
        <v>0</v>
      </c>
      <c r="ED94" s="47">
        <f t="shared" si="171"/>
        <v>0</v>
      </c>
    </row>
    <row r="95" spans="1:134" x14ac:dyDescent="0.35">
      <c r="A95" s="81">
        <v>1999</v>
      </c>
      <c r="B95" s="82" t="s">
        <v>265</v>
      </c>
      <c r="C95" s="82"/>
      <c r="D95" s="83" t="s">
        <v>29</v>
      </c>
      <c r="E95" s="87">
        <v>140000</v>
      </c>
      <c r="F95" s="85">
        <v>38899</v>
      </c>
      <c r="G95" s="86">
        <v>12.5</v>
      </c>
      <c r="H95" s="179"/>
      <c r="I95" s="180"/>
      <c r="J95" s="181"/>
      <c r="K95" s="42">
        <f t="shared" si="122"/>
        <v>0.08</v>
      </c>
      <c r="L95" s="43">
        <f t="shared" si="123"/>
        <v>11200</v>
      </c>
      <c r="M95" s="44">
        <f t="shared" si="124"/>
        <v>78400</v>
      </c>
      <c r="N95" s="44"/>
      <c r="O95" s="44">
        <f t="shared" si="125"/>
        <v>61600</v>
      </c>
      <c r="P95" s="45"/>
      <c r="Q95" s="44">
        <f t="shared" si="126"/>
        <v>140000</v>
      </c>
      <c r="R95" s="604">
        <f t="shared" si="172"/>
        <v>0</v>
      </c>
      <c r="S95" s="44">
        <f t="shared" si="173"/>
        <v>0</v>
      </c>
      <c r="T95" s="44">
        <f t="shared" si="174"/>
        <v>0</v>
      </c>
      <c r="U95" s="44">
        <f t="shared" si="175"/>
        <v>0</v>
      </c>
      <c r="V95" s="44">
        <f t="shared" si="176"/>
        <v>140000</v>
      </c>
      <c r="W95" s="44">
        <f t="shared" si="177"/>
        <v>140000</v>
      </c>
      <c r="X95" s="44">
        <f t="shared" si="127"/>
        <v>11200</v>
      </c>
      <c r="Y95" s="44">
        <f t="shared" si="178"/>
        <v>11200</v>
      </c>
      <c r="Z95" s="44">
        <f t="shared" si="128"/>
        <v>67200</v>
      </c>
      <c r="AA95" s="44">
        <f t="shared" si="179"/>
        <v>67200</v>
      </c>
      <c r="AB95" s="44">
        <f t="shared" si="129"/>
        <v>72800</v>
      </c>
      <c r="AC95" s="46">
        <f t="shared" si="130"/>
        <v>0</v>
      </c>
      <c r="AD95" s="47">
        <f t="shared" si="131"/>
        <v>0</v>
      </c>
      <c r="AE95" s="604">
        <f t="shared" si="180"/>
        <v>0</v>
      </c>
      <c r="AF95" s="44">
        <f t="shared" si="181"/>
        <v>0</v>
      </c>
      <c r="AG95" s="44">
        <f t="shared" si="182"/>
        <v>0</v>
      </c>
      <c r="AH95" s="44">
        <f t="shared" si="183"/>
        <v>0</v>
      </c>
      <c r="AI95" s="44">
        <f t="shared" si="184"/>
        <v>140000</v>
      </c>
      <c r="AJ95" s="44">
        <f t="shared" si="185"/>
        <v>140000</v>
      </c>
      <c r="AK95" s="44">
        <f t="shared" si="132"/>
        <v>11200</v>
      </c>
      <c r="AL95" s="44">
        <f t="shared" si="186"/>
        <v>11200</v>
      </c>
      <c r="AM95" s="44">
        <f t="shared" si="133"/>
        <v>56000</v>
      </c>
      <c r="AN95" s="44">
        <f t="shared" si="187"/>
        <v>56000</v>
      </c>
      <c r="AO95" s="44">
        <f t="shared" si="134"/>
        <v>84000</v>
      </c>
      <c r="AP95" s="46">
        <f t="shared" si="135"/>
        <v>0</v>
      </c>
      <c r="AQ95" s="47">
        <f t="shared" si="136"/>
        <v>0</v>
      </c>
      <c r="AR95" s="604">
        <f t="shared" si="188"/>
        <v>0</v>
      </c>
      <c r="AS95" s="44">
        <f t="shared" si="189"/>
        <v>0</v>
      </c>
      <c r="AT95" s="44">
        <f t="shared" si="190"/>
        <v>0</v>
      </c>
      <c r="AU95" s="44">
        <f t="shared" si="191"/>
        <v>0</v>
      </c>
      <c r="AV95" s="44">
        <f t="shared" si="192"/>
        <v>140000</v>
      </c>
      <c r="AW95" s="44">
        <f t="shared" si="193"/>
        <v>140000</v>
      </c>
      <c r="AX95" s="44">
        <f t="shared" si="137"/>
        <v>11200</v>
      </c>
      <c r="AY95" s="44">
        <f t="shared" si="194"/>
        <v>11200</v>
      </c>
      <c r="AZ95" s="44">
        <f t="shared" si="138"/>
        <v>44800</v>
      </c>
      <c r="BA95" s="44">
        <f t="shared" si="195"/>
        <v>44800</v>
      </c>
      <c r="BB95" s="44">
        <f t="shared" si="139"/>
        <v>95200</v>
      </c>
      <c r="BC95" s="46">
        <f t="shared" si="140"/>
        <v>0</v>
      </c>
      <c r="BD95" s="47">
        <f t="shared" si="141"/>
        <v>0</v>
      </c>
      <c r="BE95" s="604">
        <f t="shared" si="196"/>
        <v>0</v>
      </c>
      <c r="BF95" s="44">
        <f t="shared" si="197"/>
        <v>0</v>
      </c>
      <c r="BG95" s="44">
        <f t="shared" si="198"/>
        <v>0</v>
      </c>
      <c r="BH95" s="44">
        <f t="shared" si="199"/>
        <v>0</v>
      </c>
      <c r="BI95" s="44">
        <f t="shared" si="200"/>
        <v>140000</v>
      </c>
      <c r="BJ95" s="44">
        <f t="shared" si="201"/>
        <v>140000</v>
      </c>
      <c r="BK95" s="44">
        <f t="shared" si="142"/>
        <v>11200</v>
      </c>
      <c r="BL95" s="44">
        <f t="shared" si="202"/>
        <v>11200</v>
      </c>
      <c r="BM95" s="44">
        <f t="shared" si="143"/>
        <v>33600</v>
      </c>
      <c r="BN95" s="44">
        <f t="shared" si="203"/>
        <v>33600</v>
      </c>
      <c r="BO95" s="44">
        <f t="shared" si="144"/>
        <v>106400</v>
      </c>
      <c r="BP95" s="46">
        <f t="shared" si="145"/>
        <v>0</v>
      </c>
      <c r="BQ95" s="47">
        <f t="shared" si="146"/>
        <v>0</v>
      </c>
      <c r="BR95" s="604">
        <f t="shared" si="204"/>
        <v>0</v>
      </c>
      <c r="BS95" s="44">
        <f t="shared" si="205"/>
        <v>0</v>
      </c>
      <c r="BT95" s="44">
        <f t="shared" si="206"/>
        <v>0</v>
      </c>
      <c r="BU95" s="44">
        <f t="shared" si="207"/>
        <v>0</v>
      </c>
      <c r="BV95" s="44">
        <f t="shared" si="208"/>
        <v>140000</v>
      </c>
      <c r="BW95" s="44">
        <f t="shared" si="209"/>
        <v>140000</v>
      </c>
      <c r="BX95" s="44">
        <f t="shared" si="147"/>
        <v>11200</v>
      </c>
      <c r="BY95" s="44">
        <f t="shared" si="210"/>
        <v>11200</v>
      </c>
      <c r="BZ95" s="44">
        <f t="shared" si="148"/>
        <v>22400</v>
      </c>
      <c r="CA95" s="44">
        <f t="shared" si="211"/>
        <v>22400</v>
      </c>
      <c r="CB95" s="44">
        <f t="shared" si="149"/>
        <v>117600</v>
      </c>
      <c r="CC95" s="46">
        <f t="shared" si="150"/>
        <v>0</v>
      </c>
      <c r="CD95" s="47">
        <f t="shared" si="151"/>
        <v>0</v>
      </c>
      <c r="CE95" s="604">
        <f t="shared" si="212"/>
        <v>0</v>
      </c>
      <c r="CF95" s="44">
        <f t="shared" si="213"/>
        <v>0</v>
      </c>
      <c r="CG95" s="44">
        <f t="shared" si="214"/>
        <v>0</v>
      </c>
      <c r="CH95" s="44">
        <f t="shared" si="215"/>
        <v>0</v>
      </c>
      <c r="CI95" s="44">
        <f t="shared" si="216"/>
        <v>140000</v>
      </c>
      <c r="CJ95" s="44">
        <f t="shared" si="217"/>
        <v>140000</v>
      </c>
      <c r="CK95" s="44">
        <f t="shared" si="152"/>
        <v>11200</v>
      </c>
      <c r="CL95" s="44">
        <f t="shared" si="218"/>
        <v>11200</v>
      </c>
      <c r="CM95" s="44">
        <f t="shared" si="153"/>
        <v>11200</v>
      </c>
      <c r="CN95" s="44">
        <f t="shared" si="219"/>
        <v>11200</v>
      </c>
      <c r="CO95" s="44">
        <f t="shared" si="154"/>
        <v>128800</v>
      </c>
      <c r="CP95" s="46">
        <f t="shared" si="155"/>
        <v>0</v>
      </c>
      <c r="CQ95" s="47">
        <f t="shared" si="156"/>
        <v>0</v>
      </c>
      <c r="CR95" s="604">
        <f t="shared" si="220"/>
        <v>0</v>
      </c>
      <c r="CS95" s="44">
        <f t="shared" si="221"/>
        <v>0</v>
      </c>
      <c r="CT95" s="44">
        <f t="shared" si="222"/>
        <v>0</v>
      </c>
      <c r="CU95" s="44">
        <f t="shared" si="223"/>
        <v>0</v>
      </c>
      <c r="CV95" s="44">
        <f t="shared" si="224"/>
        <v>140000</v>
      </c>
      <c r="CW95" s="44">
        <f t="shared" si="225"/>
        <v>140000</v>
      </c>
      <c r="CX95" s="44">
        <f t="shared" si="157"/>
        <v>11200</v>
      </c>
      <c r="CY95" s="44">
        <f t="shared" si="226"/>
        <v>11200</v>
      </c>
      <c r="CZ95" s="44">
        <f t="shared" si="158"/>
        <v>0</v>
      </c>
      <c r="DA95" s="44">
        <f t="shared" si="227"/>
        <v>0</v>
      </c>
      <c r="DB95" s="44">
        <f t="shared" si="159"/>
        <v>140000</v>
      </c>
      <c r="DC95" s="46">
        <f t="shared" si="160"/>
        <v>0</v>
      </c>
      <c r="DD95" s="47">
        <f t="shared" si="161"/>
        <v>0</v>
      </c>
      <c r="DE95" s="604">
        <f t="shared" si="228"/>
        <v>0</v>
      </c>
      <c r="DF95" s="44">
        <f t="shared" si="229"/>
        <v>0</v>
      </c>
      <c r="DG95" s="44">
        <f t="shared" si="230"/>
        <v>0</v>
      </c>
      <c r="DH95" s="44">
        <f t="shared" si="231"/>
        <v>0</v>
      </c>
      <c r="DI95" s="44">
        <f t="shared" si="232"/>
        <v>140000</v>
      </c>
      <c r="DJ95" s="44">
        <f t="shared" si="233"/>
        <v>0</v>
      </c>
      <c r="DK95" s="44">
        <f t="shared" si="162"/>
        <v>0</v>
      </c>
      <c r="DL95" s="44">
        <f t="shared" si="234"/>
        <v>0</v>
      </c>
      <c r="DM95" s="44">
        <f t="shared" si="163"/>
        <v>0</v>
      </c>
      <c r="DN95" s="44">
        <f t="shared" si="235"/>
        <v>0</v>
      </c>
      <c r="DO95" s="44">
        <f t="shared" si="164"/>
        <v>140000</v>
      </c>
      <c r="DP95" s="46">
        <f t="shared" si="165"/>
        <v>0</v>
      </c>
      <c r="DQ95" s="47">
        <f t="shared" si="166"/>
        <v>0</v>
      </c>
      <c r="DR95" s="604">
        <f t="shared" si="236"/>
        <v>0</v>
      </c>
      <c r="DS95" s="44">
        <f t="shared" si="237"/>
        <v>0</v>
      </c>
      <c r="DT95" s="44">
        <f t="shared" si="238"/>
        <v>0</v>
      </c>
      <c r="DU95" s="44">
        <f t="shared" si="239"/>
        <v>0</v>
      </c>
      <c r="DV95" s="44">
        <f t="shared" si="240"/>
        <v>140000</v>
      </c>
      <c r="DW95" s="44">
        <f t="shared" si="241"/>
        <v>0</v>
      </c>
      <c r="DX95" s="44">
        <f t="shared" si="167"/>
        <v>0</v>
      </c>
      <c r="DY95" s="44">
        <f t="shared" si="242"/>
        <v>0</v>
      </c>
      <c r="DZ95" s="44">
        <f t="shared" si="168"/>
        <v>0</v>
      </c>
      <c r="EA95" s="44">
        <f t="shared" si="243"/>
        <v>0</v>
      </c>
      <c r="EB95" s="44">
        <f t="shared" si="169"/>
        <v>140000</v>
      </c>
      <c r="EC95" s="46">
        <f t="shared" si="170"/>
        <v>0</v>
      </c>
      <c r="ED95" s="47">
        <f t="shared" si="171"/>
        <v>0</v>
      </c>
    </row>
    <row r="96" spans="1:134" x14ac:dyDescent="0.35">
      <c r="A96" s="81">
        <v>1999</v>
      </c>
      <c r="B96" s="82" t="s">
        <v>266</v>
      </c>
      <c r="C96" s="82"/>
      <c r="D96" s="83" t="s">
        <v>29</v>
      </c>
      <c r="E96" s="87">
        <v>193000</v>
      </c>
      <c r="F96" s="85">
        <v>38899</v>
      </c>
      <c r="G96" s="86">
        <v>12.5</v>
      </c>
      <c r="H96" s="179"/>
      <c r="I96" s="180"/>
      <c r="J96" s="181"/>
      <c r="K96" s="42">
        <f t="shared" si="122"/>
        <v>0.08</v>
      </c>
      <c r="L96" s="43">
        <f t="shared" si="123"/>
        <v>15440</v>
      </c>
      <c r="M96" s="44">
        <f t="shared" si="124"/>
        <v>108080</v>
      </c>
      <c r="N96" s="44"/>
      <c r="O96" s="44">
        <f t="shared" si="125"/>
        <v>84920</v>
      </c>
      <c r="P96" s="45"/>
      <c r="Q96" s="44">
        <f t="shared" si="126"/>
        <v>193000</v>
      </c>
      <c r="R96" s="604">
        <f t="shared" si="172"/>
        <v>0</v>
      </c>
      <c r="S96" s="44">
        <f t="shared" si="173"/>
        <v>0</v>
      </c>
      <c r="T96" s="44">
        <f t="shared" si="174"/>
        <v>0</v>
      </c>
      <c r="U96" s="44">
        <f t="shared" si="175"/>
        <v>0</v>
      </c>
      <c r="V96" s="44">
        <f t="shared" si="176"/>
        <v>193000</v>
      </c>
      <c r="W96" s="44">
        <f t="shared" si="177"/>
        <v>193000</v>
      </c>
      <c r="X96" s="44">
        <f t="shared" si="127"/>
        <v>15440</v>
      </c>
      <c r="Y96" s="44">
        <f t="shared" si="178"/>
        <v>15440</v>
      </c>
      <c r="Z96" s="44">
        <f t="shared" si="128"/>
        <v>92640</v>
      </c>
      <c r="AA96" s="44">
        <f t="shared" si="179"/>
        <v>92640</v>
      </c>
      <c r="AB96" s="44">
        <f t="shared" si="129"/>
        <v>100360</v>
      </c>
      <c r="AC96" s="46">
        <f t="shared" si="130"/>
        <v>0</v>
      </c>
      <c r="AD96" s="47">
        <f t="shared" si="131"/>
        <v>0</v>
      </c>
      <c r="AE96" s="604">
        <f t="shared" si="180"/>
        <v>0</v>
      </c>
      <c r="AF96" s="44">
        <f t="shared" si="181"/>
        <v>0</v>
      </c>
      <c r="AG96" s="44">
        <f t="shared" si="182"/>
        <v>0</v>
      </c>
      <c r="AH96" s="44">
        <f t="shared" si="183"/>
        <v>0</v>
      </c>
      <c r="AI96" s="44">
        <f t="shared" si="184"/>
        <v>193000</v>
      </c>
      <c r="AJ96" s="44">
        <f t="shared" si="185"/>
        <v>193000</v>
      </c>
      <c r="AK96" s="44">
        <f t="shared" si="132"/>
        <v>15440</v>
      </c>
      <c r="AL96" s="44">
        <f t="shared" si="186"/>
        <v>15440</v>
      </c>
      <c r="AM96" s="44">
        <f t="shared" si="133"/>
        <v>77200</v>
      </c>
      <c r="AN96" s="44">
        <f t="shared" si="187"/>
        <v>77200</v>
      </c>
      <c r="AO96" s="44">
        <f t="shared" si="134"/>
        <v>115800</v>
      </c>
      <c r="AP96" s="46">
        <f t="shared" si="135"/>
        <v>0</v>
      </c>
      <c r="AQ96" s="47">
        <f t="shared" si="136"/>
        <v>0</v>
      </c>
      <c r="AR96" s="604">
        <f t="shared" si="188"/>
        <v>0</v>
      </c>
      <c r="AS96" s="44">
        <f t="shared" si="189"/>
        <v>0</v>
      </c>
      <c r="AT96" s="44">
        <f t="shared" si="190"/>
        <v>0</v>
      </c>
      <c r="AU96" s="44">
        <f t="shared" si="191"/>
        <v>0</v>
      </c>
      <c r="AV96" s="44">
        <f t="shared" si="192"/>
        <v>193000</v>
      </c>
      <c r="AW96" s="44">
        <f t="shared" si="193"/>
        <v>193000</v>
      </c>
      <c r="AX96" s="44">
        <f t="shared" si="137"/>
        <v>15440</v>
      </c>
      <c r="AY96" s="44">
        <f t="shared" si="194"/>
        <v>15440</v>
      </c>
      <c r="AZ96" s="44">
        <f t="shared" si="138"/>
        <v>61760</v>
      </c>
      <c r="BA96" s="44">
        <f t="shared" si="195"/>
        <v>61760</v>
      </c>
      <c r="BB96" s="44">
        <f t="shared" si="139"/>
        <v>131240</v>
      </c>
      <c r="BC96" s="46">
        <f t="shared" si="140"/>
        <v>0</v>
      </c>
      <c r="BD96" s="47">
        <f t="shared" si="141"/>
        <v>0</v>
      </c>
      <c r="BE96" s="604">
        <f t="shared" si="196"/>
        <v>0</v>
      </c>
      <c r="BF96" s="44">
        <f t="shared" si="197"/>
        <v>0</v>
      </c>
      <c r="BG96" s="44">
        <f t="shared" si="198"/>
        <v>0</v>
      </c>
      <c r="BH96" s="44">
        <f t="shared" si="199"/>
        <v>0</v>
      </c>
      <c r="BI96" s="44">
        <f t="shared" si="200"/>
        <v>193000</v>
      </c>
      <c r="BJ96" s="44">
        <f t="shared" si="201"/>
        <v>193000</v>
      </c>
      <c r="BK96" s="44">
        <f t="shared" si="142"/>
        <v>15440</v>
      </c>
      <c r="BL96" s="44">
        <f t="shared" si="202"/>
        <v>15440</v>
      </c>
      <c r="BM96" s="44">
        <f t="shared" si="143"/>
        <v>46320</v>
      </c>
      <c r="BN96" s="44">
        <f t="shared" si="203"/>
        <v>46320</v>
      </c>
      <c r="BO96" s="44">
        <f t="shared" si="144"/>
        <v>146680</v>
      </c>
      <c r="BP96" s="46">
        <f t="shared" si="145"/>
        <v>0</v>
      </c>
      <c r="BQ96" s="47">
        <f t="shared" si="146"/>
        <v>0</v>
      </c>
      <c r="BR96" s="604">
        <f t="shared" si="204"/>
        <v>0</v>
      </c>
      <c r="BS96" s="44">
        <f t="shared" si="205"/>
        <v>0</v>
      </c>
      <c r="BT96" s="44">
        <f t="shared" si="206"/>
        <v>0</v>
      </c>
      <c r="BU96" s="44">
        <f t="shared" si="207"/>
        <v>0</v>
      </c>
      <c r="BV96" s="44">
        <f t="shared" si="208"/>
        <v>193000</v>
      </c>
      <c r="BW96" s="44">
        <f t="shared" si="209"/>
        <v>193000</v>
      </c>
      <c r="BX96" s="44">
        <f t="shared" si="147"/>
        <v>15440</v>
      </c>
      <c r="BY96" s="44">
        <f t="shared" si="210"/>
        <v>15440</v>
      </c>
      <c r="BZ96" s="44">
        <f t="shared" si="148"/>
        <v>30880</v>
      </c>
      <c r="CA96" s="44">
        <f t="shared" si="211"/>
        <v>30880</v>
      </c>
      <c r="CB96" s="44">
        <f t="shared" si="149"/>
        <v>162120</v>
      </c>
      <c r="CC96" s="46">
        <f t="shared" si="150"/>
        <v>0</v>
      </c>
      <c r="CD96" s="47">
        <f t="shared" si="151"/>
        <v>0</v>
      </c>
      <c r="CE96" s="604">
        <f t="shared" si="212"/>
        <v>0</v>
      </c>
      <c r="CF96" s="44">
        <f t="shared" si="213"/>
        <v>0</v>
      </c>
      <c r="CG96" s="44">
        <f t="shared" si="214"/>
        <v>0</v>
      </c>
      <c r="CH96" s="44">
        <f t="shared" si="215"/>
        <v>0</v>
      </c>
      <c r="CI96" s="44">
        <f t="shared" si="216"/>
        <v>193000</v>
      </c>
      <c r="CJ96" s="44">
        <f t="shared" si="217"/>
        <v>193000</v>
      </c>
      <c r="CK96" s="44">
        <f t="shared" si="152"/>
        <v>15440</v>
      </c>
      <c r="CL96" s="44">
        <f t="shared" si="218"/>
        <v>15440</v>
      </c>
      <c r="CM96" s="44">
        <f t="shared" si="153"/>
        <v>15440</v>
      </c>
      <c r="CN96" s="44">
        <f t="shared" si="219"/>
        <v>15440</v>
      </c>
      <c r="CO96" s="44">
        <f t="shared" si="154"/>
        <v>177560</v>
      </c>
      <c r="CP96" s="46">
        <f t="shared" si="155"/>
        <v>0</v>
      </c>
      <c r="CQ96" s="47">
        <f t="shared" si="156"/>
        <v>0</v>
      </c>
      <c r="CR96" s="604">
        <f t="shared" si="220"/>
        <v>0</v>
      </c>
      <c r="CS96" s="44">
        <f t="shared" si="221"/>
        <v>0</v>
      </c>
      <c r="CT96" s="44">
        <f t="shared" si="222"/>
        <v>0</v>
      </c>
      <c r="CU96" s="44">
        <f t="shared" si="223"/>
        <v>0</v>
      </c>
      <c r="CV96" s="44">
        <f t="shared" si="224"/>
        <v>193000</v>
      </c>
      <c r="CW96" s="44">
        <f t="shared" si="225"/>
        <v>193000</v>
      </c>
      <c r="CX96" s="44">
        <f t="shared" si="157"/>
        <v>15440</v>
      </c>
      <c r="CY96" s="44">
        <f t="shared" si="226"/>
        <v>15440</v>
      </c>
      <c r="CZ96" s="44">
        <f t="shared" si="158"/>
        <v>0</v>
      </c>
      <c r="DA96" s="44">
        <f t="shared" si="227"/>
        <v>0</v>
      </c>
      <c r="DB96" s="44">
        <f t="shared" si="159"/>
        <v>193000</v>
      </c>
      <c r="DC96" s="46">
        <f t="shared" si="160"/>
        <v>0</v>
      </c>
      <c r="DD96" s="47">
        <f t="shared" si="161"/>
        <v>0</v>
      </c>
      <c r="DE96" s="604">
        <f t="shared" si="228"/>
        <v>0</v>
      </c>
      <c r="DF96" s="44">
        <f t="shared" si="229"/>
        <v>0</v>
      </c>
      <c r="DG96" s="44">
        <f t="shared" si="230"/>
        <v>0</v>
      </c>
      <c r="DH96" s="44">
        <f t="shared" si="231"/>
        <v>0</v>
      </c>
      <c r="DI96" s="44">
        <f t="shared" si="232"/>
        <v>193000</v>
      </c>
      <c r="DJ96" s="44">
        <f t="shared" si="233"/>
        <v>0</v>
      </c>
      <c r="DK96" s="44">
        <f t="shared" si="162"/>
        <v>0</v>
      </c>
      <c r="DL96" s="44">
        <f t="shared" si="234"/>
        <v>0</v>
      </c>
      <c r="DM96" s="44">
        <f t="shared" si="163"/>
        <v>0</v>
      </c>
      <c r="DN96" s="44">
        <f t="shared" si="235"/>
        <v>0</v>
      </c>
      <c r="DO96" s="44">
        <f t="shared" si="164"/>
        <v>193000</v>
      </c>
      <c r="DP96" s="46">
        <f t="shared" si="165"/>
        <v>0</v>
      </c>
      <c r="DQ96" s="47">
        <f t="shared" si="166"/>
        <v>0</v>
      </c>
      <c r="DR96" s="604">
        <f t="shared" si="236"/>
        <v>0</v>
      </c>
      <c r="DS96" s="44">
        <f t="shared" si="237"/>
        <v>0</v>
      </c>
      <c r="DT96" s="44">
        <f t="shared" si="238"/>
        <v>0</v>
      </c>
      <c r="DU96" s="44">
        <f t="shared" si="239"/>
        <v>0</v>
      </c>
      <c r="DV96" s="44">
        <f t="shared" si="240"/>
        <v>193000</v>
      </c>
      <c r="DW96" s="44">
        <f t="shared" si="241"/>
        <v>0</v>
      </c>
      <c r="DX96" s="44">
        <f t="shared" si="167"/>
        <v>0</v>
      </c>
      <c r="DY96" s="44">
        <f t="shared" si="242"/>
        <v>0</v>
      </c>
      <c r="DZ96" s="44">
        <f t="shared" si="168"/>
        <v>0</v>
      </c>
      <c r="EA96" s="44">
        <f t="shared" si="243"/>
        <v>0</v>
      </c>
      <c r="EB96" s="44">
        <f t="shared" si="169"/>
        <v>193000</v>
      </c>
      <c r="EC96" s="46">
        <f t="shared" si="170"/>
        <v>0</v>
      </c>
      <c r="ED96" s="47">
        <f t="shared" si="171"/>
        <v>0</v>
      </c>
    </row>
    <row r="97" spans="1:134" x14ac:dyDescent="0.35">
      <c r="A97" s="81">
        <v>1999</v>
      </c>
      <c r="B97" s="82" t="s">
        <v>267</v>
      </c>
      <c r="C97" s="82"/>
      <c r="D97" s="83" t="s">
        <v>29</v>
      </c>
      <c r="E97" s="87">
        <v>242000</v>
      </c>
      <c r="F97" s="85">
        <v>38899</v>
      </c>
      <c r="G97" s="86">
        <v>12.5</v>
      </c>
      <c r="H97" s="179"/>
      <c r="I97" s="180"/>
      <c r="J97" s="181"/>
      <c r="K97" s="42">
        <f t="shared" si="122"/>
        <v>0.08</v>
      </c>
      <c r="L97" s="43">
        <f t="shared" si="123"/>
        <v>19360</v>
      </c>
      <c r="M97" s="44">
        <f t="shared" si="124"/>
        <v>135520</v>
      </c>
      <c r="N97" s="44"/>
      <c r="O97" s="44">
        <f t="shared" si="125"/>
        <v>106480</v>
      </c>
      <c r="P97" s="45"/>
      <c r="Q97" s="44">
        <f t="shared" si="126"/>
        <v>242000</v>
      </c>
      <c r="R97" s="604">
        <f t="shared" si="172"/>
        <v>0</v>
      </c>
      <c r="S97" s="44">
        <f t="shared" si="173"/>
        <v>0</v>
      </c>
      <c r="T97" s="44">
        <f t="shared" si="174"/>
        <v>0</v>
      </c>
      <c r="U97" s="44">
        <f t="shared" si="175"/>
        <v>0</v>
      </c>
      <c r="V97" s="44">
        <f t="shared" si="176"/>
        <v>242000</v>
      </c>
      <c r="W97" s="44">
        <f t="shared" si="177"/>
        <v>242000</v>
      </c>
      <c r="X97" s="44">
        <f t="shared" si="127"/>
        <v>19360</v>
      </c>
      <c r="Y97" s="44">
        <f t="shared" si="178"/>
        <v>19360</v>
      </c>
      <c r="Z97" s="44">
        <f t="shared" si="128"/>
        <v>116160</v>
      </c>
      <c r="AA97" s="44">
        <f t="shared" si="179"/>
        <v>116160</v>
      </c>
      <c r="AB97" s="44">
        <f t="shared" si="129"/>
        <v>125840</v>
      </c>
      <c r="AC97" s="46">
        <f t="shared" si="130"/>
        <v>0</v>
      </c>
      <c r="AD97" s="47">
        <f t="shared" si="131"/>
        <v>0</v>
      </c>
      <c r="AE97" s="604">
        <f t="shared" si="180"/>
        <v>0</v>
      </c>
      <c r="AF97" s="44">
        <f t="shared" si="181"/>
        <v>0</v>
      </c>
      <c r="AG97" s="44">
        <f t="shared" si="182"/>
        <v>0</v>
      </c>
      <c r="AH97" s="44">
        <f t="shared" si="183"/>
        <v>0</v>
      </c>
      <c r="AI97" s="44">
        <f t="shared" si="184"/>
        <v>242000</v>
      </c>
      <c r="AJ97" s="44">
        <f t="shared" si="185"/>
        <v>242000</v>
      </c>
      <c r="AK97" s="44">
        <f t="shared" si="132"/>
        <v>19360</v>
      </c>
      <c r="AL97" s="44">
        <f t="shared" si="186"/>
        <v>19360</v>
      </c>
      <c r="AM97" s="44">
        <f t="shared" si="133"/>
        <v>96800</v>
      </c>
      <c r="AN97" s="44">
        <f t="shared" si="187"/>
        <v>96800</v>
      </c>
      <c r="AO97" s="44">
        <f t="shared" si="134"/>
        <v>145200</v>
      </c>
      <c r="AP97" s="46">
        <f t="shared" si="135"/>
        <v>0</v>
      </c>
      <c r="AQ97" s="47">
        <f t="shared" si="136"/>
        <v>0</v>
      </c>
      <c r="AR97" s="604">
        <f t="shared" si="188"/>
        <v>0</v>
      </c>
      <c r="AS97" s="44">
        <f t="shared" si="189"/>
        <v>0</v>
      </c>
      <c r="AT97" s="44">
        <f t="shared" si="190"/>
        <v>0</v>
      </c>
      <c r="AU97" s="44">
        <f t="shared" si="191"/>
        <v>0</v>
      </c>
      <c r="AV97" s="44">
        <f t="shared" si="192"/>
        <v>242000</v>
      </c>
      <c r="AW97" s="44">
        <f t="shared" si="193"/>
        <v>242000</v>
      </c>
      <c r="AX97" s="44">
        <f t="shared" si="137"/>
        <v>19360</v>
      </c>
      <c r="AY97" s="44">
        <f t="shared" si="194"/>
        <v>19360</v>
      </c>
      <c r="AZ97" s="44">
        <f t="shared" si="138"/>
        <v>77440</v>
      </c>
      <c r="BA97" s="44">
        <f t="shared" si="195"/>
        <v>77440</v>
      </c>
      <c r="BB97" s="44">
        <f t="shared" si="139"/>
        <v>164560</v>
      </c>
      <c r="BC97" s="46">
        <f t="shared" si="140"/>
        <v>0</v>
      </c>
      <c r="BD97" s="47">
        <f t="shared" si="141"/>
        <v>0</v>
      </c>
      <c r="BE97" s="604">
        <f t="shared" si="196"/>
        <v>0</v>
      </c>
      <c r="BF97" s="44">
        <f t="shared" si="197"/>
        <v>0</v>
      </c>
      <c r="BG97" s="44">
        <f t="shared" si="198"/>
        <v>0</v>
      </c>
      <c r="BH97" s="44">
        <f t="shared" si="199"/>
        <v>0</v>
      </c>
      <c r="BI97" s="44">
        <f t="shared" si="200"/>
        <v>242000</v>
      </c>
      <c r="BJ97" s="44">
        <f t="shared" si="201"/>
        <v>242000</v>
      </c>
      <c r="BK97" s="44">
        <f t="shared" si="142"/>
        <v>19360</v>
      </c>
      <c r="BL97" s="44">
        <f t="shared" si="202"/>
        <v>19360</v>
      </c>
      <c r="BM97" s="44">
        <f t="shared" si="143"/>
        <v>58080</v>
      </c>
      <c r="BN97" s="44">
        <f t="shared" si="203"/>
        <v>58080</v>
      </c>
      <c r="BO97" s="44">
        <f t="shared" si="144"/>
        <v>183920</v>
      </c>
      <c r="BP97" s="46">
        <f t="shared" si="145"/>
        <v>0</v>
      </c>
      <c r="BQ97" s="47">
        <f t="shared" si="146"/>
        <v>0</v>
      </c>
      <c r="BR97" s="604">
        <f t="shared" si="204"/>
        <v>0</v>
      </c>
      <c r="BS97" s="44">
        <f t="shared" si="205"/>
        <v>0</v>
      </c>
      <c r="BT97" s="44">
        <f t="shared" si="206"/>
        <v>0</v>
      </c>
      <c r="BU97" s="44">
        <f t="shared" si="207"/>
        <v>0</v>
      </c>
      <c r="BV97" s="44">
        <f t="shared" si="208"/>
        <v>242000</v>
      </c>
      <c r="BW97" s="44">
        <f t="shared" si="209"/>
        <v>242000</v>
      </c>
      <c r="BX97" s="44">
        <f t="shared" si="147"/>
        <v>19360</v>
      </c>
      <c r="BY97" s="44">
        <f t="shared" si="210"/>
        <v>19360</v>
      </c>
      <c r="BZ97" s="44">
        <f t="shared" si="148"/>
        <v>38720</v>
      </c>
      <c r="CA97" s="44">
        <f t="shared" si="211"/>
        <v>38720</v>
      </c>
      <c r="CB97" s="44">
        <f t="shared" si="149"/>
        <v>203280</v>
      </c>
      <c r="CC97" s="46">
        <f t="shared" si="150"/>
        <v>0</v>
      </c>
      <c r="CD97" s="47">
        <f t="shared" si="151"/>
        <v>0</v>
      </c>
      <c r="CE97" s="604">
        <f t="shared" si="212"/>
        <v>0</v>
      </c>
      <c r="CF97" s="44">
        <f t="shared" si="213"/>
        <v>0</v>
      </c>
      <c r="CG97" s="44">
        <f t="shared" si="214"/>
        <v>0</v>
      </c>
      <c r="CH97" s="44">
        <f t="shared" si="215"/>
        <v>0</v>
      </c>
      <c r="CI97" s="44">
        <f t="shared" si="216"/>
        <v>242000</v>
      </c>
      <c r="CJ97" s="44">
        <f t="shared" si="217"/>
        <v>242000</v>
      </c>
      <c r="CK97" s="44">
        <f t="shared" si="152"/>
        <v>19360</v>
      </c>
      <c r="CL97" s="44">
        <f t="shared" si="218"/>
        <v>19360</v>
      </c>
      <c r="CM97" s="44">
        <f t="shared" si="153"/>
        <v>19360</v>
      </c>
      <c r="CN97" s="44">
        <f t="shared" si="219"/>
        <v>19360</v>
      </c>
      <c r="CO97" s="44">
        <f t="shared" si="154"/>
        <v>222640</v>
      </c>
      <c r="CP97" s="46">
        <f t="shared" si="155"/>
        <v>0</v>
      </c>
      <c r="CQ97" s="47">
        <f t="shared" si="156"/>
        <v>0</v>
      </c>
      <c r="CR97" s="604">
        <f t="shared" si="220"/>
        <v>0</v>
      </c>
      <c r="CS97" s="44">
        <f t="shared" si="221"/>
        <v>0</v>
      </c>
      <c r="CT97" s="44">
        <f t="shared" si="222"/>
        <v>0</v>
      </c>
      <c r="CU97" s="44">
        <f t="shared" si="223"/>
        <v>0</v>
      </c>
      <c r="CV97" s="44">
        <f t="shared" si="224"/>
        <v>242000</v>
      </c>
      <c r="CW97" s="44">
        <f t="shared" si="225"/>
        <v>242000</v>
      </c>
      <c r="CX97" s="44">
        <f t="shared" si="157"/>
        <v>19360</v>
      </c>
      <c r="CY97" s="44">
        <f t="shared" si="226"/>
        <v>19360</v>
      </c>
      <c r="CZ97" s="44">
        <f t="shared" si="158"/>
        <v>0</v>
      </c>
      <c r="DA97" s="44">
        <f t="shared" si="227"/>
        <v>0</v>
      </c>
      <c r="DB97" s="44">
        <f t="shared" si="159"/>
        <v>242000</v>
      </c>
      <c r="DC97" s="46">
        <f t="shared" si="160"/>
        <v>0</v>
      </c>
      <c r="DD97" s="47">
        <f t="shared" si="161"/>
        <v>0</v>
      </c>
      <c r="DE97" s="604">
        <f t="shared" si="228"/>
        <v>0</v>
      </c>
      <c r="DF97" s="44">
        <f t="shared" si="229"/>
        <v>0</v>
      </c>
      <c r="DG97" s="44">
        <f t="shared" si="230"/>
        <v>0</v>
      </c>
      <c r="DH97" s="44">
        <f t="shared" si="231"/>
        <v>0</v>
      </c>
      <c r="DI97" s="44">
        <f t="shared" si="232"/>
        <v>242000</v>
      </c>
      <c r="DJ97" s="44">
        <f t="shared" si="233"/>
        <v>0</v>
      </c>
      <c r="DK97" s="44">
        <f t="shared" si="162"/>
        <v>0</v>
      </c>
      <c r="DL97" s="44">
        <f t="shared" si="234"/>
        <v>0</v>
      </c>
      <c r="DM97" s="44">
        <f t="shared" si="163"/>
        <v>0</v>
      </c>
      <c r="DN97" s="44">
        <f t="shared" si="235"/>
        <v>0</v>
      </c>
      <c r="DO97" s="44">
        <f t="shared" si="164"/>
        <v>242000</v>
      </c>
      <c r="DP97" s="46">
        <f t="shared" si="165"/>
        <v>0</v>
      </c>
      <c r="DQ97" s="47">
        <f t="shared" si="166"/>
        <v>0</v>
      </c>
      <c r="DR97" s="604">
        <f t="shared" si="236"/>
        <v>0</v>
      </c>
      <c r="DS97" s="44">
        <f t="shared" si="237"/>
        <v>0</v>
      </c>
      <c r="DT97" s="44">
        <f t="shared" si="238"/>
        <v>0</v>
      </c>
      <c r="DU97" s="44">
        <f t="shared" si="239"/>
        <v>0</v>
      </c>
      <c r="DV97" s="44">
        <f t="shared" si="240"/>
        <v>242000</v>
      </c>
      <c r="DW97" s="44">
        <f t="shared" si="241"/>
        <v>0</v>
      </c>
      <c r="DX97" s="44">
        <f t="shared" si="167"/>
        <v>0</v>
      </c>
      <c r="DY97" s="44">
        <f t="shared" si="242"/>
        <v>0</v>
      </c>
      <c r="DZ97" s="44">
        <f t="shared" si="168"/>
        <v>0</v>
      </c>
      <c r="EA97" s="44">
        <f t="shared" si="243"/>
        <v>0</v>
      </c>
      <c r="EB97" s="44">
        <f t="shared" si="169"/>
        <v>242000</v>
      </c>
      <c r="EC97" s="46">
        <f t="shared" si="170"/>
        <v>0</v>
      </c>
      <c r="ED97" s="47">
        <f t="shared" si="171"/>
        <v>0</v>
      </c>
    </row>
    <row r="98" spans="1:134" x14ac:dyDescent="0.35">
      <c r="A98" s="81">
        <v>1999</v>
      </c>
      <c r="B98" s="82" t="s">
        <v>268</v>
      </c>
      <c r="C98" s="82"/>
      <c r="D98" s="83" t="s">
        <v>29</v>
      </c>
      <c r="E98" s="87">
        <v>140000</v>
      </c>
      <c r="F98" s="85">
        <v>38899</v>
      </c>
      <c r="G98" s="86">
        <v>12.5</v>
      </c>
      <c r="H98" s="179"/>
      <c r="I98" s="180"/>
      <c r="J98" s="181"/>
      <c r="K98" s="42">
        <f t="shared" si="122"/>
        <v>0.08</v>
      </c>
      <c r="L98" s="43">
        <f t="shared" si="123"/>
        <v>11200</v>
      </c>
      <c r="M98" s="44">
        <f t="shared" si="124"/>
        <v>78400</v>
      </c>
      <c r="N98" s="44"/>
      <c r="O98" s="44">
        <f t="shared" si="125"/>
        <v>61600</v>
      </c>
      <c r="P98" s="45"/>
      <c r="Q98" s="44">
        <f t="shared" si="126"/>
        <v>140000</v>
      </c>
      <c r="R98" s="604">
        <f t="shared" si="172"/>
        <v>0</v>
      </c>
      <c r="S98" s="44">
        <f t="shared" si="173"/>
        <v>0</v>
      </c>
      <c r="T98" s="44">
        <f t="shared" si="174"/>
        <v>0</v>
      </c>
      <c r="U98" s="44">
        <f t="shared" si="175"/>
        <v>0</v>
      </c>
      <c r="V98" s="44">
        <f t="shared" si="176"/>
        <v>140000</v>
      </c>
      <c r="W98" s="44">
        <f t="shared" si="177"/>
        <v>140000</v>
      </c>
      <c r="X98" s="44">
        <f t="shared" si="127"/>
        <v>11200</v>
      </c>
      <c r="Y98" s="44">
        <f t="shared" si="178"/>
        <v>11200</v>
      </c>
      <c r="Z98" s="44">
        <f t="shared" si="128"/>
        <v>67200</v>
      </c>
      <c r="AA98" s="44">
        <f t="shared" si="179"/>
        <v>67200</v>
      </c>
      <c r="AB98" s="44">
        <f t="shared" si="129"/>
        <v>72800</v>
      </c>
      <c r="AC98" s="46">
        <f t="shared" si="130"/>
        <v>0</v>
      </c>
      <c r="AD98" s="47">
        <f t="shared" si="131"/>
        <v>0</v>
      </c>
      <c r="AE98" s="604">
        <f t="shared" si="180"/>
        <v>0</v>
      </c>
      <c r="AF98" s="44">
        <f t="shared" si="181"/>
        <v>0</v>
      </c>
      <c r="AG98" s="44">
        <f t="shared" si="182"/>
        <v>0</v>
      </c>
      <c r="AH98" s="44">
        <f t="shared" si="183"/>
        <v>0</v>
      </c>
      <c r="AI98" s="44">
        <f t="shared" si="184"/>
        <v>140000</v>
      </c>
      <c r="AJ98" s="44">
        <f t="shared" si="185"/>
        <v>140000</v>
      </c>
      <c r="AK98" s="44">
        <f t="shared" si="132"/>
        <v>11200</v>
      </c>
      <c r="AL98" s="44">
        <f t="shared" si="186"/>
        <v>11200</v>
      </c>
      <c r="AM98" s="44">
        <f t="shared" si="133"/>
        <v>56000</v>
      </c>
      <c r="AN98" s="44">
        <f t="shared" si="187"/>
        <v>56000</v>
      </c>
      <c r="AO98" s="44">
        <f t="shared" si="134"/>
        <v>84000</v>
      </c>
      <c r="AP98" s="46">
        <f t="shared" si="135"/>
        <v>0</v>
      </c>
      <c r="AQ98" s="47">
        <f t="shared" si="136"/>
        <v>0</v>
      </c>
      <c r="AR98" s="604">
        <f t="shared" si="188"/>
        <v>0</v>
      </c>
      <c r="AS98" s="44">
        <f t="shared" si="189"/>
        <v>0</v>
      </c>
      <c r="AT98" s="44">
        <f t="shared" si="190"/>
        <v>0</v>
      </c>
      <c r="AU98" s="44">
        <f t="shared" si="191"/>
        <v>0</v>
      </c>
      <c r="AV98" s="44">
        <f t="shared" si="192"/>
        <v>140000</v>
      </c>
      <c r="AW98" s="44">
        <f t="shared" si="193"/>
        <v>140000</v>
      </c>
      <c r="AX98" s="44">
        <f t="shared" si="137"/>
        <v>11200</v>
      </c>
      <c r="AY98" s="44">
        <f t="shared" si="194"/>
        <v>11200</v>
      </c>
      <c r="AZ98" s="44">
        <f t="shared" si="138"/>
        <v>44800</v>
      </c>
      <c r="BA98" s="44">
        <f t="shared" si="195"/>
        <v>44800</v>
      </c>
      <c r="BB98" s="44">
        <f t="shared" si="139"/>
        <v>95200</v>
      </c>
      <c r="BC98" s="46">
        <f t="shared" si="140"/>
        <v>0</v>
      </c>
      <c r="BD98" s="47">
        <f t="shared" si="141"/>
        <v>0</v>
      </c>
      <c r="BE98" s="604">
        <f t="shared" si="196"/>
        <v>0</v>
      </c>
      <c r="BF98" s="44">
        <f t="shared" si="197"/>
        <v>0</v>
      </c>
      <c r="BG98" s="44">
        <f t="shared" si="198"/>
        <v>0</v>
      </c>
      <c r="BH98" s="44">
        <f t="shared" si="199"/>
        <v>0</v>
      </c>
      <c r="BI98" s="44">
        <f t="shared" si="200"/>
        <v>140000</v>
      </c>
      <c r="BJ98" s="44">
        <f t="shared" si="201"/>
        <v>140000</v>
      </c>
      <c r="BK98" s="44">
        <f t="shared" si="142"/>
        <v>11200</v>
      </c>
      <c r="BL98" s="44">
        <f t="shared" si="202"/>
        <v>11200</v>
      </c>
      <c r="BM98" s="44">
        <f t="shared" si="143"/>
        <v>33600</v>
      </c>
      <c r="BN98" s="44">
        <f t="shared" si="203"/>
        <v>33600</v>
      </c>
      <c r="BO98" s="44">
        <f t="shared" si="144"/>
        <v>106400</v>
      </c>
      <c r="BP98" s="46">
        <f t="shared" si="145"/>
        <v>0</v>
      </c>
      <c r="BQ98" s="47">
        <f t="shared" si="146"/>
        <v>0</v>
      </c>
      <c r="BR98" s="604">
        <f t="shared" si="204"/>
        <v>0</v>
      </c>
      <c r="BS98" s="44">
        <f t="shared" si="205"/>
        <v>0</v>
      </c>
      <c r="BT98" s="44">
        <f t="shared" si="206"/>
        <v>0</v>
      </c>
      <c r="BU98" s="44">
        <f t="shared" si="207"/>
        <v>0</v>
      </c>
      <c r="BV98" s="44">
        <f t="shared" si="208"/>
        <v>140000</v>
      </c>
      <c r="BW98" s="44">
        <f t="shared" si="209"/>
        <v>140000</v>
      </c>
      <c r="BX98" s="44">
        <f t="shared" si="147"/>
        <v>11200</v>
      </c>
      <c r="BY98" s="44">
        <f t="shared" si="210"/>
        <v>11200</v>
      </c>
      <c r="BZ98" s="44">
        <f t="shared" si="148"/>
        <v>22400</v>
      </c>
      <c r="CA98" s="44">
        <f t="shared" si="211"/>
        <v>22400</v>
      </c>
      <c r="CB98" s="44">
        <f t="shared" si="149"/>
        <v>117600</v>
      </c>
      <c r="CC98" s="46">
        <f t="shared" si="150"/>
        <v>0</v>
      </c>
      <c r="CD98" s="47">
        <f t="shared" si="151"/>
        <v>0</v>
      </c>
      <c r="CE98" s="604">
        <f t="shared" si="212"/>
        <v>0</v>
      </c>
      <c r="CF98" s="44">
        <f t="shared" si="213"/>
        <v>0</v>
      </c>
      <c r="CG98" s="44">
        <f t="shared" si="214"/>
        <v>0</v>
      </c>
      <c r="CH98" s="44">
        <f t="shared" si="215"/>
        <v>0</v>
      </c>
      <c r="CI98" s="44">
        <f t="shared" si="216"/>
        <v>140000</v>
      </c>
      <c r="CJ98" s="44">
        <f t="shared" si="217"/>
        <v>140000</v>
      </c>
      <c r="CK98" s="44">
        <f t="shared" si="152"/>
        <v>11200</v>
      </c>
      <c r="CL98" s="44">
        <f t="shared" si="218"/>
        <v>11200</v>
      </c>
      <c r="CM98" s="44">
        <f t="shared" si="153"/>
        <v>11200</v>
      </c>
      <c r="CN98" s="44">
        <f t="shared" si="219"/>
        <v>11200</v>
      </c>
      <c r="CO98" s="44">
        <f t="shared" si="154"/>
        <v>128800</v>
      </c>
      <c r="CP98" s="46">
        <f t="shared" si="155"/>
        <v>0</v>
      </c>
      <c r="CQ98" s="47">
        <f t="shared" si="156"/>
        <v>0</v>
      </c>
      <c r="CR98" s="604">
        <f t="shared" si="220"/>
        <v>0</v>
      </c>
      <c r="CS98" s="44">
        <f t="shared" si="221"/>
        <v>0</v>
      </c>
      <c r="CT98" s="44">
        <f t="shared" si="222"/>
        <v>0</v>
      </c>
      <c r="CU98" s="44">
        <f t="shared" si="223"/>
        <v>0</v>
      </c>
      <c r="CV98" s="44">
        <f t="shared" si="224"/>
        <v>140000</v>
      </c>
      <c r="CW98" s="44">
        <f t="shared" si="225"/>
        <v>140000</v>
      </c>
      <c r="CX98" s="44">
        <f t="shared" si="157"/>
        <v>11200</v>
      </c>
      <c r="CY98" s="44">
        <f t="shared" si="226"/>
        <v>11200</v>
      </c>
      <c r="CZ98" s="44">
        <f t="shared" si="158"/>
        <v>0</v>
      </c>
      <c r="DA98" s="44">
        <f t="shared" si="227"/>
        <v>0</v>
      </c>
      <c r="DB98" s="44">
        <f t="shared" si="159"/>
        <v>140000</v>
      </c>
      <c r="DC98" s="46">
        <f t="shared" si="160"/>
        <v>0</v>
      </c>
      <c r="DD98" s="47">
        <f t="shared" si="161"/>
        <v>0</v>
      </c>
      <c r="DE98" s="604">
        <f t="shared" si="228"/>
        <v>0</v>
      </c>
      <c r="DF98" s="44">
        <f t="shared" si="229"/>
        <v>0</v>
      </c>
      <c r="DG98" s="44">
        <f t="shared" si="230"/>
        <v>0</v>
      </c>
      <c r="DH98" s="44">
        <f t="shared" si="231"/>
        <v>0</v>
      </c>
      <c r="DI98" s="44">
        <f t="shared" si="232"/>
        <v>140000</v>
      </c>
      <c r="DJ98" s="44">
        <f t="shared" si="233"/>
        <v>0</v>
      </c>
      <c r="DK98" s="44">
        <f t="shared" si="162"/>
        <v>0</v>
      </c>
      <c r="DL98" s="44">
        <f t="shared" si="234"/>
        <v>0</v>
      </c>
      <c r="DM98" s="44">
        <f t="shared" si="163"/>
        <v>0</v>
      </c>
      <c r="DN98" s="44">
        <f t="shared" si="235"/>
        <v>0</v>
      </c>
      <c r="DO98" s="44">
        <f t="shared" si="164"/>
        <v>140000</v>
      </c>
      <c r="DP98" s="46">
        <f t="shared" si="165"/>
        <v>0</v>
      </c>
      <c r="DQ98" s="47">
        <f t="shared" si="166"/>
        <v>0</v>
      </c>
      <c r="DR98" s="604">
        <f t="shared" si="236"/>
        <v>0</v>
      </c>
      <c r="DS98" s="44">
        <f t="shared" si="237"/>
        <v>0</v>
      </c>
      <c r="DT98" s="44">
        <f t="shared" si="238"/>
        <v>0</v>
      </c>
      <c r="DU98" s="44">
        <f t="shared" si="239"/>
        <v>0</v>
      </c>
      <c r="DV98" s="44">
        <f t="shared" si="240"/>
        <v>140000</v>
      </c>
      <c r="DW98" s="44">
        <f t="shared" si="241"/>
        <v>0</v>
      </c>
      <c r="DX98" s="44">
        <f t="shared" si="167"/>
        <v>0</v>
      </c>
      <c r="DY98" s="44">
        <f t="shared" si="242"/>
        <v>0</v>
      </c>
      <c r="DZ98" s="44">
        <f t="shared" si="168"/>
        <v>0</v>
      </c>
      <c r="EA98" s="44">
        <f t="shared" si="243"/>
        <v>0</v>
      </c>
      <c r="EB98" s="44">
        <f t="shared" si="169"/>
        <v>140000</v>
      </c>
      <c r="EC98" s="46">
        <f t="shared" si="170"/>
        <v>0</v>
      </c>
      <c r="ED98" s="47">
        <f t="shared" si="171"/>
        <v>0</v>
      </c>
    </row>
    <row r="99" spans="1:134" x14ac:dyDescent="0.35">
      <c r="A99" s="81">
        <v>1999</v>
      </c>
      <c r="B99" s="82" t="s">
        <v>269</v>
      </c>
      <c r="C99" s="82"/>
      <c r="D99" s="83" t="s">
        <v>29</v>
      </c>
      <c r="E99" s="87">
        <v>38000</v>
      </c>
      <c r="F99" s="85">
        <v>38899</v>
      </c>
      <c r="G99" s="86">
        <v>12.5</v>
      </c>
      <c r="H99" s="179"/>
      <c r="I99" s="180"/>
      <c r="J99" s="181"/>
      <c r="K99" s="42">
        <f t="shared" si="122"/>
        <v>0.08</v>
      </c>
      <c r="L99" s="43">
        <f t="shared" si="123"/>
        <v>3040</v>
      </c>
      <c r="M99" s="44">
        <f t="shared" si="124"/>
        <v>21280</v>
      </c>
      <c r="N99" s="44"/>
      <c r="O99" s="44">
        <f t="shared" si="125"/>
        <v>16720</v>
      </c>
      <c r="P99" s="45"/>
      <c r="Q99" s="44">
        <f t="shared" si="126"/>
        <v>38000</v>
      </c>
      <c r="R99" s="604">
        <f t="shared" si="172"/>
        <v>0</v>
      </c>
      <c r="S99" s="44">
        <f t="shared" si="173"/>
        <v>0</v>
      </c>
      <c r="T99" s="44">
        <f t="shared" si="174"/>
        <v>0</v>
      </c>
      <c r="U99" s="44">
        <f t="shared" si="175"/>
        <v>0</v>
      </c>
      <c r="V99" s="44">
        <f t="shared" si="176"/>
        <v>38000</v>
      </c>
      <c r="W99" s="44">
        <f t="shared" si="177"/>
        <v>38000</v>
      </c>
      <c r="X99" s="44">
        <f t="shared" si="127"/>
        <v>3040</v>
      </c>
      <c r="Y99" s="44">
        <f t="shared" si="178"/>
        <v>3040</v>
      </c>
      <c r="Z99" s="44">
        <f t="shared" si="128"/>
        <v>18240</v>
      </c>
      <c r="AA99" s="44">
        <f t="shared" si="179"/>
        <v>18240</v>
      </c>
      <c r="AB99" s="44">
        <f t="shared" si="129"/>
        <v>19760</v>
      </c>
      <c r="AC99" s="46">
        <f t="shared" si="130"/>
        <v>0</v>
      </c>
      <c r="AD99" s="47">
        <f t="shared" si="131"/>
        <v>0</v>
      </c>
      <c r="AE99" s="604">
        <f t="shared" si="180"/>
        <v>0</v>
      </c>
      <c r="AF99" s="44">
        <f t="shared" si="181"/>
        <v>0</v>
      </c>
      <c r="AG99" s="44">
        <f t="shared" si="182"/>
        <v>0</v>
      </c>
      <c r="AH99" s="44">
        <f t="shared" si="183"/>
        <v>0</v>
      </c>
      <c r="AI99" s="44">
        <f t="shared" si="184"/>
        <v>38000</v>
      </c>
      <c r="AJ99" s="44">
        <f t="shared" si="185"/>
        <v>38000</v>
      </c>
      <c r="AK99" s="44">
        <f t="shared" si="132"/>
        <v>3040</v>
      </c>
      <c r="AL99" s="44">
        <f t="shared" si="186"/>
        <v>3040</v>
      </c>
      <c r="AM99" s="44">
        <f t="shared" si="133"/>
        <v>15200</v>
      </c>
      <c r="AN99" s="44">
        <f t="shared" si="187"/>
        <v>15200</v>
      </c>
      <c r="AO99" s="44">
        <f t="shared" si="134"/>
        <v>22800</v>
      </c>
      <c r="AP99" s="46">
        <f t="shared" si="135"/>
        <v>0</v>
      </c>
      <c r="AQ99" s="47">
        <f t="shared" si="136"/>
        <v>0</v>
      </c>
      <c r="AR99" s="604">
        <f t="shared" si="188"/>
        <v>0</v>
      </c>
      <c r="AS99" s="44">
        <f t="shared" si="189"/>
        <v>0</v>
      </c>
      <c r="AT99" s="44">
        <f t="shared" si="190"/>
        <v>0</v>
      </c>
      <c r="AU99" s="44">
        <f t="shared" si="191"/>
        <v>0</v>
      </c>
      <c r="AV99" s="44">
        <f t="shared" si="192"/>
        <v>38000</v>
      </c>
      <c r="AW99" s="44">
        <f t="shared" si="193"/>
        <v>38000</v>
      </c>
      <c r="AX99" s="44">
        <f t="shared" si="137"/>
        <v>3040</v>
      </c>
      <c r="AY99" s="44">
        <f t="shared" si="194"/>
        <v>3040</v>
      </c>
      <c r="AZ99" s="44">
        <f t="shared" si="138"/>
        <v>12160</v>
      </c>
      <c r="BA99" s="44">
        <f t="shared" si="195"/>
        <v>12160</v>
      </c>
      <c r="BB99" s="44">
        <f t="shared" si="139"/>
        <v>25840</v>
      </c>
      <c r="BC99" s="46">
        <f t="shared" si="140"/>
        <v>0</v>
      </c>
      <c r="BD99" s="47">
        <f t="shared" si="141"/>
        <v>0</v>
      </c>
      <c r="BE99" s="604">
        <f t="shared" si="196"/>
        <v>0</v>
      </c>
      <c r="BF99" s="44">
        <f t="shared" si="197"/>
        <v>0</v>
      </c>
      <c r="BG99" s="44">
        <f t="shared" si="198"/>
        <v>0</v>
      </c>
      <c r="BH99" s="44">
        <f t="shared" si="199"/>
        <v>0</v>
      </c>
      <c r="BI99" s="44">
        <f t="shared" si="200"/>
        <v>38000</v>
      </c>
      <c r="BJ99" s="44">
        <f t="shared" si="201"/>
        <v>38000</v>
      </c>
      <c r="BK99" s="44">
        <f t="shared" si="142"/>
        <v>3040</v>
      </c>
      <c r="BL99" s="44">
        <f t="shared" si="202"/>
        <v>3040</v>
      </c>
      <c r="BM99" s="44">
        <f t="shared" si="143"/>
        <v>9120</v>
      </c>
      <c r="BN99" s="44">
        <f t="shared" si="203"/>
        <v>9120</v>
      </c>
      <c r="BO99" s="44">
        <f t="shared" si="144"/>
        <v>28880</v>
      </c>
      <c r="BP99" s="46">
        <f t="shared" si="145"/>
        <v>0</v>
      </c>
      <c r="BQ99" s="47">
        <f t="shared" si="146"/>
        <v>0</v>
      </c>
      <c r="BR99" s="604">
        <f t="shared" si="204"/>
        <v>0</v>
      </c>
      <c r="BS99" s="44">
        <f t="shared" si="205"/>
        <v>0</v>
      </c>
      <c r="BT99" s="44">
        <f t="shared" si="206"/>
        <v>0</v>
      </c>
      <c r="BU99" s="44">
        <f t="shared" si="207"/>
        <v>0</v>
      </c>
      <c r="BV99" s="44">
        <f t="shared" si="208"/>
        <v>38000</v>
      </c>
      <c r="BW99" s="44">
        <f t="shared" si="209"/>
        <v>38000</v>
      </c>
      <c r="BX99" s="44">
        <f t="shared" si="147"/>
        <v>3040</v>
      </c>
      <c r="BY99" s="44">
        <f t="shared" si="210"/>
        <v>3040</v>
      </c>
      <c r="BZ99" s="44">
        <f t="shared" si="148"/>
        <v>6080</v>
      </c>
      <c r="CA99" s="44">
        <f t="shared" si="211"/>
        <v>6080</v>
      </c>
      <c r="CB99" s="44">
        <f t="shared" si="149"/>
        <v>31920</v>
      </c>
      <c r="CC99" s="46">
        <f t="shared" si="150"/>
        <v>0</v>
      </c>
      <c r="CD99" s="47">
        <f t="shared" si="151"/>
        <v>0</v>
      </c>
      <c r="CE99" s="604">
        <f t="shared" si="212"/>
        <v>0</v>
      </c>
      <c r="CF99" s="44">
        <f t="shared" si="213"/>
        <v>0</v>
      </c>
      <c r="CG99" s="44">
        <f t="shared" si="214"/>
        <v>0</v>
      </c>
      <c r="CH99" s="44">
        <f t="shared" si="215"/>
        <v>0</v>
      </c>
      <c r="CI99" s="44">
        <f t="shared" si="216"/>
        <v>38000</v>
      </c>
      <c r="CJ99" s="44">
        <f t="shared" si="217"/>
        <v>38000</v>
      </c>
      <c r="CK99" s="44">
        <f t="shared" si="152"/>
        <v>3040</v>
      </c>
      <c r="CL99" s="44">
        <f t="shared" si="218"/>
        <v>3040</v>
      </c>
      <c r="CM99" s="44">
        <f t="shared" si="153"/>
        <v>3040</v>
      </c>
      <c r="CN99" s="44">
        <f t="shared" si="219"/>
        <v>3040</v>
      </c>
      <c r="CO99" s="44">
        <f t="shared" si="154"/>
        <v>34960</v>
      </c>
      <c r="CP99" s="46">
        <f t="shared" si="155"/>
        <v>0</v>
      </c>
      <c r="CQ99" s="47">
        <f t="shared" si="156"/>
        <v>0</v>
      </c>
      <c r="CR99" s="604">
        <f t="shared" si="220"/>
        <v>0</v>
      </c>
      <c r="CS99" s="44">
        <f t="shared" si="221"/>
        <v>0</v>
      </c>
      <c r="CT99" s="44">
        <f t="shared" si="222"/>
        <v>0</v>
      </c>
      <c r="CU99" s="44">
        <f t="shared" si="223"/>
        <v>0</v>
      </c>
      <c r="CV99" s="44">
        <f t="shared" si="224"/>
        <v>38000</v>
      </c>
      <c r="CW99" s="44">
        <f t="shared" si="225"/>
        <v>38000</v>
      </c>
      <c r="CX99" s="44">
        <f t="shared" si="157"/>
        <v>3040</v>
      </c>
      <c r="CY99" s="44">
        <f t="shared" si="226"/>
        <v>3040</v>
      </c>
      <c r="CZ99" s="44">
        <f t="shared" si="158"/>
        <v>0</v>
      </c>
      <c r="DA99" s="44">
        <f t="shared" si="227"/>
        <v>0</v>
      </c>
      <c r="DB99" s="44">
        <f t="shared" si="159"/>
        <v>38000</v>
      </c>
      <c r="DC99" s="46">
        <f t="shared" si="160"/>
        <v>0</v>
      </c>
      <c r="DD99" s="47">
        <f t="shared" si="161"/>
        <v>0</v>
      </c>
      <c r="DE99" s="604">
        <f t="shared" si="228"/>
        <v>0</v>
      </c>
      <c r="DF99" s="44">
        <f t="shared" si="229"/>
        <v>0</v>
      </c>
      <c r="DG99" s="44">
        <f t="shared" si="230"/>
        <v>0</v>
      </c>
      <c r="DH99" s="44">
        <f t="shared" si="231"/>
        <v>0</v>
      </c>
      <c r="DI99" s="44">
        <f t="shared" si="232"/>
        <v>38000</v>
      </c>
      <c r="DJ99" s="44">
        <f t="shared" si="233"/>
        <v>0</v>
      </c>
      <c r="DK99" s="44">
        <f t="shared" si="162"/>
        <v>0</v>
      </c>
      <c r="DL99" s="44">
        <f t="shared" si="234"/>
        <v>0</v>
      </c>
      <c r="DM99" s="44">
        <f t="shared" si="163"/>
        <v>0</v>
      </c>
      <c r="DN99" s="44">
        <f t="shared" si="235"/>
        <v>0</v>
      </c>
      <c r="DO99" s="44">
        <f t="shared" si="164"/>
        <v>38000</v>
      </c>
      <c r="DP99" s="46">
        <f t="shared" si="165"/>
        <v>0</v>
      </c>
      <c r="DQ99" s="47">
        <f t="shared" si="166"/>
        <v>0</v>
      </c>
      <c r="DR99" s="604">
        <f t="shared" si="236"/>
        <v>0</v>
      </c>
      <c r="DS99" s="44">
        <f t="shared" si="237"/>
        <v>0</v>
      </c>
      <c r="DT99" s="44">
        <f t="shared" si="238"/>
        <v>0</v>
      </c>
      <c r="DU99" s="44">
        <f t="shared" si="239"/>
        <v>0</v>
      </c>
      <c r="DV99" s="44">
        <f t="shared" si="240"/>
        <v>38000</v>
      </c>
      <c r="DW99" s="44">
        <f t="shared" si="241"/>
        <v>0</v>
      </c>
      <c r="DX99" s="44">
        <f t="shared" si="167"/>
        <v>0</v>
      </c>
      <c r="DY99" s="44">
        <f t="shared" si="242"/>
        <v>0</v>
      </c>
      <c r="DZ99" s="44">
        <f t="shared" si="168"/>
        <v>0</v>
      </c>
      <c r="EA99" s="44">
        <f t="shared" si="243"/>
        <v>0</v>
      </c>
      <c r="EB99" s="44">
        <f t="shared" si="169"/>
        <v>38000</v>
      </c>
      <c r="EC99" s="46">
        <f t="shared" si="170"/>
        <v>0</v>
      </c>
      <c r="ED99" s="47">
        <f t="shared" si="171"/>
        <v>0</v>
      </c>
    </row>
    <row r="100" spans="1:134" x14ac:dyDescent="0.35">
      <c r="A100" s="81">
        <v>1999</v>
      </c>
      <c r="B100" s="82" t="s">
        <v>270</v>
      </c>
      <c r="C100" s="82"/>
      <c r="D100" s="83" t="s">
        <v>29</v>
      </c>
      <c r="E100" s="87">
        <v>36000</v>
      </c>
      <c r="F100" s="85">
        <v>38899</v>
      </c>
      <c r="G100" s="86">
        <v>12.5</v>
      </c>
      <c r="H100" s="179"/>
      <c r="I100" s="180"/>
      <c r="J100" s="181"/>
      <c r="K100" s="42">
        <f t="shared" si="122"/>
        <v>0.08</v>
      </c>
      <c r="L100" s="43">
        <f t="shared" si="123"/>
        <v>2880</v>
      </c>
      <c r="M100" s="44">
        <f t="shared" si="124"/>
        <v>20160</v>
      </c>
      <c r="N100" s="44"/>
      <c r="O100" s="44">
        <f t="shared" si="125"/>
        <v>15840</v>
      </c>
      <c r="P100" s="45"/>
      <c r="Q100" s="44">
        <f t="shared" si="126"/>
        <v>36000</v>
      </c>
      <c r="R100" s="604">
        <f t="shared" si="172"/>
        <v>0</v>
      </c>
      <c r="S100" s="44">
        <f t="shared" si="173"/>
        <v>0</v>
      </c>
      <c r="T100" s="44">
        <f t="shared" si="174"/>
        <v>0</v>
      </c>
      <c r="U100" s="44">
        <f t="shared" si="175"/>
        <v>0</v>
      </c>
      <c r="V100" s="44">
        <f t="shared" si="176"/>
        <v>36000</v>
      </c>
      <c r="W100" s="44">
        <f t="shared" si="177"/>
        <v>36000</v>
      </c>
      <c r="X100" s="44">
        <f t="shared" si="127"/>
        <v>2880</v>
      </c>
      <c r="Y100" s="44">
        <f t="shared" si="178"/>
        <v>2880</v>
      </c>
      <c r="Z100" s="44">
        <f t="shared" si="128"/>
        <v>17280</v>
      </c>
      <c r="AA100" s="44">
        <f t="shared" si="179"/>
        <v>17280</v>
      </c>
      <c r="AB100" s="44">
        <f t="shared" si="129"/>
        <v>18720</v>
      </c>
      <c r="AC100" s="46">
        <f t="shared" si="130"/>
        <v>0</v>
      </c>
      <c r="AD100" s="47">
        <f t="shared" si="131"/>
        <v>0</v>
      </c>
      <c r="AE100" s="604">
        <f t="shared" si="180"/>
        <v>0</v>
      </c>
      <c r="AF100" s="44">
        <f t="shared" si="181"/>
        <v>0</v>
      </c>
      <c r="AG100" s="44">
        <f t="shared" si="182"/>
        <v>0</v>
      </c>
      <c r="AH100" s="44">
        <f t="shared" si="183"/>
        <v>0</v>
      </c>
      <c r="AI100" s="44">
        <f t="shared" si="184"/>
        <v>36000</v>
      </c>
      <c r="AJ100" s="44">
        <f t="shared" si="185"/>
        <v>36000</v>
      </c>
      <c r="AK100" s="44">
        <f t="shared" si="132"/>
        <v>2880</v>
      </c>
      <c r="AL100" s="44">
        <f t="shared" si="186"/>
        <v>2880</v>
      </c>
      <c r="AM100" s="44">
        <f t="shared" si="133"/>
        <v>14400</v>
      </c>
      <c r="AN100" s="44">
        <f t="shared" si="187"/>
        <v>14400</v>
      </c>
      <c r="AO100" s="44">
        <f t="shared" si="134"/>
        <v>21600</v>
      </c>
      <c r="AP100" s="46">
        <f t="shared" si="135"/>
        <v>0</v>
      </c>
      <c r="AQ100" s="47">
        <f t="shared" si="136"/>
        <v>0</v>
      </c>
      <c r="AR100" s="604">
        <f t="shared" si="188"/>
        <v>0</v>
      </c>
      <c r="AS100" s="44">
        <f t="shared" si="189"/>
        <v>0</v>
      </c>
      <c r="AT100" s="44">
        <f t="shared" si="190"/>
        <v>0</v>
      </c>
      <c r="AU100" s="44">
        <f t="shared" si="191"/>
        <v>0</v>
      </c>
      <c r="AV100" s="44">
        <f t="shared" si="192"/>
        <v>36000</v>
      </c>
      <c r="AW100" s="44">
        <f t="shared" si="193"/>
        <v>36000</v>
      </c>
      <c r="AX100" s="44">
        <f t="shared" si="137"/>
        <v>2880</v>
      </c>
      <c r="AY100" s="44">
        <f t="shared" si="194"/>
        <v>2880</v>
      </c>
      <c r="AZ100" s="44">
        <f t="shared" si="138"/>
        <v>11520</v>
      </c>
      <c r="BA100" s="44">
        <f t="shared" si="195"/>
        <v>11520</v>
      </c>
      <c r="BB100" s="44">
        <f t="shared" si="139"/>
        <v>24480</v>
      </c>
      <c r="BC100" s="46">
        <f t="shared" si="140"/>
        <v>0</v>
      </c>
      <c r="BD100" s="47">
        <f t="shared" si="141"/>
        <v>0</v>
      </c>
      <c r="BE100" s="604">
        <f t="shared" si="196"/>
        <v>0</v>
      </c>
      <c r="BF100" s="44">
        <f t="shared" si="197"/>
        <v>0</v>
      </c>
      <c r="BG100" s="44">
        <f t="shared" si="198"/>
        <v>0</v>
      </c>
      <c r="BH100" s="44">
        <f t="shared" si="199"/>
        <v>0</v>
      </c>
      <c r="BI100" s="44">
        <f t="shared" si="200"/>
        <v>36000</v>
      </c>
      <c r="BJ100" s="44">
        <f t="shared" si="201"/>
        <v>36000</v>
      </c>
      <c r="BK100" s="44">
        <f t="shared" si="142"/>
        <v>2880</v>
      </c>
      <c r="BL100" s="44">
        <f t="shared" si="202"/>
        <v>2880</v>
      </c>
      <c r="BM100" s="44">
        <f t="shared" si="143"/>
        <v>8640</v>
      </c>
      <c r="BN100" s="44">
        <f t="shared" si="203"/>
        <v>8640</v>
      </c>
      <c r="BO100" s="44">
        <f t="shared" si="144"/>
        <v>27360</v>
      </c>
      <c r="BP100" s="46">
        <f t="shared" si="145"/>
        <v>0</v>
      </c>
      <c r="BQ100" s="47">
        <f t="shared" si="146"/>
        <v>0</v>
      </c>
      <c r="BR100" s="604">
        <f t="shared" si="204"/>
        <v>0</v>
      </c>
      <c r="BS100" s="44">
        <f t="shared" si="205"/>
        <v>0</v>
      </c>
      <c r="BT100" s="44">
        <f t="shared" si="206"/>
        <v>0</v>
      </c>
      <c r="BU100" s="44">
        <f t="shared" si="207"/>
        <v>0</v>
      </c>
      <c r="BV100" s="44">
        <f t="shared" si="208"/>
        <v>36000</v>
      </c>
      <c r="BW100" s="44">
        <f t="shared" si="209"/>
        <v>36000</v>
      </c>
      <c r="BX100" s="44">
        <f t="shared" si="147"/>
        <v>2880</v>
      </c>
      <c r="BY100" s="44">
        <f t="shared" si="210"/>
        <v>2880</v>
      </c>
      <c r="BZ100" s="44">
        <f t="shared" si="148"/>
        <v>5760</v>
      </c>
      <c r="CA100" s="44">
        <f t="shared" si="211"/>
        <v>5760</v>
      </c>
      <c r="CB100" s="44">
        <f t="shared" si="149"/>
        <v>30240</v>
      </c>
      <c r="CC100" s="46">
        <f t="shared" si="150"/>
        <v>0</v>
      </c>
      <c r="CD100" s="47">
        <f t="shared" si="151"/>
        <v>0</v>
      </c>
      <c r="CE100" s="604">
        <f t="shared" si="212"/>
        <v>0</v>
      </c>
      <c r="CF100" s="44">
        <f t="shared" si="213"/>
        <v>0</v>
      </c>
      <c r="CG100" s="44">
        <f t="shared" si="214"/>
        <v>0</v>
      </c>
      <c r="CH100" s="44">
        <f t="shared" si="215"/>
        <v>0</v>
      </c>
      <c r="CI100" s="44">
        <f t="shared" si="216"/>
        <v>36000</v>
      </c>
      <c r="CJ100" s="44">
        <f t="shared" si="217"/>
        <v>36000</v>
      </c>
      <c r="CK100" s="44">
        <f t="shared" si="152"/>
        <v>2880</v>
      </c>
      <c r="CL100" s="44">
        <f t="shared" si="218"/>
        <v>2880</v>
      </c>
      <c r="CM100" s="44">
        <f t="shared" si="153"/>
        <v>2880</v>
      </c>
      <c r="CN100" s="44">
        <f t="shared" si="219"/>
        <v>2880</v>
      </c>
      <c r="CO100" s="44">
        <f t="shared" si="154"/>
        <v>33120</v>
      </c>
      <c r="CP100" s="46">
        <f t="shared" si="155"/>
        <v>0</v>
      </c>
      <c r="CQ100" s="47">
        <f t="shared" si="156"/>
        <v>0</v>
      </c>
      <c r="CR100" s="604">
        <f t="shared" si="220"/>
        <v>0</v>
      </c>
      <c r="CS100" s="44">
        <f t="shared" si="221"/>
        <v>0</v>
      </c>
      <c r="CT100" s="44">
        <f t="shared" si="222"/>
        <v>0</v>
      </c>
      <c r="CU100" s="44">
        <f t="shared" si="223"/>
        <v>0</v>
      </c>
      <c r="CV100" s="44">
        <f t="shared" si="224"/>
        <v>36000</v>
      </c>
      <c r="CW100" s="44">
        <f t="shared" si="225"/>
        <v>36000</v>
      </c>
      <c r="CX100" s="44">
        <f t="shared" si="157"/>
        <v>2880</v>
      </c>
      <c r="CY100" s="44">
        <f t="shared" si="226"/>
        <v>2880</v>
      </c>
      <c r="CZ100" s="44">
        <f t="shared" si="158"/>
        <v>0</v>
      </c>
      <c r="DA100" s="44">
        <f t="shared" si="227"/>
        <v>0</v>
      </c>
      <c r="DB100" s="44">
        <f t="shared" si="159"/>
        <v>36000</v>
      </c>
      <c r="DC100" s="46">
        <f t="shared" si="160"/>
        <v>0</v>
      </c>
      <c r="DD100" s="47">
        <f t="shared" si="161"/>
        <v>0</v>
      </c>
      <c r="DE100" s="604">
        <f t="shared" si="228"/>
        <v>0</v>
      </c>
      <c r="DF100" s="44">
        <f t="shared" si="229"/>
        <v>0</v>
      </c>
      <c r="DG100" s="44">
        <f t="shared" si="230"/>
        <v>0</v>
      </c>
      <c r="DH100" s="44">
        <f t="shared" si="231"/>
        <v>0</v>
      </c>
      <c r="DI100" s="44">
        <f t="shared" si="232"/>
        <v>36000</v>
      </c>
      <c r="DJ100" s="44">
        <f t="shared" si="233"/>
        <v>0</v>
      </c>
      <c r="DK100" s="44">
        <f t="shared" si="162"/>
        <v>0</v>
      </c>
      <c r="DL100" s="44">
        <f t="shared" si="234"/>
        <v>0</v>
      </c>
      <c r="DM100" s="44">
        <f t="shared" si="163"/>
        <v>0</v>
      </c>
      <c r="DN100" s="44">
        <f t="shared" si="235"/>
        <v>0</v>
      </c>
      <c r="DO100" s="44">
        <f t="shared" si="164"/>
        <v>36000</v>
      </c>
      <c r="DP100" s="46">
        <f t="shared" si="165"/>
        <v>0</v>
      </c>
      <c r="DQ100" s="47">
        <f t="shared" si="166"/>
        <v>0</v>
      </c>
      <c r="DR100" s="604">
        <f t="shared" si="236"/>
        <v>0</v>
      </c>
      <c r="DS100" s="44">
        <f t="shared" si="237"/>
        <v>0</v>
      </c>
      <c r="DT100" s="44">
        <f t="shared" si="238"/>
        <v>0</v>
      </c>
      <c r="DU100" s="44">
        <f t="shared" si="239"/>
        <v>0</v>
      </c>
      <c r="DV100" s="44">
        <f t="shared" si="240"/>
        <v>36000</v>
      </c>
      <c r="DW100" s="44">
        <f t="shared" si="241"/>
        <v>0</v>
      </c>
      <c r="DX100" s="44">
        <f t="shared" si="167"/>
        <v>0</v>
      </c>
      <c r="DY100" s="44">
        <f t="shared" si="242"/>
        <v>0</v>
      </c>
      <c r="DZ100" s="44">
        <f t="shared" si="168"/>
        <v>0</v>
      </c>
      <c r="EA100" s="44">
        <f t="shared" si="243"/>
        <v>0</v>
      </c>
      <c r="EB100" s="44">
        <f t="shared" si="169"/>
        <v>36000</v>
      </c>
      <c r="EC100" s="46">
        <f t="shared" si="170"/>
        <v>0</v>
      </c>
      <c r="ED100" s="47">
        <f t="shared" si="171"/>
        <v>0</v>
      </c>
    </row>
    <row r="101" spans="1:134" x14ac:dyDescent="0.35">
      <c r="A101" s="81">
        <v>1999</v>
      </c>
      <c r="B101" s="82" t="s">
        <v>271</v>
      </c>
      <c r="C101" s="82"/>
      <c r="D101" s="83" t="s">
        <v>29</v>
      </c>
      <c r="E101" s="87">
        <v>120000</v>
      </c>
      <c r="F101" s="85">
        <v>38899</v>
      </c>
      <c r="G101" s="86">
        <v>12.5</v>
      </c>
      <c r="H101" s="179"/>
      <c r="I101" s="180"/>
      <c r="J101" s="181"/>
      <c r="K101" s="42">
        <f t="shared" si="122"/>
        <v>0.08</v>
      </c>
      <c r="L101" s="43">
        <f t="shared" si="123"/>
        <v>9600</v>
      </c>
      <c r="M101" s="44">
        <f t="shared" si="124"/>
        <v>67200</v>
      </c>
      <c r="N101" s="44"/>
      <c r="O101" s="44">
        <f t="shared" si="125"/>
        <v>52800</v>
      </c>
      <c r="P101" s="45"/>
      <c r="Q101" s="44">
        <f t="shared" si="126"/>
        <v>120000</v>
      </c>
      <c r="R101" s="604">
        <f t="shared" si="172"/>
        <v>0</v>
      </c>
      <c r="S101" s="44">
        <f t="shared" si="173"/>
        <v>0</v>
      </c>
      <c r="T101" s="44">
        <f t="shared" si="174"/>
        <v>0</v>
      </c>
      <c r="U101" s="44">
        <f t="shared" si="175"/>
        <v>0</v>
      </c>
      <c r="V101" s="44">
        <f t="shared" si="176"/>
        <v>120000</v>
      </c>
      <c r="W101" s="44">
        <f t="shared" si="177"/>
        <v>120000</v>
      </c>
      <c r="X101" s="44">
        <f t="shared" si="127"/>
        <v>9600</v>
      </c>
      <c r="Y101" s="44">
        <f t="shared" si="178"/>
        <v>9600</v>
      </c>
      <c r="Z101" s="44">
        <f t="shared" si="128"/>
        <v>57600</v>
      </c>
      <c r="AA101" s="44">
        <f t="shared" si="179"/>
        <v>57600</v>
      </c>
      <c r="AB101" s="44">
        <f t="shared" si="129"/>
        <v>62400</v>
      </c>
      <c r="AC101" s="46">
        <f t="shared" si="130"/>
        <v>0</v>
      </c>
      <c r="AD101" s="47">
        <f t="shared" si="131"/>
        <v>0</v>
      </c>
      <c r="AE101" s="604">
        <f t="shared" si="180"/>
        <v>0</v>
      </c>
      <c r="AF101" s="44">
        <f t="shared" si="181"/>
        <v>0</v>
      </c>
      <c r="AG101" s="44">
        <f t="shared" si="182"/>
        <v>0</v>
      </c>
      <c r="AH101" s="44">
        <f t="shared" si="183"/>
        <v>0</v>
      </c>
      <c r="AI101" s="44">
        <f t="shared" si="184"/>
        <v>120000</v>
      </c>
      <c r="AJ101" s="44">
        <f t="shared" si="185"/>
        <v>120000</v>
      </c>
      <c r="AK101" s="44">
        <f t="shared" si="132"/>
        <v>9600</v>
      </c>
      <c r="AL101" s="44">
        <f t="shared" si="186"/>
        <v>9600</v>
      </c>
      <c r="AM101" s="44">
        <f t="shared" si="133"/>
        <v>48000</v>
      </c>
      <c r="AN101" s="44">
        <f t="shared" si="187"/>
        <v>48000</v>
      </c>
      <c r="AO101" s="44">
        <f t="shared" si="134"/>
        <v>72000</v>
      </c>
      <c r="AP101" s="46">
        <f t="shared" si="135"/>
        <v>0</v>
      </c>
      <c r="AQ101" s="47">
        <f t="shared" si="136"/>
        <v>0</v>
      </c>
      <c r="AR101" s="604">
        <f t="shared" si="188"/>
        <v>0</v>
      </c>
      <c r="AS101" s="44">
        <f t="shared" si="189"/>
        <v>0</v>
      </c>
      <c r="AT101" s="44">
        <f t="shared" si="190"/>
        <v>0</v>
      </c>
      <c r="AU101" s="44">
        <f t="shared" si="191"/>
        <v>0</v>
      </c>
      <c r="AV101" s="44">
        <f t="shared" si="192"/>
        <v>120000</v>
      </c>
      <c r="AW101" s="44">
        <f t="shared" si="193"/>
        <v>120000</v>
      </c>
      <c r="AX101" s="44">
        <f t="shared" si="137"/>
        <v>9600</v>
      </c>
      <c r="AY101" s="44">
        <f t="shared" si="194"/>
        <v>9600</v>
      </c>
      <c r="AZ101" s="44">
        <f t="shared" si="138"/>
        <v>38400</v>
      </c>
      <c r="BA101" s="44">
        <f t="shared" si="195"/>
        <v>38400</v>
      </c>
      <c r="BB101" s="44">
        <f t="shared" si="139"/>
        <v>81600</v>
      </c>
      <c r="BC101" s="46">
        <f t="shared" si="140"/>
        <v>0</v>
      </c>
      <c r="BD101" s="47">
        <f t="shared" si="141"/>
        <v>0</v>
      </c>
      <c r="BE101" s="604">
        <f t="shared" si="196"/>
        <v>0</v>
      </c>
      <c r="BF101" s="44">
        <f t="shared" si="197"/>
        <v>0</v>
      </c>
      <c r="BG101" s="44">
        <f t="shared" si="198"/>
        <v>0</v>
      </c>
      <c r="BH101" s="44">
        <f t="shared" si="199"/>
        <v>0</v>
      </c>
      <c r="BI101" s="44">
        <f t="shared" si="200"/>
        <v>120000</v>
      </c>
      <c r="BJ101" s="44">
        <f t="shared" si="201"/>
        <v>120000</v>
      </c>
      <c r="BK101" s="44">
        <f t="shared" si="142"/>
        <v>9600</v>
      </c>
      <c r="BL101" s="44">
        <f t="shared" si="202"/>
        <v>9600</v>
      </c>
      <c r="BM101" s="44">
        <f t="shared" si="143"/>
        <v>28800</v>
      </c>
      <c r="BN101" s="44">
        <f t="shared" si="203"/>
        <v>28800</v>
      </c>
      <c r="BO101" s="44">
        <f t="shared" si="144"/>
        <v>91200</v>
      </c>
      <c r="BP101" s="46">
        <f t="shared" si="145"/>
        <v>0</v>
      </c>
      <c r="BQ101" s="47">
        <f t="shared" si="146"/>
        <v>0</v>
      </c>
      <c r="BR101" s="604">
        <f t="shared" si="204"/>
        <v>0</v>
      </c>
      <c r="BS101" s="44">
        <f t="shared" si="205"/>
        <v>0</v>
      </c>
      <c r="BT101" s="44">
        <f t="shared" si="206"/>
        <v>0</v>
      </c>
      <c r="BU101" s="44">
        <f t="shared" si="207"/>
        <v>0</v>
      </c>
      <c r="BV101" s="44">
        <f t="shared" si="208"/>
        <v>120000</v>
      </c>
      <c r="BW101" s="44">
        <f t="shared" si="209"/>
        <v>120000</v>
      </c>
      <c r="BX101" s="44">
        <f t="shared" si="147"/>
        <v>9600</v>
      </c>
      <c r="BY101" s="44">
        <f t="shared" si="210"/>
        <v>9600</v>
      </c>
      <c r="BZ101" s="44">
        <f t="shared" si="148"/>
        <v>19200</v>
      </c>
      <c r="CA101" s="44">
        <f t="shared" si="211"/>
        <v>19200</v>
      </c>
      <c r="CB101" s="44">
        <f t="shared" si="149"/>
        <v>100800</v>
      </c>
      <c r="CC101" s="46">
        <f t="shared" si="150"/>
        <v>0</v>
      </c>
      <c r="CD101" s="47">
        <f t="shared" si="151"/>
        <v>0</v>
      </c>
      <c r="CE101" s="604">
        <f t="shared" si="212"/>
        <v>0</v>
      </c>
      <c r="CF101" s="44">
        <f t="shared" si="213"/>
        <v>0</v>
      </c>
      <c r="CG101" s="44">
        <f t="shared" si="214"/>
        <v>0</v>
      </c>
      <c r="CH101" s="44">
        <f t="shared" si="215"/>
        <v>0</v>
      </c>
      <c r="CI101" s="44">
        <f t="shared" si="216"/>
        <v>120000</v>
      </c>
      <c r="CJ101" s="44">
        <f t="shared" si="217"/>
        <v>120000</v>
      </c>
      <c r="CK101" s="44">
        <f t="shared" si="152"/>
        <v>9600</v>
      </c>
      <c r="CL101" s="44">
        <f t="shared" si="218"/>
        <v>9600</v>
      </c>
      <c r="CM101" s="44">
        <f t="shared" si="153"/>
        <v>9600</v>
      </c>
      <c r="CN101" s="44">
        <f t="shared" si="219"/>
        <v>9600</v>
      </c>
      <c r="CO101" s="44">
        <f t="shared" si="154"/>
        <v>110400</v>
      </c>
      <c r="CP101" s="46">
        <f t="shared" si="155"/>
        <v>0</v>
      </c>
      <c r="CQ101" s="47">
        <f t="shared" si="156"/>
        <v>0</v>
      </c>
      <c r="CR101" s="604">
        <f t="shared" si="220"/>
        <v>0</v>
      </c>
      <c r="CS101" s="44">
        <f t="shared" si="221"/>
        <v>0</v>
      </c>
      <c r="CT101" s="44">
        <f t="shared" si="222"/>
        <v>0</v>
      </c>
      <c r="CU101" s="44">
        <f t="shared" si="223"/>
        <v>0</v>
      </c>
      <c r="CV101" s="44">
        <f t="shared" si="224"/>
        <v>120000</v>
      </c>
      <c r="CW101" s="44">
        <f t="shared" si="225"/>
        <v>120000</v>
      </c>
      <c r="CX101" s="44">
        <f t="shared" si="157"/>
        <v>9600</v>
      </c>
      <c r="CY101" s="44">
        <f t="shared" si="226"/>
        <v>9600</v>
      </c>
      <c r="CZ101" s="44">
        <f t="shared" si="158"/>
        <v>0</v>
      </c>
      <c r="DA101" s="44">
        <f t="shared" si="227"/>
        <v>0</v>
      </c>
      <c r="DB101" s="44">
        <f t="shared" si="159"/>
        <v>120000</v>
      </c>
      <c r="DC101" s="46">
        <f t="shared" si="160"/>
        <v>0</v>
      </c>
      <c r="DD101" s="47">
        <f t="shared" si="161"/>
        <v>0</v>
      </c>
      <c r="DE101" s="604">
        <f t="shared" si="228"/>
        <v>0</v>
      </c>
      <c r="DF101" s="44">
        <f t="shared" si="229"/>
        <v>0</v>
      </c>
      <c r="DG101" s="44">
        <f t="shared" si="230"/>
        <v>0</v>
      </c>
      <c r="DH101" s="44">
        <f t="shared" si="231"/>
        <v>0</v>
      </c>
      <c r="DI101" s="44">
        <f t="shared" si="232"/>
        <v>120000</v>
      </c>
      <c r="DJ101" s="44">
        <f t="shared" si="233"/>
        <v>0</v>
      </c>
      <c r="DK101" s="44">
        <f t="shared" si="162"/>
        <v>0</v>
      </c>
      <c r="DL101" s="44">
        <f t="shared" si="234"/>
        <v>0</v>
      </c>
      <c r="DM101" s="44">
        <f t="shared" si="163"/>
        <v>0</v>
      </c>
      <c r="DN101" s="44">
        <f t="shared" si="235"/>
        <v>0</v>
      </c>
      <c r="DO101" s="44">
        <f t="shared" si="164"/>
        <v>120000</v>
      </c>
      <c r="DP101" s="46">
        <f t="shared" si="165"/>
        <v>0</v>
      </c>
      <c r="DQ101" s="47">
        <f t="shared" si="166"/>
        <v>0</v>
      </c>
      <c r="DR101" s="604">
        <f t="shared" si="236"/>
        <v>0</v>
      </c>
      <c r="DS101" s="44">
        <f t="shared" si="237"/>
        <v>0</v>
      </c>
      <c r="DT101" s="44">
        <f t="shared" si="238"/>
        <v>0</v>
      </c>
      <c r="DU101" s="44">
        <f t="shared" si="239"/>
        <v>0</v>
      </c>
      <c r="DV101" s="44">
        <f t="shared" si="240"/>
        <v>120000</v>
      </c>
      <c r="DW101" s="44">
        <f t="shared" si="241"/>
        <v>0</v>
      </c>
      <c r="DX101" s="44">
        <f t="shared" si="167"/>
        <v>0</v>
      </c>
      <c r="DY101" s="44">
        <f t="shared" si="242"/>
        <v>0</v>
      </c>
      <c r="DZ101" s="44">
        <f t="shared" si="168"/>
        <v>0</v>
      </c>
      <c r="EA101" s="44">
        <f t="shared" si="243"/>
        <v>0</v>
      </c>
      <c r="EB101" s="44">
        <f t="shared" si="169"/>
        <v>120000</v>
      </c>
      <c r="EC101" s="46">
        <f t="shared" si="170"/>
        <v>0</v>
      </c>
      <c r="ED101" s="47">
        <f t="shared" si="171"/>
        <v>0</v>
      </c>
    </row>
    <row r="102" spans="1:134" x14ac:dyDescent="0.35">
      <c r="A102" s="81">
        <v>1999</v>
      </c>
      <c r="B102" s="82" t="s">
        <v>272</v>
      </c>
      <c r="C102" s="82"/>
      <c r="D102" s="83" t="s">
        <v>29</v>
      </c>
      <c r="E102" s="87">
        <v>155000</v>
      </c>
      <c r="F102" s="85">
        <v>38899</v>
      </c>
      <c r="G102" s="86">
        <v>12.5</v>
      </c>
      <c r="H102" s="179"/>
      <c r="I102" s="180"/>
      <c r="J102" s="181"/>
      <c r="K102" s="42">
        <f t="shared" si="122"/>
        <v>0.08</v>
      </c>
      <c r="L102" s="43">
        <f t="shared" si="123"/>
        <v>12400</v>
      </c>
      <c r="M102" s="44">
        <f t="shared" si="124"/>
        <v>86800</v>
      </c>
      <c r="N102" s="44"/>
      <c r="O102" s="44">
        <f t="shared" si="125"/>
        <v>68200</v>
      </c>
      <c r="P102" s="45"/>
      <c r="Q102" s="44">
        <f t="shared" si="126"/>
        <v>155000</v>
      </c>
      <c r="R102" s="604">
        <f t="shared" si="172"/>
        <v>0</v>
      </c>
      <c r="S102" s="44">
        <f t="shared" si="173"/>
        <v>0</v>
      </c>
      <c r="T102" s="44">
        <f t="shared" si="174"/>
        <v>0</v>
      </c>
      <c r="U102" s="44">
        <f t="shared" si="175"/>
        <v>0</v>
      </c>
      <c r="V102" s="44">
        <f t="shared" si="176"/>
        <v>155000</v>
      </c>
      <c r="W102" s="44">
        <f t="shared" si="177"/>
        <v>155000</v>
      </c>
      <c r="X102" s="44">
        <f t="shared" si="127"/>
        <v>12400</v>
      </c>
      <c r="Y102" s="44">
        <f t="shared" si="178"/>
        <v>12400</v>
      </c>
      <c r="Z102" s="44">
        <f t="shared" si="128"/>
        <v>74400</v>
      </c>
      <c r="AA102" s="44">
        <f t="shared" si="179"/>
        <v>74400</v>
      </c>
      <c r="AB102" s="44">
        <f t="shared" si="129"/>
        <v>80600</v>
      </c>
      <c r="AC102" s="46">
        <f t="shared" si="130"/>
        <v>0</v>
      </c>
      <c r="AD102" s="47">
        <f t="shared" si="131"/>
        <v>0</v>
      </c>
      <c r="AE102" s="604">
        <f t="shared" si="180"/>
        <v>0</v>
      </c>
      <c r="AF102" s="44">
        <f t="shared" si="181"/>
        <v>0</v>
      </c>
      <c r="AG102" s="44">
        <f t="shared" si="182"/>
        <v>0</v>
      </c>
      <c r="AH102" s="44">
        <f t="shared" si="183"/>
        <v>0</v>
      </c>
      <c r="AI102" s="44">
        <f t="shared" si="184"/>
        <v>155000</v>
      </c>
      <c r="AJ102" s="44">
        <f t="shared" si="185"/>
        <v>155000</v>
      </c>
      <c r="AK102" s="44">
        <f t="shared" si="132"/>
        <v>12400</v>
      </c>
      <c r="AL102" s="44">
        <f t="shared" si="186"/>
        <v>12400</v>
      </c>
      <c r="AM102" s="44">
        <f t="shared" si="133"/>
        <v>62000</v>
      </c>
      <c r="AN102" s="44">
        <f t="shared" si="187"/>
        <v>62000</v>
      </c>
      <c r="AO102" s="44">
        <f t="shared" si="134"/>
        <v>93000</v>
      </c>
      <c r="AP102" s="46">
        <f t="shared" si="135"/>
        <v>0</v>
      </c>
      <c r="AQ102" s="47">
        <f t="shared" si="136"/>
        <v>0</v>
      </c>
      <c r="AR102" s="604">
        <f t="shared" si="188"/>
        <v>0</v>
      </c>
      <c r="AS102" s="44">
        <f t="shared" si="189"/>
        <v>0</v>
      </c>
      <c r="AT102" s="44">
        <f t="shared" si="190"/>
        <v>0</v>
      </c>
      <c r="AU102" s="44">
        <f t="shared" si="191"/>
        <v>0</v>
      </c>
      <c r="AV102" s="44">
        <f t="shared" si="192"/>
        <v>155000</v>
      </c>
      <c r="AW102" s="44">
        <f t="shared" si="193"/>
        <v>155000</v>
      </c>
      <c r="AX102" s="44">
        <f t="shared" si="137"/>
        <v>12400</v>
      </c>
      <c r="AY102" s="44">
        <f t="shared" si="194"/>
        <v>12400</v>
      </c>
      <c r="AZ102" s="44">
        <f t="shared" si="138"/>
        <v>49600</v>
      </c>
      <c r="BA102" s="44">
        <f t="shared" si="195"/>
        <v>49600</v>
      </c>
      <c r="BB102" s="44">
        <f t="shared" si="139"/>
        <v>105400</v>
      </c>
      <c r="BC102" s="46">
        <f t="shared" si="140"/>
        <v>0</v>
      </c>
      <c r="BD102" s="47">
        <f t="shared" si="141"/>
        <v>0</v>
      </c>
      <c r="BE102" s="604">
        <f t="shared" si="196"/>
        <v>0</v>
      </c>
      <c r="BF102" s="44">
        <f t="shared" si="197"/>
        <v>0</v>
      </c>
      <c r="BG102" s="44">
        <f t="shared" si="198"/>
        <v>0</v>
      </c>
      <c r="BH102" s="44">
        <f t="shared" si="199"/>
        <v>0</v>
      </c>
      <c r="BI102" s="44">
        <f t="shared" si="200"/>
        <v>155000</v>
      </c>
      <c r="BJ102" s="44">
        <f t="shared" si="201"/>
        <v>155000</v>
      </c>
      <c r="BK102" s="44">
        <f t="shared" si="142"/>
        <v>12400</v>
      </c>
      <c r="BL102" s="44">
        <f t="shared" si="202"/>
        <v>12400</v>
      </c>
      <c r="BM102" s="44">
        <f t="shared" si="143"/>
        <v>37200</v>
      </c>
      <c r="BN102" s="44">
        <f t="shared" si="203"/>
        <v>37200</v>
      </c>
      <c r="BO102" s="44">
        <f t="shared" si="144"/>
        <v>117800</v>
      </c>
      <c r="BP102" s="46">
        <f t="shared" si="145"/>
        <v>0</v>
      </c>
      <c r="BQ102" s="47">
        <f t="shared" si="146"/>
        <v>0</v>
      </c>
      <c r="BR102" s="604">
        <f t="shared" si="204"/>
        <v>0</v>
      </c>
      <c r="BS102" s="44">
        <f t="shared" si="205"/>
        <v>0</v>
      </c>
      <c r="BT102" s="44">
        <f t="shared" si="206"/>
        <v>0</v>
      </c>
      <c r="BU102" s="44">
        <f t="shared" si="207"/>
        <v>0</v>
      </c>
      <c r="BV102" s="44">
        <f t="shared" si="208"/>
        <v>155000</v>
      </c>
      <c r="BW102" s="44">
        <f t="shared" si="209"/>
        <v>155000</v>
      </c>
      <c r="BX102" s="44">
        <f t="shared" si="147"/>
        <v>12400</v>
      </c>
      <c r="BY102" s="44">
        <f t="shared" si="210"/>
        <v>12400</v>
      </c>
      <c r="BZ102" s="44">
        <f t="shared" si="148"/>
        <v>24800</v>
      </c>
      <c r="CA102" s="44">
        <f t="shared" si="211"/>
        <v>24800</v>
      </c>
      <c r="CB102" s="44">
        <f t="shared" si="149"/>
        <v>130200</v>
      </c>
      <c r="CC102" s="46">
        <f t="shared" si="150"/>
        <v>0</v>
      </c>
      <c r="CD102" s="47">
        <f t="shared" si="151"/>
        <v>0</v>
      </c>
      <c r="CE102" s="604">
        <f t="shared" si="212"/>
        <v>0</v>
      </c>
      <c r="CF102" s="44">
        <f t="shared" si="213"/>
        <v>0</v>
      </c>
      <c r="CG102" s="44">
        <f t="shared" si="214"/>
        <v>0</v>
      </c>
      <c r="CH102" s="44">
        <f t="shared" si="215"/>
        <v>0</v>
      </c>
      <c r="CI102" s="44">
        <f t="shared" si="216"/>
        <v>155000</v>
      </c>
      <c r="CJ102" s="44">
        <f t="shared" si="217"/>
        <v>155000</v>
      </c>
      <c r="CK102" s="44">
        <f t="shared" si="152"/>
        <v>12400</v>
      </c>
      <c r="CL102" s="44">
        <f t="shared" si="218"/>
        <v>12400</v>
      </c>
      <c r="CM102" s="44">
        <f t="shared" si="153"/>
        <v>12400</v>
      </c>
      <c r="CN102" s="44">
        <f t="shared" si="219"/>
        <v>12400</v>
      </c>
      <c r="CO102" s="44">
        <f t="shared" si="154"/>
        <v>142600</v>
      </c>
      <c r="CP102" s="46">
        <f t="shared" si="155"/>
        <v>0</v>
      </c>
      <c r="CQ102" s="47">
        <f t="shared" si="156"/>
        <v>0</v>
      </c>
      <c r="CR102" s="604">
        <f t="shared" si="220"/>
        <v>0</v>
      </c>
      <c r="CS102" s="44">
        <f t="shared" si="221"/>
        <v>0</v>
      </c>
      <c r="CT102" s="44">
        <f t="shared" si="222"/>
        <v>0</v>
      </c>
      <c r="CU102" s="44">
        <f t="shared" si="223"/>
        <v>0</v>
      </c>
      <c r="CV102" s="44">
        <f t="shared" si="224"/>
        <v>155000</v>
      </c>
      <c r="CW102" s="44">
        <f t="shared" si="225"/>
        <v>155000</v>
      </c>
      <c r="CX102" s="44">
        <f t="shared" si="157"/>
        <v>12400</v>
      </c>
      <c r="CY102" s="44">
        <f t="shared" si="226"/>
        <v>12400</v>
      </c>
      <c r="CZ102" s="44">
        <f t="shared" si="158"/>
        <v>0</v>
      </c>
      <c r="DA102" s="44">
        <f t="shared" si="227"/>
        <v>0</v>
      </c>
      <c r="DB102" s="44">
        <f t="shared" si="159"/>
        <v>155000</v>
      </c>
      <c r="DC102" s="46">
        <f t="shared" si="160"/>
        <v>0</v>
      </c>
      <c r="DD102" s="47">
        <f t="shared" si="161"/>
        <v>0</v>
      </c>
      <c r="DE102" s="604">
        <f t="shared" si="228"/>
        <v>0</v>
      </c>
      <c r="DF102" s="44">
        <f t="shared" si="229"/>
        <v>0</v>
      </c>
      <c r="DG102" s="44">
        <f t="shared" si="230"/>
        <v>0</v>
      </c>
      <c r="DH102" s="44">
        <f t="shared" si="231"/>
        <v>0</v>
      </c>
      <c r="DI102" s="44">
        <f t="shared" si="232"/>
        <v>155000</v>
      </c>
      <c r="DJ102" s="44">
        <f t="shared" si="233"/>
        <v>0</v>
      </c>
      <c r="DK102" s="44">
        <f t="shared" si="162"/>
        <v>0</v>
      </c>
      <c r="DL102" s="44">
        <f t="shared" si="234"/>
        <v>0</v>
      </c>
      <c r="DM102" s="44">
        <f t="shared" si="163"/>
        <v>0</v>
      </c>
      <c r="DN102" s="44">
        <f t="shared" si="235"/>
        <v>0</v>
      </c>
      <c r="DO102" s="44">
        <f t="shared" si="164"/>
        <v>155000</v>
      </c>
      <c r="DP102" s="46">
        <f t="shared" si="165"/>
        <v>0</v>
      </c>
      <c r="DQ102" s="47">
        <f t="shared" si="166"/>
        <v>0</v>
      </c>
      <c r="DR102" s="604">
        <f t="shared" si="236"/>
        <v>0</v>
      </c>
      <c r="DS102" s="44">
        <f t="shared" si="237"/>
        <v>0</v>
      </c>
      <c r="DT102" s="44">
        <f t="shared" si="238"/>
        <v>0</v>
      </c>
      <c r="DU102" s="44">
        <f t="shared" si="239"/>
        <v>0</v>
      </c>
      <c r="DV102" s="44">
        <f t="shared" si="240"/>
        <v>155000</v>
      </c>
      <c r="DW102" s="44">
        <f t="shared" si="241"/>
        <v>0</v>
      </c>
      <c r="DX102" s="44">
        <f t="shared" si="167"/>
        <v>0</v>
      </c>
      <c r="DY102" s="44">
        <f t="shared" si="242"/>
        <v>0</v>
      </c>
      <c r="DZ102" s="44">
        <f t="shared" si="168"/>
        <v>0</v>
      </c>
      <c r="EA102" s="44">
        <f t="shared" si="243"/>
        <v>0</v>
      </c>
      <c r="EB102" s="44">
        <f t="shared" si="169"/>
        <v>155000</v>
      </c>
      <c r="EC102" s="46">
        <f t="shared" si="170"/>
        <v>0</v>
      </c>
      <c r="ED102" s="47">
        <f t="shared" si="171"/>
        <v>0</v>
      </c>
    </row>
    <row r="103" spans="1:134" x14ac:dyDescent="0.35">
      <c r="A103" s="81">
        <v>2004</v>
      </c>
      <c r="B103" s="82" t="s">
        <v>273</v>
      </c>
      <c r="C103" s="82"/>
      <c r="D103" s="83" t="s">
        <v>29</v>
      </c>
      <c r="E103" s="87">
        <v>150000</v>
      </c>
      <c r="F103" s="85">
        <v>39630</v>
      </c>
      <c r="G103" s="86">
        <v>25</v>
      </c>
      <c r="H103" s="179"/>
      <c r="I103" s="180"/>
      <c r="J103" s="181"/>
      <c r="K103" s="42">
        <f t="shared" si="122"/>
        <v>0.04</v>
      </c>
      <c r="L103" s="43">
        <f t="shared" si="123"/>
        <v>6000</v>
      </c>
      <c r="M103" s="44">
        <f t="shared" si="124"/>
        <v>129000</v>
      </c>
      <c r="N103" s="44"/>
      <c r="O103" s="44">
        <f t="shared" si="125"/>
        <v>21000</v>
      </c>
      <c r="P103" s="45"/>
      <c r="Q103" s="44">
        <f t="shared" si="126"/>
        <v>150000</v>
      </c>
      <c r="R103" s="604">
        <f t="shared" si="172"/>
        <v>0</v>
      </c>
      <c r="S103" s="44">
        <f t="shared" si="173"/>
        <v>0</v>
      </c>
      <c r="T103" s="44">
        <f t="shared" si="174"/>
        <v>0</v>
      </c>
      <c r="U103" s="44">
        <f t="shared" si="175"/>
        <v>0</v>
      </c>
      <c r="V103" s="44">
        <f t="shared" si="176"/>
        <v>150000</v>
      </c>
      <c r="W103" s="44">
        <f t="shared" si="177"/>
        <v>150000</v>
      </c>
      <c r="X103" s="44">
        <f t="shared" si="127"/>
        <v>6000</v>
      </c>
      <c r="Y103" s="44">
        <f t="shared" si="178"/>
        <v>6000</v>
      </c>
      <c r="Z103" s="44">
        <f t="shared" si="128"/>
        <v>123000</v>
      </c>
      <c r="AA103" s="44">
        <f t="shared" si="179"/>
        <v>123000</v>
      </c>
      <c r="AB103" s="44">
        <f t="shared" si="129"/>
        <v>27000</v>
      </c>
      <c r="AC103" s="46">
        <f t="shared" si="130"/>
        <v>0</v>
      </c>
      <c r="AD103" s="47">
        <f t="shared" si="131"/>
        <v>0</v>
      </c>
      <c r="AE103" s="604">
        <f t="shared" si="180"/>
        <v>0</v>
      </c>
      <c r="AF103" s="44">
        <f t="shared" si="181"/>
        <v>0</v>
      </c>
      <c r="AG103" s="44">
        <f t="shared" si="182"/>
        <v>0</v>
      </c>
      <c r="AH103" s="44">
        <f t="shared" si="183"/>
        <v>0</v>
      </c>
      <c r="AI103" s="44">
        <f t="shared" si="184"/>
        <v>150000</v>
      </c>
      <c r="AJ103" s="44">
        <f t="shared" si="185"/>
        <v>150000</v>
      </c>
      <c r="AK103" s="44">
        <f t="shared" si="132"/>
        <v>6000</v>
      </c>
      <c r="AL103" s="44">
        <f t="shared" si="186"/>
        <v>6000</v>
      </c>
      <c r="AM103" s="44">
        <f t="shared" si="133"/>
        <v>117000</v>
      </c>
      <c r="AN103" s="44">
        <f t="shared" si="187"/>
        <v>117000</v>
      </c>
      <c r="AO103" s="44">
        <f t="shared" si="134"/>
        <v>33000</v>
      </c>
      <c r="AP103" s="46">
        <f t="shared" si="135"/>
        <v>0</v>
      </c>
      <c r="AQ103" s="47">
        <f t="shared" si="136"/>
        <v>0</v>
      </c>
      <c r="AR103" s="604">
        <f t="shared" si="188"/>
        <v>0</v>
      </c>
      <c r="AS103" s="44">
        <f t="shared" si="189"/>
        <v>0</v>
      </c>
      <c r="AT103" s="44">
        <f t="shared" si="190"/>
        <v>0</v>
      </c>
      <c r="AU103" s="44">
        <f t="shared" si="191"/>
        <v>0</v>
      </c>
      <c r="AV103" s="44">
        <f t="shared" si="192"/>
        <v>150000</v>
      </c>
      <c r="AW103" s="44">
        <f t="shared" si="193"/>
        <v>150000</v>
      </c>
      <c r="AX103" s="44">
        <f t="shared" si="137"/>
        <v>6000</v>
      </c>
      <c r="AY103" s="44">
        <f t="shared" si="194"/>
        <v>6000</v>
      </c>
      <c r="AZ103" s="44">
        <f t="shared" si="138"/>
        <v>111000</v>
      </c>
      <c r="BA103" s="44">
        <f t="shared" si="195"/>
        <v>111000</v>
      </c>
      <c r="BB103" s="44">
        <f t="shared" si="139"/>
        <v>39000</v>
      </c>
      <c r="BC103" s="46">
        <f t="shared" si="140"/>
        <v>0</v>
      </c>
      <c r="BD103" s="47">
        <f t="shared" si="141"/>
        <v>0</v>
      </c>
      <c r="BE103" s="604">
        <f t="shared" si="196"/>
        <v>0</v>
      </c>
      <c r="BF103" s="44">
        <f t="shared" si="197"/>
        <v>0</v>
      </c>
      <c r="BG103" s="44">
        <f t="shared" si="198"/>
        <v>0</v>
      </c>
      <c r="BH103" s="44">
        <f t="shared" si="199"/>
        <v>0</v>
      </c>
      <c r="BI103" s="44">
        <f t="shared" si="200"/>
        <v>150000</v>
      </c>
      <c r="BJ103" s="44">
        <f t="shared" si="201"/>
        <v>150000</v>
      </c>
      <c r="BK103" s="44">
        <f t="shared" si="142"/>
        <v>6000</v>
      </c>
      <c r="BL103" s="44">
        <f t="shared" si="202"/>
        <v>6000</v>
      </c>
      <c r="BM103" s="44">
        <f t="shared" si="143"/>
        <v>105000</v>
      </c>
      <c r="BN103" s="44">
        <f t="shared" si="203"/>
        <v>105000</v>
      </c>
      <c r="BO103" s="44">
        <f t="shared" si="144"/>
        <v>45000</v>
      </c>
      <c r="BP103" s="46">
        <f t="shared" si="145"/>
        <v>0</v>
      </c>
      <c r="BQ103" s="47">
        <f t="shared" si="146"/>
        <v>0</v>
      </c>
      <c r="BR103" s="604">
        <f t="shared" si="204"/>
        <v>0</v>
      </c>
      <c r="BS103" s="44">
        <f t="shared" si="205"/>
        <v>0</v>
      </c>
      <c r="BT103" s="44">
        <f t="shared" si="206"/>
        <v>0</v>
      </c>
      <c r="BU103" s="44">
        <f t="shared" si="207"/>
        <v>0</v>
      </c>
      <c r="BV103" s="44">
        <f t="shared" si="208"/>
        <v>150000</v>
      </c>
      <c r="BW103" s="44">
        <f t="shared" si="209"/>
        <v>150000</v>
      </c>
      <c r="BX103" s="44">
        <f t="shared" si="147"/>
        <v>6000</v>
      </c>
      <c r="BY103" s="44">
        <f t="shared" si="210"/>
        <v>6000</v>
      </c>
      <c r="BZ103" s="44">
        <f t="shared" si="148"/>
        <v>99000</v>
      </c>
      <c r="CA103" s="44">
        <f t="shared" si="211"/>
        <v>99000</v>
      </c>
      <c r="CB103" s="44">
        <f t="shared" si="149"/>
        <v>51000</v>
      </c>
      <c r="CC103" s="46">
        <f t="shared" si="150"/>
        <v>0</v>
      </c>
      <c r="CD103" s="47">
        <f t="shared" si="151"/>
        <v>0</v>
      </c>
      <c r="CE103" s="604">
        <f t="shared" si="212"/>
        <v>0</v>
      </c>
      <c r="CF103" s="44">
        <f t="shared" si="213"/>
        <v>0</v>
      </c>
      <c r="CG103" s="44">
        <f t="shared" si="214"/>
        <v>0</v>
      </c>
      <c r="CH103" s="44">
        <f t="shared" si="215"/>
        <v>0</v>
      </c>
      <c r="CI103" s="44">
        <f t="shared" si="216"/>
        <v>150000</v>
      </c>
      <c r="CJ103" s="44">
        <f t="shared" si="217"/>
        <v>150000</v>
      </c>
      <c r="CK103" s="44">
        <f t="shared" si="152"/>
        <v>6000</v>
      </c>
      <c r="CL103" s="44">
        <f t="shared" si="218"/>
        <v>6000</v>
      </c>
      <c r="CM103" s="44">
        <f t="shared" si="153"/>
        <v>93000</v>
      </c>
      <c r="CN103" s="44">
        <f t="shared" si="219"/>
        <v>93000</v>
      </c>
      <c r="CO103" s="44">
        <f t="shared" si="154"/>
        <v>57000</v>
      </c>
      <c r="CP103" s="46">
        <f t="shared" si="155"/>
        <v>0</v>
      </c>
      <c r="CQ103" s="47">
        <f t="shared" si="156"/>
        <v>0</v>
      </c>
      <c r="CR103" s="604">
        <f t="shared" si="220"/>
        <v>0</v>
      </c>
      <c r="CS103" s="44">
        <f t="shared" si="221"/>
        <v>0</v>
      </c>
      <c r="CT103" s="44">
        <f t="shared" si="222"/>
        <v>0</v>
      </c>
      <c r="CU103" s="44">
        <f t="shared" si="223"/>
        <v>0</v>
      </c>
      <c r="CV103" s="44">
        <f t="shared" si="224"/>
        <v>150000</v>
      </c>
      <c r="CW103" s="44">
        <f t="shared" si="225"/>
        <v>150000</v>
      </c>
      <c r="CX103" s="44">
        <f t="shared" si="157"/>
        <v>6000</v>
      </c>
      <c r="CY103" s="44">
        <f t="shared" si="226"/>
        <v>6000</v>
      </c>
      <c r="CZ103" s="44">
        <f t="shared" si="158"/>
        <v>87000</v>
      </c>
      <c r="DA103" s="44">
        <f t="shared" si="227"/>
        <v>87000</v>
      </c>
      <c r="DB103" s="44">
        <f t="shared" si="159"/>
        <v>63000</v>
      </c>
      <c r="DC103" s="46">
        <f t="shared" si="160"/>
        <v>0</v>
      </c>
      <c r="DD103" s="47">
        <f t="shared" si="161"/>
        <v>0</v>
      </c>
      <c r="DE103" s="604">
        <f t="shared" si="228"/>
        <v>0</v>
      </c>
      <c r="DF103" s="44">
        <f t="shared" si="229"/>
        <v>0</v>
      </c>
      <c r="DG103" s="44">
        <f t="shared" si="230"/>
        <v>0</v>
      </c>
      <c r="DH103" s="44">
        <f t="shared" si="231"/>
        <v>0</v>
      </c>
      <c r="DI103" s="44">
        <f t="shared" si="232"/>
        <v>150000</v>
      </c>
      <c r="DJ103" s="44">
        <f t="shared" si="233"/>
        <v>150000</v>
      </c>
      <c r="DK103" s="44">
        <f t="shared" si="162"/>
        <v>6000</v>
      </c>
      <c r="DL103" s="44">
        <f t="shared" si="234"/>
        <v>6000</v>
      </c>
      <c r="DM103" s="44">
        <f t="shared" si="163"/>
        <v>81000</v>
      </c>
      <c r="DN103" s="44">
        <f t="shared" si="235"/>
        <v>81000</v>
      </c>
      <c r="DO103" s="44">
        <f t="shared" si="164"/>
        <v>69000</v>
      </c>
      <c r="DP103" s="46">
        <f t="shared" si="165"/>
        <v>0</v>
      </c>
      <c r="DQ103" s="47">
        <f t="shared" si="166"/>
        <v>0</v>
      </c>
      <c r="DR103" s="604">
        <f t="shared" si="236"/>
        <v>0</v>
      </c>
      <c r="DS103" s="44">
        <f t="shared" si="237"/>
        <v>0</v>
      </c>
      <c r="DT103" s="44">
        <f t="shared" si="238"/>
        <v>0</v>
      </c>
      <c r="DU103" s="44">
        <f t="shared" si="239"/>
        <v>0</v>
      </c>
      <c r="DV103" s="44">
        <f t="shared" si="240"/>
        <v>150000</v>
      </c>
      <c r="DW103" s="44">
        <f t="shared" si="241"/>
        <v>150000</v>
      </c>
      <c r="DX103" s="44">
        <f t="shared" si="167"/>
        <v>6000</v>
      </c>
      <c r="DY103" s="44">
        <f t="shared" si="242"/>
        <v>6000</v>
      </c>
      <c r="DZ103" s="44">
        <f t="shared" si="168"/>
        <v>75000</v>
      </c>
      <c r="EA103" s="44">
        <f t="shared" si="243"/>
        <v>75000</v>
      </c>
      <c r="EB103" s="44">
        <f t="shared" si="169"/>
        <v>75000</v>
      </c>
      <c r="EC103" s="46">
        <f t="shared" si="170"/>
        <v>0</v>
      </c>
      <c r="ED103" s="47">
        <f t="shared" si="171"/>
        <v>0</v>
      </c>
    </row>
    <row r="104" spans="1:134" x14ac:dyDescent="0.35">
      <c r="A104" s="81">
        <v>2007</v>
      </c>
      <c r="B104" s="82" t="s">
        <v>274</v>
      </c>
      <c r="C104" s="82"/>
      <c r="D104" s="83" t="s">
        <v>29</v>
      </c>
      <c r="E104" s="87">
        <v>200000</v>
      </c>
      <c r="F104" s="85">
        <v>39995</v>
      </c>
      <c r="G104" s="86">
        <v>50</v>
      </c>
      <c r="H104" s="179"/>
      <c r="I104" s="180"/>
      <c r="J104" s="181"/>
      <c r="K104" s="42">
        <f t="shared" si="122"/>
        <v>0.02</v>
      </c>
      <c r="L104" s="43">
        <f t="shared" si="123"/>
        <v>4000</v>
      </c>
      <c r="M104" s="44">
        <f t="shared" si="124"/>
        <v>190000</v>
      </c>
      <c r="N104" s="44"/>
      <c r="O104" s="44">
        <f t="shared" si="125"/>
        <v>10000</v>
      </c>
      <c r="P104" s="45"/>
      <c r="Q104" s="44">
        <f t="shared" si="126"/>
        <v>200000</v>
      </c>
      <c r="R104" s="604">
        <f t="shared" si="172"/>
        <v>0</v>
      </c>
      <c r="S104" s="44">
        <f t="shared" si="173"/>
        <v>0</v>
      </c>
      <c r="T104" s="44">
        <f t="shared" si="174"/>
        <v>0</v>
      </c>
      <c r="U104" s="44">
        <f t="shared" si="175"/>
        <v>0</v>
      </c>
      <c r="V104" s="44">
        <f t="shared" si="176"/>
        <v>200000</v>
      </c>
      <c r="W104" s="44">
        <f t="shared" si="177"/>
        <v>200000</v>
      </c>
      <c r="X104" s="44">
        <f t="shared" si="127"/>
        <v>4000</v>
      </c>
      <c r="Y104" s="44">
        <f t="shared" si="178"/>
        <v>4000</v>
      </c>
      <c r="Z104" s="44">
        <f t="shared" si="128"/>
        <v>186000</v>
      </c>
      <c r="AA104" s="44">
        <f t="shared" si="179"/>
        <v>186000</v>
      </c>
      <c r="AB104" s="44">
        <f t="shared" si="129"/>
        <v>14000</v>
      </c>
      <c r="AC104" s="46">
        <f t="shared" si="130"/>
        <v>0</v>
      </c>
      <c r="AD104" s="47">
        <f t="shared" si="131"/>
        <v>0</v>
      </c>
      <c r="AE104" s="604">
        <f t="shared" si="180"/>
        <v>0</v>
      </c>
      <c r="AF104" s="44">
        <f t="shared" si="181"/>
        <v>0</v>
      </c>
      <c r="AG104" s="44">
        <f t="shared" si="182"/>
        <v>0</v>
      </c>
      <c r="AH104" s="44">
        <f t="shared" si="183"/>
        <v>0</v>
      </c>
      <c r="AI104" s="44">
        <f t="shared" si="184"/>
        <v>200000</v>
      </c>
      <c r="AJ104" s="44">
        <f t="shared" si="185"/>
        <v>200000</v>
      </c>
      <c r="AK104" s="44">
        <f t="shared" si="132"/>
        <v>4000</v>
      </c>
      <c r="AL104" s="44">
        <f t="shared" si="186"/>
        <v>4000</v>
      </c>
      <c r="AM104" s="44">
        <f t="shared" si="133"/>
        <v>182000</v>
      </c>
      <c r="AN104" s="44">
        <f t="shared" si="187"/>
        <v>182000</v>
      </c>
      <c r="AO104" s="44">
        <f t="shared" si="134"/>
        <v>18000</v>
      </c>
      <c r="AP104" s="46">
        <f t="shared" si="135"/>
        <v>0</v>
      </c>
      <c r="AQ104" s="47">
        <f t="shared" si="136"/>
        <v>0</v>
      </c>
      <c r="AR104" s="604">
        <f t="shared" si="188"/>
        <v>0</v>
      </c>
      <c r="AS104" s="44">
        <f t="shared" si="189"/>
        <v>0</v>
      </c>
      <c r="AT104" s="44">
        <f t="shared" si="190"/>
        <v>0</v>
      </c>
      <c r="AU104" s="44">
        <f t="shared" si="191"/>
        <v>0</v>
      </c>
      <c r="AV104" s="44">
        <f t="shared" si="192"/>
        <v>200000</v>
      </c>
      <c r="AW104" s="44">
        <f t="shared" si="193"/>
        <v>200000</v>
      </c>
      <c r="AX104" s="44">
        <f t="shared" si="137"/>
        <v>4000</v>
      </c>
      <c r="AY104" s="44">
        <f t="shared" si="194"/>
        <v>4000</v>
      </c>
      <c r="AZ104" s="44">
        <f t="shared" si="138"/>
        <v>178000</v>
      </c>
      <c r="BA104" s="44">
        <f t="shared" si="195"/>
        <v>178000</v>
      </c>
      <c r="BB104" s="44">
        <f t="shared" si="139"/>
        <v>22000</v>
      </c>
      <c r="BC104" s="46">
        <f t="shared" si="140"/>
        <v>0</v>
      </c>
      <c r="BD104" s="47">
        <f t="shared" si="141"/>
        <v>0</v>
      </c>
      <c r="BE104" s="604">
        <f t="shared" si="196"/>
        <v>0</v>
      </c>
      <c r="BF104" s="44">
        <f t="shared" si="197"/>
        <v>0</v>
      </c>
      <c r="BG104" s="44">
        <f t="shared" si="198"/>
        <v>0</v>
      </c>
      <c r="BH104" s="44">
        <f t="shared" si="199"/>
        <v>0</v>
      </c>
      <c r="BI104" s="44">
        <f t="shared" si="200"/>
        <v>200000</v>
      </c>
      <c r="BJ104" s="44">
        <f t="shared" si="201"/>
        <v>200000</v>
      </c>
      <c r="BK104" s="44">
        <f t="shared" si="142"/>
        <v>4000</v>
      </c>
      <c r="BL104" s="44">
        <f t="shared" si="202"/>
        <v>4000</v>
      </c>
      <c r="BM104" s="44">
        <f t="shared" si="143"/>
        <v>174000</v>
      </c>
      <c r="BN104" s="44">
        <f t="shared" si="203"/>
        <v>174000</v>
      </c>
      <c r="BO104" s="44">
        <f t="shared" si="144"/>
        <v>26000</v>
      </c>
      <c r="BP104" s="46">
        <f t="shared" si="145"/>
        <v>0</v>
      </c>
      <c r="BQ104" s="47">
        <f t="shared" si="146"/>
        <v>0</v>
      </c>
      <c r="BR104" s="604">
        <f t="shared" si="204"/>
        <v>0</v>
      </c>
      <c r="BS104" s="44">
        <f t="shared" si="205"/>
        <v>0</v>
      </c>
      <c r="BT104" s="44">
        <f t="shared" si="206"/>
        <v>0</v>
      </c>
      <c r="BU104" s="44">
        <f t="shared" si="207"/>
        <v>0</v>
      </c>
      <c r="BV104" s="44">
        <f t="shared" si="208"/>
        <v>200000</v>
      </c>
      <c r="BW104" s="44">
        <f t="shared" si="209"/>
        <v>200000</v>
      </c>
      <c r="BX104" s="44">
        <f t="shared" si="147"/>
        <v>4000</v>
      </c>
      <c r="BY104" s="44">
        <f t="shared" si="210"/>
        <v>4000</v>
      </c>
      <c r="BZ104" s="44">
        <f t="shared" si="148"/>
        <v>170000</v>
      </c>
      <c r="CA104" s="44">
        <f t="shared" si="211"/>
        <v>170000</v>
      </c>
      <c r="CB104" s="44">
        <f t="shared" si="149"/>
        <v>30000</v>
      </c>
      <c r="CC104" s="46">
        <f t="shared" si="150"/>
        <v>0</v>
      </c>
      <c r="CD104" s="47">
        <f t="shared" si="151"/>
        <v>0</v>
      </c>
      <c r="CE104" s="604">
        <f t="shared" si="212"/>
        <v>0</v>
      </c>
      <c r="CF104" s="44">
        <f t="shared" si="213"/>
        <v>0</v>
      </c>
      <c r="CG104" s="44">
        <f t="shared" si="214"/>
        <v>0</v>
      </c>
      <c r="CH104" s="44">
        <f t="shared" si="215"/>
        <v>0</v>
      </c>
      <c r="CI104" s="44">
        <f t="shared" si="216"/>
        <v>200000</v>
      </c>
      <c r="CJ104" s="44">
        <f t="shared" si="217"/>
        <v>200000</v>
      </c>
      <c r="CK104" s="44">
        <f t="shared" si="152"/>
        <v>4000</v>
      </c>
      <c r="CL104" s="44">
        <f t="shared" si="218"/>
        <v>4000</v>
      </c>
      <c r="CM104" s="44">
        <f t="shared" si="153"/>
        <v>166000</v>
      </c>
      <c r="CN104" s="44">
        <f t="shared" si="219"/>
        <v>166000</v>
      </c>
      <c r="CO104" s="44">
        <f t="shared" si="154"/>
        <v>34000</v>
      </c>
      <c r="CP104" s="46">
        <f t="shared" si="155"/>
        <v>0</v>
      </c>
      <c r="CQ104" s="47">
        <f t="shared" si="156"/>
        <v>0</v>
      </c>
      <c r="CR104" s="604">
        <f t="shared" si="220"/>
        <v>0</v>
      </c>
      <c r="CS104" s="44">
        <f t="shared" si="221"/>
        <v>0</v>
      </c>
      <c r="CT104" s="44">
        <f t="shared" si="222"/>
        <v>0</v>
      </c>
      <c r="CU104" s="44">
        <f t="shared" si="223"/>
        <v>0</v>
      </c>
      <c r="CV104" s="44">
        <f t="shared" si="224"/>
        <v>200000</v>
      </c>
      <c r="CW104" s="44">
        <f t="shared" si="225"/>
        <v>200000</v>
      </c>
      <c r="CX104" s="44">
        <f t="shared" si="157"/>
        <v>4000</v>
      </c>
      <c r="CY104" s="44">
        <f t="shared" si="226"/>
        <v>4000</v>
      </c>
      <c r="CZ104" s="44">
        <f t="shared" si="158"/>
        <v>162000</v>
      </c>
      <c r="DA104" s="44">
        <f t="shared" si="227"/>
        <v>162000</v>
      </c>
      <c r="DB104" s="44">
        <f t="shared" si="159"/>
        <v>38000</v>
      </c>
      <c r="DC104" s="46">
        <f t="shared" si="160"/>
        <v>0</v>
      </c>
      <c r="DD104" s="47">
        <f t="shared" si="161"/>
        <v>0</v>
      </c>
      <c r="DE104" s="604">
        <f t="shared" si="228"/>
        <v>0</v>
      </c>
      <c r="DF104" s="44">
        <f t="shared" si="229"/>
        <v>0</v>
      </c>
      <c r="DG104" s="44">
        <f t="shared" si="230"/>
        <v>0</v>
      </c>
      <c r="DH104" s="44">
        <f t="shared" si="231"/>
        <v>0</v>
      </c>
      <c r="DI104" s="44">
        <f t="shared" si="232"/>
        <v>200000</v>
      </c>
      <c r="DJ104" s="44">
        <f t="shared" si="233"/>
        <v>200000</v>
      </c>
      <c r="DK104" s="44">
        <f t="shared" si="162"/>
        <v>4000</v>
      </c>
      <c r="DL104" s="44">
        <f t="shared" si="234"/>
        <v>4000</v>
      </c>
      <c r="DM104" s="44">
        <f t="shared" si="163"/>
        <v>158000</v>
      </c>
      <c r="DN104" s="44">
        <f t="shared" si="235"/>
        <v>158000</v>
      </c>
      <c r="DO104" s="44">
        <f t="shared" si="164"/>
        <v>42000</v>
      </c>
      <c r="DP104" s="46">
        <f t="shared" si="165"/>
        <v>0</v>
      </c>
      <c r="DQ104" s="47">
        <f t="shared" si="166"/>
        <v>0</v>
      </c>
      <c r="DR104" s="604">
        <f t="shared" si="236"/>
        <v>0</v>
      </c>
      <c r="DS104" s="44">
        <f t="shared" si="237"/>
        <v>0</v>
      </c>
      <c r="DT104" s="44">
        <f t="shared" si="238"/>
        <v>0</v>
      </c>
      <c r="DU104" s="44">
        <f t="shared" si="239"/>
        <v>0</v>
      </c>
      <c r="DV104" s="44">
        <f t="shared" si="240"/>
        <v>200000</v>
      </c>
      <c r="DW104" s="44">
        <f t="shared" si="241"/>
        <v>200000</v>
      </c>
      <c r="DX104" s="44">
        <f t="shared" si="167"/>
        <v>4000</v>
      </c>
      <c r="DY104" s="44">
        <f t="shared" si="242"/>
        <v>4000</v>
      </c>
      <c r="DZ104" s="44">
        <f t="shared" si="168"/>
        <v>154000</v>
      </c>
      <c r="EA104" s="44">
        <f t="shared" si="243"/>
        <v>154000</v>
      </c>
      <c r="EB104" s="44">
        <f t="shared" si="169"/>
        <v>46000</v>
      </c>
      <c r="EC104" s="46">
        <f t="shared" si="170"/>
        <v>0</v>
      </c>
      <c r="ED104" s="47">
        <f t="shared" si="171"/>
        <v>0</v>
      </c>
    </row>
    <row r="105" spans="1:134" x14ac:dyDescent="0.35">
      <c r="A105" s="81"/>
      <c r="B105" s="82"/>
      <c r="C105" s="82"/>
      <c r="D105" s="83"/>
      <c r="E105" s="87"/>
      <c r="F105" s="85"/>
      <c r="G105" s="86"/>
      <c r="H105" s="179"/>
      <c r="I105" s="180"/>
      <c r="J105" s="181"/>
      <c r="K105" s="42">
        <f t="shared" si="122"/>
        <v>0</v>
      </c>
      <c r="L105" s="43">
        <f t="shared" si="123"/>
        <v>0</v>
      </c>
      <c r="M105" s="44">
        <f t="shared" si="124"/>
        <v>0</v>
      </c>
      <c r="N105" s="44"/>
      <c r="O105" s="44">
        <f t="shared" si="125"/>
        <v>0</v>
      </c>
      <c r="P105" s="45"/>
      <c r="Q105" s="44">
        <f t="shared" si="126"/>
        <v>0</v>
      </c>
      <c r="R105" s="604">
        <f t="shared" si="172"/>
        <v>0</v>
      </c>
      <c r="S105" s="44">
        <f t="shared" si="173"/>
        <v>0</v>
      </c>
      <c r="T105" s="44">
        <f t="shared" si="174"/>
        <v>0</v>
      </c>
      <c r="U105" s="44">
        <f t="shared" si="175"/>
        <v>0</v>
      </c>
      <c r="V105" s="44">
        <f t="shared" si="176"/>
        <v>0</v>
      </c>
      <c r="W105" s="44">
        <f t="shared" si="177"/>
        <v>0</v>
      </c>
      <c r="X105" s="44">
        <f t="shared" si="127"/>
        <v>0</v>
      </c>
      <c r="Y105" s="44">
        <f t="shared" si="178"/>
        <v>0</v>
      </c>
      <c r="Z105" s="44">
        <f t="shared" si="128"/>
        <v>0</v>
      </c>
      <c r="AA105" s="44">
        <f t="shared" si="179"/>
        <v>0</v>
      </c>
      <c r="AB105" s="44">
        <f t="shared" si="129"/>
        <v>0</v>
      </c>
      <c r="AC105" s="46">
        <f t="shared" si="130"/>
        <v>0</v>
      </c>
      <c r="AD105" s="47">
        <f t="shared" si="131"/>
        <v>0</v>
      </c>
      <c r="AE105" s="604">
        <f t="shared" si="180"/>
        <v>0</v>
      </c>
      <c r="AF105" s="44">
        <f t="shared" si="181"/>
        <v>0</v>
      </c>
      <c r="AG105" s="44">
        <f t="shared" si="182"/>
        <v>0</v>
      </c>
      <c r="AH105" s="44">
        <f t="shared" si="183"/>
        <v>0</v>
      </c>
      <c r="AI105" s="44">
        <f t="shared" si="184"/>
        <v>0</v>
      </c>
      <c r="AJ105" s="44">
        <f t="shared" si="185"/>
        <v>0</v>
      </c>
      <c r="AK105" s="44">
        <f t="shared" si="132"/>
        <v>0</v>
      </c>
      <c r="AL105" s="44">
        <f t="shared" si="186"/>
        <v>0</v>
      </c>
      <c r="AM105" s="44">
        <f t="shared" si="133"/>
        <v>0</v>
      </c>
      <c r="AN105" s="44">
        <f t="shared" si="187"/>
        <v>0</v>
      </c>
      <c r="AO105" s="44">
        <f t="shared" si="134"/>
        <v>0</v>
      </c>
      <c r="AP105" s="46">
        <f t="shared" si="135"/>
        <v>0</v>
      </c>
      <c r="AQ105" s="47">
        <f t="shared" si="136"/>
        <v>0</v>
      </c>
      <c r="AR105" s="604">
        <f t="shared" si="188"/>
        <v>0</v>
      </c>
      <c r="AS105" s="44">
        <f t="shared" si="189"/>
        <v>0</v>
      </c>
      <c r="AT105" s="44">
        <f t="shared" si="190"/>
        <v>0</v>
      </c>
      <c r="AU105" s="44">
        <f t="shared" si="191"/>
        <v>0</v>
      </c>
      <c r="AV105" s="44">
        <f t="shared" si="192"/>
        <v>0</v>
      </c>
      <c r="AW105" s="44">
        <f t="shared" si="193"/>
        <v>0</v>
      </c>
      <c r="AX105" s="44">
        <f t="shared" si="137"/>
        <v>0</v>
      </c>
      <c r="AY105" s="44">
        <f t="shared" si="194"/>
        <v>0</v>
      </c>
      <c r="AZ105" s="44">
        <f t="shared" si="138"/>
        <v>0</v>
      </c>
      <c r="BA105" s="44">
        <f t="shared" si="195"/>
        <v>0</v>
      </c>
      <c r="BB105" s="44">
        <f t="shared" si="139"/>
        <v>0</v>
      </c>
      <c r="BC105" s="46">
        <f t="shared" si="140"/>
        <v>0</v>
      </c>
      <c r="BD105" s="47">
        <f t="shared" si="141"/>
        <v>0</v>
      </c>
      <c r="BE105" s="604">
        <f t="shared" si="196"/>
        <v>0</v>
      </c>
      <c r="BF105" s="44">
        <f t="shared" si="197"/>
        <v>0</v>
      </c>
      <c r="BG105" s="44">
        <f t="shared" si="198"/>
        <v>0</v>
      </c>
      <c r="BH105" s="44">
        <f t="shared" si="199"/>
        <v>0</v>
      </c>
      <c r="BI105" s="44">
        <f t="shared" si="200"/>
        <v>0</v>
      </c>
      <c r="BJ105" s="44">
        <f t="shared" si="201"/>
        <v>0</v>
      </c>
      <c r="BK105" s="44">
        <f t="shared" si="142"/>
        <v>0</v>
      </c>
      <c r="BL105" s="44">
        <f t="shared" si="202"/>
        <v>0</v>
      </c>
      <c r="BM105" s="44">
        <f t="shared" si="143"/>
        <v>0</v>
      </c>
      <c r="BN105" s="44">
        <f t="shared" si="203"/>
        <v>0</v>
      </c>
      <c r="BO105" s="44">
        <f t="shared" si="144"/>
        <v>0</v>
      </c>
      <c r="BP105" s="46">
        <f t="shared" si="145"/>
        <v>0</v>
      </c>
      <c r="BQ105" s="47">
        <f t="shared" si="146"/>
        <v>0</v>
      </c>
      <c r="BR105" s="604">
        <f t="shared" si="204"/>
        <v>0</v>
      </c>
      <c r="BS105" s="44">
        <f t="shared" si="205"/>
        <v>0</v>
      </c>
      <c r="BT105" s="44">
        <f t="shared" si="206"/>
        <v>0</v>
      </c>
      <c r="BU105" s="44">
        <f t="shared" si="207"/>
        <v>0</v>
      </c>
      <c r="BV105" s="44">
        <f t="shared" si="208"/>
        <v>0</v>
      </c>
      <c r="BW105" s="44">
        <f t="shared" si="209"/>
        <v>0</v>
      </c>
      <c r="BX105" s="44">
        <f t="shared" si="147"/>
        <v>0</v>
      </c>
      <c r="BY105" s="44">
        <f t="shared" si="210"/>
        <v>0</v>
      </c>
      <c r="BZ105" s="44">
        <f t="shared" si="148"/>
        <v>0</v>
      </c>
      <c r="CA105" s="44">
        <f t="shared" si="211"/>
        <v>0</v>
      </c>
      <c r="CB105" s="44">
        <f t="shared" si="149"/>
        <v>0</v>
      </c>
      <c r="CC105" s="46">
        <f t="shared" si="150"/>
        <v>0</v>
      </c>
      <c r="CD105" s="47">
        <f t="shared" si="151"/>
        <v>0</v>
      </c>
      <c r="CE105" s="604">
        <f t="shared" si="212"/>
        <v>0</v>
      </c>
      <c r="CF105" s="44">
        <f t="shared" si="213"/>
        <v>0</v>
      </c>
      <c r="CG105" s="44">
        <f t="shared" si="214"/>
        <v>0</v>
      </c>
      <c r="CH105" s="44">
        <f t="shared" si="215"/>
        <v>0</v>
      </c>
      <c r="CI105" s="44">
        <f t="shared" si="216"/>
        <v>0</v>
      </c>
      <c r="CJ105" s="44">
        <f t="shared" si="217"/>
        <v>0</v>
      </c>
      <c r="CK105" s="44">
        <f t="shared" si="152"/>
        <v>0</v>
      </c>
      <c r="CL105" s="44">
        <f t="shared" si="218"/>
        <v>0</v>
      </c>
      <c r="CM105" s="44">
        <f t="shared" si="153"/>
        <v>0</v>
      </c>
      <c r="CN105" s="44">
        <f t="shared" si="219"/>
        <v>0</v>
      </c>
      <c r="CO105" s="44">
        <f t="shared" si="154"/>
        <v>0</v>
      </c>
      <c r="CP105" s="46">
        <f t="shared" si="155"/>
        <v>0</v>
      </c>
      <c r="CQ105" s="47">
        <f t="shared" si="156"/>
        <v>0</v>
      </c>
      <c r="CR105" s="604">
        <f t="shared" si="220"/>
        <v>0</v>
      </c>
      <c r="CS105" s="44">
        <f t="shared" si="221"/>
        <v>0</v>
      </c>
      <c r="CT105" s="44">
        <f t="shared" si="222"/>
        <v>0</v>
      </c>
      <c r="CU105" s="44">
        <f t="shared" si="223"/>
        <v>0</v>
      </c>
      <c r="CV105" s="44">
        <f t="shared" si="224"/>
        <v>0</v>
      </c>
      <c r="CW105" s="44">
        <f t="shared" si="225"/>
        <v>0</v>
      </c>
      <c r="CX105" s="44">
        <f t="shared" si="157"/>
        <v>0</v>
      </c>
      <c r="CY105" s="44">
        <f t="shared" si="226"/>
        <v>0</v>
      </c>
      <c r="CZ105" s="44">
        <f t="shared" si="158"/>
        <v>0</v>
      </c>
      <c r="DA105" s="44">
        <f t="shared" si="227"/>
        <v>0</v>
      </c>
      <c r="DB105" s="44">
        <f t="shared" si="159"/>
        <v>0</v>
      </c>
      <c r="DC105" s="46">
        <f t="shared" si="160"/>
        <v>0</v>
      </c>
      <c r="DD105" s="47">
        <f t="shared" si="161"/>
        <v>0</v>
      </c>
      <c r="DE105" s="604">
        <f t="shared" si="228"/>
        <v>0</v>
      </c>
      <c r="DF105" s="44">
        <f t="shared" si="229"/>
        <v>0</v>
      </c>
      <c r="DG105" s="44">
        <f t="shared" si="230"/>
        <v>0</v>
      </c>
      <c r="DH105" s="44">
        <f t="shared" si="231"/>
        <v>0</v>
      </c>
      <c r="DI105" s="44">
        <f t="shared" si="232"/>
        <v>0</v>
      </c>
      <c r="DJ105" s="44">
        <f t="shared" si="233"/>
        <v>0</v>
      </c>
      <c r="DK105" s="44">
        <f t="shared" si="162"/>
        <v>0</v>
      </c>
      <c r="DL105" s="44">
        <f t="shared" si="234"/>
        <v>0</v>
      </c>
      <c r="DM105" s="44">
        <f t="shared" si="163"/>
        <v>0</v>
      </c>
      <c r="DN105" s="44">
        <f t="shared" si="235"/>
        <v>0</v>
      </c>
      <c r="DO105" s="44">
        <f t="shared" si="164"/>
        <v>0</v>
      </c>
      <c r="DP105" s="46">
        <f t="shared" si="165"/>
        <v>0</v>
      </c>
      <c r="DQ105" s="47">
        <f t="shared" si="166"/>
        <v>0</v>
      </c>
      <c r="DR105" s="604">
        <f t="shared" si="236"/>
        <v>0</v>
      </c>
      <c r="DS105" s="44">
        <f t="shared" si="237"/>
        <v>0</v>
      </c>
      <c r="DT105" s="44">
        <f t="shared" si="238"/>
        <v>0</v>
      </c>
      <c r="DU105" s="44">
        <f t="shared" si="239"/>
        <v>0</v>
      </c>
      <c r="DV105" s="44">
        <f t="shared" si="240"/>
        <v>0</v>
      </c>
      <c r="DW105" s="44">
        <f t="shared" si="241"/>
        <v>0</v>
      </c>
      <c r="DX105" s="44">
        <f t="shared" si="167"/>
        <v>0</v>
      </c>
      <c r="DY105" s="44">
        <f t="shared" si="242"/>
        <v>0</v>
      </c>
      <c r="DZ105" s="44">
        <f t="shared" si="168"/>
        <v>0</v>
      </c>
      <c r="EA105" s="44">
        <f t="shared" si="243"/>
        <v>0</v>
      </c>
      <c r="EB105" s="44">
        <f t="shared" si="169"/>
        <v>0</v>
      </c>
      <c r="EC105" s="46">
        <f t="shared" si="170"/>
        <v>0</v>
      </c>
      <c r="ED105" s="47">
        <f t="shared" si="171"/>
        <v>0</v>
      </c>
    </row>
    <row r="106" spans="1:134" x14ac:dyDescent="0.35">
      <c r="A106" s="81"/>
      <c r="B106" s="82" t="s">
        <v>275</v>
      </c>
      <c r="C106" s="82"/>
      <c r="D106" s="83"/>
      <c r="E106" s="87"/>
      <c r="F106" s="85"/>
      <c r="G106" s="86"/>
      <c r="H106" s="179"/>
      <c r="I106" s="180"/>
      <c r="J106" s="181"/>
      <c r="K106" s="42">
        <f t="shared" si="122"/>
        <v>0</v>
      </c>
      <c r="L106" s="43">
        <f t="shared" si="123"/>
        <v>0</v>
      </c>
      <c r="M106" s="44">
        <f t="shared" si="124"/>
        <v>0</v>
      </c>
      <c r="N106" s="44"/>
      <c r="O106" s="44">
        <f t="shared" si="125"/>
        <v>0</v>
      </c>
      <c r="P106" s="45"/>
      <c r="Q106" s="44">
        <f t="shared" si="126"/>
        <v>0</v>
      </c>
      <c r="R106" s="604">
        <f t="shared" si="172"/>
        <v>0</v>
      </c>
      <c r="S106" s="44">
        <f t="shared" si="173"/>
        <v>0</v>
      </c>
      <c r="T106" s="44">
        <f t="shared" si="174"/>
        <v>0</v>
      </c>
      <c r="U106" s="44">
        <f t="shared" si="175"/>
        <v>0</v>
      </c>
      <c r="V106" s="44">
        <f t="shared" si="176"/>
        <v>0</v>
      </c>
      <c r="W106" s="44">
        <f t="shared" si="177"/>
        <v>0</v>
      </c>
      <c r="X106" s="44">
        <f t="shared" si="127"/>
        <v>0</v>
      </c>
      <c r="Y106" s="44">
        <f t="shared" si="178"/>
        <v>0</v>
      </c>
      <c r="Z106" s="44">
        <f t="shared" si="128"/>
        <v>0</v>
      </c>
      <c r="AA106" s="44">
        <f t="shared" si="179"/>
        <v>0</v>
      </c>
      <c r="AB106" s="44">
        <f t="shared" si="129"/>
        <v>0</v>
      </c>
      <c r="AC106" s="46">
        <f t="shared" si="130"/>
        <v>0</v>
      </c>
      <c r="AD106" s="47">
        <f t="shared" si="131"/>
        <v>0</v>
      </c>
      <c r="AE106" s="604">
        <f t="shared" si="180"/>
        <v>0</v>
      </c>
      <c r="AF106" s="44">
        <f t="shared" si="181"/>
        <v>0</v>
      </c>
      <c r="AG106" s="44">
        <f t="shared" si="182"/>
        <v>0</v>
      </c>
      <c r="AH106" s="44">
        <f t="shared" si="183"/>
        <v>0</v>
      </c>
      <c r="AI106" s="44">
        <f t="shared" si="184"/>
        <v>0</v>
      </c>
      <c r="AJ106" s="44">
        <f t="shared" si="185"/>
        <v>0</v>
      </c>
      <c r="AK106" s="44">
        <f t="shared" si="132"/>
        <v>0</v>
      </c>
      <c r="AL106" s="44">
        <f t="shared" si="186"/>
        <v>0</v>
      </c>
      <c r="AM106" s="44">
        <f t="shared" si="133"/>
        <v>0</v>
      </c>
      <c r="AN106" s="44">
        <f t="shared" si="187"/>
        <v>0</v>
      </c>
      <c r="AO106" s="44">
        <f t="shared" si="134"/>
        <v>0</v>
      </c>
      <c r="AP106" s="46">
        <f t="shared" si="135"/>
        <v>0</v>
      </c>
      <c r="AQ106" s="47">
        <f t="shared" si="136"/>
        <v>0</v>
      </c>
      <c r="AR106" s="604">
        <f t="shared" si="188"/>
        <v>0</v>
      </c>
      <c r="AS106" s="44">
        <f t="shared" si="189"/>
        <v>0</v>
      </c>
      <c r="AT106" s="44">
        <f t="shared" si="190"/>
        <v>0</v>
      </c>
      <c r="AU106" s="44">
        <f t="shared" si="191"/>
        <v>0</v>
      </c>
      <c r="AV106" s="44">
        <f t="shared" si="192"/>
        <v>0</v>
      </c>
      <c r="AW106" s="44">
        <f t="shared" si="193"/>
        <v>0</v>
      </c>
      <c r="AX106" s="44">
        <f t="shared" si="137"/>
        <v>0</v>
      </c>
      <c r="AY106" s="44">
        <f t="shared" si="194"/>
        <v>0</v>
      </c>
      <c r="AZ106" s="44">
        <f t="shared" si="138"/>
        <v>0</v>
      </c>
      <c r="BA106" s="44">
        <f t="shared" si="195"/>
        <v>0</v>
      </c>
      <c r="BB106" s="44">
        <f t="shared" si="139"/>
        <v>0</v>
      </c>
      <c r="BC106" s="46">
        <f t="shared" si="140"/>
        <v>0</v>
      </c>
      <c r="BD106" s="47">
        <f t="shared" si="141"/>
        <v>0</v>
      </c>
      <c r="BE106" s="604">
        <f t="shared" si="196"/>
        <v>0</v>
      </c>
      <c r="BF106" s="44">
        <f t="shared" si="197"/>
        <v>0</v>
      </c>
      <c r="BG106" s="44">
        <f t="shared" si="198"/>
        <v>0</v>
      </c>
      <c r="BH106" s="44">
        <f t="shared" si="199"/>
        <v>0</v>
      </c>
      <c r="BI106" s="44">
        <f t="shared" si="200"/>
        <v>0</v>
      </c>
      <c r="BJ106" s="44">
        <f t="shared" si="201"/>
        <v>0</v>
      </c>
      <c r="BK106" s="44">
        <f t="shared" si="142"/>
        <v>0</v>
      </c>
      <c r="BL106" s="44">
        <f t="shared" si="202"/>
        <v>0</v>
      </c>
      <c r="BM106" s="44">
        <f t="shared" si="143"/>
        <v>0</v>
      </c>
      <c r="BN106" s="44">
        <f t="shared" si="203"/>
        <v>0</v>
      </c>
      <c r="BO106" s="44">
        <f t="shared" si="144"/>
        <v>0</v>
      </c>
      <c r="BP106" s="46">
        <f t="shared" si="145"/>
        <v>0</v>
      </c>
      <c r="BQ106" s="47">
        <f t="shared" si="146"/>
        <v>0</v>
      </c>
      <c r="BR106" s="604">
        <f t="shared" si="204"/>
        <v>0</v>
      </c>
      <c r="BS106" s="44">
        <f t="shared" si="205"/>
        <v>0</v>
      </c>
      <c r="BT106" s="44">
        <f t="shared" si="206"/>
        <v>0</v>
      </c>
      <c r="BU106" s="44">
        <f t="shared" si="207"/>
        <v>0</v>
      </c>
      <c r="BV106" s="44">
        <f t="shared" si="208"/>
        <v>0</v>
      </c>
      <c r="BW106" s="44">
        <f t="shared" si="209"/>
        <v>0</v>
      </c>
      <c r="BX106" s="44">
        <f t="shared" si="147"/>
        <v>0</v>
      </c>
      <c r="BY106" s="44">
        <f t="shared" si="210"/>
        <v>0</v>
      </c>
      <c r="BZ106" s="44">
        <f t="shared" si="148"/>
        <v>0</v>
      </c>
      <c r="CA106" s="44">
        <f t="shared" si="211"/>
        <v>0</v>
      </c>
      <c r="CB106" s="44">
        <f t="shared" si="149"/>
        <v>0</v>
      </c>
      <c r="CC106" s="46">
        <f t="shared" si="150"/>
        <v>0</v>
      </c>
      <c r="CD106" s="47">
        <f t="shared" si="151"/>
        <v>0</v>
      </c>
      <c r="CE106" s="604">
        <f t="shared" si="212"/>
        <v>0</v>
      </c>
      <c r="CF106" s="44">
        <f t="shared" si="213"/>
        <v>0</v>
      </c>
      <c r="CG106" s="44">
        <f t="shared" si="214"/>
        <v>0</v>
      </c>
      <c r="CH106" s="44">
        <f t="shared" si="215"/>
        <v>0</v>
      </c>
      <c r="CI106" s="44">
        <f t="shared" si="216"/>
        <v>0</v>
      </c>
      <c r="CJ106" s="44">
        <f t="shared" si="217"/>
        <v>0</v>
      </c>
      <c r="CK106" s="44">
        <f t="shared" si="152"/>
        <v>0</v>
      </c>
      <c r="CL106" s="44">
        <f t="shared" si="218"/>
        <v>0</v>
      </c>
      <c r="CM106" s="44">
        <f t="shared" si="153"/>
        <v>0</v>
      </c>
      <c r="CN106" s="44">
        <f t="shared" si="219"/>
        <v>0</v>
      </c>
      <c r="CO106" s="44">
        <f t="shared" si="154"/>
        <v>0</v>
      </c>
      <c r="CP106" s="46">
        <f t="shared" si="155"/>
        <v>0</v>
      </c>
      <c r="CQ106" s="47">
        <f t="shared" si="156"/>
        <v>0</v>
      </c>
      <c r="CR106" s="604">
        <f t="shared" si="220"/>
        <v>0</v>
      </c>
      <c r="CS106" s="44">
        <f t="shared" si="221"/>
        <v>0</v>
      </c>
      <c r="CT106" s="44">
        <f t="shared" si="222"/>
        <v>0</v>
      </c>
      <c r="CU106" s="44">
        <f t="shared" si="223"/>
        <v>0</v>
      </c>
      <c r="CV106" s="44">
        <f t="shared" si="224"/>
        <v>0</v>
      </c>
      <c r="CW106" s="44">
        <f t="shared" si="225"/>
        <v>0</v>
      </c>
      <c r="CX106" s="44">
        <f t="shared" si="157"/>
        <v>0</v>
      </c>
      <c r="CY106" s="44">
        <f t="shared" si="226"/>
        <v>0</v>
      </c>
      <c r="CZ106" s="44">
        <f t="shared" si="158"/>
        <v>0</v>
      </c>
      <c r="DA106" s="44">
        <f t="shared" si="227"/>
        <v>0</v>
      </c>
      <c r="DB106" s="44">
        <f t="shared" si="159"/>
        <v>0</v>
      </c>
      <c r="DC106" s="46">
        <f t="shared" si="160"/>
        <v>0</v>
      </c>
      <c r="DD106" s="47">
        <f t="shared" si="161"/>
        <v>0</v>
      </c>
      <c r="DE106" s="604">
        <f t="shared" si="228"/>
        <v>0</v>
      </c>
      <c r="DF106" s="44">
        <f t="shared" si="229"/>
        <v>0</v>
      </c>
      <c r="DG106" s="44">
        <f t="shared" si="230"/>
        <v>0</v>
      </c>
      <c r="DH106" s="44">
        <f t="shared" si="231"/>
        <v>0</v>
      </c>
      <c r="DI106" s="44">
        <f t="shared" si="232"/>
        <v>0</v>
      </c>
      <c r="DJ106" s="44">
        <f t="shared" si="233"/>
        <v>0</v>
      </c>
      <c r="DK106" s="44">
        <f t="shared" si="162"/>
        <v>0</v>
      </c>
      <c r="DL106" s="44">
        <f t="shared" si="234"/>
        <v>0</v>
      </c>
      <c r="DM106" s="44">
        <f t="shared" si="163"/>
        <v>0</v>
      </c>
      <c r="DN106" s="44">
        <f t="shared" si="235"/>
        <v>0</v>
      </c>
      <c r="DO106" s="44">
        <f t="shared" si="164"/>
        <v>0</v>
      </c>
      <c r="DP106" s="46">
        <f t="shared" si="165"/>
        <v>0</v>
      </c>
      <c r="DQ106" s="47">
        <f t="shared" si="166"/>
        <v>0</v>
      </c>
      <c r="DR106" s="604">
        <f t="shared" si="236"/>
        <v>0</v>
      </c>
      <c r="DS106" s="44">
        <f t="shared" si="237"/>
        <v>0</v>
      </c>
      <c r="DT106" s="44">
        <f t="shared" si="238"/>
        <v>0</v>
      </c>
      <c r="DU106" s="44">
        <f t="shared" si="239"/>
        <v>0</v>
      </c>
      <c r="DV106" s="44">
        <f t="shared" si="240"/>
        <v>0</v>
      </c>
      <c r="DW106" s="44">
        <f t="shared" si="241"/>
        <v>0</v>
      </c>
      <c r="DX106" s="44">
        <f t="shared" si="167"/>
        <v>0</v>
      </c>
      <c r="DY106" s="44">
        <f t="shared" si="242"/>
        <v>0</v>
      </c>
      <c r="DZ106" s="44">
        <f t="shared" si="168"/>
        <v>0</v>
      </c>
      <c r="EA106" s="44">
        <f t="shared" si="243"/>
        <v>0</v>
      </c>
      <c r="EB106" s="44">
        <f t="shared" si="169"/>
        <v>0</v>
      </c>
      <c r="EC106" s="46">
        <f t="shared" si="170"/>
        <v>0</v>
      </c>
      <c r="ED106" s="47">
        <f t="shared" si="171"/>
        <v>0</v>
      </c>
    </row>
    <row r="107" spans="1:134" x14ac:dyDescent="0.35">
      <c r="A107" s="81">
        <v>1985</v>
      </c>
      <c r="B107" s="82" t="s">
        <v>276</v>
      </c>
      <c r="C107" s="82"/>
      <c r="D107" s="83" t="s">
        <v>41</v>
      </c>
      <c r="E107" s="87">
        <v>53000</v>
      </c>
      <c r="F107" s="85">
        <v>31229</v>
      </c>
      <c r="G107" s="86">
        <v>50</v>
      </c>
      <c r="H107" s="179"/>
      <c r="I107" s="180"/>
      <c r="J107" s="181"/>
      <c r="K107" s="42">
        <f t="shared" si="122"/>
        <v>0.02</v>
      </c>
      <c r="L107" s="43">
        <f t="shared" si="123"/>
        <v>1060</v>
      </c>
      <c r="M107" s="44">
        <f t="shared" si="124"/>
        <v>24910</v>
      </c>
      <c r="N107" s="44"/>
      <c r="O107" s="44">
        <f t="shared" si="125"/>
        <v>28090</v>
      </c>
      <c r="P107" s="45"/>
      <c r="Q107" s="44">
        <f t="shared" si="126"/>
        <v>53000</v>
      </c>
      <c r="R107" s="604">
        <f t="shared" si="172"/>
        <v>0</v>
      </c>
      <c r="S107" s="44">
        <f t="shared" si="173"/>
        <v>0</v>
      </c>
      <c r="T107" s="44">
        <f t="shared" si="174"/>
        <v>0</v>
      </c>
      <c r="U107" s="44">
        <f t="shared" si="175"/>
        <v>0</v>
      </c>
      <c r="V107" s="44">
        <f t="shared" si="176"/>
        <v>53000</v>
      </c>
      <c r="W107" s="44">
        <f t="shared" si="177"/>
        <v>53000</v>
      </c>
      <c r="X107" s="44">
        <f t="shared" si="127"/>
        <v>1060</v>
      </c>
      <c r="Y107" s="44">
        <f t="shared" si="178"/>
        <v>1060</v>
      </c>
      <c r="Z107" s="44">
        <f t="shared" si="128"/>
        <v>23850</v>
      </c>
      <c r="AA107" s="44">
        <f t="shared" si="179"/>
        <v>23850</v>
      </c>
      <c r="AB107" s="44">
        <f t="shared" si="129"/>
        <v>29150</v>
      </c>
      <c r="AC107" s="46">
        <f t="shared" si="130"/>
        <v>0</v>
      </c>
      <c r="AD107" s="47">
        <f t="shared" si="131"/>
        <v>0</v>
      </c>
      <c r="AE107" s="604">
        <f t="shared" si="180"/>
        <v>0</v>
      </c>
      <c r="AF107" s="44">
        <f t="shared" si="181"/>
        <v>0</v>
      </c>
      <c r="AG107" s="44">
        <f t="shared" si="182"/>
        <v>0</v>
      </c>
      <c r="AH107" s="44">
        <f t="shared" si="183"/>
        <v>0</v>
      </c>
      <c r="AI107" s="44">
        <f t="shared" si="184"/>
        <v>53000</v>
      </c>
      <c r="AJ107" s="44">
        <f t="shared" si="185"/>
        <v>53000</v>
      </c>
      <c r="AK107" s="44">
        <f t="shared" si="132"/>
        <v>1060</v>
      </c>
      <c r="AL107" s="44">
        <f t="shared" si="186"/>
        <v>1060</v>
      </c>
      <c r="AM107" s="44">
        <f t="shared" si="133"/>
        <v>22790</v>
      </c>
      <c r="AN107" s="44">
        <f t="shared" si="187"/>
        <v>22790</v>
      </c>
      <c r="AO107" s="44">
        <f t="shared" si="134"/>
        <v>30210</v>
      </c>
      <c r="AP107" s="46">
        <f t="shared" si="135"/>
        <v>0</v>
      </c>
      <c r="AQ107" s="47">
        <f t="shared" si="136"/>
        <v>0</v>
      </c>
      <c r="AR107" s="604">
        <f t="shared" si="188"/>
        <v>0</v>
      </c>
      <c r="AS107" s="44">
        <f t="shared" si="189"/>
        <v>0</v>
      </c>
      <c r="AT107" s="44">
        <f t="shared" si="190"/>
        <v>0</v>
      </c>
      <c r="AU107" s="44">
        <f t="shared" si="191"/>
        <v>0</v>
      </c>
      <c r="AV107" s="44">
        <f t="shared" si="192"/>
        <v>53000</v>
      </c>
      <c r="AW107" s="44">
        <f t="shared" si="193"/>
        <v>53000</v>
      </c>
      <c r="AX107" s="44">
        <f t="shared" si="137"/>
        <v>1060</v>
      </c>
      <c r="AY107" s="44">
        <f t="shared" si="194"/>
        <v>1060</v>
      </c>
      <c r="AZ107" s="44">
        <f t="shared" si="138"/>
        <v>21730</v>
      </c>
      <c r="BA107" s="44">
        <f t="shared" si="195"/>
        <v>21730</v>
      </c>
      <c r="BB107" s="44">
        <f t="shared" si="139"/>
        <v>31270</v>
      </c>
      <c r="BC107" s="46">
        <f t="shared" si="140"/>
        <v>0</v>
      </c>
      <c r="BD107" s="47">
        <f t="shared" si="141"/>
        <v>0</v>
      </c>
      <c r="BE107" s="604">
        <f t="shared" si="196"/>
        <v>0</v>
      </c>
      <c r="BF107" s="44">
        <f t="shared" si="197"/>
        <v>0</v>
      </c>
      <c r="BG107" s="44">
        <f t="shared" si="198"/>
        <v>0</v>
      </c>
      <c r="BH107" s="44">
        <f t="shared" si="199"/>
        <v>0</v>
      </c>
      <c r="BI107" s="44">
        <f t="shared" si="200"/>
        <v>53000</v>
      </c>
      <c r="BJ107" s="44">
        <f t="shared" si="201"/>
        <v>53000</v>
      </c>
      <c r="BK107" s="44">
        <f t="shared" si="142"/>
        <v>1060</v>
      </c>
      <c r="BL107" s="44">
        <f t="shared" si="202"/>
        <v>1060</v>
      </c>
      <c r="BM107" s="44">
        <f t="shared" si="143"/>
        <v>20670</v>
      </c>
      <c r="BN107" s="44">
        <f t="shared" si="203"/>
        <v>20670</v>
      </c>
      <c r="BO107" s="44">
        <f t="shared" si="144"/>
        <v>32330</v>
      </c>
      <c r="BP107" s="46">
        <f t="shared" si="145"/>
        <v>0</v>
      </c>
      <c r="BQ107" s="47">
        <f t="shared" si="146"/>
        <v>0</v>
      </c>
      <c r="BR107" s="604">
        <f t="shared" si="204"/>
        <v>0</v>
      </c>
      <c r="BS107" s="44">
        <f t="shared" si="205"/>
        <v>0</v>
      </c>
      <c r="BT107" s="44">
        <f t="shared" si="206"/>
        <v>0</v>
      </c>
      <c r="BU107" s="44">
        <f t="shared" si="207"/>
        <v>0</v>
      </c>
      <c r="BV107" s="44">
        <f t="shared" si="208"/>
        <v>53000</v>
      </c>
      <c r="BW107" s="44">
        <f t="shared" si="209"/>
        <v>53000</v>
      </c>
      <c r="BX107" s="44">
        <f t="shared" si="147"/>
        <v>1060</v>
      </c>
      <c r="BY107" s="44">
        <f t="shared" si="210"/>
        <v>1060</v>
      </c>
      <c r="BZ107" s="44">
        <f t="shared" si="148"/>
        <v>19610</v>
      </c>
      <c r="CA107" s="44">
        <f t="shared" si="211"/>
        <v>19610</v>
      </c>
      <c r="CB107" s="44">
        <f t="shared" si="149"/>
        <v>33390</v>
      </c>
      <c r="CC107" s="46">
        <f t="shared" si="150"/>
        <v>0</v>
      </c>
      <c r="CD107" s="47">
        <f t="shared" si="151"/>
        <v>0</v>
      </c>
      <c r="CE107" s="604">
        <f t="shared" si="212"/>
        <v>0</v>
      </c>
      <c r="CF107" s="44">
        <f t="shared" si="213"/>
        <v>0</v>
      </c>
      <c r="CG107" s="44">
        <f t="shared" si="214"/>
        <v>0</v>
      </c>
      <c r="CH107" s="44">
        <f t="shared" si="215"/>
        <v>0</v>
      </c>
      <c r="CI107" s="44">
        <f t="shared" si="216"/>
        <v>53000</v>
      </c>
      <c r="CJ107" s="44">
        <f t="shared" si="217"/>
        <v>53000</v>
      </c>
      <c r="CK107" s="44">
        <f t="shared" si="152"/>
        <v>1060</v>
      </c>
      <c r="CL107" s="44">
        <f t="shared" si="218"/>
        <v>1060</v>
      </c>
      <c r="CM107" s="44">
        <f t="shared" si="153"/>
        <v>18550</v>
      </c>
      <c r="CN107" s="44">
        <f t="shared" si="219"/>
        <v>18550</v>
      </c>
      <c r="CO107" s="44">
        <f t="shared" si="154"/>
        <v>34450</v>
      </c>
      <c r="CP107" s="46">
        <f t="shared" si="155"/>
        <v>0</v>
      </c>
      <c r="CQ107" s="47">
        <f t="shared" si="156"/>
        <v>0</v>
      </c>
      <c r="CR107" s="604">
        <f t="shared" si="220"/>
        <v>0</v>
      </c>
      <c r="CS107" s="44">
        <f t="shared" si="221"/>
        <v>0</v>
      </c>
      <c r="CT107" s="44">
        <f t="shared" si="222"/>
        <v>0</v>
      </c>
      <c r="CU107" s="44">
        <f t="shared" si="223"/>
        <v>0</v>
      </c>
      <c r="CV107" s="44">
        <f t="shared" si="224"/>
        <v>53000</v>
      </c>
      <c r="CW107" s="44">
        <f t="shared" si="225"/>
        <v>53000</v>
      </c>
      <c r="CX107" s="44">
        <f t="shared" si="157"/>
        <v>1060</v>
      </c>
      <c r="CY107" s="44">
        <f t="shared" si="226"/>
        <v>1060</v>
      </c>
      <c r="CZ107" s="44">
        <f t="shared" si="158"/>
        <v>17490</v>
      </c>
      <c r="DA107" s="44">
        <f t="shared" si="227"/>
        <v>17490</v>
      </c>
      <c r="DB107" s="44">
        <f t="shared" si="159"/>
        <v>35510</v>
      </c>
      <c r="DC107" s="46">
        <f t="shared" si="160"/>
        <v>0</v>
      </c>
      <c r="DD107" s="47">
        <f t="shared" si="161"/>
        <v>0</v>
      </c>
      <c r="DE107" s="604">
        <f t="shared" si="228"/>
        <v>0</v>
      </c>
      <c r="DF107" s="44">
        <f t="shared" si="229"/>
        <v>0</v>
      </c>
      <c r="DG107" s="44">
        <f t="shared" si="230"/>
        <v>0</v>
      </c>
      <c r="DH107" s="44">
        <f t="shared" si="231"/>
        <v>0</v>
      </c>
      <c r="DI107" s="44">
        <f t="shared" si="232"/>
        <v>53000</v>
      </c>
      <c r="DJ107" s="44">
        <f t="shared" si="233"/>
        <v>53000</v>
      </c>
      <c r="DK107" s="44">
        <f t="shared" si="162"/>
        <v>1060</v>
      </c>
      <c r="DL107" s="44">
        <f t="shared" si="234"/>
        <v>1060</v>
      </c>
      <c r="DM107" s="44">
        <f t="shared" si="163"/>
        <v>16430</v>
      </c>
      <c r="DN107" s="44">
        <f t="shared" si="235"/>
        <v>16430</v>
      </c>
      <c r="DO107" s="44">
        <f t="shared" si="164"/>
        <v>36570</v>
      </c>
      <c r="DP107" s="46">
        <f t="shared" si="165"/>
        <v>0</v>
      </c>
      <c r="DQ107" s="47">
        <f t="shared" si="166"/>
        <v>0</v>
      </c>
      <c r="DR107" s="604">
        <f t="shared" si="236"/>
        <v>0</v>
      </c>
      <c r="DS107" s="44">
        <f t="shared" si="237"/>
        <v>0</v>
      </c>
      <c r="DT107" s="44">
        <f t="shared" si="238"/>
        <v>0</v>
      </c>
      <c r="DU107" s="44">
        <f t="shared" si="239"/>
        <v>0</v>
      </c>
      <c r="DV107" s="44">
        <f t="shared" si="240"/>
        <v>53000</v>
      </c>
      <c r="DW107" s="44">
        <f t="shared" si="241"/>
        <v>53000</v>
      </c>
      <c r="DX107" s="44">
        <f t="shared" si="167"/>
        <v>1060</v>
      </c>
      <c r="DY107" s="44">
        <f t="shared" si="242"/>
        <v>1060</v>
      </c>
      <c r="DZ107" s="44">
        <f t="shared" si="168"/>
        <v>15370</v>
      </c>
      <c r="EA107" s="44">
        <f t="shared" si="243"/>
        <v>15370</v>
      </c>
      <c r="EB107" s="44">
        <f t="shared" si="169"/>
        <v>37630</v>
      </c>
      <c r="EC107" s="46">
        <f t="shared" si="170"/>
        <v>0</v>
      </c>
      <c r="ED107" s="47">
        <f t="shared" si="171"/>
        <v>0</v>
      </c>
    </row>
    <row r="108" spans="1:134" x14ac:dyDescent="0.35">
      <c r="A108" s="81">
        <v>1985</v>
      </c>
      <c r="B108" s="82" t="s">
        <v>277</v>
      </c>
      <c r="C108" s="82"/>
      <c r="D108" s="83" t="s">
        <v>41</v>
      </c>
      <c r="E108" s="87">
        <v>55000</v>
      </c>
      <c r="F108" s="85">
        <v>31229</v>
      </c>
      <c r="G108" s="86">
        <v>50</v>
      </c>
      <c r="H108" s="179"/>
      <c r="I108" s="180"/>
      <c r="J108" s="181"/>
      <c r="K108" s="42">
        <f t="shared" si="122"/>
        <v>0.02</v>
      </c>
      <c r="L108" s="43">
        <f t="shared" si="123"/>
        <v>1100</v>
      </c>
      <c r="M108" s="44">
        <f t="shared" si="124"/>
        <v>25850</v>
      </c>
      <c r="N108" s="44"/>
      <c r="O108" s="44">
        <f t="shared" si="125"/>
        <v>29150</v>
      </c>
      <c r="P108" s="45"/>
      <c r="Q108" s="44">
        <f t="shared" si="126"/>
        <v>55000</v>
      </c>
      <c r="R108" s="604">
        <f t="shared" si="172"/>
        <v>0</v>
      </c>
      <c r="S108" s="44">
        <f t="shared" si="173"/>
        <v>0</v>
      </c>
      <c r="T108" s="44">
        <f t="shared" si="174"/>
        <v>0</v>
      </c>
      <c r="U108" s="44">
        <f t="shared" si="175"/>
        <v>0</v>
      </c>
      <c r="V108" s="44">
        <f t="shared" si="176"/>
        <v>55000</v>
      </c>
      <c r="W108" s="44">
        <f t="shared" si="177"/>
        <v>55000</v>
      </c>
      <c r="X108" s="44">
        <f t="shared" si="127"/>
        <v>1100</v>
      </c>
      <c r="Y108" s="44">
        <f t="shared" si="178"/>
        <v>1100</v>
      </c>
      <c r="Z108" s="44">
        <f t="shared" si="128"/>
        <v>24750</v>
      </c>
      <c r="AA108" s="44">
        <f t="shared" si="179"/>
        <v>24750</v>
      </c>
      <c r="AB108" s="44">
        <f t="shared" si="129"/>
        <v>30250</v>
      </c>
      <c r="AC108" s="46">
        <f t="shared" si="130"/>
        <v>0</v>
      </c>
      <c r="AD108" s="47">
        <f t="shared" si="131"/>
        <v>0</v>
      </c>
      <c r="AE108" s="604">
        <f t="shared" si="180"/>
        <v>0</v>
      </c>
      <c r="AF108" s="44">
        <f t="shared" si="181"/>
        <v>0</v>
      </c>
      <c r="AG108" s="44">
        <f t="shared" si="182"/>
        <v>0</v>
      </c>
      <c r="AH108" s="44">
        <f t="shared" si="183"/>
        <v>0</v>
      </c>
      <c r="AI108" s="44">
        <f t="shared" si="184"/>
        <v>55000</v>
      </c>
      <c r="AJ108" s="44">
        <f t="shared" si="185"/>
        <v>55000</v>
      </c>
      <c r="AK108" s="44">
        <f t="shared" si="132"/>
        <v>1100</v>
      </c>
      <c r="AL108" s="44">
        <f t="shared" si="186"/>
        <v>1100</v>
      </c>
      <c r="AM108" s="44">
        <f t="shared" si="133"/>
        <v>23650</v>
      </c>
      <c r="AN108" s="44">
        <f t="shared" si="187"/>
        <v>23650</v>
      </c>
      <c r="AO108" s="44">
        <f t="shared" si="134"/>
        <v>31350</v>
      </c>
      <c r="AP108" s="46">
        <f t="shared" si="135"/>
        <v>0</v>
      </c>
      <c r="AQ108" s="47">
        <f t="shared" si="136"/>
        <v>0</v>
      </c>
      <c r="AR108" s="604">
        <f t="shared" si="188"/>
        <v>0</v>
      </c>
      <c r="AS108" s="44">
        <f t="shared" si="189"/>
        <v>0</v>
      </c>
      <c r="AT108" s="44">
        <f t="shared" si="190"/>
        <v>0</v>
      </c>
      <c r="AU108" s="44">
        <f t="shared" si="191"/>
        <v>0</v>
      </c>
      <c r="AV108" s="44">
        <f t="shared" si="192"/>
        <v>55000</v>
      </c>
      <c r="AW108" s="44">
        <f t="shared" si="193"/>
        <v>55000</v>
      </c>
      <c r="AX108" s="44">
        <f t="shared" si="137"/>
        <v>1100</v>
      </c>
      <c r="AY108" s="44">
        <f t="shared" si="194"/>
        <v>1100</v>
      </c>
      <c r="AZ108" s="44">
        <f t="shared" si="138"/>
        <v>22550</v>
      </c>
      <c r="BA108" s="44">
        <f t="shared" si="195"/>
        <v>22550</v>
      </c>
      <c r="BB108" s="44">
        <f t="shared" si="139"/>
        <v>32450</v>
      </c>
      <c r="BC108" s="46">
        <f t="shared" si="140"/>
        <v>0</v>
      </c>
      <c r="BD108" s="47">
        <f t="shared" si="141"/>
        <v>0</v>
      </c>
      <c r="BE108" s="604">
        <f t="shared" si="196"/>
        <v>0</v>
      </c>
      <c r="BF108" s="44">
        <f t="shared" si="197"/>
        <v>0</v>
      </c>
      <c r="BG108" s="44">
        <f t="shared" si="198"/>
        <v>0</v>
      </c>
      <c r="BH108" s="44">
        <f t="shared" si="199"/>
        <v>0</v>
      </c>
      <c r="BI108" s="44">
        <f t="shared" si="200"/>
        <v>55000</v>
      </c>
      <c r="BJ108" s="44">
        <f t="shared" si="201"/>
        <v>55000</v>
      </c>
      <c r="BK108" s="44">
        <f t="shared" si="142"/>
        <v>1100</v>
      </c>
      <c r="BL108" s="44">
        <f t="shared" si="202"/>
        <v>1100</v>
      </c>
      <c r="BM108" s="44">
        <f t="shared" si="143"/>
        <v>21450</v>
      </c>
      <c r="BN108" s="44">
        <f t="shared" si="203"/>
        <v>21450</v>
      </c>
      <c r="BO108" s="44">
        <f t="shared" si="144"/>
        <v>33550</v>
      </c>
      <c r="BP108" s="46">
        <f t="shared" si="145"/>
        <v>0</v>
      </c>
      <c r="BQ108" s="47">
        <f t="shared" si="146"/>
        <v>0</v>
      </c>
      <c r="BR108" s="604">
        <f t="shared" si="204"/>
        <v>0</v>
      </c>
      <c r="BS108" s="44">
        <f t="shared" si="205"/>
        <v>0</v>
      </c>
      <c r="BT108" s="44">
        <f t="shared" si="206"/>
        <v>0</v>
      </c>
      <c r="BU108" s="44">
        <f t="shared" si="207"/>
        <v>0</v>
      </c>
      <c r="BV108" s="44">
        <f t="shared" si="208"/>
        <v>55000</v>
      </c>
      <c r="BW108" s="44">
        <f t="shared" si="209"/>
        <v>55000</v>
      </c>
      <c r="BX108" s="44">
        <f t="shared" si="147"/>
        <v>1100</v>
      </c>
      <c r="BY108" s="44">
        <f t="shared" si="210"/>
        <v>1100</v>
      </c>
      <c r="BZ108" s="44">
        <f t="shared" si="148"/>
        <v>20350</v>
      </c>
      <c r="CA108" s="44">
        <f t="shared" si="211"/>
        <v>20350</v>
      </c>
      <c r="CB108" s="44">
        <f t="shared" si="149"/>
        <v>34650</v>
      </c>
      <c r="CC108" s="46">
        <f t="shared" si="150"/>
        <v>0</v>
      </c>
      <c r="CD108" s="47">
        <f t="shared" si="151"/>
        <v>0</v>
      </c>
      <c r="CE108" s="604">
        <f t="shared" si="212"/>
        <v>0</v>
      </c>
      <c r="CF108" s="44">
        <f t="shared" si="213"/>
        <v>0</v>
      </c>
      <c r="CG108" s="44">
        <f t="shared" si="214"/>
        <v>0</v>
      </c>
      <c r="CH108" s="44">
        <f t="shared" si="215"/>
        <v>0</v>
      </c>
      <c r="CI108" s="44">
        <f t="shared" si="216"/>
        <v>55000</v>
      </c>
      <c r="CJ108" s="44">
        <f t="shared" si="217"/>
        <v>55000</v>
      </c>
      <c r="CK108" s="44">
        <f t="shared" si="152"/>
        <v>1100</v>
      </c>
      <c r="CL108" s="44">
        <f t="shared" si="218"/>
        <v>1100</v>
      </c>
      <c r="CM108" s="44">
        <f t="shared" si="153"/>
        <v>19250</v>
      </c>
      <c r="CN108" s="44">
        <f t="shared" si="219"/>
        <v>19250</v>
      </c>
      <c r="CO108" s="44">
        <f t="shared" si="154"/>
        <v>35750</v>
      </c>
      <c r="CP108" s="46">
        <f t="shared" si="155"/>
        <v>0</v>
      </c>
      <c r="CQ108" s="47">
        <f t="shared" si="156"/>
        <v>0</v>
      </c>
      <c r="CR108" s="604">
        <f t="shared" si="220"/>
        <v>0</v>
      </c>
      <c r="CS108" s="44">
        <f t="shared" si="221"/>
        <v>0</v>
      </c>
      <c r="CT108" s="44">
        <f t="shared" si="222"/>
        <v>0</v>
      </c>
      <c r="CU108" s="44">
        <f t="shared" si="223"/>
        <v>0</v>
      </c>
      <c r="CV108" s="44">
        <f t="shared" si="224"/>
        <v>55000</v>
      </c>
      <c r="CW108" s="44">
        <f t="shared" si="225"/>
        <v>55000</v>
      </c>
      <c r="CX108" s="44">
        <f t="shared" si="157"/>
        <v>1100</v>
      </c>
      <c r="CY108" s="44">
        <f t="shared" si="226"/>
        <v>1100</v>
      </c>
      <c r="CZ108" s="44">
        <f t="shared" si="158"/>
        <v>18150</v>
      </c>
      <c r="DA108" s="44">
        <f t="shared" si="227"/>
        <v>18150</v>
      </c>
      <c r="DB108" s="44">
        <f t="shared" si="159"/>
        <v>36850</v>
      </c>
      <c r="DC108" s="46">
        <f t="shared" si="160"/>
        <v>0</v>
      </c>
      <c r="DD108" s="47">
        <f t="shared" si="161"/>
        <v>0</v>
      </c>
      <c r="DE108" s="604">
        <f t="shared" si="228"/>
        <v>0</v>
      </c>
      <c r="DF108" s="44">
        <f t="shared" si="229"/>
        <v>0</v>
      </c>
      <c r="DG108" s="44">
        <f t="shared" si="230"/>
        <v>0</v>
      </c>
      <c r="DH108" s="44">
        <f t="shared" si="231"/>
        <v>0</v>
      </c>
      <c r="DI108" s="44">
        <f t="shared" si="232"/>
        <v>55000</v>
      </c>
      <c r="DJ108" s="44">
        <f t="shared" si="233"/>
        <v>55000</v>
      </c>
      <c r="DK108" s="44">
        <f t="shared" si="162"/>
        <v>1100</v>
      </c>
      <c r="DL108" s="44">
        <f t="shared" si="234"/>
        <v>1100</v>
      </c>
      <c r="DM108" s="44">
        <f t="shared" si="163"/>
        <v>17050</v>
      </c>
      <c r="DN108" s="44">
        <f t="shared" si="235"/>
        <v>17050</v>
      </c>
      <c r="DO108" s="44">
        <f t="shared" si="164"/>
        <v>37950</v>
      </c>
      <c r="DP108" s="46">
        <f t="shared" si="165"/>
        <v>0</v>
      </c>
      <c r="DQ108" s="47">
        <f t="shared" si="166"/>
        <v>0</v>
      </c>
      <c r="DR108" s="604">
        <f t="shared" si="236"/>
        <v>0</v>
      </c>
      <c r="DS108" s="44">
        <f t="shared" si="237"/>
        <v>0</v>
      </c>
      <c r="DT108" s="44">
        <f t="shared" si="238"/>
        <v>0</v>
      </c>
      <c r="DU108" s="44">
        <f t="shared" si="239"/>
        <v>0</v>
      </c>
      <c r="DV108" s="44">
        <f t="shared" si="240"/>
        <v>55000</v>
      </c>
      <c r="DW108" s="44">
        <f t="shared" si="241"/>
        <v>55000</v>
      </c>
      <c r="DX108" s="44">
        <f t="shared" si="167"/>
        <v>1100</v>
      </c>
      <c r="DY108" s="44">
        <f t="shared" si="242"/>
        <v>1100</v>
      </c>
      <c r="DZ108" s="44">
        <f t="shared" si="168"/>
        <v>15950</v>
      </c>
      <c r="EA108" s="44">
        <f t="shared" si="243"/>
        <v>15950</v>
      </c>
      <c r="EB108" s="44">
        <f t="shared" si="169"/>
        <v>39050</v>
      </c>
      <c r="EC108" s="46">
        <f t="shared" si="170"/>
        <v>0</v>
      </c>
      <c r="ED108" s="47">
        <f t="shared" si="171"/>
        <v>0</v>
      </c>
    </row>
    <row r="109" spans="1:134" x14ac:dyDescent="0.35">
      <c r="A109" s="81">
        <v>1985</v>
      </c>
      <c r="B109" s="82" t="s">
        <v>278</v>
      </c>
      <c r="C109" s="82"/>
      <c r="D109" s="83" t="s">
        <v>41</v>
      </c>
      <c r="E109" s="87">
        <v>26000</v>
      </c>
      <c r="F109" s="85">
        <v>31229</v>
      </c>
      <c r="G109" s="86">
        <v>50</v>
      </c>
      <c r="H109" s="179"/>
      <c r="I109" s="180"/>
      <c r="J109" s="181"/>
      <c r="K109" s="42">
        <f t="shared" si="122"/>
        <v>0.02</v>
      </c>
      <c r="L109" s="43">
        <f t="shared" si="123"/>
        <v>520</v>
      </c>
      <c r="M109" s="44">
        <f t="shared" si="124"/>
        <v>12220</v>
      </c>
      <c r="N109" s="44"/>
      <c r="O109" s="44">
        <f t="shared" si="125"/>
        <v>13780</v>
      </c>
      <c r="P109" s="45"/>
      <c r="Q109" s="44">
        <f t="shared" si="126"/>
        <v>26000</v>
      </c>
      <c r="R109" s="604">
        <f t="shared" si="172"/>
        <v>0</v>
      </c>
      <c r="S109" s="44">
        <f t="shared" si="173"/>
        <v>0</v>
      </c>
      <c r="T109" s="44">
        <f t="shared" si="174"/>
        <v>0</v>
      </c>
      <c r="U109" s="44">
        <f t="shared" si="175"/>
        <v>0</v>
      </c>
      <c r="V109" s="44">
        <f t="shared" si="176"/>
        <v>26000</v>
      </c>
      <c r="W109" s="44">
        <f t="shared" si="177"/>
        <v>26000</v>
      </c>
      <c r="X109" s="44">
        <f t="shared" si="127"/>
        <v>520</v>
      </c>
      <c r="Y109" s="44">
        <f t="shared" si="178"/>
        <v>520</v>
      </c>
      <c r="Z109" s="44">
        <f t="shared" si="128"/>
        <v>11700</v>
      </c>
      <c r="AA109" s="44">
        <f t="shared" si="179"/>
        <v>11700</v>
      </c>
      <c r="AB109" s="44">
        <f t="shared" si="129"/>
        <v>14300</v>
      </c>
      <c r="AC109" s="46">
        <f t="shared" si="130"/>
        <v>0</v>
      </c>
      <c r="AD109" s="47">
        <f t="shared" si="131"/>
        <v>0</v>
      </c>
      <c r="AE109" s="604">
        <f t="shared" si="180"/>
        <v>0</v>
      </c>
      <c r="AF109" s="44">
        <f t="shared" si="181"/>
        <v>0</v>
      </c>
      <c r="AG109" s="44">
        <f t="shared" si="182"/>
        <v>0</v>
      </c>
      <c r="AH109" s="44">
        <f t="shared" si="183"/>
        <v>0</v>
      </c>
      <c r="AI109" s="44">
        <f t="shared" si="184"/>
        <v>26000</v>
      </c>
      <c r="AJ109" s="44">
        <f t="shared" si="185"/>
        <v>26000</v>
      </c>
      <c r="AK109" s="44">
        <f t="shared" si="132"/>
        <v>520</v>
      </c>
      <c r="AL109" s="44">
        <f t="shared" si="186"/>
        <v>520</v>
      </c>
      <c r="AM109" s="44">
        <f t="shared" si="133"/>
        <v>11180</v>
      </c>
      <c r="AN109" s="44">
        <f t="shared" si="187"/>
        <v>11180</v>
      </c>
      <c r="AO109" s="44">
        <f t="shared" si="134"/>
        <v>14820</v>
      </c>
      <c r="AP109" s="46">
        <f t="shared" si="135"/>
        <v>0</v>
      </c>
      <c r="AQ109" s="47">
        <f t="shared" si="136"/>
        <v>0</v>
      </c>
      <c r="AR109" s="604">
        <f t="shared" si="188"/>
        <v>0</v>
      </c>
      <c r="AS109" s="44">
        <f t="shared" si="189"/>
        <v>0</v>
      </c>
      <c r="AT109" s="44">
        <f t="shared" si="190"/>
        <v>0</v>
      </c>
      <c r="AU109" s="44">
        <f t="shared" si="191"/>
        <v>0</v>
      </c>
      <c r="AV109" s="44">
        <f t="shared" si="192"/>
        <v>26000</v>
      </c>
      <c r="AW109" s="44">
        <f t="shared" si="193"/>
        <v>26000</v>
      </c>
      <c r="AX109" s="44">
        <f t="shared" si="137"/>
        <v>520</v>
      </c>
      <c r="AY109" s="44">
        <f t="shared" si="194"/>
        <v>520</v>
      </c>
      <c r="AZ109" s="44">
        <f t="shared" si="138"/>
        <v>10660</v>
      </c>
      <c r="BA109" s="44">
        <f t="shared" si="195"/>
        <v>10660</v>
      </c>
      <c r="BB109" s="44">
        <f t="shared" si="139"/>
        <v>15340</v>
      </c>
      <c r="BC109" s="46">
        <f t="shared" si="140"/>
        <v>0</v>
      </c>
      <c r="BD109" s="47">
        <f t="shared" si="141"/>
        <v>0</v>
      </c>
      <c r="BE109" s="604">
        <f t="shared" si="196"/>
        <v>0</v>
      </c>
      <c r="BF109" s="44">
        <f t="shared" si="197"/>
        <v>0</v>
      </c>
      <c r="BG109" s="44">
        <f t="shared" si="198"/>
        <v>0</v>
      </c>
      <c r="BH109" s="44">
        <f t="shared" si="199"/>
        <v>0</v>
      </c>
      <c r="BI109" s="44">
        <f t="shared" si="200"/>
        <v>26000</v>
      </c>
      <c r="BJ109" s="44">
        <f t="shared" si="201"/>
        <v>26000</v>
      </c>
      <c r="BK109" s="44">
        <f t="shared" si="142"/>
        <v>520</v>
      </c>
      <c r="BL109" s="44">
        <f t="shared" si="202"/>
        <v>520</v>
      </c>
      <c r="BM109" s="44">
        <f t="shared" si="143"/>
        <v>10140</v>
      </c>
      <c r="BN109" s="44">
        <f t="shared" si="203"/>
        <v>10140</v>
      </c>
      <c r="BO109" s="44">
        <f t="shared" si="144"/>
        <v>15860</v>
      </c>
      <c r="BP109" s="46">
        <f t="shared" si="145"/>
        <v>0</v>
      </c>
      <c r="BQ109" s="47">
        <f t="shared" si="146"/>
        <v>0</v>
      </c>
      <c r="BR109" s="604">
        <f t="shared" si="204"/>
        <v>0</v>
      </c>
      <c r="BS109" s="44">
        <f t="shared" si="205"/>
        <v>0</v>
      </c>
      <c r="BT109" s="44">
        <f t="shared" si="206"/>
        <v>0</v>
      </c>
      <c r="BU109" s="44">
        <f t="shared" si="207"/>
        <v>0</v>
      </c>
      <c r="BV109" s="44">
        <f t="shared" si="208"/>
        <v>26000</v>
      </c>
      <c r="BW109" s="44">
        <f t="shared" si="209"/>
        <v>26000</v>
      </c>
      <c r="BX109" s="44">
        <f t="shared" si="147"/>
        <v>520</v>
      </c>
      <c r="BY109" s="44">
        <f t="shared" si="210"/>
        <v>520</v>
      </c>
      <c r="BZ109" s="44">
        <f t="shared" si="148"/>
        <v>9620</v>
      </c>
      <c r="CA109" s="44">
        <f t="shared" si="211"/>
        <v>9620</v>
      </c>
      <c r="CB109" s="44">
        <f t="shared" si="149"/>
        <v>16380</v>
      </c>
      <c r="CC109" s="46">
        <f t="shared" si="150"/>
        <v>0</v>
      </c>
      <c r="CD109" s="47">
        <f t="shared" si="151"/>
        <v>0</v>
      </c>
      <c r="CE109" s="604">
        <f t="shared" si="212"/>
        <v>0</v>
      </c>
      <c r="CF109" s="44">
        <f t="shared" si="213"/>
        <v>0</v>
      </c>
      <c r="CG109" s="44">
        <f t="shared" si="214"/>
        <v>0</v>
      </c>
      <c r="CH109" s="44">
        <f t="shared" si="215"/>
        <v>0</v>
      </c>
      <c r="CI109" s="44">
        <f t="shared" si="216"/>
        <v>26000</v>
      </c>
      <c r="CJ109" s="44">
        <f t="shared" si="217"/>
        <v>26000</v>
      </c>
      <c r="CK109" s="44">
        <f t="shared" si="152"/>
        <v>520</v>
      </c>
      <c r="CL109" s="44">
        <f t="shared" si="218"/>
        <v>520</v>
      </c>
      <c r="CM109" s="44">
        <f t="shared" si="153"/>
        <v>9100</v>
      </c>
      <c r="CN109" s="44">
        <f t="shared" si="219"/>
        <v>9100</v>
      </c>
      <c r="CO109" s="44">
        <f t="shared" si="154"/>
        <v>16900</v>
      </c>
      <c r="CP109" s="46">
        <f t="shared" si="155"/>
        <v>0</v>
      </c>
      <c r="CQ109" s="47">
        <f t="shared" si="156"/>
        <v>0</v>
      </c>
      <c r="CR109" s="604">
        <f t="shared" si="220"/>
        <v>0</v>
      </c>
      <c r="CS109" s="44">
        <f t="shared" si="221"/>
        <v>0</v>
      </c>
      <c r="CT109" s="44">
        <f t="shared" si="222"/>
        <v>0</v>
      </c>
      <c r="CU109" s="44">
        <f t="shared" si="223"/>
        <v>0</v>
      </c>
      <c r="CV109" s="44">
        <f t="shared" si="224"/>
        <v>26000</v>
      </c>
      <c r="CW109" s="44">
        <f t="shared" si="225"/>
        <v>26000</v>
      </c>
      <c r="CX109" s="44">
        <f t="shared" si="157"/>
        <v>520</v>
      </c>
      <c r="CY109" s="44">
        <f t="shared" si="226"/>
        <v>520</v>
      </c>
      <c r="CZ109" s="44">
        <f t="shared" si="158"/>
        <v>8580</v>
      </c>
      <c r="DA109" s="44">
        <f t="shared" si="227"/>
        <v>8580</v>
      </c>
      <c r="DB109" s="44">
        <f t="shared" si="159"/>
        <v>17420</v>
      </c>
      <c r="DC109" s="46">
        <f t="shared" si="160"/>
        <v>0</v>
      </c>
      <c r="DD109" s="47">
        <f t="shared" si="161"/>
        <v>0</v>
      </c>
      <c r="DE109" s="604">
        <f t="shared" si="228"/>
        <v>0</v>
      </c>
      <c r="DF109" s="44">
        <f t="shared" si="229"/>
        <v>0</v>
      </c>
      <c r="DG109" s="44">
        <f t="shared" si="230"/>
        <v>0</v>
      </c>
      <c r="DH109" s="44">
        <f t="shared" si="231"/>
        <v>0</v>
      </c>
      <c r="DI109" s="44">
        <f t="shared" si="232"/>
        <v>26000</v>
      </c>
      <c r="DJ109" s="44">
        <f t="shared" si="233"/>
        <v>26000</v>
      </c>
      <c r="DK109" s="44">
        <f t="shared" si="162"/>
        <v>520</v>
      </c>
      <c r="DL109" s="44">
        <f t="shared" si="234"/>
        <v>520</v>
      </c>
      <c r="DM109" s="44">
        <f t="shared" si="163"/>
        <v>8060</v>
      </c>
      <c r="DN109" s="44">
        <f t="shared" si="235"/>
        <v>8060</v>
      </c>
      <c r="DO109" s="44">
        <f t="shared" si="164"/>
        <v>17940</v>
      </c>
      <c r="DP109" s="46">
        <f t="shared" si="165"/>
        <v>0</v>
      </c>
      <c r="DQ109" s="47">
        <f t="shared" si="166"/>
        <v>0</v>
      </c>
      <c r="DR109" s="604">
        <f t="shared" si="236"/>
        <v>0</v>
      </c>
      <c r="DS109" s="44">
        <f t="shared" si="237"/>
        <v>0</v>
      </c>
      <c r="DT109" s="44">
        <f t="shared" si="238"/>
        <v>0</v>
      </c>
      <c r="DU109" s="44">
        <f t="shared" si="239"/>
        <v>0</v>
      </c>
      <c r="DV109" s="44">
        <f t="shared" si="240"/>
        <v>26000</v>
      </c>
      <c r="DW109" s="44">
        <f t="shared" si="241"/>
        <v>26000</v>
      </c>
      <c r="DX109" s="44">
        <f t="shared" si="167"/>
        <v>520</v>
      </c>
      <c r="DY109" s="44">
        <f t="shared" si="242"/>
        <v>520</v>
      </c>
      <c r="DZ109" s="44">
        <f t="shared" si="168"/>
        <v>7540</v>
      </c>
      <c r="EA109" s="44">
        <f t="shared" si="243"/>
        <v>7540</v>
      </c>
      <c r="EB109" s="44">
        <f t="shared" si="169"/>
        <v>18460</v>
      </c>
      <c r="EC109" s="46">
        <f t="shared" si="170"/>
        <v>0</v>
      </c>
      <c r="ED109" s="47">
        <f t="shared" si="171"/>
        <v>0</v>
      </c>
    </row>
    <row r="110" spans="1:134" x14ac:dyDescent="0.35">
      <c r="A110" s="81">
        <v>1985</v>
      </c>
      <c r="B110" s="82" t="s">
        <v>279</v>
      </c>
      <c r="C110" s="82"/>
      <c r="D110" s="83" t="s">
        <v>41</v>
      </c>
      <c r="E110" s="87">
        <v>127000</v>
      </c>
      <c r="F110" s="85">
        <v>31229</v>
      </c>
      <c r="G110" s="86">
        <v>50</v>
      </c>
      <c r="H110" s="179"/>
      <c r="I110" s="180"/>
      <c r="J110" s="181"/>
      <c r="K110" s="42">
        <f t="shared" si="122"/>
        <v>0.02</v>
      </c>
      <c r="L110" s="43">
        <f t="shared" si="123"/>
        <v>2540</v>
      </c>
      <c r="M110" s="44">
        <f t="shared" si="124"/>
        <v>59690</v>
      </c>
      <c r="N110" s="44"/>
      <c r="O110" s="44">
        <f t="shared" si="125"/>
        <v>67310</v>
      </c>
      <c r="P110" s="45"/>
      <c r="Q110" s="44">
        <f t="shared" si="126"/>
        <v>127000</v>
      </c>
      <c r="R110" s="604">
        <f t="shared" si="172"/>
        <v>0</v>
      </c>
      <c r="S110" s="44">
        <f t="shared" si="173"/>
        <v>0</v>
      </c>
      <c r="T110" s="44">
        <f t="shared" si="174"/>
        <v>0</v>
      </c>
      <c r="U110" s="44">
        <f t="shared" si="175"/>
        <v>0</v>
      </c>
      <c r="V110" s="44">
        <f t="shared" si="176"/>
        <v>127000</v>
      </c>
      <c r="W110" s="44">
        <f t="shared" si="177"/>
        <v>127000</v>
      </c>
      <c r="X110" s="44">
        <f t="shared" si="127"/>
        <v>2540</v>
      </c>
      <c r="Y110" s="44">
        <f t="shared" si="178"/>
        <v>2540</v>
      </c>
      <c r="Z110" s="44">
        <f t="shared" si="128"/>
        <v>57150</v>
      </c>
      <c r="AA110" s="44">
        <f t="shared" si="179"/>
        <v>57150</v>
      </c>
      <c r="AB110" s="44">
        <f t="shared" si="129"/>
        <v>69850</v>
      </c>
      <c r="AC110" s="46">
        <f t="shared" si="130"/>
        <v>0</v>
      </c>
      <c r="AD110" s="47">
        <f t="shared" si="131"/>
        <v>0</v>
      </c>
      <c r="AE110" s="604">
        <f t="shared" si="180"/>
        <v>0</v>
      </c>
      <c r="AF110" s="44">
        <f t="shared" si="181"/>
        <v>0</v>
      </c>
      <c r="AG110" s="44">
        <f t="shared" si="182"/>
        <v>0</v>
      </c>
      <c r="AH110" s="44">
        <f t="shared" si="183"/>
        <v>0</v>
      </c>
      <c r="AI110" s="44">
        <f t="shared" si="184"/>
        <v>127000</v>
      </c>
      <c r="AJ110" s="44">
        <f t="shared" si="185"/>
        <v>127000</v>
      </c>
      <c r="AK110" s="44">
        <f t="shared" si="132"/>
        <v>2540</v>
      </c>
      <c r="AL110" s="44">
        <f t="shared" si="186"/>
        <v>2540</v>
      </c>
      <c r="AM110" s="44">
        <f t="shared" si="133"/>
        <v>54610</v>
      </c>
      <c r="AN110" s="44">
        <f t="shared" si="187"/>
        <v>54610</v>
      </c>
      <c r="AO110" s="44">
        <f t="shared" si="134"/>
        <v>72390</v>
      </c>
      <c r="AP110" s="46">
        <f t="shared" si="135"/>
        <v>0</v>
      </c>
      <c r="AQ110" s="47">
        <f t="shared" si="136"/>
        <v>0</v>
      </c>
      <c r="AR110" s="604">
        <f t="shared" si="188"/>
        <v>0</v>
      </c>
      <c r="AS110" s="44">
        <f t="shared" si="189"/>
        <v>0</v>
      </c>
      <c r="AT110" s="44">
        <f t="shared" si="190"/>
        <v>0</v>
      </c>
      <c r="AU110" s="44">
        <f t="shared" si="191"/>
        <v>0</v>
      </c>
      <c r="AV110" s="44">
        <f t="shared" si="192"/>
        <v>127000</v>
      </c>
      <c r="AW110" s="44">
        <f t="shared" si="193"/>
        <v>127000</v>
      </c>
      <c r="AX110" s="44">
        <f t="shared" si="137"/>
        <v>2540</v>
      </c>
      <c r="AY110" s="44">
        <f t="shared" si="194"/>
        <v>2540</v>
      </c>
      <c r="AZ110" s="44">
        <f t="shared" si="138"/>
        <v>52070</v>
      </c>
      <c r="BA110" s="44">
        <f t="shared" si="195"/>
        <v>52070</v>
      </c>
      <c r="BB110" s="44">
        <f t="shared" si="139"/>
        <v>74930</v>
      </c>
      <c r="BC110" s="46">
        <f t="shared" si="140"/>
        <v>0</v>
      </c>
      <c r="BD110" s="47">
        <f t="shared" si="141"/>
        <v>0</v>
      </c>
      <c r="BE110" s="604">
        <f t="shared" si="196"/>
        <v>0</v>
      </c>
      <c r="BF110" s="44">
        <f t="shared" si="197"/>
        <v>0</v>
      </c>
      <c r="BG110" s="44">
        <f t="shared" si="198"/>
        <v>0</v>
      </c>
      <c r="BH110" s="44">
        <f t="shared" si="199"/>
        <v>0</v>
      </c>
      <c r="BI110" s="44">
        <f t="shared" si="200"/>
        <v>127000</v>
      </c>
      <c r="BJ110" s="44">
        <f t="shared" si="201"/>
        <v>127000</v>
      </c>
      <c r="BK110" s="44">
        <f t="shared" si="142"/>
        <v>2540</v>
      </c>
      <c r="BL110" s="44">
        <f t="shared" si="202"/>
        <v>2540</v>
      </c>
      <c r="BM110" s="44">
        <f t="shared" si="143"/>
        <v>49530</v>
      </c>
      <c r="BN110" s="44">
        <f t="shared" si="203"/>
        <v>49530</v>
      </c>
      <c r="BO110" s="44">
        <f t="shared" si="144"/>
        <v>77470</v>
      </c>
      <c r="BP110" s="46">
        <f t="shared" si="145"/>
        <v>0</v>
      </c>
      <c r="BQ110" s="47">
        <f t="shared" si="146"/>
        <v>0</v>
      </c>
      <c r="BR110" s="604">
        <f t="shared" si="204"/>
        <v>0</v>
      </c>
      <c r="BS110" s="44">
        <f t="shared" si="205"/>
        <v>0</v>
      </c>
      <c r="BT110" s="44">
        <f t="shared" si="206"/>
        <v>0</v>
      </c>
      <c r="BU110" s="44">
        <f t="shared" si="207"/>
        <v>0</v>
      </c>
      <c r="BV110" s="44">
        <f t="shared" si="208"/>
        <v>127000</v>
      </c>
      <c r="BW110" s="44">
        <f t="shared" si="209"/>
        <v>127000</v>
      </c>
      <c r="BX110" s="44">
        <f t="shared" si="147"/>
        <v>2540</v>
      </c>
      <c r="BY110" s="44">
        <f t="shared" si="210"/>
        <v>2540</v>
      </c>
      <c r="BZ110" s="44">
        <f t="shared" si="148"/>
        <v>46990</v>
      </c>
      <c r="CA110" s="44">
        <f t="shared" si="211"/>
        <v>46990</v>
      </c>
      <c r="CB110" s="44">
        <f t="shared" si="149"/>
        <v>80010</v>
      </c>
      <c r="CC110" s="46">
        <f t="shared" si="150"/>
        <v>0</v>
      </c>
      <c r="CD110" s="47">
        <f t="shared" si="151"/>
        <v>0</v>
      </c>
      <c r="CE110" s="604">
        <f t="shared" si="212"/>
        <v>0</v>
      </c>
      <c r="CF110" s="44">
        <f t="shared" si="213"/>
        <v>0</v>
      </c>
      <c r="CG110" s="44">
        <f t="shared" si="214"/>
        <v>0</v>
      </c>
      <c r="CH110" s="44">
        <f t="shared" si="215"/>
        <v>0</v>
      </c>
      <c r="CI110" s="44">
        <f t="shared" si="216"/>
        <v>127000</v>
      </c>
      <c r="CJ110" s="44">
        <f t="shared" si="217"/>
        <v>127000</v>
      </c>
      <c r="CK110" s="44">
        <f t="shared" si="152"/>
        <v>2540</v>
      </c>
      <c r="CL110" s="44">
        <f t="shared" si="218"/>
        <v>2540</v>
      </c>
      <c r="CM110" s="44">
        <f t="shared" si="153"/>
        <v>44450</v>
      </c>
      <c r="CN110" s="44">
        <f t="shared" si="219"/>
        <v>44450</v>
      </c>
      <c r="CO110" s="44">
        <f t="shared" si="154"/>
        <v>82550</v>
      </c>
      <c r="CP110" s="46">
        <f t="shared" si="155"/>
        <v>0</v>
      </c>
      <c r="CQ110" s="47">
        <f t="shared" si="156"/>
        <v>0</v>
      </c>
      <c r="CR110" s="604">
        <f t="shared" si="220"/>
        <v>0</v>
      </c>
      <c r="CS110" s="44">
        <f t="shared" si="221"/>
        <v>0</v>
      </c>
      <c r="CT110" s="44">
        <f t="shared" si="222"/>
        <v>0</v>
      </c>
      <c r="CU110" s="44">
        <f t="shared" si="223"/>
        <v>0</v>
      </c>
      <c r="CV110" s="44">
        <f t="shared" si="224"/>
        <v>127000</v>
      </c>
      <c r="CW110" s="44">
        <f t="shared" si="225"/>
        <v>127000</v>
      </c>
      <c r="CX110" s="44">
        <f t="shared" si="157"/>
        <v>2540</v>
      </c>
      <c r="CY110" s="44">
        <f t="shared" si="226"/>
        <v>2540</v>
      </c>
      <c r="CZ110" s="44">
        <f t="shared" si="158"/>
        <v>41910</v>
      </c>
      <c r="DA110" s="44">
        <f t="shared" si="227"/>
        <v>41910</v>
      </c>
      <c r="DB110" s="44">
        <f t="shared" si="159"/>
        <v>85090</v>
      </c>
      <c r="DC110" s="46">
        <f t="shared" si="160"/>
        <v>0</v>
      </c>
      <c r="DD110" s="47">
        <f t="shared" si="161"/>
        <v>0</v>
      </c>
      <c r="DE110" s="604">
        <f t="shared" si="228"/>
        <v>0</v>
      </c>
      <c r="DF110" s="44">
        <f t="shared" si="229"/>
        <v>0</v>
      </c>
      <c r="DG110" s="44">
        <f t="shared" si="230"/>
        <v>0</v>
      </c>
      <c r="DH110" s="44">
        <f t="shared" si="231"/>
        <v>0</v>
      </c>
      <c r="DI110" s="44">
        <f t="shared" si="232"/>
        <v>127000</v>
      </c>
      <c r="DJ110" s="44">
        <f t="shared" si="233"/>
        <v>127000</v>
      </c>
      <c r="DK110" s="44">
        <f t="shared" si="162"/>
        <v>2540</v>
      </c>
      <c r="DL110" s="44">
        <f t="shared" si="234"/>
        <v>2540</v>
      </c>
      <c r="DM110" s="44">
        <f t="shared" si="163"/>
        <v>39370</v>
      </c>
      <c r="DN110" s="44">
        <f t="shared" si="235"/>
        <v>39370</v>
      </c>
      <c r="DO110" s="44">
        <f t="shared" si="164"/>
        <v>87630</v>
      </c>
      <c r="DP110" s="46">
        <f t="shared" si="165"/>
        <v>0</v>
      </c>
      <c r="DQ110" s="47">
        <f t="shared" si="166"/>
        <v>0</v>
      </c>
      <c r="DR110" s="604">
        <f t="shared" si="236"/>
        <v>0</v>
      </c>
      <c r="DS110" s="44">
        <f t="shared" si="237"/>
        <v>0</v>
      </c>
      <c r="DT110" s="44">
        <f t="shared" si="238"/>
        <v>0</v>
      </c>
      <c r="DU110" s="44">
        <f t="shared" si="239"/>
        <v>0</v>
      </c>
      <c r="DV110" s="44">
        <f t="shared" si="240"/>
        <v>127000</v>
      </c>
      <c r="DW110" s="44">
        <f t="shared" si="241"/>
        <v>127000</v>
      </c>
      <c r="DX110" s="44">
        <f t="shared" si="167"/>
        <v>2540</v>
      </c>
      <c r="DY110" s="44">
        <f t="shared" si="242"/>
        <v>2540</v>
      </c>
      <c r="DZ110" s="44">
        <f t="shared" si="168"/>
        <v>36830</v>
      </c>
      <c r="EA110" s="44">
        <f t="shared" si="243"/>
        <v>36830</v>
      </c>
      <c r="EB110" s="44">
        <f t="shared" si="169"/>
        <v>90170</v>
      </c>
      <c r="EC110" s="46">
        <f t="shared" si="170"/>
        <v>0</v>
      </c>
      <c r="ED110" s="47">
        <f t="shared" si="171"/>
        <v>0</v>
      </c>
    </row>
    <row r="111" spans="1:134" x14ac:dyDescent="0.35">
      <c r="A111" s="81">
        <v>1985</v>
      </c>
      <c r="B111" s="82" t="s">
        <v>280</v>
      </c>
      <c r="C111" s="82" t="s">
        <v>239</v>
      </c>
      <c r="D111" s="83" t="s">
        <v>41</v>
      </c>
      <c r="E111" s="87">
        <v>50000</v>
      </c>
      <c r="F111" s="85">
        <v>31229</v>
      </c>
      <c r="G111" s="86">
        <v>25</v>
      </c>
      <c r="H111" s="179"/>
      <c r="I111" s="180"/>
      <c r="J111" s="181"/>
      <c r="K111" s="42">
        <f t="shared" si="122"/>
        <v>0.04</v>
      </c>
      <c r="L111" s="43">
        <f t="shared" si="123"/>
        <v>2000</v>
      </c>
      <c r="M111" s="44">
        <f t="shared" si="124"/>
        <v>0</v>
      </c>
      <c r="N111" s="44"/>
      <c r="O111" s="44">
        <f t="shared" si="125"/>
        <v>50000</v>
      </c>
      <c r="P111" s="45"/>
      <c r="Q111" s="44">
        <f t="shared" si="126"/>
        <v>50000</v>
      </c>
      <c r="R111" s="604">
        <f t="shared" si="172"/>
        <v>0</v>
      </c>
      <c r="S111" s="44">
        <f t="shared" si="173"/>
        <v>0</v>
      </c>
      <c r="T111" s="44">
        <f t="shared" si="174"/>
        <v>0</v>
      </c>
      <c r="U111" s="44">
        <f t="shared" si="175"/>
        <v>0</v>
      </c>
      <c r="V111" s="44">
        <f t="shared" si="176"/>
        <v>50000</v>
      </c>
      <c r="W111" s="44">
        <f t="shared" si="177"/>
        <v>0</v>
      </c>
      <c r="X111" s="44">
        <f t="shared" si="127"/>
        <v>0</v>
      </c>
      <c r="Y111" s="44">
        <f t="shared" si="178"/>
        <v>0</v>
      </c>
      <c r="Z111" s="44">
        <f t="shared" si="128"/>
        <v>0</v>
      </c>
      <c r="AA111" s="44">
        <f t="shared" si="179"/>
        <v>0</v>
      </c>
      <c r="AB111" s="44">
        <f t="shared" si="129"/>
        <v>50000</v>
      </c>
      <c r="AC111" s="46">
        <f t="shared" si="130"/>
        <v>0</v>
      </c>
      <c r="AD111" s="47">
        <f t="shared" si="131"/>
        <v>0</v>
      </c>
      <c r="AE111" s="604">
        <f t="shared" si="180"/>
        <v>0</v>
      </c>
      <c r="AF111" s="44">
        <f t="shared" si="181"/>
        <v>0</v>
      </c>
      <c r="AG111" s="44">
        <f t="shared" si="182"/>
        <v>0</v>
      </c>
      <c r="AH111" s="44">
        <f t="shared" si="183"/>
        <v>0</v>
      </c>
      <c r="AI111" s="44">
        <f t="shared" si="184"/>
        <v>50000</v>
      </c>
      <c r="AJ111" s="44">
        <f t="shared" si="185"/>
        <v>0</v>
      </c>
      <c r="AK111" s="44">
        <f t="shared" si="132"/>
        <v>0</v>
      </c>
      <c r="AL111" s="44">
        <f t="shared" si="186"/>
        <v>0</v>
      </c>
      <c r="AM111" s="44">
        <f t="shared" si="133"/>
        <v>0</v>
      </c>
      <c r="AN111" s="44">
        <f t="shared" si="187"/>
        <v>0</v>
      </c>
      <c r="AO111" s="44">
        <f t="shared" si="134"/>
        <v>50000</v>
      </c>
      <c r="AP111" s="46">
        <f t="shared" si="135"/>
        <v>0</v>
      </c>
      <c r="AQ111" s="47">
        <f t="shared" si="136"/>
        <v>0</v>
      </c>
      <c r="AR111" s="604">
        <f t="shared" si="188"/>
        <v>0</v>
      </c>
      <c r="AS111" s="44">
        <f t="shared" si="189"/>
        <v>0</v>
      </c>
      <c r="AT111" s="44">
        <f t="shared" si="190"/>
        <v>0</v>
      </c>
      <c r="AU111" s="44">
        <f t="shared" si="191"/>
        <v>0</v>
      </c>
      <c r="AV111" s="44">
        <f t="shared" si="192"/>
        <v>50000</v>
      </c>
      <c r="AW111" s="44">
        <f t="shared" si="193"/>
        <v>0</v>
      </c>
      <c r="AX111" s="44">
        <f t="shared" si="137"/>
        <v>0</v>
      </c>
      <c r="AY111" s="44">
        <f t="shared" si="194"/>
        <v>0</v>
      </c>
      <c r="AZ111" s="44">
        <f t="shared" si="138"/>
        <v>0</v>
      </c>
      <c r="BA111" s="44">
        <f t="shared" si="195"/>
        <v>0</v>
      </c>
      <c r="BB111" s="44">
        <f t="shared" si="139"/>
        <v>50000</v>
      </c>
      <c r="BC111" s="46">
        <f t="shared" si="140"/>
        <v>0</v>
      </c>
      <c r="BD111" s="47">
        <f t="shared" si="141"/>
        <v>0</v>
      </c>
      <c r="BE111" s="604">
        <f t="shared" si="196"/>
        <v>0</v>
      </c>
      <c r="BF111" s="44">
        <f t="shared" si="197"/>
        <v>0</v>
      </c>
      <c r="BG111" s="44">
        <f t="shared" si="198"/>
        <v>0</v>
      </c>
      <c r="BH111" s="44">
        <f t="shared" si="199"/>
        <v>0</v>
      </c>
      <c r="BI111" s="44">
        <f t="shared" si="200"/>
        <v>50000</v>
      </c>
      <c r="BJ111" s="44">
        <f t="shared" si="201"/>
        <v>0</v>
      </c>
      <c r="BK111" s="44">
        <f t="shared" si="142"/>
        <v>0</v>
      </c>
      <c r="BL111" s="44">
        <f t="shared" si="202"/>
        <v>0</v>
      </c>
      <c r="BM111" s="44">
        <f t="shared" si="143"/>
        <v>0</v>
      </c>
      <c r="BN111" s="44">
        <f t="shared" si="203"/>
        <v>0</v>
      </c>
      <c r="BO111" s="44">
        <f t="shared" si="144"/>
        <v>50000</v>
      </c>
      <c r="BP111" s="46">
        <f t="shared" si="145"/>
        <v>0</v>
      </c>
      <c r="BQ111" s="47">
        <f t="shared" si="146"/>
        <v>0</v>
      </c>
      <c r="BR111" s="604">
        <f t="shared" si="204"/>
        <v>0</v>
      </c>
      <c r="BS111" s="44">
        <f t="shared" si="205"/>
        <v>0</v>
      </c>
      <c r="BT111" s="44">
        <f t="shared" si="206"/>
        <v>0</v>
      </c>
      <c r="BU111" s="44">
        <f t="shared" si="207"/>
        <v>0</v>
      </c>
      <c r="BV111" s="44">
        <f t="shared" si="208"/>
        <v>50000</v>
      </c>
      <c r="BW111" s="44">
        <f t="shared" si="209"/>
        <v>0</v>
      </c>
      <c r="BX111" s="44">
        <f t="shared" si="147"/>
        <v>0</v>
      </c>
      <c r="BY111" s="44">
        <f t="shared" si="210"/>
        <v>0</v>
      </c>
      <c r="BZ111" s="44">
        <f t="shared" si="148"/>
        <v>0</v>
      </c>
      <c r="CA111" s="44">
        <f t="shared" si="211"/>
        <v>0</v>
      </c>
      <c r="CB111" s="44">
        <f t="shared" si="149"/>
        <v>50000</v>
      </c>
      <c r="CC111" s="46">
        <f t="shared" si="150"/>
        <v>0</v>
      </c>
      <c r="CD111" s="47">
        <f t="shared" si="151"/>
        <v>0</v>
      </c>
      <c r="CE111" s="604">
        <f t="shared" si="212"/>
        <v>0</v>
      </c>
      <c r="CF111" s="44">
        <f t="shared" si="213"/>
        <v>0</v>
      </c>
      <c r="CG111" s="44">
        <f t="shared" si="214"/>
        <v>0</v>
      </c>
      <c r="CH111" s="44">
        <f t="shared" si="215"/>
        <v>0</v>
      </c>
      <c r="CI111" s="44">
        <f t="shared" si="216"/>
        <v>50000</v>
      </c>
      <c r="CJ111" s="44">
        <f t="shared" si="217"/>
        <v>0</v>
      </c>
      <c r="CK111" s="44">
        <f t="shared" si="152"/>
        <v>0</v>
      </c>
      <c r="CL111" s="44">
        <f t="shared" si="218"/>
        <v>0</v>
      </c>
      <c r="CM111" s="44">
        <f t="shared" si="153"/>
        <v>0</v>
      </c>
      <c r="CN111" s="44">
        <f t="shared" si="219"/>
        <v>0</v>
      </c>
      <c r="CO111" s="44">
        <f t="shared" si="154"/>
        <v>50000</v>
      </c>
      <c r="CP111" s="46">
        <f t="shared" si="155"/>
        <v>0</v>
      </c>
      <c r="CQ111" s="47">
        <f t="shared" si="156"/>
        <v>0</v>
      </c>
      <c r="CR111" s="604">
        <f t="shared" si="220"/>
        <v>0</v>
      </c>
      <c r="CS111" s="44">
        <f t="shared" si="221"/>
        <v>0</v>
      </c>
      <c r="CT111" s="44">
        <f t="shared" si="222"/>
        <v>0</v>
      </c>
      <c r="CU111" s="44">
        <f t="shared" si="223"/>
        <v>0</v>
      </c>
      <c r="CV111" s="44">
        <f t="shared" si="224"/>
        <v>50000</v>
      </c>
      <c r="CW111" s="44">
        <f t="shared" si="225"/>
        <v>0</v>
      </c>
      <c r="CX111" s="44">
        <f t="shared" si="157"/>
        <v>0</v>
      </c>
      <c r="CY111" s="44">
        <f t="shared" si="226"/>
        <v>0</v>
      </c>
      <c r="CZ111" s="44">
        <f t="shared" si="158"/>
        <v>0</v>
      </c>
      <c r="DA111" s="44">
        <f t="shared" si="227"/>
        <v>0</v>
      </c>
      <c r="DB111" s="44">
        <f t="shared" si="159"/>
        <v>50000</v>
      </c>
      <c r="DC111" s="46">
        <f t="shared" si="160"/>
        <v>0</v>
      </c>
      <c r="DD111" s="47">
        <f t="shared" si="161"/>
        <v>0</v>
      </c>
      <c r="DE111" s="604">
        <f t="shared" si="228"/>
        <v>0</v>
      </c>
      <c r="DF111" s="44">
        <f t="shared" si="229"/>
        <v>0</v>
      </c>
      <c r="DG111" s="44">
        <f t="shared" si="230"/>
        <v>0</v>
      </c>
      <c r="DH111" s="44">
        <f t="shared" si="231"/>
        <v>0</v>
      </c>
      <c r="DI111" s="44">
        <f t="shared" si="232"/>
        <v>50000</v>
      </c>
      <c r="DJ111" s="44">
        <f t="shared" si="233"/>
        <v>0</v>
      </c>
      <c r="DK111" s="44">
        <f t="shared" si="162"/>
        <v>0</v>
      </c>
      <c r="DL111" s="44">
        <f t="shared" si="234"/>
        <v>0</v>
      </c>
      <c r="DM111" s="44">
        <f t="shared" si="163"/>
        <v>0</v>
      </c>
      <c r="DN111" s="44">
        <f t="shared" si="235"/>
        <v>0</v>
      </c>
      <c r="DO111" s="44">
        <f t="shared" si="164"/>
        <v>50000</v>
      </c>
      <c r="DP111" s="46">
        <f t="shared" si="165"/>
        <v>0</v>
      </c>
      <c r="DQ111" s="47">
        <f t="shared" si="166"/>
        <v>0</v>
      </c>
      <c r="DR111" s="604">
        <f t="shared" si="236"/>
        <v>0</v>
      </c>
      <c r="DS111" s="44">
        <f t="shared" si="237"/>
        <v>0</v>
      </c>
      <c r="DT111" s="44">
        <f t="shared" si="238"/>
        <v>0</v>
      </c>
      <c r="DU111" s="44">
        <f t="shared" si="239"/>
        <v>0</v>
      </c>
      <c r="DV111" s="44">
        <f t="shared" si="240"/>
        <v>50000</v>
      </c>
      <c r="DW111" s="44">
        <f t="shared" si="241"/>
        <v>0</v>
      </c>
      <c r="DX111" s="44">
        <f t="shared" si="167"/>
        <v>0</v>
      </c>
      <c r="DY111" s="44">
        <f t="shared" si="242"/>
        <v>0</v>
      </c>
      <c r="DZ111" s="44">
        <f t="shared" si="168"/>
        <v>0</v>
      </c>
      <c r="EA111" s="44">
        <f t="shared" si="243"/>
        <v>0</v>
      </c>
      <c r="EB111" s="44">
        <f t="shared" si="169"/>
        <v>50000</v>
      </c>
      <c r="EC111" s="46">
        <f t="shared" si="170"/>
        <v>0</v>
      </c>
      <c r="ED111" s="47">
        <f t="shared" si="171"/>
        <v>0</v>
      </c>
    </row>
    <row r="112" spans="1:134" x14ac:dyDescent="0.35">
      <c r="A112" s="81">
        <v>1985</v>
      </c>
      <c r="B112" s="82" t="s">
        <v>281</v>
      </c>
      <c r="C112" s="82" t="s">
        <v>239</v>
      </c>
      <c r="D112" s="83" t="s">
        <v>41</v>
      </c>
      <c r="E112" s="87">
        <v>1000</v>
      </c>
      <c r="F112" s="85">
        <v>31229</v>
      </c>
      <c r="G112" s="86">
        <v>25</v>
      </c>
      <c r="H112" s="179"/>
      <c r="I112" s="180"/>
      <c r="J112" s="181"/>
      <c r="K112" s="42">
        <f t="shared" si="122"/>
        <v>0.04</v>
      </c>
      <c r="L112" s="43">
        <f t="shared" si="123"/>
        <v>40</v>
      </c>
      <c r="M112" s="44">
        <f t="shared" si="124"/>
        <v>0</v>
      </c>
      <c r="N112" s="44"/>
      <c r="O112" s="44">
        <f t="shared" si="125"/>
        <v>1000</v>
      </c>
      <c r="P112" s="45"/>
      <c r="Q112" s="44">
        <f t="shared" si="126"/>
        <v>1000</v>
      </c>
      <c r="R112" s="604">
        <f t="shared" si="172"/>
        <v>0</v>
      </c>
      <c r="S112" s="44">
        <f t="shared" si="173"/>
        <v>0</v>
      </c>
      <c r="T112" s="44">
        <f t="shared" si="174"/>
        <v>0</v>
      </c>
      <c r="U112" s="44">
        <f t="shared" si="175"/>
        <v>0</v>
      </c>
      <c r="V112" s="44">
        <f t="shared" si="176"/>
        <v>1000</v>
      </c>
      <c r="W112" s="44">
        <f t="shared" si="177"/>
        <v>0</v>
      </c>
      <c r="X112" s="44">
        <f t="shared" si="127"/>
        <v>0</v>
      </c>
      <c r="Y112" s="44">
        <f t="shared" si="178"/>
        <v>0</v>
      </c>
      <c r="Z112" s="44">
        <f t="shared" si="128"/>
        <v>0</v>
      </c>
      <c r="AA112" s="44">
        <f t="shared" si="179"/>
        <v>0</v>
      </c>
      <c r="AB112" s="44">
        <f t="shared" si="129"/>
        <v>1000</v>
      </c>
      <c r="AC112" s="46">
        <f t="shared" si="130"/>
        <v>0</v>
      </c>
      <c r="AD112" s="47">
        <f t="shared" si="131"/>
        <v>0</v>
      </c>
      <c r="AE112" s="604">
        <f t="shared" si="180"/>
        <v>0</v>
      </c>
      <c r="AF112" s="44">
        <f t="shared" si="181"/>
        <v>0</v>
      </c>
      <c r="AG112" s="44">
        <f t="shared" si="182"/>
        <v>0</v>
      </c>
      <c r="AH112" s="44">
        <f t="shared" si="183"/>
        <v>0</v>
      </c>
      <c r="AI112" s="44">
        <f t="shared" si="184"/>
        <v>1000</v>
      </c>
      <c r="AJ112" s="44">
        <f t="shared" si="185"/>
        <v>0</v>
      </c>
      <c r="AK112" s="44">
        <f t="shared" si="132"/>
        <v>0</v>
      </c>
      <c r="AL112" s="44">
        <f t="shared" si="186"/>
        <v>0</v>
      </c>
      <c r="AM112" s="44">
        <f t="shared" si="133"/>
        <v>0</v>
      </c>
      <c r="AN112" s="44">
        <f t="shared" si="187"/>
        <v>0</v>
      </c>
      <c r="AO112" s="44">
        <f t="shared" si="134"/>
        <v>1000</v>
      </c>
      <c r="AP112" s="46">
        <f t="shared" si="135"/>
        <v>0</v>
      </c>
      <c r="AQ112" s="47">
        <f t="shared" si="136"/>
        <v>0</v>
      </c>
      <c r="AR112" s="604">
        <f t="shared" si="188"/>
        <v>0</v>
      </c>
      <c r="AS112" s="44">
        <f t="shared" si="189"/>
        <v>0</v>
      </c>
      <c r="AT112" s="44">
        <f t="shared" si="190"/>
        <v>0</v>
      </c>
      <c r="AU112" s="44">
        <f t="shared" si="191"/>
        <v>0</v>
      </c>
      <c r="AV112" s="44">
        <f t="shared" si="192"/>
        <v>1000</v>
      </c>
      <c r="AW112" s="44">
        <f t="shared" si="193"/>
        <v>0</v>
      </c>
      <c r="AX112" s="44">
        <f t="shared" si="137"/>
        <v>0</v>
      </c>
      <c r="AY112" s="44">
        <f t="shared" si="194"/>
        <v>0</v>
      </c>
      <c r="AZ112" s="44">
        <f t="shared" si="138"/>
        <v>0</v>
      </c>
      <c r="BA112" s="44">
        <f t="shared" si="195"/>
        <v>0</v>
      </c>
      <c r="BB112" s="44">
        <f t="shared" si="139"/>
        <v>1000</v>
      </c>
      <c r="BC112" s="46">
        <f t="shared" si="140"/>
        <v>0</v>
      </c>
      <c r="BD112" s="47">
        <f t="shared" si="141"/>
        <v>0</v>
      </c>
      <c r="BE112" s="604">
        <f t="shared" si="196"/>
        <v>0</v>
      </c>
      <c r="BF112" s="44">
        <f t="shared" si="197"/>
        <v>0</v>
      </c>
      <c r="BG112" s="44">
        <f t="shared" si="198"/>
        <v>0</v>
      </c>
      <c r="BH112" s="44">
        <f t="shared" si="199"/>
        <v>0</v>
      </c>
      <c r="BI112" s="44">
        <f t="shared" si="200"/>
        <v>1000</v>
      </c>
      <c r="BJ112" s="44">
        <f t="shared" si="201"/>
        <v>0</v>
      </c>
      <c r="BK112" s="44">
        <f t="shared" si="142"/>
        <v>0</v>
      </c>
      <c r="BL112" s="44">
        <f t="shared" si="202"/>
        <v>0</v>
      </c>
      <c r="BM112" s="44">
        <f t="shared" si="143"/>
        <v>0</v>
      </c>
      <c r="BN112" s="44">
        <f t="shared" si="203"/>
        <v>0</v>
      </c>
      <c r="BO112" s="44">
        <f t="shared" si="144"/>
        <v>1000</v>
      </c>
      <c r="BP112" s="46">
        <f t="shared" si="145"/>
        <v>0</v>
      </c>
      <c r="BQ112" s="47">
        <f t="shared" si="146"/>
        <v>0</v>
      </c>
      <c r="BR112" s="604">
        <f t="shared" si="204"/>
        <v>0</v>
      </c>
      <c r="BS112" s="44">
        <f t="shared" si="205"/>
        <v>0</v>
      </c>
      <c r="BT112" s="44">
        <f t="shared" si="206"/>
        <v>0</v>
      </c>
      <c r="BU112" s="44">
        <f t="shared" si="207"/>
        <v>0</v>
      </c>
      <c r="BV112" s="44">
        <f t="shared" si="208"/>
        <v>1000</v>
      </c>
      <c r="BW112" s="44">
        <f t="shared" si="209"/>
        <v>0</v>
      </c>
      <c r="BX112" s="44">
        <f t="shared" si="147"/>
        <v>0</v>
      </c>
      <c r="BY112" s="44">
        <f t="shared" si="210"/>
        <v>0</v>
      </c>
      <c r="BZ112" s="44">
        <f t="shared" si="148"/>
        <v>0</v>
      </c>
      <c r="CA112" s="44">
        <f t="shared" si="211"/>
        <v>0</v>
      </c>
      <c r="CB112" s="44">
        <f t="shared" si="149"/>
        <v>1000</v>
      </c>
      <c r="CC112" s="46">
        <f t="shared" si="150"/>
        <v>0</v>
      </c>
      <c r="CD112" s="47">
        <f t="shared" si="151"/>
        <v>0</v>
      </c>
      <c r="CE112" s="604">
        <f t="shared" si="212"/>
        <v>0</v>
      </c>
      <c r="CF112" s="44">
        <f t="shared" si="213"/>
        <v>0</v>
      </c>
      <c r="CG112" s="44">
        <f t="shared" si="214"/>
        <v>0</v>
      </c>
      <c r="CH112" s="44">
        <f t="shared" si="215"/>
        <v>0</v>
      </c>
      <c r="CI112" s="44">
        <f t="shared" si="216"/>
        <v>1000</v>
      </c>
      <c r="CJ112" s="44">
        <f t="shared" si="217"/>
        <v>0</v>
      </c>
      <c r="CK112" s="44">
        <f t="shared" si="152"/>
        <v>0</v>
      </c>
      <c r="CL112" s="44">
        <f t="shared" si="218"/>
        <v>0</v>
      </c>
      <c r="CM112" s="44">
        <f t="shared" si="153"/>
        <v>0</v>
      </c>
      <c r="CN112" s="44">
        <f t="shared" si="219"/>
        <v>0</v>
      </c>
      <c r="CO112" s="44">
        <f t="shared" si="154"/>
        <v>1000</v>
      </c>
      <c r="CP112" s="46">
        <f t="shared" si="155"/>
        <v>0</v>
      </c>
      <c r="CQ112" s="47">
        <f t="shared" si="156"/>
        <v>0</v>
      </c>
      <c r="CR112" s="604">
        <f t="shared" si="220"/>
        <v>0</v>
      </c>
      <c r="CS112" s="44">
        <f t="shared" si="221"/>
        <v>0</v>
      </c>
      <c r="CT112" s="44">
        <f t="shared" si="222"/>
        <v>0</v>
      </c>
      <c r="CU112" s="44">
        <f t="shared" si="223"/>
        <v>0</v>
      </c>
      <c r="CV112" s="44">
        <f t="shared" si="224"/>
        <v>1000</v>
      </c>
      <c r="CW112" s="44">
        <f t="shared" si="225"/>
        <v>0</v>
      </c>
      <c r="CX112" s="44">
        <f t="shared" si="157"/>
        <v>0</v>
      </c>
      <c r="CY112" s="44">
        <f t="shared" si="226"/>
        <v>0</v>
      </c>
      <c r="CZ112" s="44">
        <f t="shared" si="158"/>
        <v>0</v>
      </c>
      <c r="DA112" s="44">
        <f t="shared" si="227"/>
        <v>0</v>
      </c>
      <c r="DB112" s="44">
        <f t="shared" si="159"/>
        <v>1000</v>
      </c>
      <c r="DC112" s="46">
        <f t="shared" si="160"/>
        <v>0</v>
      </c>
      <c r="DD112" s="47">
        <f t="shared" si="161"/>
        <v>0</v>
      </c>
      <c r="DE112" s="604">
        <f t="shared" si="228"/>
        <v>0</v>
      </c>
      <c r="DF112" s="44">
        <f t="shared" si="229"/>
        <v>0</v>
      </c>
      <c r="DG112" s="44">
        <f t="shared" si="230"/>
        <v>0</v>
      </c>
      <c r="DH112" s="44">
        <f t="shared" si="231"/>
        <v>0</v>
      </c>
      <c r="DI112" s="44">
        <f t="shared" si="232"/>
        <v>1000</v>
      </c>
      <c r="DJ112" s="44">
        <f t="shared" si="233"/>
        <v>0</v>
      </c>
      <c r="DK112" s="44">
        <f t="shared" si="162"/>
        <v>0</v>
      </c>
      <c r="DL112" s="44">
        <f t="shared" si="234"/>
        <v>0</v>
      </c>
      <c r="DM112" s="44">
        <f t="shared" si="163"/>
        <v>0</v>
      </c>
      <c r="DN112" s="44">
        <f t="shared" si="235"/>
        <v>0</v>
      </c>
      <c r="DO112" s="44">
        <f t="shared" si="164"/>
        <v>1000</v>
      </c>
      <c r="DP112" s="46">
        <f t="shared" si="165"/>
        <v>0</v>
      </c>
      <c r="DQ112" s="47">
        <f t="shared" si="166"/>
        <v>0</v>
      </c>
      <c r="DR112" s="604">
        <f t="shared" si="236"/>
        <v>0</v>
      </c>
      <c r="DS112" s="44">
        <f t="shared" si="237"/>
        <v>0</v>
      </c>
      <c r="DT112" s="44">
        <f t="shared" si="238"/>
        <v>0</v>
      </c>
      <c r="DU112" s="44">
        <f t="shared" si="239"/>
        <v>0</v>
      </c>
      <c r="DV112" s="44">
        <f t="shared" si="240"/>
        <v>1000</v>
      </c>
      <c r="DW112" s="44">
        <f t="shared" si="241"/>
        <v>0</v>
      </c>
      <c r="DX112" s="44">
        <f t="shared" si="167"/>
        <v>0</v>
      </c>
      <c r="DY112" s="44">
        <f t="shared" si="242"/>
        <v>0</v>
      </c>
      <c r="DZ112" s="44">
        <f t="shared" si="168"/>
        <v>0</v>
      </c>
      <c r="EA112" s="44">
        <f t="shared" si="243"/>
        <v>0</v>
      </c>
      <c r="EB112" s="44">
        <f t="shared" si="169"/>
        <v>1000</v>
      </c>
      <c r="EC112" s="46">
        <f t="shared" si="170"/>
        <v>0</v>
      </c>
      <c r="ED112" s="47">
        <f t="shared" si="171"/>
        <v>0</v>
      </c>
    </row>
    <row r="113" spans="1:134" x14ac:dyDescent="0.35">
      <c r="A113" s="81">
        <v>1985</v>
      </c>
      <c r="B113" s="82" t="s">
        <v>282</v>
      </c>
      <c r="C113" s="82"/>
      <c r="D113" s="83" t="s">
        <v>41</v>
      </c>
      <c r="E113" s="87">
        <v>16000</v>
      </c>
      <c r="F113" s="85">
        <v>31229</v>
      </c>
      <c r="G113" s="86">
        <v>25</v>
      </c>
      <c r="H113" s="179"/>
      <c r="I113" s="180"/>
      <c r="J113" s="181"/>
      <c r="K113" s="42">
        <f t="shared" si="122"/>
        <v>0.04</v>
      </c>
      <c r="L113" s="43">
        <f t="shared" si="123"/>
        <v>640</v>
      </c>
      <c r="M113" s="44">
        <f t="shared" si="124"/>
        <v>0</v>
      </c>
      <c r="N113" s="44"/>
      <c r="O113" s="44">
        <f t="shared" si="125"/>
        <v>16000</v>
      </c>
      <c r="P113" s="45"/>
      <c r="Q113" s="44">
        <f t="shared" si="126"/>
        <v>16000</v>
      </c>
      <c r="R113" s="604">
        <f t="shared" si="172"/>
        <v>0</v>
      </c>
      <c r="S113" s="44">
        <f t="shared" si="173"/>
        <v>0</v>
      </c>
      <c r="T113" s="44">
        <f t="shared" si="174"/>
        <v>0</v>
      </c>
      <c r="U113" s="44">
        <f t="shared" si="175"/>
        <v>0</v>
      </c>
      <c r="V113" s="44">
        <f t="shared" si="176"/>
        <v>16000</v>
      </c>
      <c r="W113" s="44">
        <f t="shared" si="177"/>
        <v>0</v>
      </c>
      <c r="X113" s="44">
        <f t="shared" si="127"/>
        <v>0</v>
      </c>
      <c r="Y113" s="44">
        <f t="shared" si="178"/>
        <v>0</v>
      </c>
      <c r="Z113" s="44">
        <f t="shared" si="128"/>
        <v>0</v>
      </c>
      <c r="AA113" s="44">
        <f t="shared" si="179"/>
        <v>0</v>
      </c>
      <c r="AB113" s="44">
        <f t="shared" si="129"/>
        <v>16000</v>
      </c>
      <c r="AC113" s="46">
        <f t="shared" si="130"/>
        <v>0</v>
      </c>
      <c r="AD113" s="47">
        <f t="shared" si="131"/>
        <v>0</v>
      </c>
      <c r="AE113" s="604">
        <f t="shared" si="180"/>
        <v>0</v>
      </c>
      <c r="AF113" s="44">
        <f t="shared" si="181"/>
        <v>0</v>
      </c>
      <c r="AG113" s="44">
        <f t="shared" si="182"/>
        <v>0</v>
      </c>
      <c r="AH113" s="44">
        <f t="shared" si="183"/>
        <v>0</v>
      </c>
      <c r="AI113" s="44">
        <f t="shared" si="184"/>
        <v>16000</v>
      </c>
      <c r="AJ113" s="44">
        <f t="shared" si="185"/>
        <v>0</v>
      </c>
      <c r="AK113" s="44">
        <f t="shared" si="132"/>
        <v>0</v>
      </c>
      <c r="AL113" s="44">
        <f t="shared" si="186"/>
        <v>0</v>
      </c>
      <c r="AM113" s="44">
        <f t="shared" si="133"/>
        <v>0</v>
      </c>
      <c r="AN113" s="44">
        <f t="shared" si="187"/>
        <v>0</v>
      </c>
      <c r="AO113" s="44">
        <f t="shared" si="134"/>
        <v>16000</v>
      </c>
      <c r="AP113" s="46">
        <f t="shared" si="135"/>
        <v>0</v>
      </c>
      <c r="AQ113" s="47">
        <f t="shared" si="136"/>
        <v>0</v>
      </c>
      <c r="AR113" s="604">
        <f t="shared" si="188"/>
        <v>0</v>
      </c>
      <c r="AS113" s="44">
        <f t="shared" si="189"/>
        <v>0</v>
      </c>
      <c r="AT113" s="44">
        <f t="shared" si="190"/>
        <v>0</v>
      </c>
      <c r="AU113" s="44">
        <f t="shared" si="191"/>
        <v>0</v>
      </c>
      <c r="AV113" s="44">
        <f t="shared" si="192"/>
        <v>16000</v>
      </c>
      <c r="AW113" s="44">
        <f t="shared" si="193"/>
        <v>0</v>
      </c>
      <c r="AX113" s="44">
        <f t="shared" si="137"/>
        <v>0</v>
      </c>
      <c r="AY113" s="44">
        <f t="shared" si="194"/>
        <v>0</v>
      </c>
      <c r="AZ113" s="44">
        <f t="shared" si="138"/>
        <v>0</v>
      </c>
      <c r="BA113" s="44">
        <f t="shared" si="195"/>
        <v>0</v>
      </c>
      <c r="BB113" s="44">
        <f t="shared" si="139"/>
        <v>16000</v>
      </c>
      <c r="BC113" s="46">
        <f t="shared" si="140"/>
        <v>0</v>
      </c>
      <c r="BD113" s="47">
        <f t="shared" si="141"/>
        <v>0</v>
      </c>
      <c r="BE113" s="604">
        <f t="shared" si="196"/>
        <v>0</v>
      </c>
      <c r="BF113" s="44">
        <f t="shared" si="197"/>
        <v>0</v>
      </c>
      <c r="BG113" s="44">
        <f t="shared" si="198"/>
        <v>0</v>
      </c>
      <c r="BH113" s="44">
        <f t="shared" si="199"/>
        <v>0</v>
      </c>
      <c r="BI113" s="44">
        <f t="shared" si="200"/>
        <v>16000</v>
      </c>
      <c r="BJ113" s="44">
        <f t="shared" si="201"/>
        <v>0</v>
      </c>
      <c r="BK113" s="44">
        <f t="shared" si="142"/>
        <v>0</v>
      </c>
      <c r="BL113" s="44">
        <f t="shared" si="202"/>
        <v>0</v>
      </c>
      <c r="BM113" s="44">
        <f t="shared" si="143"/>
        <v>0</v>
      </c>
      <c r="BN113" s="44">
        <f t="shared" si="203"/>
        <v>0</v>
      </c>
      <c r="BO113" s="44">
        <f t="shared" si="144"/>
        <v>16000</v>
      </c>
      <c r="BP113" s="46">
        <f t="shared" si="145"/>
        <v>0</v>
      </c>
      <c r="BQ113" s="47">
        <f t="shared" si="146"/>
        <v>0</v>
      </c>
      <c r="BR113" s="604">
        <f t="shared" si="204"/>
        <v>0</v>
      </c>
      <c r="BS113" s="44">
        <f t="shared" si="205"/>
        <v>0</v>
      </c>
      <c r="BT113" s="44">
        <f t="shared" si="206"/>
        <v>0</v>
      </c>
      <c r="BU113" s="44">
        <f t="shared" si="207"/>
        <v>0</v>
      </c>
      <c r="BV113" s="44">
        <f t="shared" si="208"/>
        <v>16000</v>
      </c>
      <c r="BW113" s="44">
        <f t="shared" si="209"/>
        <v>0</v>
      </c>
      <c r="BX113" s="44">
        <f t="shared" si="147"/>
        <v>0</v>
      </c>
      <c r="BY113" s="44">
        <f t="shared" si="210"/>
        <v>0</v>
      </c>
      <c r="BZ113" s="44">
        <f t="shared" si="148"/>
        <v>0</v>
      </c>
      <c r="CA113" s="44">
        <f t="shared" si="211"/>
        <v>0</v>
      </c>
      <c r="CB113" s="44">
        <f t="shared" si="149"/>
        <v>16000</v>
      </c>
      <c r="CC113" s="46">
        <f t="shared" si="150"/>
        <v>0</v>
      </c>
      <c r="CD113" s="47">
        <f t="shared" si="151"/>
        <v>0</v>
      </c>
      <c r="CE113" s="604">
        <f t="shared" si="212"/>
        <v>0</v>
      </c>
      <c r="CF113" s="44">
        <f t="shared" si="213"/>
        <v>0</v>
      </c>
      <c r="CG113" s="44">
        <f t="shared" si="214"/>
        <v>0</v>
      </c>
      <c r="CH113" s="44">
        <f t="shared" si="215"/>
        <v>0</v>
      </c>
      <c r="CI113" s="44">
        <f t="shared" si="216"/>
        <v>16000</v>
      </c>
      <c r="CJ113" s="44">
        <f t="shared" si="217"/>
        <v>0</v>
      </c>
      <c r="CK113" s="44">
        <f t="shared" si="152"/>
        <v>0</v>
      </c>
      <c r="CL113" s="44">
        <f t="shared" si="218"/>
        <v>0</v>
      </c>
      <c r="CM113" s="44">
        <f t="shared" si="153"/>
        <v>0</v>
      </c>
      <c r="CN113" s="44">
        <f t="shared" si="219"/>
        <v>0</v>
      </c>
      <c r="CO113" s="44">
        <f t="shared" si="154"/>
        <v>16000</v>
      </c>
      <c r="CP113" s="46">
        <f t="shared" si="155"/>
        <v>0</v>
      </c>
      <c r="CQ113" s="47">
        <f t="shared" si="156"/>
        <v>0</v>
      </c>
      <c r="CR113" s="604">
        <f t="shared" si="220"/>
        <v>0</v>
      </c>
      <c r="CS113" s="44">
        <f t="shared" si="221"/>
        <v>0</v>
      </c>
      <c r="CT113" s="44">
        <f t="shared" si="222"/>
        <v>0</v>
      </c>
      <c r="CU113" s="44">
        <f t="shared" si="223"/>
        <v>0</v>
      </c>
      <c r="CV113" s="44">
        <f t="shared" si="224"/>
        <v>16000</v>
      </c>
      <c r="CW113" s="44">
        <f t="shared" si="225"/>
        <v>0</v>
      </c>
      <c r="CX113" s="44">
        <f t="shared" si="157"/>
        <v>0</v>
      </c>
      <c r="CY113" s="44">
        <f t="shared" si="226"/>
        <v>0</v>
      </c>
      <c r="CZ113" s="44">
        <f t="shared" si="158"/>
        <v>0</v>
      </c>
      <c r="DA113" s="44">
        <f t="shared" si="227"/>
        <v>0</v>
      </c>
      <c r="DB113" s="44">
        <f t="shared" si="159"/>
        <v>16000</v>
      </c>
      <c r="DC113" s="46">
        <f t="shared" si="160"/>
        <v>0</v>
      </c>
      <c r="DD113" s="47">
        <f t="shared" si="161"/>
        <v>0</v>
      </c>
      <c r="DE113" s="604">
        <f t="shared" si="228"/>
        <v>0</v>
      </c>
      <c r="DF113" s="44">
        <f t="shared" si="229"/>
        <v>0</v>
      </c>
      <c r="DG113" s="44">
        <f t="shared" si="230"/>
        <v>0</v>
      </c>
      <c r="DH113" s="44">
        <f t="shared" si="231"/>
        <v>0</v>
      </c>
      <c r="DI113" s="44">
        <f t="shared" si="232"/>
        <v>16000</v>
      </c>
      <c r="DJ113" s="44">
        <f t="shared" si="233"/>
        <v>0</v>
      </c>
      <c r="DK113" s="44">
        <f t="shared" si="162"/>
        <v>0</v>
      </c>
      <c r="DL113" s="44">
        <f t="shared" si="234"/>
        <v>0</v>
      </c>
      <c r="DM113" s="44">
        <f t="shared" si="163"/>
        <v>0</v>
      </c>
      <c r="DN113" s="44">
        <f t="shared" si="235"/>
        <v>0</v>
      </c>
      <c r="DO113" s="44">
        <f t="shared" si="164"/>
        <v>16000</v>
      </c>
      <c r="DP113" s="46">
        <f t="shared" si="165"/>
        <v>0</v>
      </c>
      <c r="DQ113" s="47">
        <f t="shared" si="166"/>
        <v>0</v>
      </c>
      <c r="DR113" s="604">
        <f t="shared" si="236"/>
        <v>0</v>
      </c>
      <c r="DS113" s="44">
        <f t="shared" si="237"/>
        <v>0</v>
      </c>
      <c r="DT113" s="44">
        <f t="shared" si="238"/>
        <v>0</v>
      </c>
      <c r="DU113" s="44">
        <f t="shared" si="239"/>
        <v>0</v>
      </c>
      <c r="DV113" s="44">
        <f t="shared" si="240"/>
        <v>16000</v>
      </c>
      <c r="DW113" s="44">
        <f t="shared" si="241"/>
        <v>0</v>
      </c>
      <c r="DX113" s="44">
        <f t="shared" si="167"/>
        <v>0</v>
      </c>
      <c r="DY113" s="44">
        <f t="shared" si="242"/>
        <v>0</v>
      </c>
      <c r="DZ113" s="44">
        <f t="shared" si="168"/>
        <v>0</v>
      </c>
      <c r="EA113" s="44">
        <f t="shared" si="243"/>
        <v>0</v>
      </c>
      <c r="EB113" s="44">
        <f t="shared" si="169"/>
        <v>16000</v>
      </c>
      <c r="EC113" s="46">
        <f t="shared" si="170"/>
        <v>0</v>
      </c>
      <c r="ED113" s="47">
        <f t="shared" si="171"/>
        <v>0</v>
      </c>
    </row>
    <row r="114" spans="1:134" x14ac:dyDescent="0.35">
      <c r="A114" s="81">
        <v>1985</v>
      </c>
      <c r="B114" s="82" t="s">
        <v>283</v>
      </c>
      <c r="C114" s="82"/>
      <c r="D114" s="83" t="s">
        <v>41</v>
      </c>
      <c r="E114" s="87">
        <v>555000</v>
      </c>
      <c r="F114" s="85">
        <v>31229</v>
      </c>
      <c r="G114" s="86">
        <v>50</v>
      </c>
      <c r="H114" s="179"/>
      <c r="I114" s="180"/>
      <c r="J114" s="181"/>
      <c r="K114" s="42">
        <f t="shared" si="122"/>
        <v>0.02</v>
      </c>
      <c r="L114" s="43">
        <f t="shared" si="123"/>
        <v>11100</v>
      </c>
      <c r="M114" s="44">
        <f t="shared" si="124"/>
        <v>260850</v>
      </c>
      <c r="N114" s="44"/>
      <c r="O114" s="44">
        <f t="shared" si="125"/>
        <v>294150</v>
      </c>
      <c r="P114" s="45"/>
      <c r="Q114" s="44">
        <f t="shared" si="126"/>
        <v>555000</v>
      </c>
      <c r="R114" s="604">
        <f t="shared" si="172"/>
        <v>0</v>
      </c>
      <c r="S114" s="44">
        <f t="shared" si="173"/>
        <v>0</v>
      </c>
      <c r="T114" s="44">
        <f t="shared" si="174"/>
        <v>0</v>
      </c>
      <c r="U114" s="44">
        <f t="shared" si="175"/>
        <v>0</v>
      </c>
      <c r="V114" s="44">
        <f t="shared" si="176"/>
        <v>555000</v>
      </c>
      <c r="W114" s="44">
        <f t="shared" si="177"/>
        <v>555000</v>
      </c>
      <c r="X114" s="44">
        <f t="shared" si="127"/>
        <v>11100</v>
      </c>
      <c r="Y114" s="44">
        <f t="shared" si="178"/>
        <v>11100</v>
      </c>
      <c r="Z114" s="44">
        <f t="shared" si="128"/>
        <v>249750</v>
      </c>
      <c r="AA114" s="44">
        <f t="shared" si="179"/>
        <v>249750</v>
      </c>
      <c r="AB114" s="44">
        <f t="shared" si="129"/>
        <v>305250</v>
      </c>
      <c r="AC114" s="46">
        <f t="shared" si="130"/>
        <v>0</v>
      </c>
      <c r="AD114" s="47">
        <f t="shared" si="131"/>
        <v>0</v>
      </c>
      <c r="AE114" s="604">
        <f t="shared" si="180"/>
        <v>0</v>
      </c>
      <c r="AF114" s="44">
        <f t="shared" si="181"/>
        <v>0</v>
      </c>
      <c r="AG114" s="44">
        <f t="shared" si="182"/>
        <v>0</v>
      </c>
      <c r="AH114" s="44">
        <f t="shared" si="183"/>
        <v>0</v>
      </c>
      <c r="AI114" s="44">
        <f t="shared" si="184"/>
        <v>555000</v>
      </c>
      <c r="AJ114" s="44">
        <f t="shared" si="185"/>
        <v>555000</v>
      </c>
      <c r="AK114" s="44">
        <f t="shared" si="132"/>
        <v>11100</v>
      </c>
      <c r="AL114" s="44">
        <f t="shared" si="186"/>
        <v>11100</v>
      </c>
      <c r="AM114" s="44">
        <f t="shared" si="133"/>
        <v>238650</v>
      </c>
      <c r="AN114" s="44">
        <f t="shared" si="187"/>
        <v>238650</v>
      </c>
      <c r="AO114" s="44">
        <f t="shared" si="134"/>
        <v>316350</v>
      </c>
      <c r="AP114" s="46">
        <f t="shared" si="135"/>
        <v>0</v>
      </c>
      <c r="AQ114" s="47">
        <f t="shared" si="136"/>
        <v>0</v>
      </c>
      <c r="AR114" s="604">
        <f t="shared" si="188"/>
        <v>0</v>
      </c>
      <c r="AS114" s="44">
        <f t="shared" si="189"/>
        <v>0</v>
      </c>
      <c r="AT114" s="44">
        <f t="shared" si="190"/>
        <v>0</v>
      </c>
      <c r="AU114" s="44">
        <f t="shared" si="191"/>
        <v>0</v>
      </c>
      <c r="AV114" s="44">
        <f t="shared" si="192"/>
        <v>555000</v>
      </c>
      <c r="AW114" s="44">
        <f t="shared" si="193"/>
        <v>555000</v>
      </c>
      <c r="AX114" s="44">
        <f t="shared" si="137"/>
        <v>11100</v>
      </c>
      <c r="AY114" s="44">
        <f t="shared" si="194"/>
        <v>11100</v>
      </c>
      <c r="AZ114" s="44">
        <f t="shared" si="138"/>
        <v>227550</v>
      </c>
      <c r="BA114" s="44">
        <f t="shared" si="195"/>
        <v>227550</v>
      </c>
      <c r="BB114" s="44">
        <f t="shared" si="139"/>
        <v>327450</v>
      </c>
      <c r="BC114" s="46">
        <f t="shared" si="140"/>
        <v>0</v>
      </c>
      <c r="BD114" s="47">
        <f t="shared" si="141"/>
        <v>0</v>
      </c>
      <c r="BE114" s="604">
        <f t="shared" si="196"/>
        <v>0</v>
      </c>
      <c r="BF114" s="44">
        <f t="shared" si="197"/>
        <v>0</v>
      </c>
      <c r="BG114" s="44">
        <f t="shared" si="198"/>
        <v>0</v>
      </c>
      <c r="BH114" s="44">
        <f t="shared" si="199"/>
        <v>0</v>
      </c>
      <c r="BI114" s="44">
        <f t="shared" si="200"/>
        <v>555000</v>
      </c>
      <c r="BJ114" s="44">
        <f t="shared" si="201"/>
        <v>555000</v>
      </c>
      <c r="BK114" s="44">
        <f t="shared" si="142"/>
        <v>11100</v>
      </c>
      <c r="BL114" s="44">
        <f t="shared" si="202"/>
        <v>11100</v>
      </c>
      <c r="BM114" s="44">
        <f t="shared" si="143"/>
        <v>216450</v>
      </c>
      <c r="BN114" s="44">
        <f t="shared" si="203"/>
        <v>216450</v>
      </c>
      <c r="BO114" s="44">
        <f t="shared" si="144"/>
        <v>338550</v>
      </c>
      <c r="BP114" s="46">
        <f t="shared" si="145"/>
        <v>0</v>
      </c>
      <c r="BQ114" s="47">
        <f t="shared" si="146"/>
        <v>0</v>
      </c>
      <c r="BR114" s="604">
        <f t="shared" si="204"/>
        <v>0</v>
      </c>
      <c r="BS114" s="44">
        <f t="shared" si="205"/>
        <v>0</v>
      </c>
      <c r="BT114" s="44">
        <f t="shared" si="206"/>
        <v>0</v>
      </c>
      <c r="BU114" s="44">
        <f t="shared" si="207"/>
        <v>0</v>
      </c>
      <c r="BV114" s="44">
        <f t="shared" si="208"/>
        <v>555000</v>
      </c>
      <c r="BW114" s="44">
        <f t="shared" si="209"/>
        <v>555000</v>
      </c>
      <c r="BX114" s="44">
        <f t="shared" si="147"/>
        <v>11100</v>
      </c>
      <c r="BY114" s="44">
        <f t="shared" si="210"/>
        <v>11100</v>
      </c>
      <c r="BZ114" s="44">
        <f t="shared" si="148"/>
        <v>205350</v>
      </c>
      <c r="CA114" s="44">
        <f t="shared" si="211"/>
        <v>205350</v>
      </c>
      <c r="CB114" s="44">
        <f t="shared" si="149"/>
        <v>349650</v>
      </c>
      <c r="CC114" s="46">
        <f t="shared" si="150"/>
        <v>0</v>
      </c>
      <c r="CD114" s="47">
        <f t="shared" si="151"/>
        <v>0</v>
      </c>
      <c r="CE114" s="604">
        <f t="shared" si="212"/>
        <v>0</v>
      </c>
      <c r="CF114" s="44">
        <f t="shared" si="213"/>
        <v>0</v>
      </c>
      <c r="CG114" s="44">
        <f t="shared" si="214"/>
        <v>0</v>
      </c>
      <c r="CH114" s="44">
        <f t="shared" si="215"/>
        <v>0</v>
      </c>
      <c r="CI114" s="44">
        <f t="shared" si="216"/>
        <v>555000</v>
      </c>
      <c r="CJ114" s="44">
        <f t="shared" si="217"/>
        <v>555000</v>
      </c>
      <c r="CK114" s="44">
        <f t="shared" si="152"/>
        <v>11100</v>
      </c>
      <c r="CL114" s="44">
        <f t="shared" si="218"/>
        <v>11100</v>
      </c>
      <c r="CM114" s="44">
        <f t="shared" si="153"/>
        <v>194250</v>
      </c>
      <c r="CN114" s="44">
        <f t="shared" si="219"/>
        <v>194250</v>
      </c>
      <c r="CO114" s="44">
        <f t="shared" si="154"/>
        <v>360750</v>
      </c>
      <c r="CP114" s="46">
        <f t="shared" si="155"/>
        <v>0</v>
      </c>
      <c r="CQ114" s="47">
        <f t="shared" si="156"/>
        <v>0</v>
      </c>
      <c r="CR114" s="604">
        <f t="shared" si="220"/>
        <v>0</v>
      </c>
      <c r="CS114" s="44">
        <f t="shared" si="221"/>
        <v>0</v>
      </c>
      <c r="CT114" s="44">
        <f t="shared" si="222"/>
        <v>0</v>
      </c>
      <c r="CU114" s="44">
        <f t="shared" si="223"/>
        <v>0</v>
      </c>
      <c r="CV114" s="44">
        <f t="shared" si="224"/>
        <v>555000</v>
      </c>
      <c r="CW114" s="44">
        <f t="shared" si="225"/>
        <v>555000</v>
      </c>
      <c r="CX114" s="44">
        <f t="shared" si="157"/>
        <v>11100</v>
      </c>
      <c r="CY114" s="44">
        <f t="shared" si="226"/>
        <v>11100</v>
      </c>
      <c r="CZ114" s="44">
        <f t="shared" si="158"/>
        <v>183150</v>
      </c>
      <c r="DA114" s="44">
        <f t="shared" si="227"/>
        <v>183150</v>
      </c>
      <c r="DB114" s="44">
        <f t="shared" si="159"/>
        <v>371850</v>
      </c>
      <c r="DC114" s="46">
        <f t="shared" si="160"/>
        <v>0</v>
      </c>
      <c r="DD114" s="47">
        <f t="shared" si="161"/>
        <v>0</v>
      </c>
      <c r="DE114" s="604">
        <f t="shared" si="228"/>
        <v>0</v>
      </c>
      <c r="DF114" s="44">
        <f t="shared" si="229"/>
        <v>0</v>
      </c>
      <c r="DG114" s="44">
        <f t="shared" si="230"/>
        <v>0</v>
      </c>
      <c r="DH114" s="44">
        <f t="shared" si="231"/>
        <v>0</v>
      </c>
      <c r="DI114" s="44">
        <f t="shared" si="232"/>
        <v>555000</v>
      </c>
      <c r="DJ114" s="44">
        <f t="shared" si="233"/>
        <v>555000</v>
      </c>
      <c r="DK114" s="44">
        <f t="shared" si="162"/>
        <v>11100</v>
      </c>
      <c r="DL114" s="44">
        <f t="shared" si="234"/>
        <v>11100</v>
      </c>
      <c r="DM114" s="44">
        <f t="shared" si="163"/>
        <v>172050</v>
      </c>
      <c r="DN114" s="44">
        <f t="shared" si="235"/>
        <v>172050</v>
      </c>
      <c r="DO114" s="44">
        <f t="shared" si="164"/>
        <v>382950</v>
      </c>
      <c r="DP114" s="46">
        <f t="shared" si="165"/>
        <v>0</v>
      </c>
      <c r="DQ114" s="47">
        <f t="shared" si="166"/>
        <v>0</v>
      </c>
      <c r="DR114" s="604">
        <f t="shared" si="236"/>
        <v>0</v>
      </c>
      <c r="DS114" s="44">
        <f t="shared" si="237"/>
        <v>0</v>
      </c>
      <c r="DT114" s="44">
        <f t="shared" si="238"/>
        <v>0</v>
      </c>
      <c r="DU114" s="44">
        <f t="shared" si="239"/>
        <v>0</v>
      </c>
      <c r="DV114" s="44">
        <f t="shared" si="240"/>
        <v>555000</v>
      </c>
      <c r="DW114" s="44">
        <f t="shared" si="241"/>
        <v>555000</v>
      </c>
      <c r="DX114" s="44">
        <f t="shared" si="167"/>
        <v>11100</v>
      </c>
      <c r="DY114" s="44">
        <f t="shared" si="242"/>
        <v>11100</v>
      </c>
      <c r="DZ114" s="44">
        <f t="shared" si="168"/>
        <v>160950</v>
      </c>
      <c r="EA114" s="44">
        <f t="shared" si="243"/>
        <v>160950</v>
      </c>
      <c r="EB114" s="44">
        <f t="shared" si="169"/>
        <v>394050</v>
      </c>
      <c r="EC114" s="46">
        <f t="shared" si="170"/>
        <v>0</v>
      </c>
      <c r="ED114" s="47">
        <f t="shared" si="171"/>
        <v>0</v>
      </c>
    </row>
    <row r="115" spans="1:134" x14ac:dyDescent="0.35">
      <c r="A115" s="81">
        <v>1985</v>
      </c>
      <c r="B115" s="82" t="s">
        <v>284</v>
      </c>
      <c r="C115" s="82"/>
      <c r="D115" s="83" t="s">
        <v>41</v>
      </c>
      <c r="E115" s="87">
        <v>895000</v>
      </c>
      <c r="F115" s="85">
        <v>31229</v>
      </c>
      <c r="G115" s="86">
        <v>50</v>
      </c>
      <c r="H115" s="179"/>
      <c r="I115" s="180"/>
      <c r="J115" s="181"/>
      <c r="K115" s="42">
        <f t="shared" si="122"/>
        <v>0.02</v>
      </c>
      <c r="L115" s="43">
        <f t="shared" si="123"/>
        <v>17900</v>
      </c>
      <c r="M115" s="44">
        <f t="shared" si="124"/>
        <v>420650</v>
      </c>
      <c r="N115" s="44"/>
      <c r="O115" s="44">
        <f t="shared" si="125"/>
        <v>474350</v>
      </c>
      <c r="P115" s="45"/>
      <c r="Q115" s="44">
        <f t="shared" si="126"/>
        <v>895000</v>
      </c>
      <c r="R115" s="604">
        <f t="shared" si="172"/>
        <v>0</v>
      </c>
      <c r="S115" s="44">
        <f t="shared" si="173"/>
        <v>0</v>
      </c>
      <c r="T115" s="44">
        <f t="shared" si="174"/>
        <v>0</v>
      </c>
      <c r="U115" s="44">
        <f t="shared" si="175"/>
        <v>0</v>
      </c>
      <c r="V115" s="44">
        <f t="shared" si="176"/>
        <v>895000</v>
      </c>
      <c r="W115" s="44">
        <f t="shared" si="177"/>
        <v>895000</v>
      </c>
      <c r="X115" s="44">
        <f t="shared" si="127"/>
        <v>17900</v>
      </c>
      <c r="Y115" s="44">
        <f t="shared" si="178"/>
        <v>17900</v>
      </c>
      <c r="Z115" s="44">
        <f t="shared" si="128"/>
        <v>402750</v>
      </c>
      <c r="AA115" s="44">
        <f t="shared" si="179"/>
        <v>402750</v>
      </c>
      <c r="AB115" s="44">
        <f t="shared" si="129"/>
        <v>492250</v>
      </c>
      <c r="AC115" s="46">
        <f t="shared" si="130"/>
        <v>0</v>
      </c>
      <c r="AD115" s="47">
        <f t="shared" si="131"/>
        <v>0</v>
      </c>
      <c r="AE115" s="604">
        <f t="shared" si="180"/>
        <v>0</v>
      </c>
      <c r="AF115" s="44">
        <f t="shared" si="181"/>
        <v>0</v>
      </c>
      <c r="AG115" s="44">
        <f t="shared" si="182"/>
        <v>0</v>
      </c>
      <c r="AH115" s="44">
        <f t="shared" si="183"/>
        <v>0</v>
      </c>
      <c r="AI115" s="44">
        <f t="shared" si="184"/>
        <v>895000</v>
      </c>
      <c r="AJ115" s="44">
        <f t="shared" si="185"/>
        <v>895000</v>
      </c>
      <c r="AK115" s="44">
        <f t="shared" si="132"/>
        <v>17900</v>
      </c>
      <c r="AL115" s="44">
        <f t="shared" si="186"/>
        <v>17900</v>
      </c>
      <c r="AM115" s="44">
        <f t="shared" si="133"/>
        <v>384850</v>
      </c>
      <c r="AN115" s="44">
        <f t="shared" si="187"/>
        <v>384850</v>
      </c>
      <c r="AO115" s="44">
        <f t="shared" si="134"/>
        <v>510150</v>
      </c>
      <c r="AP115" s="46">
        <f t="shared" si="135"/>
        <v>0</v>
      </c>
      <c r="AQ115" s="47">
        <f t="shared" si="136"/>
        <v>0</v>
      </c>
      <c r="AR115" s="604">
        <f t="shared" si="188"/>
        <v>0</v>
      </c>
      <c r="AS115" s="44">
        <f t="shared" si="189"/>
        <v>0</v>
      </c>
      <c r="AT115" s="44">
        <f t="shared" si="190"/>
        <v>0</v>
      </c>
      <c r="AU115" s="44">
        <f t="shared" si="191"/>
        <v>0</v>
      </c>
      <c r="AV115" s="44">
        <f t="shared" si="192"/>
        <v>895000</v>
      </c>
      <c r="AW115" s="44">
        <f t="shared" si="193"/>
        <v>895000</v>
      </c>
      <c r="AX115" s="44">
        <f t="shared" si="137"/>
        <v>17900</v>
      </c>
      <c r="AY115" s="44">
        <f t="shared" si="194"/>
        <v>17900</v>
      </c>
      <c r="AZ115" s="44">
        <f t="shared" si="138"/>
        <v>366950</v>
      </c>
      <c r="BA115" s="44">
        <f t="shared" si="195"/>
        <v>366950</v>
      </c>
      <c r="BB115" s="44">
        <f t="shared" si="139"/>
        <v>528050</v>
      </c>
      <c r="BC115" s="46">
        <f t="shared" si="140"/>
        <v>0</v>
      </c>
      <c r="BD115" s="47">
        <f t="shared" si="141"/>
        <v>0</v>
      </c>
      <c r="BE115" s="604">
        <f t="shared" si="196"/>
        <v>0</v>
      </c>
      <c r="BF115" s="44">
        <f t="shared" si="197"/>
        <v>0</v>
      </c>
      <c r="BG115" s="44">
        <f t="shared" si="198"/>
        <v>0</v>
      </c>
      <c r="BH115" s="44">
        <f t="shared" si="199"/>
        <v>0</v>
      </c>
      <c r="BI115" s="44">
        <f t="shared" si="200"/>
        <v>895000</v>
      </c>
      <c r="BJ115" s="44">
        <f t="shared" si="201"/>
        <v>895000</v>
      </c>
      <c r="BK115" s="44">
        <f t="shared" si="142"/>
        <v>17900</v>
      </c>
      <c r="BL115" s="44">
        <f t="shared" si="202"/>
        <v>17900</v>
      </c>
      <c r="BM115" s="44">
        <f t="shared" si="143"/>
        <v>349050</v>
      </c>
      <c r="BN115" s="44">
        <f t="shared" si="203"/>
        <v>349050</v>
      </c>
      <c r="BO115" s="44">
        <f t="shared" si="144"/>
        <v>545950</v>
      </c>
      <c r="BP115" s="46">
        <f t="shared" si="145"/>
        <v>0</v>
      </c>
      <c r="BQ115" s="47">
        <f t="shared" si="146"/>
        <v>0</v>
      </c>
      <c r="BR115" s="604">
        <f t="shared" si="204"/>
        <v>0</v>
      </c>
      <c r="BS115" s="44">
        <f t="shared" si="205"/>
        <v>0</v>
      </c>
      <c r="BT115" s="44">
        <f t="shared" si="206"/>
        <v>0</v>
      </c>
      <c r="BU115" s="44">
        <f t="shared" si="207"/>
        <v>0</v>
      </c>
      <c r="BV115" s="44">
        <f t="shared" si="208"/>
        <v>895000</v>
      </c>
      <c r="BW115" s="44">
        <f t="shared" si="209"/>
        <v>895000</v>
      </c>
      <c r="BX115" s="44">
        <f t="shared" si="147"/>
        <v>17900</v>
      </c>
      <c r="BY115" s="44">
        <f t="shared" si="210"/>
        <v>17900</v>
      </c>
      <c r="BZ115" s="44">
        <f t="shared" si="148"/>
        <v>331150</v>
      </c>
      <c r="CA115" s="44">
        <f t="shared" si="211"/>
        <v>331150</v>
      </c>
      <c r="CB115" s="44">
        <f t="shared" si="149"/>
        <v>563850</v>
      </c>
      <c r="CC115" s="46">
        <f t="shared" si="150"/>
        <v>0</v>
      </c>
      <c r="CD115" s="47">
        <f t="shared" si="151"/>
        <v>0</v>
      </c>
      <c r="CE115" s="604">
        <f t="shared" si="212"/>
        <v>0</v>
      </c>
      <c r="CF115" s="44">
        <f t="shared" si="213"/>
        <v>0</v>
      </c>
      <c r="CG115" s="44">
        <f t="shared" si="214"/>
        <v>0</v>
      </c>
      <c r="CH115" s="44">
        <f t="shared" si="215"/>
        <v>0</v>
      </c>
      <c r="CI115" s="44">
        <f t="shared" si="216"/>
        <v>895000</v>
      </c>
      <c r="CJ115" s="44">
        <f t="shared" si="217"/>
        <v>895000</v>
      </c>
      <c r="CK115" s="44">
        <f t="shared" si="152"/>
        <v>17900</v>
      </c>
      <c r="CL115" s="44">
        <f t="shared" si="218"/>
        <v>17900</v>
      </c>
      <c r="CM115" s="44">
        <f t="shared" si="153"/>
        <v>313250</v>
      </c>
      <c r="CN115" s="44">
        <f t="shared" si="219"/>
        <v>313250</v>
      </c>
      <c r="CO115" s="44">
        <f t="shared" si="154"/>
        <v>581750</v>
      </c>
      <c r="CP115" s="46">
        <f t="shared" si="155"/>
        <v>0</v>
      </c>
      <c r="CQ115" s="47">
        <f t="shared" si="156"/>
        <v>0</v>
      </c>
      <c r="CR115" s="604">
        <f t="shared" si="220"/>
        <v>0</v>
      </c>
      <c r="CS115" s="44">
        <f t="shared" si="221"/>
        <v>0</v>
      </c>
      <c r="CT115" s="44">
        <f t="shared" si="222"/>
        <v>0</v>
      </c>
      <c r="CU115" s="44">
        <f t="shared" si="223"/>
        <v>0</v>
      </c>
      <c r="CV115" s="44">
        <f t="shared" si="224"/>
        <v>895000</v>
      </c>
      <c r="CW115" s="44">
        <f t="shared" si="225"/>
        <v>895000</v>
      </c>
      <c r="CX115" s="44">
        <f t="shared" si="157"/>
        <v>17900</v>
      </c>
      <c r="CY115" s="44">
        <f t="shared" si="226"/>
        <v>17900</v>
      </c>
      <c r="CZ115" s="44">
        <f t="shared" si="158"/>
        <v>295350</v>
      </c>
      <c r="DA115" s="44">
        <f t="shared" si="227"/>
        <v>295350</v>
      </c>
      <c r="DB115" s="44">
        <f t="shared" si="159"/>
        <v>599650</v>
      </c>
      <c r="DC115" s="46">
        <f t="shared" si="160"/>
        <v>0</v>
      </c>
      <c r="DD115" s="47">
        <f t="shared" si="161"/>
        <v>0</v>
      </c>
      <c r="DE115" s="604">
        <f t="shared" si="228"/>
        <v>0</v>
      </c>
      <c r="DF115" s="44">
        <f t="shared" si="229"/>
        <v>0</v>
      </c>
      <c r="DG115" s="44">
        <f t="shared" si="230"/>
        <v>0</v>
      </c>
      <c r="DH115" s="44">
        <f t="shared" si="231"/>
        <v>0</v>
      </c>
      <c r="DI115" s="44">
        <f t="shared" si="232"/>
        <v>895000</v>
      </c>
      <c r="DJ115" s="44">
        <f t="shared" si="233"/>
        <v>895000</v>
      </c>
      <c r="DK115" s="44">
        <f t="shared" si="162"/>
        <v>17900</v>
      </c>
      <c r="DL115" s="44">
        <f t="shared" si="234"/>
        <v>17900</v>
      </c>
      <c r="DM115" s="44">
        <f t="shared" si="163"/>
        <v>277450</v>
      </c>
      <c r="DN115" s="44">
        <f t="shared" si="235"/>
        <v>277450</v>
      </c>
      <c r="DO115" s="44">
        <f t="shared" si="164"/>
        <v>617550</v>
      </c>
      <c r="DP115" s="46">
        <f t="shared" si="165"/>
        <v>0</v>
      </c>
      <c r="DQ115" s="47">
        <f t="shared" si="166"/>
        <v>0</v>
      </c>
      <c r="DR115" s="604">
        <f t="shared" si="236"/>
        <v>0</v>
      </c>
      <c r="DS115" s="44">
        <f t="shared" si="237"/>
        <v>0</v>
      </c>
      <c r="DT115" s="44">
        <f t="shared" si="238"/>
        <v>0</v>
      </c>
      <c r="DU115" s="44">
        <f t="shared" si="239"/>
        <v>0</v>
      </c>
      <c r="DV115" s="44">
        <f t="shared" si="240"/>
        <v>895000</v>
      </c>
      <c r="DW115" s="44">
        <f t="shared" si="241"/>
        <v>895000</v>
      </c>
      <c r="DX115" s="44">
        <f t="shared" si="167"/>
        <v>17900</v>
      </c>
      <c r="DY115" s="44">
        <f t="shared" si="242"/>
        <v>17900</v>
      </c>
      <c r="DZ115" s="44">
        <f t="shared" si="168"/>
        <v>259550</v>
      </c>
      <c r="EA115" s="44">
        <f t="shared" si="243"/>
        <v>259550</v>
      </c>
      <c r="EB115" s="44">
        <f t="shared" si="169"/>
        <v>635450</v>
      </c>
      <c r="EC115" s="46">
        <f t="shared" si="170"/>
        <v>0</v>
      </c>
      <c r="ED115" s="47">
        <f t="shared" si="171"/>
        <v>0</v>
      </c>
    </row>
    <row r="116" spans="1:134" x14ac:dyDescent="0.35">
      <c r="A116" s="81">
        <v>1985</v>
      </c>
      <c r="B116" s="82" t="s">
        <v>285</v>
      </c>
      <c r="C116" s="82"/>
      <c r="D116" s="83" t="s">
        <v>41</v>
      </c>
      <c r="E116" s="87">
        <v>6000</v>
      </c>
      <c r="F116" s="85">
        <v>31229</v>
      </c>
      <c r="G116" s="86">
        <v>50</v>
      </c>
      <c r="H116" s="179"/>
      <c r="I116" s="180"/>
      <c r="J116" s="181"/>
      <c r="K116" s="42">
        <f t="shared" si="122"/>
        <v>0.02</v>
      </c>
      <c r="L116" s="43">
        <f t="shared" si="123"/>
        <v>120</v>
      </c>
      <c r="M116" s="44">
        <f t="shared" si="124"/>
        <v>2820</v>
      </c>
      <c r="N116" s="44"/>
      <c r="O116" s="44">
        <f t="shared" si="125"/>
        <v>3180</v>
      </c>
      <c r="P116" s="45"/>
      <c r="Q116" s="44">
        <f t="shared" si="126"/>
        <v>6000</v>
      </c>
      <c r="R116" s="604">
        <f t="shared" si="172"/>
        <v>0</v>
      </c>
      <c r="S116" s="44">
        <f t="shared" si="173"/>
        <v>0</v>
      </c>
      <c r="T116" s="44">
        <f t="shared" si="174"/>
        <v>0</v>
      </c>
      <c r="U116" s="44">
        <f t="shared" si="175"/>
        <v>0</v>
      </c>
      <c r="V116" s="44">
        <f t="shared" si="176"/>
        <v>6000</v>
      </c>
      <c r="W116" s="44">
        <f t="shared" si="177"/>
        <v>6000</v>
      </c>
      <c r="X116" s="44">
        <f t="shared" si="127"/>
        <v>120</v>
      </c>
      <c r="Y116" s="44">
        <f t="shared" si="178"/>
        <v>120</v>
      </c>
      <c r="Z116" s="44">
        <f t="shared" si="128"/>
        <v>2700</v>
      </c>
      <c r="AA116" s="44">
        <f t="shared" si="179"/>
        <v>2700</v>
      </c>
      <c r="AB116" s="44">
        <f t="shared" si="129"/>
        <v>3300</v>
      </c>
      <c r="AC116" s="46">
        <f t="shared" si="130"/>
        <v>0</v>
      </c>
      <c r="AD116" s="47">
        <f t="shared" si="131"/>
        <v>0</v>
      </c>
      <c r="AE116" s="604">
        <f t="shared" si="180"/>
        <v>0</v>
      </c>
      <c r="AF116" s="44">
        <f t="shared" si="181"/>
        <v>0</v>
      </c>
      <c r="AG116" s="44">
        <f t="shared" si="182"/>
        <v>0</v>
      </c>
      <c r="AH116" s="44">
        <f t="shared" si="183"/>
        <v>0</v>
      </c>
      <c r="AI116" s="44">
        <f t="shared" si="184"/>
        <v>6000</v>
      </c>
      <c r="AJ116" s="44">
        <f t="shared" si="185"/>
        <v>6000</v>
      </c>
      <c r="AK116" s="44">
        <f t="shared" si="132"/>
        <v>120</v>
      </c>
      <c r="AL116" s="44">
        <f t="shared" si="186"/>
        <v>120</v>
      </c>
      <c r="AM116" s="44">
        <f t="shared" si="133"/>
        <v>2580</v>
      </c>
      <c r="AN116" s="44">
        <f t="shared" si="187"/>
        <v>2580</v>
      </c>
      <c r="AO116" s="44">
        <f t="shared" si="134"/>
        <v>3420</v>
      </c>
      <c r="AP116" s="46">
        <f t="shared" si="135"/>
        <v>0</v>
      </c>
      <c r="AQ116" s="47">
        <f t="shared" si="136"/>
        <v>0</v>
      </c>
      <c r="AR116" s="604">
        <f t="shared" si="188"/>
        <v>0</v>
      </c>
      <c r="AS116" s="44">
        <f t="shared" si="189"/>
        <v>0</v>
      </c>
      <c r="AT116" s="44">
        <f t="shared" si="190"/>
        <v>0</v>
      </c>
      <c r="AU116" s="44">
        <f t="shared" si="191"/>
        <v>0</v>
      </c>
      <c r="AV116" s="44">
        <f t="shared" si="192"/>
        <v>6000</v>
      </c>
      <c r="AW116" s="44">
        <f t="shared" si="193"/>
        <v>6000</v>
      </c>
      <c r="AX116" s="44">
        <f t="shared" si="137"/>
        <v>120</v>
      </c>
      <c r="AY116" s="44">
        <f t="shared" si="194"/>
        <v>120</v>
      </c>
      <c r="AZ116" s="44">
        <f t="shared" si="138"/>
        <v>2460</v>
      </c>
      <c r="BA116" s="44">
        <f t="shared" si="195"/>
        <v>2460</v>
      </c>
      <c r="BB116" s="44">
        <f t="shared" si="139"/>
        <v>3540</v>
      </c>
      <c r="BC116" s="46">
        <f t="shared" si="140"/>
        <v>0</v>
      </c>
      <c r="BD116" s="47">
        <f t="shared" si="141"/>
        <v>0</v>
      </c>
      <c r="BE116" s="604">
        <f t="shared" si="196"/>
        <v>0</v>
      </c>
      <c r="BF116" s="44">
        <f t="shared" si="197"/>
        <v>0</v>
      </c>
      <c r="BG116" s="44">
        <f t="shared" si="198"/>
        <v>0</v>
      </c>
      <c r="BH116" s="44">
        <f t="shared" si="199"/>
        <v>0</v>
      </c>
      <c r="BI116" s="44">
        <f t="shared" si="200"/>
        <v>6000</v>
      </c>
      <c r="BJ116" s="44">
        <f t="shared" si="201"/>
        <v>6000</v>
      </c>
      <c r="BK116" s="44">
        <f t="shared" si="142"/>
        <v>120</v>
      </c>
      <c r="BL116" s="44">
        <f t="shared" si="202"/>
        <v>120</v>
      </c>
      <c r="BM116" s="44">
        <f t="shared" si="143"/>
        <v>2340</v>
      </c>
      <c r="BN116" s="44">
        <f t="shared" si="203"/>
        <v>2340</v>
      </c>
      <c r="BO116" s="44">
        <f t="shared" si="144"/>
        <v>3660</v>
      </c>
      <c r="BP116" s="46">
        <f t="shared" si="145"/>
        <v>0</v>
      </c>
      <c r="BQ116" s="47">
        <f t="shared" si="146"/>
        <v>0</v>
      </c>
      <c r="BR116" s="604">
        <f t="shared" si="204"/>
        <v>0</v>
      </c>
      <c r="BS116" s="44">
        <f t="shared" si="205"/>
        <v>0</v>
      </c>
      <c r="BT116" s="44">
        <f t="shared" si="206"/>
        <v>0</v>
      </c>
      <c r="BU116" s="44">
        <f t="shared" si="207"/>
        <v>0</v>
      </c>
      <c r="BV116" s="44">
        <f t="shared" si="208"/>
        <v>6000</v>
      </c>
      <c r="BW116" s="44">
        <f t="shared" si="209"/>
        <v>6000</v>
      </c>
      <c r="BX116" s="44">
        <f t="shared" si="147"/>
        <v>120</v>
      </c>
      <c r="BY116" s="44">
        <f t="shared" si="210"/>
        <v>120</v>
      </c>
      <c r="BZ116" s="44">
        <f t="shared" si="148"/>
        <v>2220</v>
      </c>
      <c r="CA116" s="44">
        <f t="shared" si="211"/>
        <v>2220</v>
      </c>
      <c r="CB116" s="44">
        <f t="shared" si="149"/>
        <v>3780</v>
      </c>
      <c r="CC116" s="46">
        <f t="shared" si="150"/>
        <v>0</v>
      </c>
      <c r="CD116" s="47">
        <f t="shared" si="151"/>
        <v>0</v>
      </c>
      <c r="CE116" s="604">
        <f t="shared" si="212"/>
        <v>0</v>
      </c>
      <c r="CF116" s="44">
        <f t="shared" si="213"/>
        <v>0</v>
      </c>
      <c r="CG116" s="44">
        <f t="shared" si="214"/>
        <v>0</v>
      </c>
      <c r="CH116" s="44">
        <f t="shared" si="215"/>
        <v>0</v>
      </c>
      <c r="CI116" s="44">
        <f t="shared" si="216"/>
        <v>6000</v>
      </c>
      <c r="CJ116" s="44">
        <f t="shared" si="217"/>
        <v>6000</v>
      </c>
      <c r="CK116" s="44">
        <f t="shared" si="152"/>
        <v>120</v>
      </c>
      <c r="CL116" s="44">
        <f t="shared" si="218"/>
        <v>120</v>
      </c>
      <c r="CM116" s="44">
        <f t="shared" si="153"/>
        <v>2100</v>
      </c>
      <c r="CN116" s="44">
        <f t="shared" si="219"/>
        <v>2100</v>
      </c>
      <c r="CO116" s="44">
        <f t="shared" si="154"/>
        <v>3900</v>
      </c>
      <c r="CP116" s="46">
        <f t="shared" si="155"/>
        <v>0</v>
      </c>
      <c r="CQ116" s="47">
        <f t="shared" si="156"/>
        <v>0</v>
      </c>
      <c r="CR116" s="604">
        <f t="shared" si="220"/>
        <v>0</v>
      </c>
      <c r="CS116" s="44">
        <f t="shared" si="221"/>
        <v>0</v>
      </c>
      <c r="CT116" s="44">
        <f t="shared" si="222"/>
        <v>0</v>
      </c>
      <c r="CU116" s="44">
        <f t="shared" si="223"/>
        <v>0</v>
      </c>
      <c r="CV116" s="44">
        <f t="shared" si="224"/>
        <v>6000</v>
      </c>
      <c r="CW116" s="44">
        <f t="shared" si="225"/>
        <v>6000</v>
      </c>
      <c r="CX116" s="44">
        <f t="shared" si="157"/>
        <v>120</v>
      </c>
      <c r="CY116" s="44">
        <f t="shared" si="226"/>
        <v>120</v>
      </c>
      <c r="CZ116" s="44">
        <f t="shared" si="158"/>
        <v>1980</v>
      </c>
      <c r="DA116" s="44">
        <f t="shared" si="227"/>
        <v>1980</v>
      </c>
      <c r="DB116" s="44">
        <f t="shared" si="159"/>
        <v>4020</v>
      </c>
      <c r="DC116" s="46">
        <f t="shared" si="160"/>
        <v>0</v>
      </c>
      <c r="DD116" s="47">
        <f t="shared" si="161"/>
        <v>0</v>
      </c>
      <c r="DE116" s="604">
        <f t="shared" si="228"/>
        <v>0</v>
      </c>
      <c r="DF116" s="44">
        <f t="shared" si="229"/>
        <v>0</v>
      </c>
      <c r="DG116" s="44">
        <f t="shared" si="230"/>
        <v>0</v>
      </c>
      <c r="DH116" s="44">
        <f t="shared" si="231"/>
        <v>0</v>
      </c>
      <c r="DI116" s="44">
        <f t="shared" si="232"/>
        <v>6000</v>
      </c>
      <c r="DJ116" s="44">
        <f t="shared" si="233"/>
        <v>6000</v>
      </c>
      <c r="DK116" s="44">
        <f t="shared" si="162"/>
        <v>120</v>
      </c>
      <c r="DL116" s="44">
        <f t="shared" si="234"/>
        <v>120</v>
      </c>
      <c r="DM116" s="44">
        <f t="shared" si="163"/>
        <v>1860</v>
      </c>
      <c r="DN116" s="44">
        <f t="shared" si="235"/>
        <v>1860</v>
      </c>
      <c r="DO116" s="44">
        <f t="shared" si="164"/>
        <v>4140</v>
      </c>
      <c r="DP116" s="46">
        <f t="shared" si="165"/>
        <v>0</v>
      </c>
      <c r="DQ116" s="47">
        <f t="shared" si="166"/>
        <v>0</v>
      </c>
      <c r="DR116" s="604">
        <f t="shared" si="236"/>
        <v>0</v>
      </c>
      <c r="DS116" s="44">
        <f t="shared" si="237"/>
        <v>0</v>
      </c>
      <c r="DT116" s="44">
        <f t="shared" si="238"/>
        <v>0</v>
      </c>
      <c r="DU116" s="44">
        <f t="shared" si="239"/>
        <v>0</v>
      </c>
      <c r="DV116" s="44">
        <f t="shared" si="240"/>
        <v>6000</v>
      </c>
      <c r="DW116" s="44">
        <f t="shared" si="241"/>
        <v>6000</v>
      </c>
      <c r="DX116" s="44">
        <f t="shared" si="167"/>
        <v>120</v>
      </c>
      <c r="DY116" s="44">
        <f t="shared" si="242"/>
        <v>120</v>
      </c>
      <c r="DZ116" s="44">
        <f t="shared" si="168"/>
        <v>1740</v>
      </c>
      <c r="EA116" s="44">
        <f t="shared" si="243"/>
        <v>1740</v>
      </c>
      <c r="EB116" s="44">
        <f t="shared" si="169"/>
        <v>4260</v>
      </c>
      <c r="EC116" s="46">
        <f t="shared" si="170"/>
        <v>0</v>
      </c>
      <c r="ED116" s="47">
        <f t="shared" si="171"/>
        <v>0</v>
      </c>
    </row>
    <row r="117" spans="1:134" x14ac:dyDescent="0.35">
      <c r="A117" s="81">
        <v>1985</v>
      </c>
      <c r="B117" s="82" t="s">
        <v>286</v>
      </c>
      <c r="C117" s="82"/>
      <c r="D117" s="83" t="s">
        <v>41</v>
      </c>
      <c r="E117" s="87">
        <v>1000</v>
      </c>
      <c r="F117" s="85">
        <v>31229</v>
      </c>
      <c r="G117" s="86">
        <v>12.5</v>
      </c>
      <c r="H117" s="179"/>
      <c r="I117" s="180"/>
      <c r="J117" s="181"/>
      <c r="K117" s="42">
        <f t="shared" si="122"/>
        <v>0.08</v>
      </c>
      <c r="L117" s="43">
        <f t="shared" si="123"/>
        <v>80</v>
      </c>
      <c r="M117" s="44">
        <f t="shared" si="124"/>
        <v>0</v>
      </c>
      <c r="N117" s="44"/>
      <c r="O117" s="44">
        <f t="shared" si="125"/>
        <v>1000</v>
      </c>
      <c r="P117" s="45"/>
      <c r="Q117" s="44">
        <f t="shared" si="126"/>
        <v>1000</v>
      </c>
      <c r="R117" s="604">
        <f t="shared" si="172"/>
        <v>0</v>
      </c>
      <c r="S117" s="44">
        <f t="shared" si="173"/>
        <v>0</v>
      </c>
      <c r="T117" s="44">
        <f t="shared" si="174"/>
        <v>0</v>
      </c>
      <c r="U117" s="44">
        <f t="shared" si="175"/>
        <v>0</v>
      </c>
      <c r="V117" s="44">
        <f t="shared" si="176"/>
        <v>1000</v>
      </c>
      <c r="W117" s="44">
        <f t="shared" si="177"/>
        <v>0</v>
      </c>
      <c r="X117" s="44">
        <f t="shared" si="127"/>
        <v>0</v>
      </c>
      <c r="Y117" s="44">
        <f t="shared" si="178"/>
        <v>0</v>
      </c>
      <c r="Z117" s="44">
        <f t="shared" si="128"/>
        <v>0</v>
      </c>
      <c r="AA117" s="44">
        <f t="shared" si="179"/>
        <v>0</v>
      </c>
      <c r="AB117" s="44">
        <f t="shared" si="129"/>
        <v>1000</v>
      </c>
      <c r="AC117" s="46">
        <f t="shared" si="130"/>
        <v>0</v>
      </c>
      <c r="AD117" s="47">
        <f t="shared" si="131"/>
        <v>0</v>
      </c>
      <c r="AE117" s="604">
        <f t="shared" si="180"/>
        <v>0</v>
      </c>
      <c r="AF117" s="44">
        <f t="shared" si="181"/>
        <v>0</v>
      </c>
      <c r="AG117" s="44">
        <f t="shared" si="182"/>
        <v>0</v>
      </c>
      <c r="AH117" s="44">
        <f t="shared" si="183"/>
        <v>0</v>
      </c>
      <c r="AI117" s="44">
        <f t="shared" si="184"/>
        <v>1000</v>
      </c>
      <c r="AJ117" s="44">
        <f t="shared" si="185"/>
        <v>0</v>
      </c>
      <c r="AK117" s="44">
        <f t="shared" si="132"/>
        <v>0</v>
      </c>
      <c r="AL117" s="44">
        <f t="shared" si="186"/>
        <v>0</v>
      </c>
      <c r="AM117" s="44">
        <f t="shared" si="133"/>
        <v>0</v>
      </c>
      <c r="AN117" s="44">
        <f t="shared" si="187"/>
        <v>0</v>
      </c>
      <c r="AO117" s="44">
        <f t="shared" si="134"/>
        <v>1000</v>
      </c>
      <c r="AP117" s="46">
        <f t="shared" si="135"/>
        <v>0</v>
      </c>
      <c r="AQ117" s="47">
        <f t="shared" si="136"/>
        <v>0</v>
      </c>
      <c r="AR117" s="604">
        <f t="shared" si="188"/>
        <v>0</v>
      </c>
      <c r="AS117" s="44">
        <f t="shared" si="189"/>
        <v>0</v>
      </c>
      <c r="AT117" s="44">
        <f t="shared" si="190"/>
        <v>0</v>
      </c>
      <c r="AU117" s="44">
        <f t="shared" si="191"/>
        <v>0</v>
      </c>
      <c r="AV117" s="44">
        <f t="shared" si="192"/>
        <v>1000</v>
      </c>
      <c r="AW117" s="44">
        <f t="shared" si="193"/>
        <v>0</v>
      </c>
      <c r="AX117" s="44">
        <f t="shared" si="137"/>
        <v>0</v>
      </c>
      <c r="AY117" s="44">
        <f t="shared" si="194"/>
        <v>0</v>
      </c>
      <c r="AZ117" s="44">
        <f t="shared" si="138"/>
        <v>0</v>
      </c>
      <c r="BA117" s="44">
        <f t="shared" si="195"/>
        <v>0</v>
      </c>
      <c r="BB117" s="44">
        <f t="shared" si="139"/>
        <v>1000</v>
      </c>
      <c r="BC117" s="46">
        <f t="shared" si="140"/>
        <v>0</v>
      </c>
      <c r="BD117" s="47">
        <f t="shared" si="141"/>
        <v>0</v>
      </c>
      <c r="BE117" s="604">
        <f t="shared" si="196"/>
        <v>0</v>
      </c>
      <c r="BF117" s="44">
        <f t="shared" si="197"/>
        <v>0</v>
      </c>
      <c r="BG117" s="44">
        <f t="shared" si="198"/>
        <v>0</v>
      </c>
      <c r="BH117" s="44">
        <f t="shared" si="199"/>
        <v>0</v>
      </c>
      <c r="BI117" s="44">
        <f t="shared" si="200"/>
        <v>1000</v>
      </c>
      <c r="BJ117" s="44">
        <f t="shared" si="201"/>
        <v>0</v>
      </c>
      <c r="BK117" s="44">
        <f t="shared" si="142"/>
        <v>0</v>
      </c>
      <c r="BL117" s="44">
        <f t="shared" si="202"/>
        <v>0</v>
      </c>
      <c r="BM117" s="44">
        <f t="shared" si="143"/>
        <v>0</v>
      </c>
      <c r="BN117" s="44">
        <f t="shared" si="203"/>
        <v>0</v>
      </c>
      <c r="BO117" s="44">
        <f t="shared" si="144"/>
        <v>1000</v>
      </c>
      <c r="BP117" s="46">
        <f t="shared" si="145"/>
        <v>0</v>
      </c>
      <c r="BQ117" s="47">
        <f t="shared" si="146"/>
        <v>0</v>
      </c>
      <c r="BR117" s="604">
        <f t="shared" si="204"/>
        <v>0</v>
      </c>
      <c r="BS117" s="44">
        <f t="shared" si="205"/>
        <v>0</v>
      </c>
      <c r="BT117" s="44">
        <f t="shared" si="206"/>
        <v>0</v>
      </c>
      <c r="BU117" s="44">
        <f t="shared" si="207"/>
        <v>0</v>
      </c>
      <c r="BV117" s="44">
        <f t="shared" si="208"/>
        <v>1000</v>
      </c>
      <c r="BW117" s="44">
        <f t="shared" si="209"/>
        <v>0</v>
      </c>
      <c r="BX117" s="44">
        <f t="shared" si="147"/>
        <v>0</v>
      </c>
      <c r="BY117" s="44">
        <f t="shared" si="210"/>
        <v>0</v>
      </c>
      <c r="BZ117" s="44">
        <f t="shared" si="148"/>
        <v>0</v>
      </c>
      <c r="CA117" s="44">
        <f t="shared" si="211"/>
        <v>0</v>
      </c>
      <c r="CB117" s="44">
        <f t="shared" si="149"/>
        <v>1000</v>
      </c>
      <c r="CC117" s="46">
        <f t="shared" si="150"/>
        <v>0</v>
      </c>
      <c r="CD117" s="47">
        <f t="shared" si="151"/>
        <v>0</v>
      </c>
      <c r="CE117" s="604">
        <f t="shared" si="212"/>
        <v>0</v>
      </c>
      <c r="CF117" s="44">
        <f t="shared" si="213"/>
        <v>0</v>
      </c>
      <c r="CG117" s="44">
        <f t="shared" si="214"/>
        <v>0</v>
      </c>
      <c r="CH117" s="44">
        <f t="shared" si="215"/>
        <v>0</v>
      </c>
      <c r="CI117" s="44">
        <f t="shared" si="216"/>
        <v>1000</v>
      </c>
      <c r="CJ117" s="44">
        <f t="shared" si="217"/>
        <v>0</v>
      </c>
      <c r="CK117" s="44">
        <f t="shared" si="152"/>
        <v>0</v>
      </c>
      <c r="CL117" s="44">
        <f t="shared" si="218"/>
        <v>0</v>
      </c>
      <c r="CM117" s="44">
        <f t="shared" si="153"/>
        <v>0</v>
      </c>
      <c r="CN117" s="44">
        <f t="shared" si="219"/>
        <v>0</v>
      </c>
      <c r="CO117" s="44">
        <f t="shared" si="154"/>
        <v>1000</v>
      </c>
      <c r="CP117" s="46">
        <f t="shared" si="155"/>
        <v>0</v>
      </c>
      <c r="CQ117" s="47">
        <f t="shared" si="156"/>
        <v>0</v>
      </c>
      <c r="CR117" s="604">
        <f t="shared" si="220"/>
        <v>0</v>
      </c>
      <c r="CS117" s="44">
        <f t="shared" si="221"/>
        <v>0</v>
      </c>
      <c r="CT117" s="44">
        <f t="shared" si="222"/>
        <v>0</v>
      </c>
      <c r="CU117" s="44">
        <f t="shared" si="223"/>
        <v>0</v>
      </c>
      <c r="CV117" s="44">
        <f t="shared" si="224"/>
        <v>1000</v>
      </c>
      <c r="CW117" s="44">
        <f t="shared" si="225"/>
        <v>0</v>
      </c>
      <c r="CX117" s="44">
        <f t="shared" si="157"/>
        <v>0</v>
      </c>
      <c r="CY117" s="44">
        <f t="shared" si="226"/>
        <v>0</v>
      </c>
      <c r="CZ117" s="44">
        <f t="shared" si="158"/>
        <v>0</v>
      </c>
      <c r="DA117" s="44">
        <f t="shared" si="227"/>
        <v>0</v>
      </c>
      <c r="DB117" s="44">
        <f t="shared" si="159"/>
        <v>1000</v>
      </c>
      <c r="DC117" s="46">
        <f t="shared" si="160"/>
        <v>0</v>
      </c>
      <c r="DD117" s="47">
        <f t="shared" si="161"/>
        <v>0</v>
      </c>
      <c r="DE117" s="604">
        <f t="shared" si="228"/>
        <v>0</v>
      </c>
      <c r="DF117" s="44">
        <f t="shared" si="229"/>
        <v>0</v>
      </c>
      <c r="DG117" s="44">
        <f t="shared" si="230"/>
        <v>0</v>
      </c>
      <c r="DH117" s="44">
        <f t="shared" si="231"/>
        <v>0</v>
      </c>
      <c r="DI117" s="44">
        <f t="shared" si="232"/>
        <v>1000</v>
      </c>
      <c r="DJ117" s="44">
        <f t="shared" si="233"/>
        <v>0</v>
      </c>
      <c r="DK117" s="44">
        <f t="shared" si="162"/>
        <v>0</v>
      </c>
      <c r="DL117" s="44">
        <f t="shared" si="234"/>
        <v>0</v>
      </c>
      <c r="DM117" s="44">
        <f t="shared" si="163"/>
        <v>0</v>
      </c>
      <c r="DN117" s="44">
        <f t="shared" si="235"/>
        <v>0</v>
      </c>
      <c r="DO117" s="44">
        <f t="shared" si="164"/>
        <v>1000</v>
      </c>
      <c r="DP117" s="46">
        <f t="shared" si="165"/>
        <v>0</v>
      </c>
      <c r="DQ117" s="47">
        <f t="shared" si="166"/>
        <v>0</v>
      </c>
      <c r="DR117" s="604">
        <f t="shared" si="236"/>
        <v>0</v>
      </c>
      <c r="DS117" s="44">
        <f t="shared" si="237"/>
        <v>0</v>
      </c>
      <c r="DT117" s="44">
        <f t="shared" si="238"/>
        <v>0</v>
      </c>
      <c r="DU117" s="44">
        <f t="shared" si="239"/>
        <v>0</v>
      </c>
      <c r="DV117" s="44">
        <f t="shared" si="240"/>
        <v>1000</v>
      </c>
      <c r="DW117" s="44">
        <f t="shared" si="241"/>
        <v>0</v>
      </c>
      <c r="DX117" s="44">
        <f t="shared" si="167"/>
        <v>0</v>
      </c>
      <c r="DY117" s="44">
        <f t="shared" si="242"/>
        <v>0</v>
      </c>
      <c r="DZ117" s="44">
        <f t="shared" si="168"/>
        <v>0</v>
      </c>
      <c r="EA117" s="44">
        <f t="shared" si="243"/>
        <v>0</v>
      </c>
      <c r="EB117" s="44">
        <f t="shared" si="169"/>
        <v>1000</v>
      </c>
      <c r="EC117" s="46">
        <f t="shared" si="170"/>
        <v>0</v>
      </c>
      <c r="ED117" s="47">
        <f t="shared" si="171"/>
        <v>0</v>
      </c>
    </row>
    <row r="118" spans="1:134" x14ac:dyDescent="0.35">
      <c r="A118" s="81">
        <v>1985</v>
      </c>
      <c r="B118" s="82" t="s">
        <v>287</v>
      </c>
      <c r="C118" s="82"/>
      <c r="D118" s="83" t="s">
        <v>41</v>
      </c>
      <c r="E118" s="87">
        <v>39000</v>
      </c>
      <c r="F118" s="85">
        <v>31229</v>
      </c>
      <c r="G118" s="86">
        <v>50</v>
      </c>
      <c r="H118" s="179"/>
      <c r="I118" s="180"/>
      <c r="J118" s="181"/>
      <c r="K118" s="42">
        <f t="shared" si="122"/>
        <v>0.02</v>
      </c>
      <c r="L118" s="43">
        <f t="shared" si="123"/>
        <v>780</v>
      </c>
      <c r="M118" s="44">
        <f t="shared" si="124"/>
        <v>18330</v>
      </c>
      <c r="N118" s="44"/>
      <c r="O118" s="44">
        <f t="shared" si="125"/>
        <v>20670</v>
      </c>
      <c r="P118" s="45"/>
      <c r="Q118" s="44">
        <f t="shared" si="126"/>
        <v>39000</v>
      </c>
      <c r="R118" s="604">
        <f t="shared" si="172"/>
        <v>0</v>
      </c>
      <c r="S118" s="44">
        <f t="shared" si="173"/>
        <v>0</v>
      </c>
      <c r="T118" s="44">
        <f t="shared" si="174"/>
        <v>0</v>
      </c>
      <c r="U118" s="44">
        <f t="shared" si="175"/>
        <v>0</v>
      </c>
      <c r="V118" s="44">
        <f t="shared" si="176"/>
        <v>39000</v>
      </c>
      <c r="W118" s="44">
        <f t="shared" si="177"/>
        <v>39000</v>
      </c>
      <c r="X118" s="44">
        <f t="shared" si="127"/>
        <v>780</v>
      </c>
      <c r="Y118" s="44">
        <f t="shared" si="178"/>
        <v>780</v>
      </c>
      <c r="Z118" s="44">
        <f t="shared" si="128"/>
        <v>17550</v>
      </c>
      <c r="AA118" s="44">
        <f t="shared" si="179"/>
        <v>17550</v>
      </c>
      <c r="AB118" s="44">
        <f t="shared" si="129"/>
        <v>21450</v>
      </c>
      <c r="AC118" s="46">
        <f t="shared" si="130"/>
        <v>0</v>
      </c>
      <c r="AD118" s="47">
        <f t="shared" si="131"/>
        <v>0</v>
      </c>
      <c r="AE118" s="604">
        <f t="shared" si="180"/>
        <v>0</v>
      </c>
      <c r="AF118" s="44">
        <f t="shared" si="181"/>
        <v>0</v>
      </c>
      <c r="AG118" s="44">
        <f t="shared" si="182"/>
        <v>0</v>
      </c>
      <c r="AH118" s="44">
        <f t="shared" si="183"/>
        <v>0</v>
      </c>
      <c r="AI118" s="44">
        <f t="shared" si="184"/>
        <v>39000</v>
      </c>
      <c r="AJ118" s="44">
        <f t="shared" si="185"/>
        <v>39000</v>
      </c>
      <c r="AK118" s="44">
        <f t="shared" si="132"/>
        <v>780</v>
      </c>
      <c r="AL118" s="44">
        <f t="shared" si="186"/>
        <v>780</v>
      </c>
      <c r="AM118" s="44">
        <f t="shared" si="133"/>
        <v>16770</v>
      </c>
      <c r="AN118" s="44">
        <f t="shared" si="187"/>
        <v>16770</v>
      </c>
      <c r="AO118" s="44">
        <f t="shared" si="134"/>
        <v>22230</v>
      </c>
      <c r="AP118" s="46">
        <f t="shared" si="135"/>
        <v>0</v>
      </c>
      <c r="AQ118" s="47">
        <f t="shared" si="136"/>
        <v>0</v>
      </c>
      <c r="AR118" s="604">
        <f t="shared" si="188"/>
        <v>0</v>
      </c>
      <c r="AS118" s="44">
        <f t="shared" si="189"/>
        <v>0</v>
      </c>
      <c r="AT118" s="44">
        <f t="shared" si="190"/>
        <v>0</v>
      </c>
      <c r="AU118" s="44">
        <f t="shared" si="191"/>
        <v>0</v>
      </c>
      <c r="AV118" s="44">
        <f t="shared" si="192"/>
        <v>39000</v>
      </c>
      <c r="AW118" s="44">
        <f t="shared" si="193"/>
        <v>39000</v>
      </c>
      <c r="AX118" s="44">
        <f t="shared" si="137"/>
        <v>780</v>
      </c>
      <c r="AY118" s="44">
        <f t="shared" si="194"/>
        <v>780</v>
      </c>
      <c r="AZ118" s="44">
        <f t="shared" si="138"/>
        <v>15990</v>
      </c>
      <c r="BA118" s="44">
        <f t="shared" si="195"/>
        <v>15990</v>
      </c>
      <c r="BB118" s="44">
        <f t="shared" si="139"/>
        <v>23010</v>
      </c>
      <c r="BC118" s="46">
        <f t="shared" si="140"/>
        <v>0</v>
      </c>
      <c r="BD118" s="47">
        <f t="shared" si="141"/>
        <v>0</v>
      </c>
      <c r="BE118" s="604">
        <f t="shared" si="196"/>
        <v>0</v>
      </c>
      <c r="BF118" s="44">
        <f t="shared" si="197"/>
        <v>0</v>
      </c>
      <c r="BG118" s="44">
        <f t="shared" si="198"/>
        <v>0</v>
      </c>
      <c r="BH118" s="44">
        <f t="shared" si="199"/>
        <v>0</v>
      </c>
      <c r="BI118" s="44">
        <f t="shared" si="200"/>
        <v>39000</v>
      </c>
      <c r="BJ118" s="44">
        <f t="shared" si="201"/>
        <v>39000</v>
      </c>
      <c r="BK118" s="44">
        <f t="shared" si="142"/>
        <v>780</v>
      </c>
      <c r="BL118" s="44">
        <f t="shared" si="202"/>
        <v>780</v>
      </c>
      <c r="BM118" s="44">
        <f t="shared" si="143"/>
        <v>15210</v>
      </c>
      <c r="BN118" s="44">
        <f t="shared" si="203"/>
        <v>15210</v>
      </c>
      <c r="BO118" s="44">
        <f t="shared" si="144"/>
        <v>23790</v>
      </c>
      <c r="BP118" s="46">
        <f t="shared" si="145"/>
        <v>0</v>
      </c>
      <c r="BQ118" s="47">
        <f t="shared" si="146"/>
        <v>0</v>
      </c>
      <c r="BR118" s="604">
        <f t="shared" si="204"/>
        <v>0</v>
      </c>
      <c r="BS118" s="44">
        <f t="shared" si="205"/>
        <v>0</v>
      </c>
      <c r="BT118" s="44">
        <f t="shared" si="206"/>
        <v>0</v>
      </c>
      <c r="BU118" s="44">
        <f t="shared" si="207"/>
        <v>0</v>
      </c>
      <c r="BV118" s="44">
        <f t="shared" si="208"/>
        <v>39000</v>
      </c>
      <c r="BW118" s="44">
        <f t="shared" si="209"/>
        <v>39000</v>
      </c>
      <c r="BX118" s="44">
        <f t="shared" si="147"/>
        <v>780</v>
      </c>
      <c r="BY118" s="44">
        <f t="shared" si="210"/>
        <v>780</v>
      </c>
      <c r="BZ118" s="44">
        <f t="shared" si="148"/>
        <v>14430</v>
      </c>
      <c r="CA118" s="44">
        <f t="shared" si="211"/>
        <v>14430</v>
      </c>
      <c r="CB118" s="44">
        <f t="shared" si="149"/>
        <v>24570</v>
      </c>
      <c r="CC118" s="46">
        <f t="shared" si="150"/>
        <v>0</v>
      </c>
      <c r="CD118" s="47">
        <f t="shared" si="151"/>
        <v>0</v>
      </c>
      <c r="CE118" s="604">
        <f t="shared" si="212"/>
        <v>0</v>
      </c>
      <c r="CF118" s="44">
        <f t="shared" si="213"/>
        <v>0</v>
      </c>
      <c r="CG118" s="44">
        <f t="shared" si="214"/>
        <v>0</v>
      </c>
      <c r="CH118" s="44">
        <f t="shared" si="215"/>
        <v>0</v>
      </c>
      <c r="CI118" s="44">
        <f t="shared" si="216"/>
        <v>39000</v>
      </c>
      <c r="CJ118" s="44">
        <f t="shared" si="217"/>
        <v>39000</v>
      </c>
      <c r="CK118" s="44">
        <f t="shared" si="152"/>
        <v>780</v>
      </c>
      <c r="CL118" s="44">
        <f t="shared" si="218"/>
        <v>780</v>
      </c>
      <c r="CM118" s="44">
        <f t="shared" si="153"/>
        <v>13650</v>
      </c>
      <c r="CN118" s="44">
        <f t="shared" si="219"/>
        <v>13650</v>
      </c>
      <c r="CO118" s="44">
        <f t="shared" si="154"/>
        <v>25350</v>
      </c>
      <c r="CP118" s="46">
        <f t="shared" si="155"/>
        <v>0</v>
      </c>
      <c r="CQ118" s="47">
        <f t="shared" si="156"/>
        <v>0</v>
      </c>
      <c r="CR118" s="604">
        <f t="shared" si="220"/>
        <v>0</v>
      </c>
      <c r="CS118" s="44">
        <f t="shared" si="221"/>
        <v>0</v>
      </c>
      <c r="CT118" s="44">
        <f t="shared" si="222"/>
        <v>0</v>
      </c>
      <c r="CU118" s="44">
        <f t="shared" si="223"/>
        <v>0</v>
      </c>
      <c r="CV118" s="44">
        <f t="shared" si="224"/>
        <v>39000</v>
      </c>
      <c r="CW118" s="44">
        <f t="shared" si="225"/>
        <v>39000</v>
      </c>
      <c r="CX118" s="44">
        <f t="shared" si="157"/>
        <v>780</v>
      </c>
      <c r="CY118" s="44">
        <f t="shared" si="226"/>
        <v>780</v>
      </c>
      <c r="CZ118" s="44">
        <f t="shared" si="158"/>
        <v>12870</v>
      </c>
      <c r="DA118" s="44">
        <f t="shared" si="227"/>
        <v>12870</v>
      </c>
      <c r="DB118" s="44">
        <f t="shared" si="159"/>
        <v>26130</v>
      </c>
      <c r="DC118" s="46">
        <f t="shared" si="160"/>
        <v>0</v>
      </c>
      <c r="DD118" s="47">
        <f t="shared" si="161"/>
        <v>0</v>
      </c>
      <c r="DE118" s="604">
        <f t="shared" si="228"/>
        <v>0</v>
      </c>
      <c r="DF118" s="44">
        <f t="shared" si="229"/>
        <v>0</v>
      </c>
      <c r="DG118" s="44">
        <f t="shared" si="230"/>
        <v>0</v>
      </c>
      <c r="DH118" s="44">
        <f t="shared" si="231"/>
        <v>0</v>
      </c>
      <c r="DI118" s="44">
        <f t="shared" si="232"/>
        <v>39000</v>
      </c>
      <c r="DJ118" s="44">
        <f t="shared" si="233"/>
        <v>39000</v>
      </c>
      <c r="DK118" s="44">
        <f t="shared" si="162"/>
        <v>780</v>
      </c>
      <c r="DL118" s="44">
        <f t="shared" si="234"/>
        <v>780</v>
      </c>
      <c r="DM118" s="44">
        <f t="shared" si="163"/>
        <v>12090</v>
      </c>
      <c r="DN118" s="44">
        <f t="shared" si="235"/>
        <v>12090</v>
      </c>
      <c r="DO118" s="44">
        <f t="shared" si="164"/>
        <v>26910</v>
      </c>
      <c r="DP118" s="46">
        <f t="shared" si="165"/>
        <v>0</v>
      </c>
      <c r="DQ118" s="47">
        <f t="shared" si="166"/>
        <v>0</v>
      </c>
      <c r="DR118" s="604">
        <f t="shared" si="236"/>
        <v>0</v>
      </c>
      <c r="DS118" s="44">
        <f t="shared" si="237"/>
        <v>0</v>
      </c>
      <c r="DT118" s="44">
        <f t="shared" si="238"/>
        <v>0</v>
      </c>
      <c r="DU118" s="44">
        <f t="shared" si="239"/>
        <v>0</v>
      </c>
      <c r="DV118" s="44">
        <f t="shared" si="240"/>
        <v>39000</v>
      </c>
      <c r="DW118" s="44">
        <f t="shared" si="241"/>
        <v>39000</v>
      </c>
      <c r="DX118" s="44">
        <f t="shared" si="167"/>
        <v>780</v>
      </c>
      <c r="DY118" s="44">
        <f t="shared" si="242"/>
        <v>780</v>
      </c>
      <c r="DZ118" s="44">
        <f t="shared" si="168"/>
        <v>11310</v>
      </c>
      <c r="EA118" s="44">
        <f t="shared" si="243"/>
        <v>11310</v>
      </c>
      <c r="EB118" s="44">
        <f t="shared" si="169"/>
        <v>27690</v>
      </c>
      <c r="EC118" s="46">
        <f t="shared" si="170"/>
        <v>0</v>
      </c>
      <c r="ED118" s="47">
        <f t="shared" si="171"/>
        <v>0</v>
      </c>
    </row>
    <row r="119" spans="1:134" x14ac:dyDescent="0.35">
      <c r="A119" s="81">
        <v>1985</v>
      </c>
      <c r="B119" s="82" t="s">
        <v>288</v>
      </c>
      <c r="C119" s="82"/>
      <c r="D119" s="83" t="s">
        <v>41</v>
      </c>
      <c r="E119" s="87">
        <v>3000</v>
      </c>
      <c r="F119" s="85">
        <v>31229</v>
      </c>
      <c r="G119" s="86">
        <v>50</v>
      </c>
      <c r="H119" s="179"/>
      <c r="I119" s="180"/>
      <c r="J119" s="181"/>
      <c r="K119" s="42">
        <f t="shared" si="122"/>
        <v>0.02</v>
      </c>
      <c r="L119" s="43">
        <f t="shared" si="123"/>
        <v>60</v>
      </c>
      <c r="M119" s="44">
        <f t="shared" si="124"/>
        <v>1410</v>
      </c>
      <c r="N119" s="44"/>
      <c r="O119" s="44">
        <f t="shared" si="125"/>
        <v>1590</v>
      </c>
      <c r="P119" s="45"/>
      <c r="Q119" s="44">
        <f t="shared" si="126"/>
        <v>3000</v>
      </c>
      <c r="R119" s="604">
        <f t="shared" si="172"/>
        <v>0</v>
      </c>
      <c r="S119" s="44">
        <f t="shared" si="173"/>
        <v>0</v>
      </c>
      <c r="T119" s="44">
        <f t="shared" si="174"/>
        <v>0</v>
      </c>
      <c r="U119" s="44">
        <f t="shared" si="175"/>
        <v>0</v>
      </c>
      <c r="V119" s="44">
        <f t="shared" si="176"/>
        <v>3000</v>
      </c>
      <c r="W119" s="44">
        <f t="shared" si="177"/>
        <v>3000</v>
      </c>
      <c r="X119" s="44">
        <f t="shared" si="127"/>
        <v>60</v>
      </c>
      <c r="Y119" s="44">
        <f t="shared" si="178"/>
        <v>60</v>
      </c>
      <c r="Z119" s="44">
        <f t="shared" si="128"/>
        <v>1350</v>
      </c>
      <c r="AA119" s="44">
        <f t="shared" si="179"/>
        <v>1350</v>
      </c>
      <c r="AB119" s="44">
        <f t="shared" si="129"/>
        <v>1650</v>
      </c>
      <c r="AC119" s="46">
        <f t="shared" si="130"/>
        <v>0</v>
      </c>
      <c r="AD119" s="47">
        <f t="shared" si="131"/>
        <v>0</v>
      </c>
      <c r="AE119" s="604">
        <f t="shared" si="180"/>
        <v>0</v>
      </c>
      <c r="AF119" s="44">
        <f t="shared" si="181"/>
        <v>0</v>
      </c>
      <c r="AG119" s="44">
        <f t="shared" si="182"/>
        <v>0</v>
      </c>
      <c r="AH119" s="44">
        <f t="shared" si="183"/>
        <v>0</v>
      </c>
      <c r="AI119" s="44">
        <f t="shared" si="184"/>
        <v>3000</v>
      </c>
      <c r="AJ119" s="44">
        <f t="shared" si="185"/>
        <v>3000</v>
      </c>
      <c r="AK119" s="44">
        <f t="shared" si="132"/>
        <v>60</v>
      </c>
      <c r="AL119" s="44">
        <f t="shared" si="186"/>
        <v>60</v>
      </c>
      <c r="AM119" s="44">
        <f t="shared" si="133"/>
        <v>1290</v>
      </c>
      <c r="AN119" s="44">
        <f t="shared" si="187"/>
        <v>1290</v>
      </c>
      <c r="AO119" s="44">
        <f t="shared" si="134"/>
        <v>1710</v>
      </c>
      <c r="AP119" s="46">
        <f t="shared" si="135"/>
        <v>0</v>
      </c>
      <c r="AQ119" s="47">
        <f t="shared" si="136"/>
        <v>0</v>
      </c>
      <c r="AR119" s="604">
        <f t="shared" si="188"/>
        <v>0</v>
      </c>
      <c r="AS119" s="44">
        <f t="shared" si="189"/>
        <v>0</v>
      </c>
      <c r="AT119" s="44">
        <f t="shared" si="190"/>
        <v>0</v>
      </c>
      <c r="AU119" s="44">
        <f t="shared" si="191"/>
        <v>0</v>
      </c>
      <c r="AV119" s="44">
        <f t="shared" si="192"/>
        <v>3000</v>
      </c>
      <c r="AW119" s="44">
        <f t="shared" si="193"/>
        <v>3000</v>
      </c>
      <c r="AX119" s="44">
        <f t="shared" si="137"/>
        <v>60</v>
      </c>
      <c r="AY119" s="44">
        <f t="shared" si="194"/>
        <v>60</v>
      </c>
      <c r="AZ119" s="44">
        <f t="shared" si="138"/>
        <v>1230</v>
      </c>
      <c r="BA119" s="44">
        <f t="shared" si="195"/>
        <v>1230</v>
      </c>
      <c r="BB119" s="44">
        <f t="shared" si="139"/>
        <v>1770</v>
      </c>
      <c r="BC119" s="46">
        <f t="shared" si="140"/>
        <v>0</v>
      </c>
      <c r="BD119" s="47">
        <f t="shared" si="141"/>
        <v>0</v>
      </c>
      <c r="BE119" s="604">
        <f t="shared" si="196"/>
        <v>0</v>
      </c>
      <c r="BF119" s="44">
        <f t="shared" si="197"/>
        <v>0</v>
      </c>
      <c r="BG119" s="44">
        <f t="shared" si="198"/>
        <v>0</v>
      </c>
      <c r="BH119" s="44">
        <f t="shared" si="199"/>
        <v>0</v>
      </c>
      <c r="BI119" s="44">
        <f t="shared" si="200"/>
        <v>3000</v>
      </c>
      <c r="BJ119" s="44">
        <f t="shared" si="201"/>
        <v>3000</v>
      </c>
      <c r="BK119" s="44">
        <f t="shared" si="142"/>
        <v>60</v>
      </c>
      <c r="BL119" s="44">
        <f t="shared" si="202"/>
        <v>60</v>
      </c>
      <c r="BM119" s="44">
        <f t="shared" si="143"/>
        <v>1170</v>
      </c>
      <c r="BN119" s="44">
        <f t="shared" si="203"/>
        <v>1170</v>
      </c>
      <c r="BO119" s="44">
        <f t="shared" si="144"/>
        <v>1830</v>
      </c>
      <c r="BP119" s="46">
        <f t="shared" si="145"/>
        <v>0</v>
      </c>
      <c r="BQ119" s="47">
        <f t="shared" si="146"/>
        <v>0</v>
      </c>
      <c r="BR119" s="604">
        <f t="shared" si="204"/>
        <v>0</v>
      </c>
      <c r="BS119" s="44">
        <f t="shared" si="205"/>
        <v>0</v>
      </c>
      <c r="BT119" s="44">
        <f t="shared" si="206"/>
        <v>0</v>
      </c>
      <c r="BU119" s="44">
        <f t="shared" si="207"/>
        <v>0</v>
      </c>
      <c r="BV119" s="44">
        <f t="shared" si="208"/>
        <v>3000</v>
      </c>
      <c r="BW119" s="44">
        <f t="shared" si="209"/>
        <v>3000</v>
      </c>
      <c r="BX119" s="44">
        <f t="shared" si="147"/>
        <v>60</v>
      </c>
      <c r="BY119" s="44">
        <f t="shared" si="210"/>
        <v>60</v>
      </c>
      <c r="BZ119" s="44">
        <f t="shared" si="148"/>
        <v>1110</v>
      </c>
      <c r="CA119" s="44">
        <f t="shared" si="211"/>
        <v>1110</v>
      </c>
      <c r="CB119" s="44">
        <f t="shared" si="149"/>
        <v>1890</v>
      </c>
      <c r="CC119" s="46">
        <f t="shared" si="150"/>
        <v>0</v>
      </c>
      <c r="CD119" s="47">
        <f t="shared" si="151"/>
        <v>0</v>
      </c>
      <c r="CE119" s="604">
        <f t="shared" si="212"/>
        <v>0</v>
      </c>
      <c r="CF119" s="44">
        <f t="shared" si="213"/>
        <v>0</v>
      </c>
      <c r="CG119" s="44">
        <f t="shared" si="214"/>
        <v>0</v>
      </c>
      <c r="CH119" s="44">
        <f t="shared" si="215"/>
        <v>0</v>
      </c>
      <c r="CI119" s="44">
        <f t="shared" si="216"/>
        <v>3000</v>
      </c>
      <c r="CJ119" s="44">
        <f t="shared" si="217"/>
        <v>3000</v>
      </c>
      <c r="CK119" s="44">
        <f t="shared" si="152"/>
        <v>60</v>
      </c>
      <c r="CL119" s="44">
        <f t="shared" si="218"/>
        <v>60</v>
      </c>
      <c r="CM119" s="44">
        <f t="shared" si="153"/>
        <v>1050</v>
      </c>
      <c r="CN119" s="44">
        <f t="shared" si="219"/>
        <v>1050</v>
      </c>
      <c r="CO119" s="44">
        <f t="shared" si="154"/>
        <v>1950</v>
      </c>
      <c r="CP119" s="46">
        <f t="shared" si="155"/>
        <v>0</v>
      </c>
      <c r="CQ119" s="47">
        <f t="shared" si="156"/>
        <v>0</v>
      </c>
      <c r="CR119" s="604">
        <f t="shared" si="220"/>
        <v>0</v>
      </c>
      <c r="CS119" s="44">
        <f t="shared" si="221"/>
        <v>0</v>
      </c>
      <c r="CT119" s="44">
        <f t="shared" si="222"/>
        <v>0</v>
      </c>
      <c r="CU119" s="44">
        <f t="shared" si="223"/>
        <v>0</v>
      </c>
      <c r="CV119" s="44">
        <f t="shared" si="224"/>
        <v>3000</v>
      </c>
      <c r="CW119" s="44">
        <f t="shared" si="225"/>
        <v>3000</v>
      </c>
      <c r="CX119" s="44">
        <f t="shared" si="157"/>
        <v>60</v>
      </c>
      <c r="CY119" s="44">
        <f t="shared" si="226"/>
        <v>60</v>
      </c>
      <c r="CZ119" s="44">
        <f t="shared" si="158"/>
        <v>990</v>
      </c>
      <c r="DA119" s="44">
        <f t="shared" si="227"/>
        <v>990</v>
      </c>
      <c r="DB119" s="44">
        <f t="shared" si="159"/>
        <v>2010</v>
      </c>
      <c r="DC119" s="46">
        <f t="shared" si="160"/>
        <v>0</v>
      </c>
      <c r="DD119" s="47">
        <f t="shared" si="161"/>
        <v>0</v>
      </c>
      <c r="DE119" s="604">
        <f t="shared" si="228"/>
        <v>0</v>
      </c>
      <c r="DF119" s="44">
        <f t="shared" si="229"/>
        <v>0</v>
      </c>
      <c r="DG119" s="44">
        <f t="shared" si="230"/>
        <v>0</v>
      </c>
      <c r="DH119" s="44">
        <f t="shared" si="231"/>
        <v>0</v>
      </c>
      <c r="DI119" s="44">
        <f t="shared" si="232"/>
        <v>3000</v>
      </c>
      <c r="DJ119" s="44">
        <f t="shared" si="233"/>
        <v>3000</v>
      </c>
      <c r="DK119" s="44">
        <f t="shared" si="162"/>
        <v>60</v>
      </c>
      <c r="DL119" s="44">
        <f t="shared" si="234"/>
        <v>60</v>
      </c>
      <c r="DM119" s="44">
        <f t="shared" si="163"/>
        <v>930</v>
      </c>
      <c r="DN119" s="44">
        <f t="shared" si="235"/>
        <v>930</v>
      </c>
      <c r="DO119" s="44">
        <f t="shared" si="164"/>
        <v>2070</v>
      </c>
      <c r="DP119" s="46">
        <f t="shared" si="165"/>
        <v>0</v>
      </c>
      <c r="DQ119" s="47">
        <f t="shared" si="166"/>
        <v>0</v>
      </c>
      <c r="DR119" s="604">
        <f t="shared" si="236"/>
        <v>0</v>
      </c>
      <c r="DS119" s="44">
        <f t="shared" si="237"/>
        <v>0</v>
      </c>
      <c r="DT119" s="44">
        <f t="shared" si="238"/>
        <v>0</v>
      </c>
      <c r="DU119" s="44">
        <f t="shared" si="239"/>
        <v>0</v>
      </c>
      <c r="DV119" s="44">
        <f t="shared" si="240"/>
        <v>3000</v>
      </c>
      <c r="DW119" s="44">
        <f t="shared" si="241"/>
        <v>3000</v>
      </c>
      <c r="DX119" s="44">
        <f t="shared" si="167"/>
        <v>60</v>
      </c>
      <c r="DY119" s="44">
        <f t="shared" si="242"/>
        <v>60</v>
      </c>
      <c r="DZ119" s="44">
        <f t="shared" si="168"/>
        <v>870</v>
      </c>
      <c r="EA119" s="44">
        <f t="shared" si="243"/>
        <v>870</v>
      </c>
      <c r="EB119" s="44">
        <f t="shared" si="169"/>
        <v>2130</v>
      </c>
      <c r="EC119" s="46">
        <f t="shared" si="170"/>
        <v>0</v>
      </c>
      <c r="ED119" s="47">
        <f t="shared" si="171"/>
        <v>0</v>
      </c>
    </row>
    <row r="120" spans="1:134" x14ac:dyDescent="0.35">
      <c r="A120" s="81">
        <v>1985</v>
      </c>
      <c r="B120" s="82" t="s">
        <v>289</v>
      </c>
      <c r="C120" s="82"/>
      <c r="D120" s="83" t="s">
        <v>41</v>
      </c>
      <c r="E120" s="87">
        <v>48000</v>
      </c>
      <c r="F120" s="85">
        <v>31229</v>
      </c>
      <c r="G120" s="86">
        <v>10</v>
      </c>
      <c r="H120" s="179"/>
      <c r="I120" s="180"/>
      <c r="J120" s="181"/>
      <c r="K120" s="42">
        <f t="shared" si="122"/>
        <v>0.1</v>
      </c>
      <c r="L120" s="43">
        <f t="shared" si="123"/>
        <v>4800</v>
      </c>
      <c r="M120" s="44">
        <f t="shared" si="124"/>
        <v>0</v>
      </c>
      <c r="N120" s="44"/>
      <c r="O120" s="44">
        <f t="shared" si="125"/>
        <v>48000</v>
      </c>
      <c r="P120" s="45"/>
      <c r="Q120" s="44">
        <f t="shared" si="126"/>
        <v>48000</v>
      </c>
      <c r="R120" s="604">
        <f t="shared" si="172"/>
        <v>0</v>
      </c>
      <c r="S120" s="44">
        <f t="shared" si="173"/>
        <v>0</v>
      </c>
      <c r="T120" s="44">
        <f t="shared" si="174"/>
        <v>0</v>
      </c>
      <c r="U120" s="44">
        <f t="shared" si="175"/>
        <v>0</v>
      </c>
      <c r="V120" s="44">
        <f t="shared" si="176"/>
        <v>48000</v>
      </c>
      <c r="W120" s="44">
        <f t="shared" si="177"/>
        <v>0</v>
      </c>
      <c r="X120" s="44">
        <f t="shared" si="127"/>
        <v>0</v>
      </c>
      <c r="Y120" s="44">
        <f t="shared" si="178"/>
        <v>0</v>
      </c>
      <c r="Z120" s="44">
        <f t="shared" si="128"/>
        <v>0</v>
      </c>
      <c r="AA120" s="44">
        <f t="shared" si="179"/>
        <v>0</v>
      </c>
      <c r="AB120" s="44">
        <f t="shared" si="129"/>
        <v>48000</v>
      </c>
      <c r="AC120" s="46">
        <f t="shared" si="130"/>
        <v>0</v>
      </c>
      <c r="AD120" s="47">
        <f t="shared" si="131"/>
        <v>0</v>
      </c>
      <c r="AE120" s="604">
        <f t="shared" si="180"/>
        <v>0</v>
      </c>
      <c r="AF120" s="44">
        <f t="shared" si="181"/>
        <v>0</v>
      </c>
      <c r="AG120" s="44">
        <f t="shared" si="182"/>
        <v>0</v>
      </c>
      <c r="AH120" s="44">
        <f t="shared" si="183"/>
        <v>0</v>
      </c>
      <c r="AI120" s="44">
        <f t="shared" si="184"/>
        <v>48000</v>
      </c>
      <c r="AJ120" s="44">
        <f t="shared" si="185"/>
        <v>0</v>
      </c>
      <c r="AK120" s="44">
        <f t="shared" si="132"/>
        <v>0</v>
      </c>
      <c r="AL120" s="44">
        <f t="shared" si="186"/>
        <v>0</v>
      </c>
      <c r="AM120" s="44">
        <f t="shared" si="133"/>
        <v>0</v>
      </c>
      <c r="AN120" s="44">
        <f t="shared" si="187"/>
        <v>0</v>
      </c>
      <c r="AO120" s="44">
        <f t="shared" si="134"/>
        <v>48000</v>
      </c>
      <c r="AP120" s="46">
        <f t="shared" si="135"/>
        <v>0</v>
      </c>
      <c r="AQ120" s="47">
        <f t="shared" si="136"/>
        <v>0</v>
      </c>
      <c r="AR120" s="604">
        <f t="shared" si="188"/>
        <v>0</v>
      </c>
      <c r="AS120" s="44">
        <f t="shared" si="189"/>
        <v>0</v>
      </c>
      <c r="AT120" s="44">
        <f t="shared" si="190"/>
        <v>0</v>
      </c>
      <c r="AU120" s="44">
        <f t="shared" si="191"/>
        <v>0</v>
      </c>
      <c r="AV120" s="44">
        <f t="shared" si="192"/>
        <v>48000</v>
      </c>
      <c r="AW120" s="44">
        <f t="shared" si="193"/>
        <v>0</v>
      </c>
      <c r="AX120" s="44">
        <f t="shared" si="137"/>
        <v>0</v>
      </c>
      <c r="AY120" s="44">
        <f t="shared" si="194"/>
        <v>0</v>
      </c>
      <c r="AZ120" s="44">
        <f t="shared" si="138"/>
        <v>0</v>
      </c>
      <c r="BA120" s="44">
        <f t="shared" si="195"/>
        <v>0</v>
      </c>
      <c r="BB120" s="44">
        <f t="shared" si="139"/>
        <v>48000</v>
      </c>
      <c r="BC120" s="46">
        <f t="shared" si="140"/>
        <v>0</v>
      </c>
      <c r="BD120" s="47">
        <f t="shared" si="141"/>
        <v>0</v>
      </c>
      <c r="BE120" s="604">
        <f t="shared" si="196"/>
        <v>0</v>
      </c>
      <c r="BF120" s="44">
        <f t="shared" si="197"/>
        <v>0</v>
      </c>
      <c r="BG120" s="44">
        <f t="shared" si="198"/>
        <v>0</v>
      </c>
      <c r="BH120" s="44">
        <f t="shared" si="199"/>
        <v>0</v>
      </c>
      <c r="BI120" s="44">
        <f t="shared" si="200"/>
        <v>48000</v>
      </c>
      <c r="BJ120" s="44">
        <f t="shared" si="201"/>
        <v>0</v>
      </c>
      <c r="BK120" s="44">
        <f t="shared" si="142"/>
        <v>0</v>
      </c>
      <c r="BL120" s="44">
        <f t="shared" si="202"/>
        <v>0</v>
      </c>
      <c r="BM120" s="44">
        <f t="shared" si="143"/>
        <v>0</v>
      </c>
      <c r="BN120" s="44">
        <f t="shared" si="203"/>
        <v>0</v>
      </c>
      <c r="BO120" s="44">
        <f t="shared" si="144"/>
        <v>48000</v>
      </c>
      <c r="BP120" s="46">
        <f t="shared" si="145"/>
        <v>0</v>
      </c>
      <c r="BQ120" s="47">
        <f t="shared" si="146"/>
        <v>0</v>
      </c>
      <c r="BR120" s="604">
        <f t="shared" si="204"/>
        <v>0</v>
      </c>
      <c r="BS120" s="44">
        <f t="shared" si="205"/>
        <v>0</v>
      </c>
      <c r="BT120" s="44">
        <f t="shared" si="206"/>
        <v>0</v>
      </c>
      <c r="BU120" s="44">
        <f t="shared" si="207"/>
        <v>0</v>
      </c>
      <c r="BV120" s="44">
        <f t="shared" si="208"/>
        <v>48000</v>
      </c>
      <c r="BW120" s="44">
        <f t="shared" si="209"/>
        <v>0</v>
      </c>
      <c r="BX120" s="44">
        <f t="shared" si="147"/>
        <v>0</v>
      </c>
      <c r="BY120" s="44">
        <f t="shared" si="210"/>
        <v>0</v>
      </c>
      <c r="BZ120" s="44">
        <f t="shared" si="148"/>
        <v>0</v>
      </c>
      <c r="CA120" s="44">
        <f t="shared" si="211"/>
        <v>0</v>
      </c>
      <c r="CB120" s="44">
        <f t="shared" si="149"/>
        <v>48000</v>
      </c>
      <c r="CC120" s="46">
        <f t="shared" si="150"/>
        <v>0</v>
      </c>
      <c r="CD120" s="47">
        <f t="shared" si="151"/>
        <v>0</v>
      </c>
      <c r="CE120" s="604">
        <f t="shared" si="212"/>
        <v>0</v>
      </c>
      <c r="CF120" s="44">
        <f t="shared" si="213"/>
        <v>0</v>
      </c>
      <c r="CG120" s="44">
        <f t="shared" si="214"/>
        <v>0</v>
      </c>
      <c r="CH120" s="44">
        <f t="shared" si="215"/>
        <v>0</v>
      </c>
      <c r="CI120" s="44">
        <f t="shared" si="216"/>
        <v>48000</v>
      </c>
      <c r="CJ120" s="44">
        <f t="shared" si="217"/>
        <v>0</v>
      </c>
      <c r="CK120" s="44">
        <f t="shared" si="152"/>
        <v>0</v>
      </c>
      <c r="CL120" s="44">
        <f t="shared" si="218"/>
        <v>0</v>
      </c>
      <c r="CM120" s="44">
        <f t="shared" si="153"/>
        <v>0</v>
      </c>
      <c r="CN120" s="44">
        <f t="shared" si="219"/>
        <v>0</v>
      </c>
      <c r="CO120" s="44">
        <f t="shared" si="154"/>
        <v>48000</v>
      </c>
      <c r="CP120" s="46">
        <f t="shared" si="155"/>
        <v>0</v>
      </c>
      <c r="CQ120" s="47">
        <f t="shared" si="156"/>
        <v>0</v>
      </c>
      <c r="CR120" s="604">
        <f t="shared" si="220"/>
        <v>0</v>
      </c>
      <c r="CS120" s="44">
        <f t="shared" si="221"/>
        <v>0</v>
      </c>
      <c r="CT120" s="44">
        <f t="shared" si="222"/>
        <v>0</v>
      </c>
      <c r="CU120" s="44">
        <f t="shared" si="223"/>
        <v>0</v>
      </c>
      <c r="CV120" s="44">
        <f t="shared" si="224"/>
        <v>48000</v>
      </c>
      <c r="CW120" s="44">
        <f t="shared" si="225"/>
        <v>0</v>
      </c>
      <c r="CX120" s="44">
        <f t="shared" si="157"/>
        <v>0</v>
      </c>
      <c r="CY120" s="44">
        <f t="shared" si="226"/>
        <v>0</v>
      </c>
      <c r="CZ120" s="44">
        <f t="shared" si="158"/>
        <v>0</v>
      </c>
      <c r="DA120" s="44">
        <f t="shared" si="227"/>
        <v>0</v>
      </c>
      <c r="DB120" s="44">
        <f t="shared" si="159"/>
        <v>48000</v>
      </c>
      <c r="DC120" s="46">
        <f t="shared" si="160"/>
        <v>0</v>
      </c>
      <c r="DD120" s="47">
        <f t="shared" si="161"/>
        <v>0</v>
      </c>
      <c r="DE120" s="604">
        <f t="shared" si="228"/>
        <v>0</v>
      </c>
      <c r="DF120" s="44">
        <f t="shared" si="229"/>
        <v>0</v>
      </c>
      <c r="DG120" s="44">
        <f t="shared" si="230"/>
        <v>0</v>
      </c>
      <c r="DH120" s="44">
        <f t="shared" si="231"/>
        <v>0</v>
      </c>
      <c r="DI120" s="44">
        <f t="shared" si="232"/>
        <v>48000</v>
      </c>
      <c r="DJ120" s="44">
        <f t="shared" si="233"/>
        <v>0</v>
      </c>
      <c r="DK120" s="44">
        <f t="shared" si="162"/>
        <v>0</v>
      </c>
      <c r="DL120" s="44">
        <f t="shared" si="234"/>
        <v>0</v>
      </c>
      <c r="DM120" s="44">
        <f t="shared" si="163"/>
        <v>0</v>
      </c>
      <c r="DN120" s="44">
        <f t="shared" si="235"/>
        <v>0</v>
      </c>
      <c r="DO120" s="44">
        <f t="shared" si="164"/>
        <v>48000</v>
      </c>
      <c r="DP120" s="46">
        <f t="shared" si="165"/>
        <v>0</v>
      </c>
      <c r="DQ120" s="47">
        <f t="shared" si="166"/>
        <v>0</v>
      </c>
      <c r="DR120" s="604">
        <f t="shared" si="236"/>
        <v>0</v>
      </c>
      <c r="DS120" s="44">
        <f t="shared" si="237"/>
        <v>0</v>
      </c>
      <c r="DT120" s="44">
        <f t="shared" si="238"/>
        <v>0</v>
      </c>
      <c r="DU120" s="44">
        <f t="shared" si="239"/>
        <v>0</v>
      </c>
      <c r="DV120" s="44">
        <f t="shared" si="240"/>
        <v>48000</v>
      </c>
      <c r="DW120" s="44">
        <f t="shared" si="241"/>
        <v>0</v>
      </c>
      <c r="DX120" s="44">
        <f t="shared" si="167"/>
        <v>0</v>
      </c>
      <c r="DY120" s="44">
        <f t="shared" si="242"/>
        <v>0</v>
      </c>
      <c r="DZ120" s="44">
        <f t="shared" si="168"/>
        <v>0</v>
      </c>
      <c r="EA120" s="44">
        <f t="shared" si="243"/>
        <v>0</v>
      </c>
      <c r="EB120" s="44">
        <f t="shared" si="169"/>
        <v>48000</v>
      </c>
      <c r="EC120" s="46">
        <f t="shared" si="170"/>
        <v>0</v>
      </c>
      <c r="ED120" s="47">
        <f t="shared" si="171"/>
        <v>0</v>
      </c>
    </row>
    <row r="121" spans="1:134" x14ac:dyDescent="0.35">
      <c r="A121" s="81">
        <v>1985</v>
      </c>
      <c r="B121" s="82" t="s">
        <v>290</v>
      </c>
      <c r="C121" s="82"/>
      <c r="D121" s="83" t="s">
        <v>41</v>
      </c>
      <c r="E121" s="87">
        <v>22000</v>
      </c>
      <c r="F121" s="85">
        <v>31229</v>
      </c>
      <c r="G121" s="86">
        <v>10</v>
      </c>
      <c r="H121" s="179"/>
      <c r="I121" s="180"/>
      <c r="J121" s="181"/>
      <c r="K121" s="42">
        <f t="shared" si="122"/>
        <v>0.1</v>
      </c>
      <c r="L121" s="43">
        <f t="shared" si="123"/>
        <v>2200</v>
      </c>
      <c r="M121" s="44">
        <f t="shared" si="124"/>
        <v>0</v>
      </c>
      <c r="N121" s="44"/>
      <c r="O121" s="44">
        <f t="shared" si="125"/>
        <v>22000</v>
      </c>
      <c r="P121" s="45"/>
      <c r="Q121" s="44">
        <f t="shared" si="126"/>
        <v>22000</v>
      </c>
      <c r="R121" s="604">
        <f t="shared" si="172"/>
        <v>0</v>
      </c>
      <c r="S121" s="44">
        <f t="shared" si="173"/>
        <v>0</v>
      </c>
      <c r="T121" s="44">
        <f t="shared" si="174"/>
        <v>0</v>
      </c>
      <c r="U121" s="44">
        <f t="shared" si="175"/>
        <v>0</v>
      </c>
      <c r="V121" s="44">
        <f t="shared" si="176"/>
        <v>22000</v>
      </c>
      <c r="W121" s="44">
        <f t="shared" si="177"/>
        <v>0</v>
      </c>
      <c r="X121" s="44">
        <f t="shared" si="127"/>
        <v>0</v>
      </c>
      <c r="Y121" s="44">
        <f t="shared" si="178"/>
        <v>0</v>
      </c>
      <c r="Z121" s="44">
        <f t="shared" si="128"/>
        <v>0</v>
      </c>
      <c r="AA121" s="44">
        <f t="shared" si="179"/>
        <v>0</v>
      </c>
      <c r="AB121" s="44">
        <f t="shared" si="129"/>
        <v>22000</v>
      </c>
      <c r="AC121" s="46">
        <f t="shared" si="130"/>
        <v>0</v>
      </c>
      <c r="AD121" s="47">
        <f t="shared" si="131"/>
        <v>0</v>
      </c>
      <c r="AE121" s="604">
        <f t="shared" si="180"/>
        <v>0</v>
      </c>
      <c r="AF121" s="44">
        <f t="shared" si="181"/>
        <v>0</v>
      </c>
      <c r="AG121" s="44">
        <f t="shared" si="182"/>
        <v>0</v>
      </c>
      <c r="AH121" s="44">
        <f t="shared" si="183"/>
        <v>0</v>
      </c>
      <c r="AI121" s="44">
        <f t="shared" si="184"/>
        <v>22000</v>
      </c>
      <c r="AJ121" s="44">
        <f t="shared" si="185"/>
        <v>0</v>
      </c>
      <c r="AK121" s="44">
        <f t="shared" si="132"/>
        <v>0</v>
      </c>
      <c r="AL121" s="44">
        <f t="shared" si="186"/>
        <v>0</v>
      </c>
      <c r="AM121" s="44">
        <f t="shared" si="133"/>
        <v>0</v>
      </c>
      <c r="AN121" s="44">
        <f t="shared" si="187"/>
        <v>0</v>
      </c>
      <c r="AO121" s="44">
        <f t="shared" si="134"/>
        <v>22000</v>
      </c>
      <c r="AP121" s="46">
        <f t="shared" si="135"/>
        <v>0</v>
      </c>
      <c r="AQ121" s="47">
        <f t="shared" si="136"/>
        <v>0</v>
      </c>
      <c r="AR121" s="604">
        <f t="shared" si="188"/>
        <v>0</v>
      </c>
      <c r="AS121" s="44">
        <f t="shared" si="189"/>
        <v>0</v>
      </c>
      <c r="AT121" s="44">
        <f t="shared" si="190"/>
        <v>0</v>
      </c>
      <c r="AU121" s="44">
        <f t="shared" si="191"/>
        <v>0</v>
      </c>
      <c r="AV121" s="44">
        <f t="shared" si="192"/>
        <v>22000</v>
      </c>
      <c r="AW121" s="44">
        <f t="shared" si="193"/>
        <v>0</v>
      </c>
      <c r="AX121" s="44">
        <f t="shared" si="137"/>
        <v>0</v>
      </c>
      <c r="AY121" s="44">
        <f t="shared" si="194"/>
        <v>0</v>
      </c>
      <c r="AZ121" s="44">
        <f t="shared" si="138"/>
        <v>0</v>
      </c>
      <c r="BA121" s="44">
        <f t="shared" si="195"/>
        <v>0</v>
      </c>
      <c r="BB121" s="44">
        <f t="shared" si="139"/>
        <v>22000</v>
      </c>
      <c r="BC121" s="46">
        <f t="shared" si="140"/>
        <v>0</v>
      </c>
      <c r="BD121" s="47">
        <f t="shared" si="141"/>
        <v>0</v>
      </c>
      <c r="BE121" s="604">
        <f t="shared" si="196"/>
        <v>0</v>
      </c>
      <c r="BF121" s="44">
        <f t="shared" si="197"/>
        <v>0</v>
      </c>
      <c r="BG121" s="44">
        <f t="shared" si="198"/>
        <v>0</v>
      </c>
      <c r="BH121" s="44">
        <f t="shared" si="199"/>
        <v>0</v>
      </c>
      <c r="BI121" s="44">
        <f t="shared" si="200"/>
        <v>22000</v>
      </c>
      <c r="BJ121" s="44">
        <f t="shared" si="201"/>
        <v>0</v>
      </c>
      <c r="BK121" s="44">
        <f t="shared" si="142"/>
        <v>0</v>
      </c>
      <c r="BL121" s="44">
        <f t="shared" si="202"/>
        <v>0</v>
      </c>
      <c r="BM121" s="44">
        <f t="shared" si="143"/>
        <v>0</v>
      </c>
      <c r="BN121" s="44">
        <f t="shared" si="203"/>
        <v>0</v>
      </c>
      <c r="BO121" s="44">
        <f t="shared" si="144"/>
        <v>22000</v>
      </c>
      <c r="BP121" s="46">
        <f t="shared" si="145"/>
        <v>0</v>
      </c>
      <c r="BQ121" s="47">
        <f t="shared" si="146"/>
        <v>0</v>
      </c>
      <c r="BR121" s="604">
        <f t="shared" si="204"/>
        <v>0</v>
      </c>
      <c r="BS121" s="44">
        <f t="shared" si="205"/>
        <v>0</v>
      </c>
      <c r="BT121" s="44">
        <f t="shared" si="206"/>
        <v>0</v>
      </c>
      <c r="BU121" s="44">
        <f t="shared" si="207"/>
        <v>0</v>
      </c>
      <c r="BV121" s="44">
        <f t="shared" si="208"/>
        <v>22000</v>
      </c>
      <c r="BW121" s="44">
        <f t="shared" si="209"/>
        <v>0</v>
      </c>
      <c r="BX121" s="44">
        <f t="shared" si="147"/>
        <v>0</v>
      </c>
      <c r="BY121" s="44">
        <f t="shared" si="210"/>
        <v>0</v>
      </c>
      <c r="BZ121" s="44">
        <f t="shared" si="148"/>
        <v>0</v>
      </c>
      <c r="CA121" s="44">
        <f t="shared" si="211"/>
        <v>0</v>
      </c>
      <c r="CB121" s="44">
        <f t="shared" si="149"/>
        <v>22000</v>
      </c>
      <c r="CC121" s="46">
        <f t="shared" si="150"/>
        <v>0</v>
      </c>
      <c r="CD121" s="47">
        <f t="shared" si="151"/>
        <v>0</v>
      </c>
      <c r="CE121" s="604">
        <f t="shared" si="212"/>
        <v>0</v>
      </c>
      <c r="CF121" s="44">
        <f t="shared" si="213"/>
        <v>0</v>
      </c>
      <c r="CG121" s="44">
        <f t="shared" si="214"/>
        <v>0</v>
      </c>
      <c r="CH121" s="44">
        <f t="shared" si="215"/>
        <v>0</v>
      </c>
      <c r="CI121" s="44">
        <f t="shared" si="216"/>
        <v>22000</v>
      </c>
      <c r="CJ121" s="44">
        <f t="shared" si="217"/>
        <v>0</v>
      </c>
      <c r="CK121" s="44">
        <f t="shared" si="152"/>
        <v>0</v>
      </c>
      <c r="CL121" s="44">
        <f t="shared" si="218"/>
        <v>0</v>
      </c>
      <c r="CM121" s="44">
        <f t="shared" si="153"/>
        <v>0</v>
      </c>
      <c r="CN121" s="44">
        <f t="shared" si="219"/>
        <v>0</v>
      </c>
      <c r="CO121" s="44">
        <f t="shared" si="154"/>
        <v>22000</v>
      </c>
      <c r="CP121" s="46">
        <f t="shared" si="155"/>
        <v>0</v>
      </c>
      <c r="CQ121" s="47">
        <f t="shared" si="156"/>
        <v>0</v>
      </c>
      <c r="CR121" s="604">
        <f t="shared" si="220"/>
        <v>0</v>
      </c>
      <c r="CS121" s="44">
        <f t="shared" si="221"/>
        <v>0</v>
      </c>
      <c r="CT121" s="44">
        <f t="shared" si="222"/>
        <v>0</v>
      </c>
      <c r="CU121" s="44">
        <f t="shared" si="223"/>
        <v>0</v>
      </c>
      <c r="CV121" s="44">
        <f t="shared" si="224"/>
        <v>22000</v>
      </c>
      <c r="CW121" s="44">
        <f t="shared" si="225"/>
        <v>0</v>
      </c>
      <c r="CX121" s="44">
        <f t="shared" si="157"/>
        <v>0</v>
      </c>
      <c r="CY121" s="44">
        <f t="shared" si="226"/>
        <v>0</v>
      </c>
      <c r="CZ121" s="44">
        <f t="shared" si="158"/>
        <v>0</v>
      </c>
      <c r="DA121" s="44">
        <f t="shared" si="227"/>
        <v>0</v>
      </c>
      <c r="DB121" s="44">
        <f t="shared" si="159"/>
        <v>22000</v>
      </c>
      <c r="DC121" s="46">
        <f t="shared" si="160"/>
        <v>0</v>
      </c>
      <c r="DD121" s="47">
        <f t="shared" si="161"/>
        <v>0</v>
      </c>
      <c r="DE121" s="604">
        <f t="shared" si="228"/>
        <v>0</v>
      </c>
      <c r="DF121" s="44">
        <f t="shared" si="229"/>
        <v>0</v>
      </c>
      <c r="DG121" s="44">
        <f t="shared" si="230"/>
        <v>0</v>
      </c>
      <c r="DH121" s="44">
        <f t="shared" si="231"/>
        <v>0</v>
      </c>
      <c r="DI121" s="44">
        <f t="shared" si="232"/>
        <v>22000</v>
      </c>
      <c r="DJ121" s="44">
        <f t="shared" si="233"/>
        <v>0</v>
      </c>
      <c r="DK121" s="44">
        <f t="shared" si="162"/>
        <v>0</v>
      </c>
      <c r="DL121" s="44">
        <f t="shared" si="234"/>
        <v>0</v>
      </c>
      <c r="DM121" s="44">
        <f t="shared" si="163"/>
        <v>0</v>
      </c>
      <c r="DN121" s="44">
        <f t="shared" si="235"/>
        <v>0</v>
      </c>
      <c r="DO121" s="44">
        <f t="shared" si="164"/>
        <v>22000</v>
      </c>
      <c r="DP121" s="46">
        <f t="shared" si="165"/>
        <v>0</v>
      </c>
      <c r="DQ121" s="47">
        <f t="shared" si="166"/>
        <v>0</v>
      </c>
      <c r="DR121" s="604">
        <f t="shared" si="236"/>
        <v>0</v>
      </c>
      <c r="DS121" s="44">
        <f t="shared" si="237"/>
        <v>0</v>
      </c>
      <c r="DT121" s="44">
        <f t="shared" si="238"/>
        <v>0</v>
      </c>
      <c r="DU121" s="44">
        <f t="shared" si="239"/>
        <v>0</v>
      </c>
      <c r="DV121" s="44">
        <f t="shared" si="240"/>
        <v>22000</v>
      </c>
      <c r="DW121" s="44">
        <f t="shared" si="241"/>
        <v>0</v>
      </c>
      <c r="DX121" s="44">
        <f t="shared" si="167"/>
        <v>0</v>
      </c>
      <c r="DY121" s="44">
        <f t="shared" si="242"/>
        <v>0</v>
      </c>
      <c r="DZ121" s="44">
        <f t="shared" si="168"/>
        <v>0</v>
      </c>
      <c r="EA121" s="44">
        <f t="shared" si="243"/>
        <v>0</v>
      </c>
      <c r="EB121" s="44">
        <f t="shared" si="169"/>
        <v>22000</v>
      </c>
      <c r="EC121" s="46">
        <f t="shared" si="170"/>
        <v>0</v>
      </c>
      <c r="ED121" s="47">
        <f t="shared" si="171"/>
        <v>0</v>
      </c>
    </row>
    <row r="122" spans="1:134" x14ac:dyDescent="0.35">
      <c r="A122" s="81">
        <v>1985</v>
      </c>
      <c r="B122" s="82" t="s">
        <v>291</v>
      </c>
      <c r="C122" s="82"/>
      <c r="D122" s="83" t="s">
        <v>41</v>
      </c>
      <c r="E122" s="87">
        <v>142000</v>
      </c>
      <c r="F122" s="85">
        <v>31229</v>
      </c>
      <c r="G122" s="86">
        <v>12.5</v>
      </c>
      <c r="H122" s="179"/>
      <c r="I122" s="180"/>
      <c r="J122" s="181"/>
      <c r="K122" s="42">
        <f t="shared" si="122"/>
        <v>0.08</v>
      </c>
      <c r="L122" s="43">
        <f t="shared" si="123"/>
        <v>11360</v>
      </c>
      <c r="M122" s="44">
        <f t="shared" si="124"/>
        <v>0</v>
      </c>
      <c r="N122" s="44"/>
      <c r="O122" s="44">
        <f t="shared" si="125"/>
        <v>142000</v>
      </c>
      <c r="P122" s="45"/>
      <c r="Q122" s="44">
        <f t="shared" si="126"/>
        <v>142000</v>
      </c>
      <c r="R122" s="604">
        <f t="shared" si="172"/>
        <v>0</v>
      </c>
      <c r="S122" s="44">
        <f t="shared" si="173"/>
        <v>0</v>
      </c>
      <c r="T122" s="44">
        <f t="shared" si="174"/>
        <v>0</v>
      </c>
      <c r="U122" s="44">
        <f t="shared" si="175"/>
        <v>0</v>
      </c>
      <c r="V122" s="44">
        <f t="shared" si="176"/>
        <v>142000</v>
      </c>
      <c r="W122" s="44">
        <f t="shared" si="177"/>
        <v>0</v>
      </c>
      <c r="X122" s="44">
        <f t="shared" si="127"/>
        <v>0</v>
      </c>
      <c r="Y122" s="44">
        <f t="shared" si="178"/>
        <v>0</v>
      </c>
      <c r="Z122" s="44">
        <f t="shared" si="128"/>
        <v>0</v>
      </c>
      <c r="AA122" s="44">
        <f t="shared" si="179"/>
        <v>0</v>
      </c>
      <c r="AB122" s="44">
        <f t="shared" si="129"/>
        <v>142000</v>
      </c>
      <c r="AC122" s="46">
        <f t="shared" si="130"/>
        <v>0</v>
      </c>
      <c r="AD122" s="47">
        <f t="shared" si="131"/>
        <v>0</v>
      </c>
      <c r="AE122" s="604">
        <f t="shared" si="180"/>
        <v>0</v>
      </c>
      <c r="AF122" s="44">
        <f t="shared" si="181"/>
        <v>0</v>
      </c>
      <c r="AG122" s="44">
        <f t="shared" si="182"/>
        <v>0</v>
      </c>
      <c r="AH122" s="44">
        <f t="shared" si="183"/>
        <v>0</v>
      </c>
      <c r="AI122" s="44">
        <f t="shared" si="184"/>
        <v>142000</v>
      </c>
      <c r="AJ122" s="44">
        <f t="shared" si="185"/>
        <v>0</v>
      </c>
      <c r="AK122" s="44">
        <f t="shared" si="132"/>
        <v>0</v>
      </c>
      <c r="AL122" s="44">
        <f t="shared" si="186"/>
        <v>0</v>
      </c>
      <c r="AM122" s="44">
        <f t="shared" si="133"/>
        <v>0</v>
      </c>
      <c r="AN122" s="44">
        <f t="shared" si="187"/>
        <v>0</v>
      </c>
      <c r="AO122" s="44">
        <f t="shared" si="134"/>
        <v>142000</v>
      </c>
      <c r="AP122" s="46">
        <f t="shared" si="135"/>
        <v>0</v>
      </c>
      <c r="AQ122" s="47">
        <f t="shared" si="136"/>
        <v>0</v>
      </c>
      <c r="AR122" s="604">
        <f t="shared" si="188"/>
        <v>0</v>
      </c>
      <c r="AS122" s="44">
        <f t="shared" si="189"/>
        <v>0</v>
      </c>
      <c r="AT122" s="44">
        <f t="shared" si="190"/>
        <v>0</v>
      </c>
      <c r="AU122" s="44">
        <f t="shared" si="191"/>
        <v>0</v>
      </c>
      <c r="AV122" s="44">
        <f t="shared" si="192"/>
        <v>142000</v>
      </c>
      <c r="AW122" s="44">
        <f t="shared" si="193"/>
        <v>0</v>
      </c>
      <c r="AX122" s="44">
        <f t="shared" si="137"/>
        <v>0</v>
      </c>
      <c r="AY122" s="44">
        <f t="shared" si="194"/>
        <v>0</v>
      </c>
      <c r="AZ122" s="44">
        <f t="shared" si="138"/>
        <v>0</v>
      </c>
      <c r="BA122" s="44">
        <f t="shared" si="195"/>
        <v>0</v>
      </c>
      <c r="BB122" s="44">
        <f t="shared" si="139"/>
        <v>142000</v>
      </c>
      <c r="BC122" s="46">
        <f t="shared" si="140"/>
        <v>0</v>
      </c>
      <c r="BD122" s="47">
        <f t="shared" si="141"/>
        <v>0</v>
      </c>
      <c r="BE122" s="604">
        <f t="shared" si="196"/>
        <v>0</v>
      </c>
      <c r="BF122" s="44">
        <f t="shared" si="197"/>
        <v>0</v>
      </c>
      <c r="BG122" s="44">
        <f t="shared" si="198"/>
        <v>0</v>
      </c>
      <c r="BH122" s="44">
        <f t="shared" si="199"/>
        <v>0</v>
      </c>
      <c r="BI122" s="44">
        <f t="shared" si="200"/>
        <v>142000</v>
      </c>
      <c r="BJ122" s="44">
        <f t="shared" si="201"/>
        <v>0</v>
      </c>
      <c r="BK122" s="44">
        <f t="shared" si="142"/>
        <v>0</v>
      </c>
      <c r="BL122" s="44">
        <f t="shared" si="202"/>
        <v>0</v>
      </c>
      <c r="BM122" s="44">
        <f t="shared" si="143"/>
        <v>0</v>
      </c>
      <c r="BN122" s="44">
        <f t="shared" si="203"/>
        <v>0</v>
      </c>
      <c r="BO122" s="44">
        <f t="shared" si="144"/>
        <v>142000</v>
      </c>
      <c r="BP122" s="46">
        <f t="shared" si="145"/>
        <v>0</v>
      </c>
      <c r="BQ122" s="47">
        <f t="shared" si="146"/>
        <v>0</v>
      </c>
      <c r="BR122" s="604">
        <f t="shared" si="204"/>
        <v>0</v>
      </c>
      <c r="BS122" s="44">
        <f t="shared" si="205"/>
        <v>0</v>
      </c>
      <c r="BT122" s="44">
        <f t="shared" si="206"/>
        <v>0</v>
      </c>
      <c r="BU122" s="44">
        <f t="shared" si="207"/>
        <v>0</v>
      </c>
      <c r="BV122" s="44">
        <f t="shared" si="208"/>
        <v>142000</v>
      </c>
      <c r="BW122" s="44">
        <f t="shared" si="209"/>
        <v>0</v>
      </c>
      <c r="BX122" s="44">
        <f t="shared" si="147"/>
        <v>0</v>
      </c>
      <c r="BY122" s="44">
        <f t="shared" si="210"/>
        <v>0</v>
      </c>
      <c r="BZ122" s="44">
        <f t="shared" si="148"/>
        <v>0</v>
      </c>
      <c r="CA122" s="44">
        <f t="shared" si="211"/>
        <v>0</v>
      </c>
      <c r="CB122" s="44">
        <f t="shared" si="149"/>
        <v>142000</v>
      </c>
      <c r="CC122" s="46">
        <f t="shared" si="150"/>
        <v>0</v>
      </c>
      <c r="CD122" s="47">
        <f t="shared" si="151"/>
        <v>0</v>
      </c>
      <c r="CE122" s="604">
        <f t="shared" si="212"/>
        <v>0</v>
      </c>
      <c r="CF122" s="44">
        <f t="shared" si="213"/>
        <v>0</v>
      </c>
      <c r="CG122" s="44">
        <f t="shared" si="214"/>
        <v>0</v>
      </c>
      <c r="CH122" s="44">
        <f t="shared" si="215"/>
        <v>0</v>
      </c>
      <c r="CI122" s="44">
        <f t="shared" si="216"/>
        <v>142000</v>
      </c>
      <c r="CJ122" s="44">
        <f t="shared" si="217"/>
        <v>0</v>
      </c>
      <c r="CK122" s="44">
        <f t="shared" si="152"/>
        <v>0</v>
      </c>
      <c r="CL122" s="44">
        <f t="shared" si="218"/>
        <v>0</v>
      </c>
      <c r="CM122" s="44">
        <f t="shared" si="153"/>
        <v>0</v>
      </c>
      <c r="CN122" s="44">
        <f t="shared" si="219"/>
        <v>0</v>
      </c>
      <c r="CO122" s="44">
        <f t="shared" si="154"/>
        <v>142000</v>
      </c>
      <c r="CP122" s="46">
        <f t="shared" si="155"/>
        <v>0</v>
      </c>
      <c r="CQ122" s="47">
        <f t="shared" si="156"/>
        <v>0</v>
      </c>
      <c r="CR122" s="604">
        <f t="shared" si="220"/>
        <v>0</v>
      </c>
      <c r="CS122" s="44">
        <f t="shared" si="221"/>
        <v>0</v>
      </c>
      <c r="CT122" s="44">
        <f t="shared" si="222"/>
        <v>0</v>
      </c>
      <c r="CU122" s="44">
        <f t="shared" si="223"/>
        <v>0</v>
      </c>
      <c r="CV122" s="44">
        <f t="shared" si="224"/>
        <v>142000</v>
      </c>
      <c r="CW122" s="44">
        <f t="shared" si="225"/>
        <v>0</v>
      </c>
      <c r="CX122" s="44">
        <f t="shared" si="157"/>
        <v>0</v>
      </c>
      <c r="CY122" s="44">
        <f t="shared" si="226"/>
        <v>0</v>
      </c>
      <c r="CZ122" s="44">
        <f t="shared" si="158"/>
        <v>0</v>
      </c>
      <c r="DA122" s="44">
        <f t="shared" si="227"/>
        <v>0</v>
      </c>
      <c r="DB122" s="44">
        <f t="shared" si="159"/>
        <v>142000</v>
      </c>
      <c r="DC122" s="46">
        <f t="shared" si="160"/>
        <v>0</v>
      </c>
      <c r="DD122" s="47">
        <f t="shared" si="161"/>
        <v>0</v>
      </c>
      <c r="DE122" s="604">
        <f t="shared" si="228"/>
        <v>0</v>
      </c>
      <c r="DF122" s="44">
        <f t="shared" si="229"/>
        <v>0</v>
      </c>
      <c r="DG122" s="44">
        <f t="shared" si="230"/>
        <v>0</v>
      </c>
      <c r="DH122" s="44">
        <f t="shared" si="231"/>
        <v>0</v>
      </c>
      <c r="DI122" s="44">
        <f t="shared" si="232"/>
        <v>142000</v>
      </c>
      <c r="DJ122" s="44">
        <f t="shared" si="233"/>
        <v>0</v>
      </c>
      <c r="DK122" s="44">
        <f t="shared" si="162"/>
        <v>0</v>
      </c>
      <c r="DL122" s="44">
        <f t="shared" si="234"/>
        <v>0</v>
      </c>
      <c r="DM122" s="44">
        <f t="shared" si="163"/>
        <v>0</v>
      </c>
      <c r="DN122" s="44">
        <f t="shared" si="235"/>
        <v>0</v>
      </c>
      <c r="DO122" s="44">
        <f t="shared" si="164"/>
        <v>142000</v>
      </c>
      <c r="DP122" s="46">
        <f t="shared" si="165"/>
        <v>0</v>
      </c>
      <c r="DQ122" s="47">
        <f t="shared" si="166"/>
        <v>0</v>
      </c>
      <c r="DR122" s="604">
        <f t="shared" si="236"/>
        <v>0</v>
      </c>
      <c r="DS122" s="44">
        <f t="shared" si="237"/>
        <v>0</v>
      </c>
      <c r="DT122" s="44">
        <f t="shared" si="238"/>
        <v>0</v>
      </c>
      <c r="DU122" s="44">
        <f t="shared" si="239"/>
        <v>0</v>
      </c>
      <c r="DV122" s="44">
        <f t="shared" si="240"/>
        <v>142000</v>
      </c>
      <c r="DW122" s="44">
        <f t="shared" si="241"/>
        <v>0</v>
      </c>
      <c r="DX122" s="44">
        <f t="shared" si="167"/>
        <v>0</v>
      </c>
      <c r="DY122" s="44">
        <f t="shared" si="242"/>
        <v>0</v>
      </c>
      <c r="DZ122" s="44">
        <f t="shared" si="168"/>
        <v>0</v>
      </c>
      <c r="EA122" s="44">
        <f t="shared" si="243"/>
        <v>0</v>
      </c>
      <c r="EB122" s="44">
        <f t="shared" si="169"/>
        <v>142000</v>
      </c>
      <c r="EC122" s="46">
        <f t="shared" si="170"/>
        <v>0</v>
      </c>
      <c r="ED122" s="47">
        <f t="shared" si="171"/>
        <v>0</v>
      </c>
    </row>
    <row r="123" spans="1:134" x14ac:dyDescent="0.35">
      <c r="A123" s="81">
        <v>1992</v>
      </c>
      <c r="B123" s="82" t="s">
        <v>292</v>
      </c>
      <c r="C123" s="82"/>
      <c r="D123" s="83" t="s">
        <v>41</v>
      </c>
      <c r="E123" s="87">
        <v>44000</v>
      </c>
      <c r="F123" s="85">
        <v>33786</v>
      </c>
      <c r="G123" s="86">
        <v>20</v>
      </c>
      <c r="H123" s="179"/>
      <c r="I123" s="180"/>
      <c r="J123" s="181"/>
      <c r="K123" s="42">
        <f t="shared" si="122"/>
        <v>0.05</v>
      </c>
      <c r="L123" s="43">
        <f t="shared" si="123"/>
        <v>2200</v>
      </c>
      <c r="M123" s="44">
        <f t="shared" si="124"/>
        <v>1100</v>
      </c>
      <c r="N123" s="44"/>
      <c r="O123" s="44">
        <f t="shared" si="125"/>
        <v>42900</v>
      </c>
      <c r="P123" s="45"/>
      <c r="Q123" s="44">
        <f t="shared" si="126"/>
        <v>44000</v>
      </c>
      <c r="R123" s="604">
        <f t="shared" si="172"/>
        <v>0</v>
      </c>
      <c r="S123" s="44">
        <f t="shared" si="173"/>
        <v>0</v>
      </c>
      <c r="T123" s="44">
        <f t="shared" si="174"/>
        <v>0</v>
      </c>
      <c r="U123" s="44">
        <f t="shared" si="175"/>
        <v>0</v>
      </c>
      <c r="V123" s="44">
        <f t="shared" si="176"/>
        <v>44000</v>
      </c>
      <c r="W123" s="44">
        <f t="shared" si="177"/>
        <v>22000</v>
      </c>
      <c r="X123" s="44">
        <f t="shared" si="127"/>
        <v>1100</v>
      </c>
      <c r="Y123" s="44">
        <f t="shared" si="178"/>
        <v>1100</v>
      </c>
      <c r="Z123" s="44">
        <f t="shared" si="128"/>
        <v>0</v>
      </c>
      <c r="AA123" s="44">
        <f t="shared" si="179"/>
        <v>0</v>
      </c>
      <c r="AB123" s="44">
        <f t="shared" si="129"/>
        <v>44000</v>
      </c>
      <c r="AC123" s="46">
        <f t="shared" si="130"/>
        <v>0</v>
      </c>
      <c r="AD123" s="47">
        <f t="shared" si="131"/>
        <v>0</v>
      </c>
      <c r="AE123" s="604">
        <f t="shared" si="180"/>
        <v>0</v>
      </c>
      <c r="AF123" s="44">
        <f t="shared" si="181"/>
        <v>0</v>
      </c>
      <c r="AG123" s="44">
        <f t="shared" si="182"/>
        <v>0</v>
      </c>
      <c r="AH123" s="44">
        <f t="shared" si="183"/>
        <v>0</v>
      </c>
      <c r="AI123" s="44">
        <f t="shared" si="184"/>
        <v>44000</v>
      </c>
      <c r="AJ123" s="44">
        <f t="shared" si="185"/>
        <v>0</v>
      </c>
      <c r="AK123" s="44">
        <f t="shared" si="132"/>
        <v>0</v>
      </c>
      <c r="AL123" s="44">
        <f t="shared" si="186"/>
        <v>0</v>
      </c>
      <c r="AM123" s="44">
        <f t="shared" si="133"/>
        <v>0</v>
      </c>
      <c r="AN123" s="44">
        <f t="shared" si="187"/>
        <v>0</v>
      </c>
      <c r="AO123" s="44">
        <f t="shared" si="134"/>
        <v>44000</v>
      </c>
      <c r="AP123" s="46">
        <f t="shared" si="135"/>
        <v>0</v>
      </c>
      <c r="AQ123" s="47">
        <f t="shared" si="136"/>
        <v>0</v>
      </c>
      <c r="AR123" s="604">
        <f t="shared" si="188"/>
        <v>0</v>
      </c>
      <c r="AS123" s="44">
        <f t="shared" si="189"/>
        <v>0</v>
      </c>
      <c r="AT123" s="44">
        <f t="shared" si="190"/>
        <v>0</v>
      </c>
      <c r="AU123" s="44">
        <f t="shared" si="191"/>
        <v>0</v>
      </c>
      <c r="AV123" s="44">
        <f t="shared" si="192"/>
        <v>44000</v>
      </c>
      <c r="AW123" s="44">
        <f t="shared" si="193"/>
        <v>0</v>
      </c>
      <c r="AX123" s="44">
        <f t="shared" si="137"/>
        <v>0</v>
      </c>
      <c r="AY123" s="44">
        <f t="shared" si="194"/>
        <v>0</v>
      </c>
      <c r="AZ123" s="44">
        <f t="shared" si="138"/>
        <v>0</v>
      </c>
      <c r="BA123" s="44">
        <f t="shared" si="195"/>
        <v>0</v>
      </c>
      <c r="BB123" s="44">
        <f t="shared" si="139"/>
        <v>44000</v>
      </c>
      <c r="BC123" s="46">
        <f t="shared" si="140"/>
        <v>0</v>
      </c>
      <c r="BD123" s="47">
        <f t="shared" si="141"/>
        <v>0</v>
      </c>
      <c r="BE123" s="604">
        <f t="shared" si="196"/>
        <v>0</v>
      </c>
      <c r="BF123" s="44">
        <f t="shared" si="197"/>
        <v>0</v>
      </c>
      <c r="BG123" s="44">
        <f t="shared" si="198"/>
        <v>0</v>
      </c>
      <c r="BH123" s="44">
        <f t="shared" si="199"/>
        <v>0</v>
      </c>
      <c r="BI123" s="44">
        <f t="shared" si="200"/>
        <v>44000</v>
      </c>
      <c r="BJ123" s="44">
        <f t="shared" si="201"/>
        <v>0</v>
      </c>
      <c r="BK123" s="44">
        <f t="shared" si="142"/>
        <v>0</v>
      </c>
      <c r="BL123" s="44">
        <f t="shared" si="202"/>
        <v>0</v>
      </c>
      <c r="BM123" s="44">
        <f t="shared" si="143"/>
        <v>0</v>
      </c>
      <c r="BN123" s="44">
        <f t="shared" si="203"/>
        <v>0</v>
      </c>
      <c r="BO123" s="44">
        <f t="shared" si="144"/>
        <v>44000</v>
      </c>
      <c r="BP123" s="46">
        <f t="shared" si="145"/>
        <v>0</v>
      </c>
      <c r="BQ123" s="47">
        <f t="shared" si="146"/>
        <v>0</v>
      </c>
      <c r="BR123" s="604">
        <f t="shared" si="204"/>
        <v>0</v>
      </c>
      <c r="BS123" s="44">
        <f t="shared" si="205"/>
        <v>0</v>
      </c>
      <c r="BT123" s="44">
        <f t="shared" si="206"/>
        <v>0</v>
      </c>
      <c r="BU123" s="44">
        <f t="shared" si="207"/>
        <v>0</v>
      </c>
      <c r="BV123" s="44">
        <f t="shared" si="208"/>
        <v>44000</v>
      </c>
      <c r="BW123" s="44">
        <f t="shared" si="209"/>
        <v>0</v>
      </c>
      <c r="BX123" s="44">
        <f t="shared" si="147"/>
        <v>0</v>
      </c>
      <c r="BY123" s="44">
        <f t="shared" si="210"/>
        <v>0</v>
      </c>
      <c r="BZ123" s="44">
        <f t="shared" si="148"/>
        <v>0</v>
      </c>
      <c r="CA123" s="44">
        <f t="shared" si="211"/>
        <v>0</v>
      </c>
      <c r="CB123" s="44">
        <f t="shared" si="149"/>
        <v>44000</v>
      </c>
      <c r="CC123" s="46">
        <f t="shared" si="150"/>
        <v>0</v>
      </c>
      <c r="CD123" s="47">
        <f t="shared" si="151"/>
        <v>0</v>
      </c>
      <c r="CE123" s="604">
        <f t="shared" si="212"/>
        <v>0</v>
      </c>
      <c r="CF123" s="44">
        <f t="shared" si="213"/>
        <v>0</v>
      </c>
      <c r="CG123" s="44">
        <f t="shared" si="214"/>
        <v>0</v>
      </c>
      <c r="CH123" s="44">
        <f t="shared" si="215"/>
        <v>0</v>
      </c>
      <c r="CI123" s="44">
        <f t="shared" si="216"/>
        <v>44000</v>
      </c>
      <c r="CJ123" s="44">
        <f t="shared" si="217"/>
        <v>0</v>
      </c>
      <c r="CK123" s="44">
        <f t="shared" si="152"/>
        <v>0</v>
      </c>
      <c r="CL123" s="44">
        <f t="shared" si="218"/>
        <v>0</v>
      </c>
      <c r="CM123" s="44">
        <f t="shared" si="153"/>
        <v>0</v>
      </c>
      <c r="CN123" s="44">
        <f t="shared" si="219"/>
        <v>0</v>
      </c>
      <c r="CO123" s="44">
        <f t="shared" si="154"/>
        <v>44000</v>
      </c>
      <c r="CP123" s="46">
        <f t="shared" si="155"/>
        <v>0</v>
      </c>
      <c r="CQ123" s="47">
        <f t="shared" si="156"/>
        <v>0</v>
      </c>
      <c r="CR123" s="604">
        <f t="shared" si="220"/>
        <v>0</v>
      </c>
      <c r="CS123" s="44">
        <f t="shared" si="221"/>
        <v>0</v>
      </c>
      <c r="CT123" s="44">
        <f t="shared" si="222"/>
        <v>0</v>
      </c>
      <c r="CU123" s="44">
        <f t="shared" si="223"/>
        <v>0</v>
      </c>
      <c r="CV123" s="44">
        <f t="shared" si="224"/>
        <v>44000</v>
      </c>
      <c r="CW123" s="44">
        <f t="shared" si="225"/>
        <v>0</v>
      </c>
      <c r="CX123" s="44">
        <f t="shared" si="157"/>
        <v>0</v>
      </c>
      <c r="CY123" s="44">
        <f t="shared" si="226"/>
        <v>0</v>
      </c>
      <c r="CZ123" s="44">
        <f t="shared" si="158"/>
        <v>0</v>
      </c>
      <c r="DA123" s="44">
        <f t="shared" si="227"/>
        <v>0</v>
      </c>
      <c r="DB123" s="44">
        <f t="shared" si="159"/>
        <v>44000</v>
      </c>
      <c r="DC123" s="46">
        <f t="shared" si="160"/>
        <v>0</v>
      </c>
      <c r="DD123" s="47">
        <f t="shared" si="161"/>
        <v>0</v>
      </c>
      <c r="DE123" s="604">
        <f t="shared" si="228"/>
        <v>0</v>
      </c>
      <c r="DF123" s="44">
        <f t="shared" si="229"/>
        <v>0</v>
      </c>
      <c r="DG123" s="44">
        <f t="shared" si="230"/>
        <v>0</v>
      </c>
      <c r="DH123" s="44">
        <f t="shared" si="231"/>
        <v>0</v>
      </c>
      <c r="DI123" s="44">
        <f t="shared" si="232"/>
        <v>44000</v>
      </c>
      <c r="DJ123" s="44">
        <f t="shared" si="233"/>
        <v>0</v>
      </c>
      <c r="DK123" s="44">
        <f t="shared" si="162"/>
        <v>0</v>
      </c>
      <c r="DL123" s="44">
        <f t="shared" si="234"/>
        <v>0</v>
      </c>
      <c r="DM123" s="44">
        <f t="shared" si="163"/>
        <v>0</v>
      </c>
      <c r="DN123" s="44">
        <f t="shared" si="235"/>
        <v>0</v>
      </c>
      <c r="DO123" s="44">
        <f t="shared" si="164"/>
        <v>44000</v>
      </c>
      <c r="DP123" s="46">
        <f t="shared" si="165"/>
        <v>0</v>
      </c>
      <c r="DQ123" s="47">
        <f t="shared" si="166"/>
        <v>0</v>
      </c>
      <c r="DR123" s="604">
        <f t="shared" si="236"/>
        <v>0</v>
      </c>
      <c r="DS123" s="44">
        <f t="shared" si="237"/>
        <v>0</v>
      </c>
      <c r="DT123" s="44">
        <f t="shared" si="238"/>
        <v>0</v>
      </c>
      <c r="DU123" s="44">
        <f t="shared" si="239"/>
        <v>0</v>
      </c>
      <c r="DV123" s="44">
        <f t="shared" si="240"/>
        <v>44000</v>
      </c>
      <c r="DW123" s="44">
        <f t="shared" si="241"/>
        <v>0</v>
      </c>
      <c r="DX123" s="44">
        <f t="shared" si="167"/>
        <v>0</v>
      </c>
      <c r="DY123" s="44">
        <f t="shared" si="242"/>
        <v>0</v>
      </c>
      <c r="DZ123" s="44">
        <f t="shared" si="168"/>
        <v>0</v>
      </c>
      <c r="EA123" s="44">
        <f t="shared" si="243"/>
        <v>0</v>
      </c>
      <c r="EB123" s="44">
        <f t="shared" si="169"/>
        <v>44000</v>
      </c>
      <c r="EC123" s="46">
        <f t="shared" si="170"/>
        <v>0</v>
      </c>
      <c r="ED123" s="47">
        <f t="shared" si="171"/>
        <v>0</v>
      </c>
    </row>
    <row r="124" spans="1:134" x14ac:dyDescent="0.35">
      <c r="A124" s="81">
        <v>1993</v>
      </c>
      <c r="B124" s="82" t="s">
        <v>293</v>
      </c>
      <c r="C124" s="82"/>
      <c r="D124" s="83" t="s">
        <v>41</v>
      </c>
      <c r="E124" s="87">
        <v>25000</v>
      </c>
      <c r="F124" s="85">
        <v>34151</v>
      </c>
      <c r="G124" s="86">
        <v>20</v>
      </c>
      <c r="H124" s="179"/>
      <c r="I124" s="180"/>
      <c r="J124" s="181"/>
      <c r="K124" s="42">
        <f t="shared" si="122"/>
        <v>0.05</v>
      </c>
      <c r="L124" s="43">
        <f t="shared" si="123"/>
        <v>1250</v>
      </c>
      <c r="M124" s="44">
        <f t="shared" si="124"/>
        <v>1875</v>
      </c>
      <c r="N124" s="44"/>
      <c r="O124" s="44">
        <f t="shared" si="125"/>
        <v>23125</v>
      </c>
      <c r="P124" s="45"/>
      <c r="Q124" s="44">
        <f t="shared" si="126"/>
        <v>25000</v>
      </c>
      <c r="R124" s="604">
        <f t="shared" si="172"/>
        <v>0</v>
      </c>
      <c r="S124" s="44">
        <f t="shared" si="173"/>
        <v>0</v>
      </c>
      <c r="T124" s="44">
        <f t="shared" si="174"/>
        <v>0</v>
      </c>
      <c r="U124" s="44">
        <f t="shared" si="175"/>
        <v>0</v>
      </c>
      <c r="V124" s="44">
        <f t="shared" si="176"/>
        <v>25000</v>
      </c>
      <c r="W124" s="44">
        <f t="shared" si="177"/>
        <v>25000</v>
      </c>
      <c r="X124" s="44">
        <f t="shared" si="127"/>
        <v>1250</v>
      </c>
      <c r="Y124" s="44">
        <f t="shared" si="178"/>
        <v>1250</v>
      </c>
      <c r="Z124" s="44">
        <f t="shared" si="128"/>
        <v>625</v>
      </c>
      <c r="AA124" s="44">
        <f t="shared" si="179"/>
        <v>625</v>
      </c>
      <c r="AB124" s="44">
        <f t="shared" si="129"/>
        <v>24375</v>
      </c>
      <c r="AC124" s="46">
        <f t="shared" si="130"/>
        <v>0</v>
      </c>
      <c r="AD124" s="47">
        <f t="shared" si="131"/>
        <v>0</v>
      </c>
      <c r="AE124" s="604">
        <f t="shared" si="180"/>
        <v>0</v>
      </c>
      <c r="AF124" s="44">
        <f t="shared" si="181"/>
        <v>0</v>
      </c>
      <c r="AG124" s="44">
        <f t="shared" si="182"/>
        <v>0</v>
      </c>
      <c r="AH124" s="44">
        <f t="shared" si="183"/>
        <v>0</v>
      </c>
      <c r="AI124" s="44">
        <f t="shared" si="184"/>
        <v>25000</v>
      </c>
      <c r="AJ124" s="44">
        <f t="shared" si="185"/>
        <v>12500</v>
      </c>
      <c r="AK124" s="44">
        <f t="shared" si="132"/>
        <v>625</v>
      </c>
      <c r="AL124" s="44">
        <f t="shared" si="186"/>
        <v>625</v>
      </c>
      <c r="AM124" s="44">
        <f t="shared" si="133"/>
        <v>0</v>
      </c>
      <c r="AN124" s="44">
        <f t="shared" si="187"/>
        <v>0</v>
      </c>
      <c r="AO124" s="44">
        <f t="shared" si="134"/>
        <v>25000</v>
      </c>
      <c r="AP124" s="46">
        <f t="shared" si="135"/>
        <v>0</v>
      </c>
      <c r="AQ124" s="47">
        <f t="shared" si="136"/>
        <v>0</v>
      </c>
      <c r="AR124" s="604">
        <f t="shared" si="188"/>
        <v>0</v>
      </c>
      <c r="AS124" s="44">
        <f t="shared" si="189"/>
        <v>0</v>
      </c>
      <c r="AT124" s="44">
        <f t="shared" si="190"/>
        <v>0</v>
      </c>
      <c r="AU124" s="44">
        <f t="shared" si="191"/>
        <v>0</v>
      </c>
      <c r="AV124" s="44">
        <f t="shared" si="192"/>
        <v>25000</v>
      </c>
      <c r="AW124" s="44">
        <f t="shared" si="193"/>
        <v>0</v>
      </c>
      <c r="AX124" s="44">
        <f t="shared" si="137"/>
        <v>0</v>
      </c>
      <c r="AY124" s="44">
        <f t="shared" si="194"/>
        <v>0</v>
      </c>
      <c r="AZ124" s="44">
        <f t="shared" si="138"/>
        <v>0</v>
      </c>
      <c r="BA124" s="44">
        <f t="shared" si="195"/>
        <v>0</v>
      </c>
      <c r="BB124" s="44">
        <f t="shared" si="139"/>
        <v>25000</v>
      </c>
      <c r="BC124" s="46">
        <f t="shared" si="140"/>
        <v>0</v>
      </c>
      <c r="BD124" s="47">
        <f t="shared" si="141"/>
        <v>0</v>
      </c>
      <c r="BE124" s="604">
        <f t="shared" si="196"/>
        <v>0</v>
      </c>
      <c r="BF124" s="44">
        <f t="shared" si="197"/>
        <v>0</v>
      </c>
      <c r="BG124" s="44">
        <f t="shared" si="198"/>
        <v>0</v>
      </c>
      <c r="BH124" s="44">
        <f t="shared" si="199"/>
        <v>0</v>
      </c>
      <c r="BI124" s="44">
        <f t="shared" si="200"/>
        <v>25000</v>
      </c>
      <c r="BJ124" s="44">
        <f t="shared" si="201"/>
        <v>0</v>
      </c>
      <c r="BK124" s="44">
        <f t="shared" si="142"/>
        <v>0</v>
      </c>
      <c r="BL124" s="44">
        <f t="shared" si="202"/>
        <v>0</v>
      </c>
      <c r="BM124" s="44">
        <f t="shared" si="143"/>
        <v>0</v>
      </c>
      <c r="BN124" s="44">
        <f t="shared" si="203"/>
        <v>0</v>
      </c>
      <c r="BO124" s="44">
        <f t="shared" si="144"/>
        <v>25000</v>
      </c>
      <c r="BP124" s="46">
        <f t="shared" si="145"/>
        <v>0</v>
      </c>
      <c r="BQ124" s="47">
        <f t="shared" si="146"/>
        <v>0</v>
      </c>
      <c r="BR124" s="604">
        <f t="shared" si="204"/>
        <v>0</v>
      </c>
      <c r="BS124" s="44">
        <f t="shared" si="205"/>
        <v>0</v>
      </c>
      <c r="BT124" s="44">
        <f t="shared" si="206"/>
        <v>0</v>
      </c>
      <c r="BU124" s="44">
        <f t="shared" si="207"/>
        <v>0</v>
      </c>
      <c r="BV124" s="44">
        <f t="shared" si="208"/>
        <v>25000</v>
      </c>
      <c r="BW124" s="44">
        <f t="shared" si="209"/>
        <v>0</v>
      </c>
      <c r="BX124" s="44">
        <f t="shared" si="147"/>
        <v>0</v>
      </c>
      <c r="BY124" s="44">
        <f t="shared" si="210"/>
        <v>0</v>
      </c>
      <c r="BZ124" s="44">
        <f t="shared" si="148"/>
        <v>0</v>
      </c>
      <c r="CA124" s="44">
        <f t="shared" si="211"/>
        <v>0</v>
      </c>
      <c r="CB124" s="44">
        <f t="shared" si="149"/>
        <v>25000</v>
      </c>
      <c r="CC124" s="46">
        <f t="shared" si="150"/>
        <v>0</v>
      </c>
      <c r="CD124" s="47">
        <f t="shared" si="151"/>
        <v>0</v>
      </c>
      <c r="CE124" s="604">
        <f t="shared" si="212"/>
        <v>0</v>
      </c>
      <c r="CF124" s="44">
        <f t="shared" si="213"/>
        <v>0</v>
      </c>
      <c r="CG124" s="44">
        <f t="shared" si="214"/>
        <v>0</v>
      </c>
      <c r="CH124" s="44">
        <f t="shared" si="215"/>
        <v>0</v>
      </c>
      <c r="CI124" s="44">
        <f t="shared" si="216"/>
        <v>25000</v>
      </c>
      <c r="CJ124" s="44">
        <f t="shared" si="217"/>
        <v>0</v>
      </c>
      <c r="CK124" s="44">
        <f t="shared" si="152"/>
        <v>0</v>
      </c>
      <c r="CL124" s="44">
        <f t="shared" si="218"/>
        <v>0</v>
      </c>
      <c r="CM124" s="44">
        <f t="shared" si="153"/>
        <v>0</v>
      </c>
      <c r="CN124" s="44">
        <f t="shared" si="219"/>
        <v>0</v>
      </c>
      <c r="CO124" s="44">
        <f t="shared" si="154"/>
        <v>25000</v>
      </c>
      <c r="CP124" s="46">
        <f t="shared" si="155"/>
        <v>0</v>
      </c>
      <c r="CQ124" s="47">
        <f t="shared" si="156"/>
        <v>0</v>
      </c>
      <c r="CR124" s="604">
        <f t="shared" si="220"/>
        <v>0</v>
      </c>
      <c r="CS124" s="44">
        <f t="shared" si="221"/>
        <v>0</v>
      </c>
      <c r="CT124" s="44">
        <f t="shared" si="222"/>
        <v>0</v>
      </c>
      <c r="CU124" s="44">
        <f t="shared" si="223"/>
        <v>0</v>
      </c>
      <c r="CV124" s="44">
        <f t="shared" si="224"/>
        <v>25000</v>
      </c>
      <c r="CW124" s="44">
        <f t="shared" si="225"/>
        <v>0</v>
      </c>
      <c r="CX124" s="44">
        <f t="shared" si="157"/>
        <v>0</v>
      </c>
      <c r="CY124" s="44">
        <f t="shared" si="226"/>
        <v>0</v>
      </c>
      <c r="CZ124" s="44">
        <f t="shared" si="158"/>
        <v>0</v>
      </c>
      <c r="DA124" s="44">
        <f t="shared" si="227"/>
        <v>0</v>
      </c>
      <c r="DB124" s="44">
        <f t="shared" si="159"/>
        <v>25000</v>
      </c>
      <c r="DC124" s="46">
        <f t="shared" si="160"/>
        <v>0</v>
      </c>
      <c r="DD124" s="47">
        <f t="shared" si="161"/>
        <v>0</v>
      </c>
      <c r="DE124" s="604">
        <f t="shared" si="228"/>
        <v>0</v>
      </c>
      <c r="DF124" s="44">
        <f t="shared" si="229"/>
        <v>0</v>
      </c>
      <c r="DG124" s="44">
        <f t="shared" si="230"/>
        <v>0</v>
      </c>
      <c r="DH124" s="44">
        <f t="shared" si="231"/>
        <v>0</v>
      </c>
      <c r="DI124" s="44">
        <f t="shared" si="232"/>
        <v>25000</v>
      </c>
      <c r="DJ124" s="44">
        <f t="shared" si="233"/>
        <v>0</v>
      </c>
      <c r="DK124" s="44">
        <f t="shared" si="162"/>
        <v>0</v>
      </c>
      <c r="DL124" s="44">
        <f t="shared" si="234"/>
        <v>0</v>
      </c>
      <c r="DM124" s="44">
        <f t="shared" si="163"/>
        <v>0</v>
      </c>
      <c r="DN124" s="44">
        <f t="shared" si="235"/>
        <v>0</v>
      </c>
      <c r="DO124" s="44">
        <f t="shared" si="164"/>
        <v>25000</v>
      </c>
      <c r="DP124" s="46">
        <f t="shared" si="165"/>
        <v>0</v>
      </c>
      <c r="DQ124" s="47">
        <f t="shared" si="166"/>
        <v>0</v>
      </c>
      <c r="DR124" s="604">
        <f t="shared" si="236"/>
        <v>0</v>
      </c>
      <c r="DS124" s="44">
        <f t="shared" si="237"/>
        <v>0</v>
      </c>
      <c r="DT124" s="44">
        <f t="shared" si="238"/>
        <v>0</v>
      </c>
      <c r="DU124" s="44">
        <f t="shared" si="239"/>
        <v>0</v>
      </c>
      <c r="DV124" s="44">
        <f t="shared" si="240"/>
        <v>25000</v>
      </c>
      <c r="DW124" s="44">
        <f t="shared" si="241"/>
        <v>0</v>
      </c>
      <c r="DX124" s="44">
        <f t="shared" si="167"/>
        <v>0</v>
      </c>
      <c r="DY124" s="44">
        <f t="shared" si="242"/>
        <v>0</v>
      </c>
      <c r="DZ124" s="44">
        <f t="shared" si="168"/>
        <v>0</v>
      </c>
      <c r="EA124" s="44">
        <f t="shared" si="243"/>
        <v>0</v>
      </c>
      <c r="EB124" s="44">
        <f t="shared" si="169"/>
        <v>25000</v>
      </c>
      <c r="EC124" s="46">
        <f t="shared" si="170"/>
        <v>0</v>
      </c>
      <c r="ED124" s="47">
        <f t="shared" si="171"/>
        <v>0</v>
      </c>
    </row>
    <row r="125" spans="1:134" x14ac:dyDescent="0.35">
      <c r="A125" s="81">
        <v>1994</v>
      </c>
      <c r="B125" s="82" t="s">
        <v>294</v>
      </c>
      <c r="C125" s="82"/>
      <c r="D125" s="83" t="s">
        <v>41</v>
      </c>
      <c r="E125" s="87">
        <v>5000</v>
      </c>
      <c r="F125" s="85">
        <v>34516</v>
      </c>
      <c r="G125" s="86">
        <v>20</v>
      </c>
      <c r="H125" s="179"/>
      <c r="I125" s="180"/>
      <c r="J125" s="181"/>
      <c r="K125" s="42">
        <f t="shared" si="122"/>
        <v>0.05</v>
      </c>
      <c r="L125" s="43">
        <f t="shared" si="123"/>
        <v>250</v>
      </c>
      <c r="M125" s="44">
        <f t="shared" si="124"/>
        <v>625</v>
      </c>
      <c r="N125" s="44"/>
      <c r="O125" s="44">
        <f t="shared" si="125"/>
        <v>4375</v>
      </c>
      <c r="P125" s="45"/>
      <c r="Q125" s="44">
        <f t="shared" si="126"/>
        <v>5000</v>
      </c>
      <c r="R125" s="604">
        <f t="shared" si="172"/>
        <v>0</v>
      </c>
      <c r="S125" s="44">
        <f t="shared" si="173"/>
        <v>0</v>
      </c>
      <c r="T125" s="44">
        <f t="shared" si="174"/>
        <v>0</v>
      </c>
      <c r="U125" s="44">
        <f t="shared" si="175"/>
        <v>0</v>
      </c>
      <c r="V125" s="44">
        <f t="shared" si="176"/>
        <v>5000</v>
      </c>
      <c r="W125" s="44">
        <f t="shared" si="177"/>
        <v>5000</v>
      </c>
      <c r="X125" s="44">
        <f t="shared" si="127"/>
        <v>250</v>
      </c>
      <c r="Y125" s="44">
        <f t="shared" si="178"/>
        <v>250</v>
      </c>
      <c r="Z125" s="44">
        <f t="shared" si="128"/>
        <v>375</v>
      </c>
      <c r="AA125" s="44">
        <f t="shared" si="179"/>
        <v>375</v>
      </c>
      <c r="AB125" s="44">
        <f t="shared" si="129"/>
        <v>4625</v>
      </c>
      <c r="AC125" s="46">
        <f t="shared" si="130"/>
        <v>0</v>
      </c>
      <c r="AD125" s="47">
        <f t="shared" si="131"/>
        <v>0</v>
      </c>
      <c r="AE125" s="604">
        <f t="shared" si="180"/>
        <v>0</v>
      </c>
      <c r="AF125" s="44">
        <f t="shared" si="181"/>
        <v>0</v>
      </c>
      <c r="AG125" s="44">
        <f t="shared" si="182"/>
        <v>0</v>
      </c>
      <c r="AH125" s="44">
        <f t="shared" si="183"/>
        <v>0</v>
      </c>
      <c r="AI125" s="44">
        <f t="shared" si="184"/>
        <v>5000</v>
      </c>
      <c r="AJ125" s="44">
        <f t="shared" si="185"/>
        <v>5000</v>
      </c>
      <c r="AK125" s="44">
        <f t="shared" si="132"/>
        <v>250</v>
      </c>
      <c r="AL125" s="44">
        <f t="shared" si="186"/>
        <v>250</v>
      </c>
      <c r="AM125" s="44">
        <f t="shared" si="133"/>
        <v>125</v>
      </c>
      <c r="AN125" s="44">
        <f t="shared" si="187"/>
        <v>125</v>
      </c>
      <c r="AO125" s="44">
        <f t="shared" si="134"/>
        <v>4875</v>
      </c>
      <c r="AP125" s="46">
        <f t="shared" si="135"/>
        <v>0</v>
      </c>
      <c r="AQ125" s="47">
        <f t="shared" si="136"/>
        <v>0</v>
      </c>
      <c r="AR125" s="604">
        <f t="shared" si="188"/>
        <v>0</v>
      </c>
      <c r="AS125" s="44">
        <f t="shared" si="189"/>
        <v>0</v>
      </c>
      <c r="AT125" s="44">
        <f t="shared" si="190"/>
        <v>0</v>
      </c>
      <c r="AU125" s="44">
        <f t="shared" si="191"/>
        <v>0</v>
      </c>
      <c r="AV125" s="44">
        <f t="shared" si="192"/>
        <v>5000</v>
      </c>
      <c r="AW125" s="44">
        <f t="shared" si="193"/>
        <v>2500</v>
      </c>
      <c r="AX125" s="44">
        <f t="shared" si="137"/>
        <v>125</v>
      </c>
      <c r="AY125" s="44">
        <f t="shared" si="194"/>
        <v>125</v>
      </c>
      <c r="AZ125" s="44">
        <f t="shared" si="138"/>
        <v>0</v>
      </c>
      <c r="BA125" s="44">
        <f t="shared" si="195"/>
        <v>0</v>
      </c>
      <c r="BB125" s="44">
        <f t="shared" si="139"/>
        <v>5000</v>
      </c>
      <c r="BC125" s="46">
        <f t="shared" si="140"/>
        <v>0</v>
      </c>
      <c r="BD125" s="47">
        <f t="shared" si="141"/>
        <v>0</v>
      </c>
      <c r="BE125" s="604">
        <f t="shared" si="196"/>
        <v>0</v>
      </c>
      <c r="BF125" s="44">
        <f t="shared" si="197"/>
        <v>0</v>
      </c>
      <c r="BG125" s="44">
        <f t="shared" si="198"/>
        <v>0</v>
      </c>
      <c r="BH125" s="44">
        <f t="shared" si="199"/>
        <v>0</v>
      </c>
      <c r="BI125" s="44">
        <f t="shared" si="200"/>
        <v>5000</v>
      </c>
      <c r="BJ125" s="44">
        <f t="shared" si="201"/>
        <v>0</v>
      </c>
      <c r="BK125" s="44">
        <f t="shared" si="142"/>
        <v>0</v>
      </c>
      <c r="BL125" s="44">
        <f t="shared" si="202"/>
        <v>0</v>
      </c>
      <c r="BM125" s="44">
        <f t="shared" si="143"/>
        <v>0</v>
      </c>
      <c r="BN125" s="44">
        <f t="shared" si="203"/>
        <v>0</v>
      </c>
      <c r="BO125" s="44">
        <f t="shared" si="144"/>
        <v>5000</v>
      </c>
      <c r="BP125" s="46">
        <f t="shared" si="145"/>
        <v>0</v>
      </c>
      <c r="BQ125" s="47">
        <f t="shared" si="146"/>
        <v>0</v>
      </c>
      <c r="BR125" s="604">
        <f t="shared" si="204"/>
        <v>0</v>
      </c>
      <c r="BS125" s="44">
        <f t="shared" si="205"/>
        <v>0</v>
      </c>
      <c r="BT125" s="44">
        <f t="shared" si="206"/>
        <v>0</v>
      </c>
      <c r="BU125" s="44">
        <f t="shared" si="207"/>
        <v>0</v>
      </c>
      <c r="BV125" s="44">
        <f t="shared" si="208"/>
        <v>5000</v>
      </c>
      <c r="BW125" s="44">
        <f t="shared" si="209"/>
        <v>0</v>
      </c>
      <c r="BX125" s="44">
        <f t="shared" si="147"/>
        <v>0</v>
      </c>
      <c r="BY125" s="44">
        <f t="shared" si="210"/>
        <v>0</v>
      </c>
      <c r="BZ125" s="44">
        <f t="shared" si="148"/>
        <v>0</v>
      </c>
      <c r="CA125" s="44">
        <f t="shared" si="211"/>
        <v>0</v>
      </c>
      <c r="CB125" s="44">
        <f t="shared" si="149"/>
        <v>5000</v>
      </c>
      <c r="CC125" s="46">
        <f t="shared" si="150"/>
        <v>0</v>
      </c>
      <c r="CD125" s="47">
        <f t="shared" si="151"/>
        <v>0</v>
      </c>
      <c r="CE125" s="604">
        <f t="shared" si="212"/>
        <v>0</v>
      </c>
      <c r="CF125" s="44">
        <f t="shared" si="213"/>
        <v>0</v>
      </c>
      <c r="CG125" s="44">
        <f t="shared" si="214"/>
        <v>0</v>
      </c>
      <c r="CH125" s="44">
        <f t="shared" si="215"/>
        <v>0</v>
      </c>
      <c r="CI125" s="44">
        <f t="shared" si="216"/>
        <v>5000</v>
      </c>
      <c r="CJ125" s="44">
        <f t="shared" si="217"/>
        <v>0</v>
      </c>
      <c r="CK125" s="44">
        <f t="shared" si="152"/>
        <v>0</v>
      </c>
      <c r="CL125" s="44">
        <f t="shared" si="218"/>
        <v>0</v>
      </c>
      <c r="CM125" s="44">
        <f t="shared" si="153"/>
        <v>0</v>
      </c>
      <c r="CN125" s="44">
        <f t="shared" si="219"/>
        <v>0</v>
      </c>
      <c r="CO125" s="44">
        <f t="shared" si="154"/>
        <v>5000</v>
      </c>
      <c r="CP125" s="46">
        <f t="shared" si="155"/>
        <v>0</v>
      </c>
      <c r="CQ125" s="47">
        <f t="shared" si="156"/>
        <v>0</v>
      </c>
      <c r="CR125" s="604">
        <f t="shared" si="220"/>
        <v>0</v>
      </c>
      <c r="CS125" s="44">
        <f t="shared" si="221"/>
        <v>0</v>
      </c>
      <c r="CT125" s="44">
        <f t="shared" si="222"/>
        <v>0</v>
      </c>
      <c r="CU125" s="44">
        <f t="shared" si="223"/>
        <v>0</v>
      </c>
      <c r="CV125" s="44">
        <f t="shared" si="224"/>
        <v>5000</v>
      </c>
      <c r="CW125" s="44">
        <f t="shared" si="225"/>
        <v>0</v>
      </c>
      <c r="CX125" s="44">
        <f t="shared" si="157"/>
        <v>0</v>
      </c>
      <c r="CY125" s="44">
        <f t="shared" si="226"/>
        <v>0</v>
      </c>
      <c r="CZ125" s="44">
        <f t="shared" si="158"/>
        <v>0</v>
      </c>
      <c r="DA125" s="44">
        <f t="shared" si="227"/>
        <v>0</v>
      </c>
      <c r="DB125" s="44">
        <f t="shared" si="159"/>
        <v>5000</v>
      </c>
      <c r="DC125" s="46">
        <f t="shared" si="160"/>
        <v>0</v>
      </c>
      <c r="DD125" s="47">
        <f t="shared" si="161"/>
        <v>0</v>
      </c>
      <c r="DE125" s="604">
        <f t="shared" si="228"/>
        <v>0</v>
      </c>
      <c r="DF125" s="44">
        <f t="shared" si="229"/>
        <v>0</v>
      </c>
      <c r="DG125" s="44">
        <f t="shared" si="230"/>
        <v>0</v>
      </c>
      <c r="DH125" s="44">
        <f t="shared" si="231"/>
        <v>0</v>
      </c>
      <c r="DI125" s="44">
        <f t="shared" si="232"/>
        <v>5000</v>
      </c>
      <c r="DJ125" s="44">
        <f t="shared" si="233"/>
        <v>0</v>
      </c>
      <c r="DK125" s="44">
        <f t="shared" si="162"/>
        <v>0</v>
      </c>
      <c r="DL125" s="44">
        <f t="shared" si="234"/>
        <v>0</v>
      </c>
      <c r="DM125" s="44">
        <f t="shared" si="163"/>
        <v>0</v>
      </c>
      <c r="DN125" s="44">
        <f t="shared" si="235"/>
        <v>0</v>
      </c>
      <c r="DO125" s="44">
        <f t="shared" si="164"/>
        <v>5000</v>
      </c>
      <c r="DP125" s="46">
        <f t="shared" si="165"/>
        <v>0</v>
      </c>
      <c r="DQ125" s="47">
        <f t="shared" si="166"/>
        <v>0</v>
      </c>
      <c r="DR125" s="604">
        <f t="shared" si="236"/>
        <v>0</v>
      </c>
      <c r="DS125" s="44">
        <f t="shared" si="237"/>
        <v>0</v>
      </c>
      <c r="DT125" s="44">
        <f t="shared" si="238"/>
        <v>0</v>
      </c>
      <c r="DU125" s="44">
        <f t="shared" si="239"/>
        <v>0</v>
      </c>
      <c r="DV125" s="44">
        <f t="shared" si="240"/>
        <v>5000</v>
      </c>
      <c r="DW125" s="44">
        <f t="shared" si="241"/>
        <v>0</v>
      </c>
      <c r="DX125" s="44">
        <f t="shared" si="167"/>
        <v>0</v>
      </c>
      <c r="DY125" s="44">
        <f t="shared" si="242"/>
        <v>0</v>
      </c>
      <c r="DZ125" s="44">
        <f t="shared" si="168"/>
        <v>0</v>
      </c>
      <c r="EA125" s="44">
        <f t="shared" si="243"/>
        <v>0</v>
      </c>
      <c r="EB125" s="44">
        <f t="shared" si="169"/>
        <v>5000</v>
      </c>
      <c r="EC125" s="46">
        <f t="shared" si="170"/>
        <v>0</v>
      </c>
      <c r="ED125" s="47">
        <f t="shared" si="171"/>
        <v>0</v>
      </c>
    </row>
    <row r="126" spans="1:134" x14ac:dyDescent="0.35">
      <c r="A126" s="81">
        <v>1994</v>
      </c>
      <c r="B126" s="82" t="s">
        <v>295</v>
      </c>
      <c r="C126" s="82"/>
      <c r="D126" s="83" t="s">
        <v>41</v>
      </c>
      <c r="E126" s="87">
        <v>900000</v>
      </c>
      <c r="F126" s="85">
        <v>34516</v>
      </c>
      <c r="G126" s="86">
        <v>25</v>
      </c>
      <c r="H126" s="179"/>
      <c r="I126" s="180"/>
      <c r="J126" s="181"/>
      <c r="K126" s="42">
        <f t="shared" si="122"/>
        <v>0.04</v>
      </c>
      <c r="L126" s="43">
        <f t="shared" si="123"/>
        <v>36000</v>
      </c>
      <c r="M126" s="44">
        <f t="shared" si="124"/>
        <v>270000</v>
      </c>
      <c r="N126" s="44"/>
      <c r="O126" s="44">
        <f t="shared" si="125"/>
        <v>630000</v>
      </c>
      <c r="P126" s="45"/>
      <c r="Q126" s="44">
        <f t="shared" si="126"/>
        <v>900000</v>
      </c>
      <c r="R126" s="604">
        <f t="shared" si="172"/>
        <v>0</v>
      </c>
      <c r="S126" s="44">
        <f t="shared" si="173"/>
        <v>0</v>
      </c>
      <c r="T126" s="44">
        <f t="shared" si="174"/>
        <v>0</v>
      </c>
      <c r="U126" s="44">
        <f t="shared" si="175"/>
        <v>0</v>
      </c>
      <c r="V126" s="44">
        <f t="shared" si="176"/>
        <v>900000</v>
      </c>
      <c r="W126" s="44">
        <f t="shared" si="177"/>
        <v>900000</v>
      </c>
      <c r="X126" s="44">
        <f t="shared" si="127"/>
        <v>36000</v>
      </c>
      <c r="Y126" s="44">
        <f t="shared" si="178"/>
        <v>36000</v>
      </c>
      <c r="Z126" s="44">
        <f t="shared" si="128"/>
        <v>234000</v>
      </c>
      <c r="AA126" s="44">
        <f t="shared" si="179"/>
        <v>234000</v>
      </c>
      <c r="AB126" s="44">
        <f t="shared" si="129"/>
        <v>666000</v>
      </c>
      <c r="AC126" s="46">
        <f t="shared" si="130"/>
        <v>0</v>
      </c>
      <c r="AD126" s="47">
        <f t="shared" si="131"/>
        <v>0</v>
      </c>
      <c r="AE126" s="604">
        <f t="shared" si="180"/>
        <v>0</v>
      </c>
      <c r="AF126" s="44">
        <f t="shared" si="181"/>
        <v>0</v>
      </c>
      <c r="AG126" s="44">
        <f t="shared" si="182"/>
        <v>0</v>
      </c>
      <c r="AH126" s="44">
        <f t="shared" si="183"/>
        <v>0</v>
      </c>
      <c r="AI126" s="44">
        <f t="shared" si="184"/>
        <v>900000</v>
      </c>
      <c r="AJ126" s="44">
        <f t="shared" si="185"/>
        <v>900000</v>
      </c>
      <c r="AK126" s="44">
        <f t="shared" si="132"/>
        <v>36000</v>
      </c>
      <c r="AL126" s="44">
        <f t="shared" si="186"/>
        <v>36000</v>
      </c>
      <c r="AM126" s="44">
        <f t="shared" si="133"/>
        <v>198000</v>
      </c>
      <c r="AN126" s="44">
        <f t="shared" si="187"/>
        <v>198000</v>
      </c>
      <c r="AO126" s="44">
        <f t="shared" si="134"/>
        <v>702000</v>
      </c>
      <c r="AP126" s="46">
        <f t="shared" si="135"/>
        <v>0</v>
      </c>
      <c r="AQ126" s="47">
        <f t="shared" si="136"/>
        <v>0</v>
      </c>
      <c r="AR126" s="604">
        <f t="shared" si="188"/>
        <v>0</v>
      </c>
      <c r="AS126" s="44">
        <f t="shared" si="189"/>
        <v>0</v>
      </c>
      <c r="AT126" s="44">
        <f t="shared" si="190"/>
        <v>0</v>
      </c>
      <c r="AU126" s="44">
        <f t="shared" si="191"/>
        <v>0</v>
      </c>
      <c r="AV126" s="44">
        <f t="shared" si="192"/>
        <v>900000</v>
      </c>
      <c r="AW126" s="44">
        <f t="shared" si="193"/>
        <v>900000</v>
      </c>
      <c r="AX126" s="44">
        <f t="shared" si="137"/>
        <v>36000</v>
      </c>
      <c r="AY126" s="44">
        <f t="shared" si="194"/>
        <v>36000</v>
      </c>
      <c r="AZ126" s="44">
        <f t="shared" si="138"/>
        <v>162000</v>
      </c>
      <c r="BA126" s="44">
        <f t="shared" si="195"/>
        <v>162000</v>
      </c>
      <c r="BB126" s="44">
        <f t="shared" si="139"/>
        <v>738000</v>
      </c>
      <c r="BC126" s="46">
        <f t="shared" si="140"/>
        <v>0</v>
      </c>
      <c r="BD126" s="47">
        <f t="shared" si="141"/>
        <v>0</v>
      </c>
      <c r="BE126" s="604">
        <f t="shared" si="196"/>
        <v>0</v>
      </c>
      <c r="BF126" s="44">
        <f t="shared" si="197"/>
        <v>0</v>
      </c>
      <c r="BG126" s="44">
        <f t="shared" si="198"/>
        <v>0</v>
      </c>
      <c r="BH126" s="44">
        <f t="shared" si="199"/>
        <v>0</v>
      </c>
      <c r="BI126" s="44">
        <f t="shared" si="200"/>
        <v>900000</v>
      </c>
      <c r="BJ126" s="44">
        <f t="shared" si="201"/>
        <v>900000</v>
      </c>
      <c r="BK126" s="44">
        <f t="shared" si="142"/>
        <v>36000</v>
      </c>
      <c r="BL126" s="44">
        <f t="shared" si="202"/>
        <v>36000</v>
      </c>
      <c r="BM126" s="44">
        <f t="shared" si="143"/>
        <v>126000</v>
      </c>
      <c r="BN126" s="44">
        <f t="shared" si="203"/>
        <v>126000</v>
      </c>
      <c r="BO126" s="44">
        <f t="shared" si="144"/>
        <v>774000</v>
      </c>
      <c r="BP126" s="46">
        <f t="shared" si="145"/>
        <v>0</v>
      </c>
      <c r="BQ126" s="47">
        <f t="shared" si="146"/>
        <v>0</v>
      </c>
      <c r="BR126" s="604">
        <f t="shared" si="204"/>
        <v>0</v>
      </c>
      <c r="BS126" s="44">
        <f t="shared" si="205"/>
        <v>0</v>
      </c>
      <c r="BT126" s="44">
        <f t="shared" si="206"/>
        <v>0</v>
      </c>
      <c r="BU126" s="44">
        <f t="shared" si="207"/>
        <v>0</v>
      </c>
      <c r="BV126" s="44">
        <f t="shared" si="208"/>
        <v>900000</v>
      </c>
      <c r="BW126" s="44">
        <f t="shared" si="209"/>
        <v>900000</v>
      </c>
      <c r="BX126" s="44">
        <f t="shared" si="147"/>
        <v>36000</v>
      </c>
      <c r="BY126" s="44">
        <f t="shared" si="210"/>
        <v>36000</v>
      </c>
      <c r="BZ126" s="44">
        <f t="shared" si="148"/>
        <v>90000</v>
      </c>
      <c r="CA126" s="44">
        <f t="shared" si="211"/>
        <v>90000</v>
      </c>
      <c r="CB126" s="44">
        <f t="shared" si="149"/>
        <v>810000</v>
      </c>
      <c r="CC126" s="46">
        <f t="shared" si="150"/>
        <v>0</v>
      </c>
      <c r="CD126" s="47">
        <f t="shared" si="151"/>
        <v>0</v>
      </c>
      <c r="CE126" s="604">
        <f t="shared" si="212"/>
        <v>0</v>
      </c>
      <c r="CF126" s="44">
        <f t="shared" si="213"/>
        <v>0</v>
      </c>
      <c r="CG126" s="44">
        <f t="shared" si="214"/>
        <v>0</v>
      </c>
      <c r="CH126" s="44">
        <f t="shared" si="215"/>
        <v>0</v>
      </c>
      <c r="CI126" s="44">
        <f t="shared" si="216"/>
        <v>900000</v>
      </c>
      <c r="CJ126" s="44">
        <f t="shared" si="217"/>
        <v>900000</v>
      </c>
      <c r="CK126" s="44">
        <f t="shared" si="152"/>
        <v>36000</v>
      </c>
      <c r="CL126" s="44">
        <f t="shared" si="218"/>
        <v>36000</v>
      </c>
      <c r="CM126" s="44">
        <f t="shared" si="153"/>
        <v>54000</v>
      </c>
      <c r="CN126" s="44">
        <f t="shared" si="219"/>
        <v>54000</v>
      </c>
      <c r="CO126" s="44">
        <f t="shared" si="154"/>
        <v>846000</v>
      </c>
      <c r="CP126" s="46">
        <f t="shared" si="155"/>
        <v>0</v>
      </c>
      <c r="CQ126" s="47">
        <f t="shared" si="156"/>
        <v>0</v>
      </c>
      <c r="CR126" s="604">
        <f t="shared" si="220"/>
        <v>0</v>
      </c>
      <c r="CS126" s="44">
        <f t="shared" si="221"/>
        <v>0</v>
      </c>
      <c r="CT126" s="44">
        <f t="shared" si="222"/>
        <v>0</v>
      </c>
      <c r="CU126" s="44">
        <f t="shared" si="223"/>
        <v>0</v>
      </c>
      <c r="CV126" s="44">
        <f t="shared" si="224"/>
        <v>900000</v>
      </c>
      <c r="CW126" s="44">
        <f t="shared" si="225"/>
        <v>900000</v>
      </c>
      <c r="CX126" s="44">
        <f t="shared" si="157"/>
        <v>36000</v>
      </c>
      <c r="CY126" s="44">
        <f t="shared" si="226"/>
        <v>36000</v>
      </c>
      <c r="CZ126" s="44">
        <f t="shared" si="158"/>
        <v>18000</v>
      </c>
      <c r="DA126" s="44">
        <f t="shared" si="227"/>
        <v>18000</v>
      </c>
      <c r="DB126" s="44">
        <f t="shared" si="159"/>
        <v>882000</v>
      </c>
      <c r="DC126" s="46">
        <f t="shared" si="160"/>
        <v>0</v>
      </c>
      <c r="DD126" s="47">
        <f t="shared" si="161"/>
        <v>0</v>
      </c>
      <c r="DE126" s="604">
        <f t="shared" si="228"/>
        <v>0</v>
      </c>
      <c r="DF126" s="44">
        <f t="shared" si="229"/>
        <v>0</v>
      </c>
      <c r="DG126" s="44">
        <f t="shared" si="230"/>
        <v>0</v>
      </c>
      <c r="DH126" s="44">
        <f t="shared" si="231"/>
        <v>0</v>
      </c>
      <c r="DI126" s="44">
        <f t="shared" si="232"/>
        <v>900000</v>
      </c>
      <c r="DJ126" s="44">
        <f t="shared" si="233"/>
        <v>450000</v>
      </c>
      <c r="DK126" s="44">
        <f t="shared" si="162"/>
        <v>18000</v>
      </c>
      <c r="DL126" s="44">
        <f t="shared" si="234"/>
        <v>18000</v>
      </c>
      <c r="DM126" s="44">
        <f t="shared" si="163"/>
        <v>0</v>
      </c>
      <c r="DN126" s="44">
        <f t="shared" si="235"/>
        <v>0</v>
      </c>
      <c r="DO126" s="44">
        <f t="shared" si="164"/>
        <v>900000</v>
      </c>
      <c r="DP126" s="46">
        <f t="shared" si="165"/>
        <v>0</v>
      </c>
      <c r="DQ126" s="47">
        <f t="shared" si="166"/>
        <v>0</v>
      </c>
      <c r="DR126" s="604">
        <f t="shared" si="236"/>
        <v>0</v>
      </c>
      <c r="DS126" s="44">
        <f t="shared" si="237"/>
        <v>0</v>
      </c>
      <c r="DT126" s="44">
        <f t="shared" si="238"/>
        <v>0</v>
      </c>
      <c r="DU126" s="44">
        <f t="shared" si="239"/>
        <v>0</v>
      </c>
      <c r="DV126" s="44">
        <f t="shared" si="240"/>
        <v>900000</v>
      </c>
      <c r="DW126" s="44">
        <f t="shared" si="241"/>
        <v>0</v>
      </c>
      <c r="DX126" s="44">
        <f t="shared" si="167"/>
        <v>0</v>
      </c>
      <c r="DY126" s="44">
        <f t="shared" si="242"/>
        <v>0</v>
      </c>
      <c r="DZ126" s="44">
        <f t="shared" si="168"/>
        <v>0</v>
      </c>
      <c r="EA126" s="44">
        <f t="shared" si="243"/>
        <v>0</v>
      </c>
      <c r="EB126" s="44">
        <f t="shared" si="169"/>
        <v>900000</v>
      </c>
      <c r="EC126" s="46">
        <f t="shared" si="170"/>
        <v>0</v>
      </c>
      <c r="ED126" s="47">
        <f t="shared" si="171"/>
        <v>0</v>
      </c>
    </row>
    <row r="127" spans="1:134" x14ac:dyDescent="0.35">
      <c r="A127" s="81">
        <v>1998</v>
      </c>
      <c r="B127" s="82" t="s">
        <v>296</v>
      </c>
      <c r="C127" s="82"/>
      <c r="D127" s="83" t="s">
        <v>41</v>
      </c>
      <c r="E127" s="87">
        <v>2000</v>
      </c>
      <c r="F127" s="85">
        <v>38899</v>
      </c>
      <c r="G127" s="86">
        <v>4</v>
      </c>
      <c r="H127" s="179"/>
      <c r="I127" s="180"/>
      <c r="J127" s="181"/>
      <c r="K127" s="42">
        <f t="shared" si="122"/>
        <v>0.25</v>
      </c>
      <c r="L127" s="43">
        <f t="shared" si="123"/>
        <v>500</v>
      </c>
      <c r="M127" s="44">
        <f t="shared" si="124"/>
        <v>0</v>
      </c>
      <c r="N127" s="44"/>
      <c r="O127" s="44">
        <f t="shared" si="125"/>
        <v>2000</v>
      </c>
      <c r="P127" s="45"/>
      <c r="Q127" s="44">
        <f t="shared" si="126"/>
        <v>2000</v>
      </c>
      <c r="R127" s="604">
        <f t="shared" si="172"/>
        <v>0</v>
      </c>
      <c r="S127" s="44">
        <f t="shared" si="173"/>
        <v>0</v>
      </c>
      <c r="T127" s="44">
        <f t="shared" si="174"/>
        <v>0</v>
      </c>
      <c r="U127" s="44">
        <f t="shared" si="175"/>
        <v>0</v>
      </c>
      <c r="V127" s="44">
        <f t="shared" si="176"/>
        <v>2000</v>
      </c>
      <c r="W127" s="44">
        <f t="shared" si="177"/>
        <v>0</v>
      </c>
      <c r="X127" s="44">
        <f t="shared" si="127"/>
        <v>0</v>
      </c>
      <c r="Y127" s="44">
        <f t="shared" si="178"/>
        <v>0</v>
      </c>
      <c r="Z127" s="44">
        <f t="shared" si="128"/>
        <v>0</v>
      </c>
      <c r="AA127" s="44">
        <f t="shared" si="179"/>
        <v>0</v>
      </c>
      <c r="AB127" s="44">
        <f t="shared" si="129"/>
        <v>2000</v>
      </c>
      <c r="AC127" s="46">
        <f t="shared" si="130"/>
        <v>0</v>
      </c>
      <c r="AD127" s="47">
        <f t="shared" si="131"/>
        <v>0</v>
      </c>
      <c r="AE127" s="604">
        <f t="shared" si="180"/>
        <v>0</v>
      </c>
      <c r="AF127" s="44">
        <f t="shared" si="181"/>
        <v>0</v>
      </c>
      <c r="AG127" s="44">
        <f t="shared" si="182"/>
        <v>0</v>
      </c>
      <c r="AH127" s="44">
        <f t="shared" si="183"/>
        <v>0</v>
      </c>
      <c r="AI127" s="44">
        <f t="shared" si="184"/>
        <v>2000</v>
      </c>
      <c r="AJ127" s="44">
        <f t="shared" si="185"/>
        <v>0</v>
      </c>
      <c r="AK127" s="44">
        <f t="shared" si="132"/>
        <v>0</v>
      </c>
      <c r="AL127" s="44">
        <f t="shared" si="186"/>
        <v>0</v>
      </c>
      <c r="AM127" s="44">
        <f t="shared" si="133"/>
        <v>0</v>
      </c>
      <c r="AN127" s="44">
        <f t="shared" si="187"/>
        <v>0</v>
      </c>
      <c r="AO127" s="44">
        <f t="shared" si="134"/>
        <v>2000</v>
      </c>
      <c r="AP127" s="46">
        <f t="shared" si="135"/>
        <v>0</v>
      </c>
      <c r="AQ127" s="47">
        <f t="shared" si="136"/>
        <v>0</v>
      </c>
      <c r="AR127" s="604">
        <f t="shared" si="188"/>
        <v>0</v>
      </c>
      <c r="AS127" s="44">
        <f t="shared" si="189"/>
        <v>0</v>
      </c>
      <c r="AT127" s="44">
        <f t="shared" si="190"/>
        <v>0</v>
      </c>
      <c r="AU127" s="44">
        <f t="shared" si="191"/>
        <v>0</v>
      </c>
      <c r="AV127" s="44">
        <f t="shared" si="192"/>
        <v>2000</v>
      </c>
      <c r="AW127" s="44">
        <f t="shared" si="193"/>
        <v>0</v>
      </c>
      <c r="AX127" s="44">
        <f t="shared" si="137"/>
        <v>0</v>
      </c>
      <c r="AY127" s="44">
        <f t="shared" si="194"/>
        <v>0</v>
      </c>
      <c r="AZ127" s="44">
        <f t="shared" si="138"/>
        <v>0</v>
      </c>
      <c r="BA127" s="44">
        <f t="shared" si="195"/>
        <v>0</v>
      </c>
      <c r="BB127" s="44">
        <f t="shared" si="139"/>
        <v>2000</v>
      </c>
      <c r="BC127" s="46">
        <f t="shared" si="140"/>
        <v>0</v>
      </c>
      <c r="BD127" s="47">
        <f t="shared" si="141"/>
        <v>0</v>
      </c>
      <c r="BE127" s="604">
        <f t="shared" si="196"/>
        <v>0</v>
      </c>
      <c r="BF127" s="44">
        <f t="shared" si="197"/>
        <v>0</v>
      </c>
      <c r="BG127" s="44">
        <f t="shared" si="198"/>
        <v>0</v>
      </c>
      <c r="BH127" s="44">
        <f t="shared" si="199"/>
        <v>0</v>
      </c>
      <c r="BI127" s="44">
        <f t="shared" si="200"/>
        <v>2000</v>
      </c>
      <c r="BJ127" s="44">
        <f t="shared" si="201"/>
        <v>0</v>
      </c>
      <c r="BK127" s="44">
        <f t="shared" si="142"/>
        <v>0</v>
      </c>
      <c r="BL127" s="44">
        <f t="shared" si="202"/>
        <v>0</v>
      </c>
      <c r="BM127" s="44">
        <f t="shared" si="143"/>
        <v>0</v>
      </c>
      <c r="BN127" s="44">
        <f t="shared" si="203"/>
        <v>0</v>
      </c>
      <c r="BO127" s="44">
        <f t="shared" si="144"/>
        <v>2000</v>
      </c>
      <c r="BP127" s="46">
        <f t="shared" si="145"/>
        <v>0</v>
      </c>
      <c r="BQ127" s="47">
        <f t="shared" si="146"/>
        <v>0</v>
      </c>
      <c r="BR127" s="604">
        <f t="shared" si="204"/>
        <v>0</v>
      </c>
      <c r="BS127" s="44">
        <f t="shared" si="205"/>
        <v>0</v>
      </c>
      <c r="BT127" s="44">
        <f t="shared" si="206"/>
        <v>0</v>
      </c>
      <c r="BU127" s="44">
        <f t="shared" si="207"/>
        <v>0</v>
      </c>
      <c r="BV127" s="44">
        <f t="shared" si="208"/>
        <v>2000</v>
      </c>
      <c r="BW127" s="44">
        <f t="shared" si="209"/>
        <v>0</v>
      </c>
      <c r="BX127" s="44">
        <f t="shared" si="147"/>
        <v>0</v>
      </c>
      <c r="BY127" s="44">
        <f t="shared" si="210"/>
        <v>0</v>
      </c>
      <c r="BZ127" s="44">
        <f t="shared" si="148"/>
        <v>0</v>
      </c>
      <c r="CA127" s="44">
        <f t="shared" si="211"/>
        <v>0</v>
      </c>
      <c r="CB127" s="44">
        <f t="shared" si="149"/>
        <v>2000</v>
      </c>
      <c r="CC127" s="46">
        <f t="shared" si="150"/>
        <v>0</v>
      </c>
      <c r="CD127" s="47">
        <f t="shared" si="151"/>
        <v>0</v>
      </c>
      <c r="CE127" s="604">
        <f t="shared" si="212"/>
        <v>0</v>
      </c>
      <c r="CF127" s="44">
        <f t="shared" si="213"/>
        <v>0</v>
      </c>
      <c r="CG127" s="44">
        <f t="shared" si="214"/>
        <v>0</v>
      </c>
      <c r="CH127" s="44">
        <f t="shared" si="215"/>
        <v>0</v>
      </c>
      <c r="CI127" s="44">
        <f t="shared" si="216"/>
        <v>2000</v>
      </c>
      <c r="CJ127" s="44">
        <f t="shared" si="217"/>
        <v>0</v>
      </c>
      <c r="CK127" s="44">
        <f t="shared" si="152"/>
        <v>0</v>
      </c>
      <c r="CL127" s="44">
        <f t="shared" si="218"/>
        <v>0</v>
      </c>
      <c r="CM127" s="44">
        <f t="shared" si="153"/>
        <v>0</v>
      </c>
      <c r="CN127" s="44">
        <f t="shared" si="219"/>
        <v>0</v>
      </c>
      <c r="CO127" s="44">
        <f t="shared" si="154"/>
        <v>2000</v>
      </c>
      <c r="CP127" s="46">
        <f t="shared" si="155"/>
        <v>0</v>
      </c>
      <c r="CQ127" s="47">
        <f t="shared" si="156"/>
        <v>0</v>
      </c>
      <c r="CR127" s="604">
        <f t="shared" si="220"/>
        <v>0</v>
      </c>
      <c r="CS127" s="44">
        <f t="shared" si="221"/>
        <v>0</v>
      </c>
      <c r="CT127" s="44">
        <f t="shared" si="222"/>
        <v>0</v>
      </c>
      <c r="CU127" s="44">
        <f t="shared" si="223"/>
        <v>0</v>
      </c>
      <c r="CV127" s="44">
        <f t="shared" si="224"/>
        <v>2000</v>
      </c>
      <c r="CW127" s="44">
        <f t="shared" si="225"/>
        <v>0</v>
      </c>
      <c r="CX127" s="44">
        <f t="shared" si="157"/>
        <v>0</v>
      </c>
      <c r="CY127" s="44">
        <f t="shared" si="226"/>
        <v>0</v>
      </c>
      <c r="CZ127" s="44">
        <f t="shared" si="158"/>
        <v>0</v>
      </c>
      <c r="DA127" s="44">
        <f t="shared" si="227"/>
        <v>0</v>
      </c>
      <c r="DB127" s="44">
        <f t="shared" si="159"/>
        <v>2000</v>
      </c>
      <c r="DC127" s="46">
        <f t="shared" si="160"/>
        <v>0</v>
      </c>
      <c r="DD127" s="47">
        <f t="shared" si="161"/>
        <v>0</v>
      </c>
      <c r="DE127" s="604">
        <f t="shared" si="228"/>
        <v>0</v>
      </c>
      <c r="DF127" s="44">
        <f t="shared" si="229"/>
        <v>0</v>
      </c>
      <c r="DG127" s="44">
        <f t="shared" si="230"/>
        <v>0</v>
      </c>
      <c r="DH127" s="44">
        <f t="shared" si="231"/>
        <v>0</v>
      </c>
      <c r="DI127" s="44">
        <f t="shared" si="232"/>
        <v>2000</v>
      </c>
      <c r="DJ127" s="44">
        <f t="shared" si="233"/>
        <v>0</v>
      </c>
      <c r="DK127" s="44">
        <f t="shared" si="162"/>
        <v>0</v>
      </c>
      <c r="DL127" s="44">
        <f t="shared" si="234"/>
        <v>0</v>
      </c>
      <c r="DM127" s="44">
        <f t="shared" si="163"/>
        <v>0</v>
      </c>
      <c r="DN127" s="44">
        <f t="shared" si="235"/>
        <v>0</v>
      </c>
      <c r="DO127" s="44">
        <f t="shared" si="164"/>
        <v>2000</v>
      </c>
      <c r="DP127" s="46">
        <f t="shared" si="165"/>
        <v>0</v>
      </c>
      <c r="DQ127" s="47">
        <f t="shared" si="166"/>
        <v>0</v>
      </c>
      <c r="DR127" s="604">
        <f t="shared" si="236"/>
        <v>0</v>
      </c>
      <c r="DS127" s="44">
        <f t="shared" si="237"/>
        <v>0</v>
      </c>
      <c r="DT127" s="44">
        <f t="shared" si="238"/>
        <v>0</v>
      </c>
      <c r="DU127" s="44">
        <f t="shared" si="239"/>
        <v>0</v>
      </c>
      <c r="DV127" s="44">
        <f t="shared" si="240"/>
        <v>2000</v>
      </c>
      <c r="DW127" s="44">
        <f t="shared" si="241"/>
        <v>0</v>
      </c>
      <c r="DX127" s="44">
        <f t="shared" si="167"/>
        <v>0</v>
      </c>
      <c r="DY127" s="44">
        <f t="shared" si="242"/>
        <v>0</v>
      </c>
      <c r="DZ127" s="44">
        <f t="shared" si="168"/>
        <v>0</v>
      </c>
      <c r="EA127" s="44">
        <f t="shared" si="243"/>
        <v>0</v>
      </c>
      <c r="EB127" s="44">
        <f t="shared" si="169"/>
        <v>2000</v>
      </c>
      <c r="EC127" s="46">
        <f t="shared" si="170"/>
        <v>0</v>
      </c>
      <c r="ED127" s="47">
        <f t="shared" si="171"/>
        <v>0</v>
      </c>
    </row>
    <row r="128" spans="1:134" x14ac:dyDescent="0.35">
      <c r="A128" s="81">
        <v>1999</v>
      </c>
      <c r="B128" s="82" t="s">
        <v>297</v>
      </c>
      <c r="C128" s="82"/>
      <c r="D128" s="83" t="s">
        <v>41</v>
      </c>
      <c r="E128" s="87">
        <v>8000</v>
      </c>
      <c r="F128" s="85">
        <v>38899</v>
      </c>
      <c r="G128" s="86">
        <v>10</v>
      </c>
      <c r="H128" s="179"/>
      <c r="I128" s="180"/>
      <c r="J128" s="181"/>
      <c r="K128" s="42">
        <f t="shared" si="122"/>
        <v>0.1</v>
      </c>
      <c r="L128" s="43">
        <f t="shared" si="123"/>
        <v>800</v>
      </c>
      <c r="M128" s="44">
        <f t="shared" si="124"/>
        <v>3600</v>
      </c>
      <c r="N128" s="44"/>
      <c r="O128" s="44">
        <f t="shared" si="125"/>
        <v>4400</v>
      </c>
      <c r="P128" s="45"/>
      <c r="Q128" s="44">
        <f t="shared" si="126"/>
        <v>8000</v>
      </c>
      <c r="R128" s="604">
        <f t="shared" si="172"/>
        <v>0</v>
      </c>
      <c r="S128" s="44">
        <f t="shared" si="173"/>
        <v>0</v>
      </c>
      <c r="T128" s="44">
        <f t="shared" si="174"/>
        <v>0</v>
      </c>
      <c r="U128" s="44">
        <f t="shared" si="175"/>
        <v>0</v>
      </c>
      <c r="V128" s="44">
        <f t="shared" si="176"/>
        <v>8000</v>
      </c>
      <c r="W128" s="44">
        <f t="shared" si="177"/>
        <v>8000</v>
      </c>
      <c r="X128" s="44">
        <f t="shared" si="127"/>
        <v>800</v>
      </c>
      <c r="Y128" s="44">
        <f t="shared" si="178"/>
        <v>800</v>
      </c>
      <c r="Z128" s="44">
        <f t="shared" si="128"/>
        <v>2800</v>
      </c>
      <c r="AA128" s="44">
        <f t="shared" si="179"/>
        <v>2800</v>
      </c>
      <c r="AB128" s="44">
        <f t="shared" si="129"/>
        <v>5200</v>
      </c>
      <c r="AC128" s="46">
        <f t="shared" si="130"/>
        <v>0</v>
      </c>
      <c r="AD128" s="47">
        <f t="shared" si="131"/>
        <v>0</v>
      </c>
      <c r="AE128" s="604">
        <f t="shared" si="180"/>
        <v>0</v>
      </c>
      <c r="AF128" s="44">
        <f t="shared" si="181"/>
        <v>0</v>
      </c>
      <c r="AG128" s="44">
        <f t="shared" si="182"/>
        <v>0</v>
      </c>
      <c r="AH128" s="44">
        <f t="shared" si="183"/>
        <v>0</v>
      </c>
      <c r="AI128" s="44">
        <f t="shared" si="184"/>
        <v>8000</v>
      </c>
      <c r="AJ128" s="44">
        <f t="shared" si="185"/>
        <v>8000</v>
      </c>
      <c r="AK128" s="44">
        <f t="shared" si="132"/>
        <v>800</v>
      </c>
      <c r="AL128" s="44">
        <f t="shared" si="186"/>
        <v>800</v>
      </c>
      <c r="AM128" s="44">
        <f t="shared" si="133"/>
        <v>2000</v>
      </c>
      <c r="AN128" s="44">
        <f t="shared" si="187"/>
        <v>2000</v>
      </c>
      <c r="AO128" s="44">
        <f t="shared" si="134"/>
        <v>6000</v>
      </c>
      <c r="AP128" s="46">
        <f t="shared" si="135"/>
        <v>0</v>
      </c>
      <c r="AQ128" s="47">
        <f t="shared" si="136"/>
        <v>0</v>
      </c>
      <c r="AR128" s="604">
        <f t="shared" si="188"/>
        <v>0</v>
      </c>
      <c r="AS128" s="44">
        <f t="shared" si="189"/>
        <v>0</v>
      </c>
      <c r="AT128" s="44">
        <f t="shared" si="190"/>
        <v>0</v>
      </c>
      <c r="AU128" s="44">
        <f t="shared" si="191"/>
        <v>0</v>
      </c>
      <c r="AV128" s="44">
        <f t="shared" si="192"/>
        <v>8000</v>
      </c>
      <c r="AW128" s="44">
        <f t="shared" si="193"/>
        <v>8000</v>
      </c>
      <c r="AX128" s="44">
        <f t="shared" si="137"/>
        <v>800</v>
      </c>
      <c r="AY128" s="44">
        <f t="shared" si="194"/>
        <v>800</v>
      </c>
      <c r="AZ128" s="44">
        <f t="shared" si="138"/>
        <v>1200</v>
      </c>
      <c r="BA128" s="44">
        <f t="shared" si="195"/>
        <v>1200</v>
      </c>
      <c r="BB128" s="44">
        <f t="shared" si="139"/>
        <v>6800</v>
      </c>
      <c r="BC128" s="46">
        <f t="shared" si="140"/>
        <v>0</v>
      </c>
      <c r="BD128" s="47">
        <f t="shared" si="141"/>
        <v>0</v>
      </c>
      <c r="BE128" s="604">
        <f t="shared" si="196"/>
        <v>0</v>
      </c>
      <c r="BF128" s="44">
        <f t="shared" si="197"/>
        <v>0</v>
      </c>
      <c r="BG128" s="44">
        <f t="shared" si="198"/>
        <v>0</v>
      </c>
      <c r="BH128" s="44">
        <f t="shared" si="199"/>
        <v>0</v>
      </c>
      <c r="BI128" s="44">
        <f t="shared" si="200"/>
        <v>8000</v>
      </c>
      <c r="BJ128" s="44">
        <f t="shared" si="201"/>
        <v>8000</v>
      </c>
      <c r="BK128" s="44">
        <f t="shared" si="142"/>
        <v>800</v>
      </c>
      <c r="BL128" s="44">
        <f t="shared" si="202"/>
        <v>800</v>
      </c>
      <c r="BM128" s="44">
        <f t="shared" si="143"/>
        <v>400</v>
      </c>
      <c r="BN128" s="44">
        <f t="shared" si="203"/>
        <v>400</v>
      </c>
      <c r="BO128" s="44">
        <f t="shared" si="144"/>
        <v>7600</v>
      </c>
      <c r="BP128" s="46">
        <f t="shared" si="145"/>
        <v>0</v>
      </c>
      <c r="BQ128" s="47">
        <f t="shared" si="146"/>
        <v>0</v>
      </c>
      <c r="BR128" s="604">
        <f t="shared" si="204"/>
        <v>0</v>
      </c>
      <c r="BS128" s="44">
        <f t="shared" si="205"/>
        <v>0</v>
      </c>
      <c r="BT128" s="44">
        <f t="shared" si="206"/>
        <v>0</v>
      </c>
      <c r="BU128" s="44">
        <f t="shared" si="207"/>
        <v>0</v>
      </c>
      <c r="BV128" s="44">
        <f t="shared" si="208"/>
        <v>8000</v>
      </c>
      <c r="BW128" s="44">
        <f t="shared" si="209"/>
        <v>4000</v>
      </c>
      <c r="BX128" s="44">
        <f t="shared" si="147"/>
        <v>400</v>
      </c>
      <c r="BY128" s="44">
        <f t="shared" si="210"/>
        <v>400</v>
      </c>
      <c r="BZ128" s="44">
        <f t="shared" si="148"/>
        <v>0</v>
      </c>
      <c r="CA128" s="44">
        <f t="shared" si="211"/>
        <v>0</v>
      </c>
      <c r="CB128" s="44">
        <f t="shared" si="149"/>
        <v>8000</v>
      </c>
      <c r="CC128" s="46">
        <f t="shared" si="150"/>
        <v>0</v>
      </c>
      <c r="CD128" s="47">
        <f t="shared" si="151"/>
        <v>0</v>
      </c>
      <c r="CE128" s="604">
        <f t="shared" si="212"/>
        <v>0</v>
      </c>
      <c r="CF128" s="44">
        <f t="shared" si="213"/>
        <v>0</v>
      </c>
      <c r="CG128" s="44">
        <f t="shared" si="214"/>
        <v>0</v>
      </c>
      <c r="CH128" s="44">
        <f t="shared" si="215"/>
        <v>0</v>
      </c>
      <c r="CI128" s="44">
        <f t="shared" si="216"/>
        <v>8000</v>
      </c>
      <c r="CJ128" s="44">
        <f t="shared" si="217"/>
        <v>0</v>
      </c>
      <c r="CK128" s="44">
        <f t="shared" si="152"/>
        <v>0</v>
      </c>
      <c r="CL128" s="44">
        <f t="shared" si="218"/>
        <v>0</v>
      </c>
      <c r="CM128" s="44">
        <f t="shared" si="153"/>
        <v>0</v>
      </c>
      <c r="CN128" s="44">
        <f t="shared" si="219"/>
        <v>0</v>
      </c>
      <c r="CO128" s="44">
        <f t="shared" si="154"/>
        <v>8000</v>
      </c>
      <c r="CP128" s="46">
        <f t="shared" si="155"/>
        <v>0</v>
      </c>
      <c r="CQ128" s="47">
        <f t="shared" si="156"/>
        <v>0</v>
      </c>
      <c r="CR128" s="604">
        <f t="shared" si="220"/>
        <v>0</v>
      </c>
      <c r="CS128" s="44">
        <f t="shared" si="221"/>
        <v>0</v>
      </c>
      <c r="CT128" s="44">
        <f t="shared" si="222"/>
        <v>0</v>
      </c>
      <c r="CU128" s="44">
        <f t="shared" si="223"/>
        <v>0</v>
      </c>
      <c r="CV128" s="44">
        <f t="shared" si="224"/>
        <v>8000</v>
      </c>
      <c r="CW128" s="44">
        <f t="shared" si="225"/>
        <v>0</v>
      </c>
      <c r="CX128" s="44">
        <f t="shared" si="157"/>
        <v>0</v>
      </c>
      <c r="CY128" s="44">
        <f t="shared" si="226"/>
        <v>0</v>
      </c>
      <c r="CZ128" s="44">
        <f t="shared" si="158"/>
        <v>0</v>
      </c>
      <c r="DA128" s="44">
        <f t="shared" si="227"/>
        <v>0</v>
      </c>
      <c r="DB128" s="44">
        <f t="shared" si="159"/>
        <v>8000</v>
      </c>
      <c r="DC128" s="46">
        <f t="shared" si="160"/>
        <v>0</v>
      </c>
      <c r="DD128" s="47">
        <f t="shared" si="161"/>
        <v>0</v>
      </c>
      <c r="DE128" s="604">
        <f t="shared" si="228"/>
        <v>0</v>
      </c>
      <c r="DF128" s="44">
        <f t="shared" si="229"/>
        <v>0</v>
      </c>
      <c r="DG128" s="44">
        <f t="shared" si="230"/>
        <v>0</v>
      </c>
      <c r="DH128" s="44">
        <f t="shared" si="231"/>
        <v>0</v>
      </c>
      <c r="DI128" s="44">
        <f t="shared" si="232"/>
        <v>8000</v>
      </c>
      <c r="DJ128" s="44">
        <f t="shared" si="233"/>
        <v>0</v>
      </c>
      <c r="DK128" s="44">
        <f t="shared" si="162"/>
        <v>0</v>
      </c>
      <c r="DL128" s="44">
        <f t="shared" si="234"/>
        <v>0</v>
      </c>
      <c r="DM128" s="44">
        <f t="shared" si="163"/>
        <v>0</v>
      </c>
      <c r="DN128" s="44">
        <f t="shared" si="235"/>
        <v>0</v>
      </c>
      <c r="DO128" s="44">
        <f t="shared" si="164"/>
        <v>8000</v>
      </c>
      <c r="DP128" s="46">
        <f t="shared" si="165"/>
        <v>0</v>
      </c>
      <c r="DQ128" s="47">
        <f t="shared" si="166"/>
        <v>0</v>
      </c>
      <c r="DR128" s="604">
        <f t="shared" si="236"/>
        <v>0</v>
      </c>
      <c r="DS128" s="44">
        <f t="shared" si="237"/>
        <v>0</v>
      </c>
      <c r="DT128" s="44">
        <f t="shared" si="238"/>
        <v>0</v>
      </c>
      <c r="DU128" s="44">
        <f t="shared" si="239"/>
        <v>0</v>
      </c>
      <c r="DV128" s="44">
        <f t="shared" si="240"/>
        <v>8000</v>
      </c>
      <c r="DW128" s="44">
        <f t="shared" si="241"/>
        <v>0</v>
      </c>
      <c r="DX128" s="44">
        <f t="shared" si="167"/>
        <v>0</v>
      </c>
      <c r="DY128" s="44">
        <f t="shared" si="242"/>
        <v>0</v>
      </c>
      <c r="DZ128" s="44">
        <f t="shared" si="168"/>
        <v>0</v>
      </c>
      <c r="EA128" s="44">
        <f t="shared" si="243"/>
        <v>0</v>
      </c>
      <c r="EB128" s="44">
        <f t="shared" si="169"/>
        <v>8000</v>
      </c>
      <c r="EC128" s="46">
        <f t="shared" si="170"/>
        <v>0</v>
      </c>
      <c r="ED128" s="47">
        <f t="shared" si="171"/>
        <v>0</v>
      </c>
    </row>
    <row r="129" spans="1:134" x14ac:dyDescent="0.35">
      <c r="A129" s="81">
        <v>1999</v>
      </c>
      <c r="B129" s="82" t="s">
        <v>298</v>
      </c>
      <c r="C129" s="82"/>
      <c r="D129" s="83" t="s">
        <v>41</v>
      </c>
      <c r="E129" s="87">
        <v>3000</v>
      </c>
      <c r="F129" s="85">
        <v>38899</v>
      </c>
      <c r="G129" s="86">
        <v>5</v>
      </c>
      <c r="H129" s="179"/>
      <c r="I129" s="180"/>
      <c r="J129" s="181"/>
      <c r="K129" s="42">
        <f t="shared" si="122"/>
        <v>0.2</v>
      </c>
      <c r="L129" s="43">
        <f t="shared" si="123"/>
        <v>600</v>
      </c>
      <c r="M129" s="44">
        <f t="shared" si="124"/>
        <v>0</v>
      </c>
      <c r="N129" s="44"/>
      <c r="O129" s="44">
        <f t="shared" si="125"/>
        <v>3000</v>
      </c>
      <c r="P129" s="45"/>
      <c r="Q129" s="44">
        <f t="shared" si="126"/>
        <v>3000</v>
      </c>
      <c r="R129" s="604">
        <f t="shared" si="172"/>
        <v>0</v>
      </c>
      <c r="S129" s="44">
        <f t="shared" si="173"/>
        <v>0</v>
      </c>
      <c r="T129" s="44">
        <f t="shared" si="174"/>
        <v>0</v>
      </c>
      <c r="U129" s="44">
        <f t="shared" si="175"/>
        <v>0</v>
      </c>
      <c r="V129" s="44">
        <f t="shared" si="176"/>
        <v>3000</v>
      </c>
      <c r="W129" s="44">
        <f t="shared" si="177"/>
        <v>0</v>
      </c>
      <c r="X129" s="44">
        <f t="shared" si="127"/>
        <v>0</v>
      </c>
      <c r="Y129" s="44">
        <f t="shared" si="178"/>
        <v>0</v>
      </c>
      <c r="Z129" s="44">
        <f t="shared" si="128"/>
        <v>0</v>
      </c>
      <c r="AA129" s="44">
        <f t="shared" si="179"/>
        <v>0</v>
      </c>
      <c r="AB129" s="44">
        <f t="shared" si="129"/>
        <v>3000</v>
      </c>
      <c r="AC129" s="46">
        <f t="shared" si="130"/>
        <v>0</v>
      </c>
      <c r="AD129" s="47">
        <f t="shared" si="131"/>
        <v>0</v>
      </c>
      <c r="AE129" s="604">
        <f t="shared" si="180"/>
        <v>0</v>
      </c>
      <c r="AF129" s="44">
        <f t="shared" si="181"/>
        <v>0</v>
      </c>
      <c r="AG129" s="44">
        <f t="shared" si="182"/>
        <v>0</v>
      </c>
      <c r="AH129" s="44">
        <f t="shared" si="183"/>
        <v>0</v>
      </c>
      <c r="AI129" s="44">
        <f t="shared" si="184"/>
        <v>3000</v>
      </c>
      <c r="AJ129" s="44">
        <f t="shared" si="185"/>
        <v>0</v>
      </c>
      <c r="AK129" s="44">
        <f t="shared" si="132"/>
        <v>0</v>
      </c>
      <c r="AL129" s="44">
        <f t="shared" si="186"/>
        <v>0</v>
      </c>
      <c r="AM129" s="44">
        <f t="shared" si="133"/>
        <v>0</v>
      </c>
      <c r="AN129" s="44">
        <f t="shared" si="187"/>
        <v>0</v>
      </c>
      <c r="AO129" s="44">
        <f t="shared" si="134"/>
        <v>3000</v>
      </c>
      <c r="AP129" s="46">
        <f t="shared" si="135"/>
        <v>0</v>
      </c>
      <c r="AQ129" s="47">
        <f t="shared" si="136"/>
        <v>0</v>
      </c>
      <c r="AR129" s="604">
        <f t="shared" si="188"/>
        <v>0</v>
      </c>
      <c r="AS129" s="44">
        <f t="shared" si="189"/>
        <v>0</v>
      </c>
      <c r="AT129" s="44">
        <f t="shared" si="190"/>
        <v>0</v>
      </c>
      <c r="AU129" s="44">
        <f t="shared" si="191"/>
        <v>0</v>
      </c>
      <c r="AV129" s="44">
        <f t="shared" si="192"/>
        <v>3000</v>
      </c>
      <c r="AW129" s="44">
        <f t="shared" si="193"/>
        <v>0</v>
      </c>
      <c r="AX129" s="44">
        <f t="shared" si="137"/>
        <v>0</v>
      </c>
      <c r="AY129" s="44">
        <f t="shared" si="194"/>
        <v>0</v>
      </c>
      <c r="AZ129" s="44">
        <f t="shared" si="138"/>
        <v>0</v>
      </c>
      <c r="BA129" s="44">
        <f t="shared" si="195"/>
        <v>0</v>
      </c>
      <c r="BB129" s="44">
        <f t="shared" si="139"/>
        <v>3000</v>
      </c>
      <c r="BC129" s="46">
        <f t="shared" si="140"/>
        <v>0</v>
      </c>
      <c r="BD129" s="47">
        <f t="shared" si="141"/>
        <v>0</v>
      </c>
      <c r="BE129" s="604">
        <f t="shared" si="196"/>
        <v>0</v>
      </c>
      <c r="BF129" s="44">
        <f t="shared" si="197"/>
        <v>0</v>
      </c>
      <c r="BG129" s="44">
        <f t="shared" si="198"/>
        <v>0</v>
      </c>
      <c r="BH129" s="44">
        <f t="shared" si="199"/>
        <v>0</v>
      </c>
      <c r="BI129" s="44">
        <f t="shared" si="200"/>
        <v>3000</v>
      </c>
      <c r="BJ129" s="44">
        <f t="shared" si="201"/>
        <v>0</v>
      </c>
      <c r="BK129" s="44">
        <f t="shared" si="142"/>
        <v>0</v>
      </c>
      <c r="BL129" s="44">
        <f t="shared" si="202"/>
        <v>0</v>
      </c>
      <c r="BM129" s="44">
        <f t="shared" si="143"/>
        <v>0</v>
      </c>
      <c r="BN129" s="44">
        <f t="shared" si="203"/>
        <v>0</v>
      </c>
      <c r="BO129" s="44">
        <f t="shared" si="144"/>
        <v>3000</v>
      </c>
      <c r="BP129" s="46">
        <f t="shared" si="145"/>
        <v>0</v>
      </c>
      <c r="BQ129" s="47">
        <f t="shared" si="146"/>
        <v>0</v>
      </c>
      <c r="BR129" s="604">
        <f t="shared" si="204"/>
        <v>0</v>
      </c>
      <c r="BS129" s="44">
        <f t="shared" si="205"/>
        <v>0</v>
      </c>
      <c r="BT129" s="44">
        <f t="shared" si="206"/>
        <v>0</v>
      </c>
      <c r="BU129" s="44">
        <f t="shared" si="207"/>
        <v>0</v>
      </c>
      <c r="BV129" s="44">
        <f t="shared" si="208"/>
        <v>3000</v>
      </c>
      <c r="BW129" s="44">
        <f t="shared" si="209"/>
        <v>0</v>
      </c>
      <c r="BX129" s="44">
        <f t="shared" si="147"/>
        <v>0</v>
      </c>
      <c r="BY129" s="44">
        <f t="shared" si="210"/>
        <v>0</v>
      </c>
      <c r="BZ129" s="44">
        <f t="shared" si="148"/>
        <v>0</v>
      </c>
      <c r="CA129" s="44">
        <f t="shared" si="211"/>
        <v>0</v>
      </c>
      <c r="CB129" s="44">
        <f t="shared" si="149"/>
        <v>3000</v>
      </c>
      <c r="CC129" s="46">
        <f t="shared" si="150"/>
        <v>0</v>
      </c>
      <c r="CD129" s="47">
        <f t="shared" si="151"/>
        <v>0</v>
      </c>
      <c r="CE129" s="604">
        <f t="shared" si="212"/>
        <v>0</v>
      </c>
      <c r="CF129" s="44">
        <f t="shared" si="213"/>
        <v>0</v>
      </c>
      <c r="CG129" s="44">
        <f t="shared" si="214"/>
        <v>0</v>
      </c>
      <c r="CH129" s="44">
        <f t="shared" si="215"/>
        <v>0</v>
      </c>
      <c r="CI129" s="44">
        <f t="shared" si="216"/>
        <v>3000</v>
      </c>
      <c r="CJ129" s="44">
        <f t="shared" si="217"/>
        <v>0</v>
      </c>
      <c r="CK129" s="44">
        <f t="shared" si="152"/>
        <v>0</v>
      </c>
      <c r="CL129" s="44">
        <f t="shared" si="218"/>
        <v>0</v>
      </c>
      <c r="CM129" s="44">
        <f t="shared" si="153"/>
        <v>0</v>
      </c>
      <c r="CN129" s="44">
        <f t="shared" si="219"/>
        <v>0</v>
      </c>
      <c r="CO129" s="44">
        <f t="shared" si="154"/>
        <v>3000</v>
      </c>
      <c r="CP129" s="46">
        <f t="shared" si="155"/>
        <v>0</v>
      </c>
      <c r="CQ129" s="47">
        <f t="shared" si="156"/>
        <v>0</v>
      </c>
      <c r="CR129" s="604">
        <f t="shared" si="220"/>
        <v>0</v>
      </c>
      <c r="CS129" s="44">
        <f t="shared" si="221"/>
        <v>0</v>
      </c>
      <c r="CT129" s="44">
        <f t="shared" si="222"/>
        <v>0</v>
      </c>
      <c r="CU129" s="44">
        <f t="shared" si="223"/>
        <v>0</v>
      </c>
      <c r="CV129" s="44">
        <f t="shared" si="224"/>
        <v>3000</v>
      </c>
      <c r="CW129" s="44">
        <f t="shared" si="225"/>
        <v>0</v>
      </c>
      <c r="CX129" s="44">
        <f t="shared" si="157"/>
        <v>0</v>
      </c>
      <c r="CY129" s="44">
        <f t="shared" si="226"/>
        <v>0</v>
      </c>
      <c r="CZ129" s="44">
        <f t="shared" si="158"/>
        <v>0</v>
      </c>
      <c r="DA129" s="44">
        <f t="shared" si="227"/>
        <v>0</v>
      </c>
      <c r="DB129" s="44">
        <f t="shared" si="159"/>
        <v>3000</v>
      </c>
      <c r="DC129" s="46">
        <f t="shared" si="160"/>
        <v>0</v>
      </c>
      <c r="DD129" s="47">
        <f t="shared" si="161"/>
        <v>0</v>
      </c>
      <c r="DE129" s="604">
        <f t="shared" si="228"/>
        <v>0</v>
      </c>
      <c r="DF129" s="44">
        <f t="shared" si="229"/>
        <v>0</v>
      </c>
      <c r="DG129" s="44">
        <f t="shared" si="230"/>
        <v>0</v>
      </c>
      <c r="DH129" s="44">
        <f t="shared" si="231"/>
        <v>0</v>
      </c>
      <c r="DI129" s="44">
        <f t="shared" si="232"/>
        <v>3000</v>
      </c>
      <c r="DJ129" s="44">
        <f t="shared" si="233"/>
        <v>0</v>
      </c>
      <c r="DK129" s="44">
        <f t="shared" si="162"/>
        <v>0</v>
      </c>
      <c r="DL129" s="44">
        <f t="shared" si="234"/>
        <v>0</v>
      </c>
      <c r="DM129" s="44">
        <f t="shared" si="163"/>
        <v>0</v>
      </c>
      <c r="DN129" s="44">
        <f t="shared" si="235"/>
        <v>0</v>
      </c>
      <c r="DO129" s="44">
        <f t="shared" si="164"/>
        <v>3000</v>
      </c>
      <c r="DP129" s="46">
        <f t="shared" si="165"/>
        <v>0</v>
      </c>
      <c r="DQ129" s="47">
        <f t="shared" si="166"/>
        <v>0</v>
      </c>
      <c r="DR129" s="604">
        <f t="shared" si="236"/>
        <v>0</v>
      </c>
      <c r="DS129" s="44">
        <f t="shared" si="237"/>
        <v>0</v>
      </c>
      <c r="DT129" s="44">
        <f t="shared" si="238"/>
        <v>0</v>
      </c>
      <c r="DU129" s="44">
        <f t="shared" si="239"/>
        <v>0</v>
      </c>
      <c r="DV129" s="44">
        <f t="shared" si="240"/>
        <v>3000</v>
      </c>
      <c r="DW129" s="44">
        <f t="shared" si="241"/>
        <v>0</v>
      </c>
      <c r="DX129" s="44">
        <f t="shared" si="167"/>
        <v>0</v>
      </c>
      <c r="DY129" s="44">
        <f t="shared" si="242"/>
        <v>0</v>
      </c>
      <c r="DZ129" s="44">
        <f t="shared" si="168"/>
        <v>0</v>
      </c>
      <c r="EA129" s="44">
        <f t="shared" si="243"/>
        <v>0</v>
      </c>
      <c r="EB129" s="44">
        <f t="shared" si="169"/>
        <v>3000</v>
      </c>
      <c r="EC129" s="46">
        <f t="shared" si="170"/>
        <v>0</v>
      </c>
      <c r="ED129" s="47">
        <f t="shared" si="171"/>
        <v>0</v>
      </c>
    </row>
    <row r="130" spans="1:134" x14ac:dyDescent="0.35">
      <c r="A130" s="81">
        <v>1999</v>
      </c>
      <c r="B130" s="82" t="s">
        <v>299</v>
      </c>
      <c r="C130" s="82"/>
      <c r="D130" s="83" t="s">
        <v>41</v>
      </c>
      <c r="E130" s="87">
        <v>17000</v>
      </c>
      <c r="F130" s="85">
        <v>38899</v>
      </c>
      <c r="G130" s="86">
        <v>20</v>
      </c>
      <c r="H130" s="179"/>
      <c r="I130" s="180"/>
      <c r="J130" s="181"/>
      <c r="K130" s="42">
        <f t="shared" si="122"/>
        <v>0.05</v>
      </c>
      <c r="L130" s="43">
        <f t="shared" si="123"/>
        <v>850</v>
      </c>
      <c r="M130" s="44">
        <f t="shared" si="124"/>
        <v>12325</v>
      </c>
      <c r="N130" s="44"/>
      <c r="O130" s="44">
        <f t="shared" si="125"/>
        <v>4675</v>
      </c>
      <c r="P130" s="45"/>
      <c r="Q130" s="44">
        <f t="shared" si="126"/>
        <v>17000</v>
      </c>
      <c r="R130" s="604">
        <f t="shared" si="172"/>
        <v>0</v>
      </c>
      <c r="S130" s="44">
        <f t="shared" si="173"/>
        <v>0</v>
      </c>
      <c r="T130" s="44">
        <f t="shared" si="174"/>
        <v>0</v>
      </c>
      <c r="U130" s="44">
        <f t="shared" si="175"/>
        <v>0</v>
      </c>
      <c r="V130" s="44">
        <f t="shared" si="176"/>
        <v>17000</v>
      </c>
      <c r="W130" s="44">
        <f t="shared" si="177"/>
        <v>17000</v>
      </c>
      <c r="X130" s="44">
        <f t="shared" si="127"/>
        <v>850</v>
      </c>
      <c r="Y130" s="44">
        <f t="shared" si="178"/>
        <v>850</v>
      </c>
      <c r="Z130" s="44">
        <f t="shared" si="128"/>
        <v>11475</v>
      </c>
      <c r="AA130" s="44">
        <f t="shared" si="179"/>
        <v>11475</v>
      </c>
      <c r="AB130" s="44">
        <f t="shared" si="129"/>
        <v>5525</v>
      </c>
      <c r="AC130" s="46">
        <f t="shared" si="130"/>
        <v>0</v>
      </c>
      <c r="AD130" s="47">
        <f t="shared" si="131"/>
        <v>0</v>
      </c>
      <c r="AE130" s="604">
        <f t="shared" si="180"/>
        <v>0</v>
      </c>
      <c r="AF130" s="44">
        <f t="shared" si="181"/>
        <v>0</v>
      </c>
      <c r="AG130" s="44">
        <f t="shared" si="182"/>
        <v>0</v>
      </c>
      <c r="AH130" s="44">
        <f t="shared" si="183"/>
        <v>0</v>
      </c>
      <c r="AI130" s="44">
        <f t="shared" si="184"/>
        <v>17000</v>
      </c>
      <c r="AJ130" s="44">
        <f t="shared" si="185"/>
        <v>17000</v>
      </c>
      <c r="AK130" s="44">
        <f t="shared" si="132"/>
        <v>850</v>
      </c>
      <c r="AL130" s="44">
        <f t="shared" si="186"/>
        <v>850</v>
      </c>
      <c r="AM130" s="44">
        <f t="shared" si="133"/>
        <v>10625</v>
      </c>
      <c r="AN130" s="44">
        <f t="shared" si="187"/>
        <v>10625</v>
      </c>
      <c r="AO130" s="44">
        <f t="shared" si="134"/>
        <v>6375</v>
      </c>
      <c r="AP130" s="46">
        <f t="shared" si="135"/>
        <v>0</v>
      </c>
      <c r="AQ130" s="47">
        <f t="shared" si="136"/>
        <v>0</v>
      </c>
      <c r="AR130" s="604">
        <f t="shared" si="188"/>
        <v>0</v>
      </c>
      <c r="AS130" s="44">
        <f t="shared" si="189"/>
        <v>0</v>
      </c>
      <c r="AT130" s="44">
        <f t="shared" si="190"/>
        <v>0</v>
      </c>
      <c r="AU130" s="44">
        <f t="shared" si="191"/>
        <v>0</v>
      </c>
      <c r="AV130" s="44">
        <f t="shared" si="192"/>
        <v>17000</v>
      </c>
      <c r="AW130" s="44">
        <f t="shared" si="193"/>
        <v>17000</v>
      </c>
      <c r="AX130" s="44">
        <f t="shared" si="137"/>
        <v>850</v>
      </c>
      <c r="AY130" s="44">
        <f t="shared" si="194"/>
        <v>850</v>
      </c>
      <c r="AZ130" s="44">
        <f t="shared" si="138"/>
        <v>9775</v>
      </c>
      <c r="BA130" s="44">
        <f t="shared" si="195"/>
        <v>9775</v>
      </c>
      <c r="BB130" s="44">
        <f t="shared" si="139"/>
        <v>7225</v>
      </c>
      <c r="BC130" s="46">
        <f t="shared" si="140"/>
        <v>0</v>
      </c>
      <c r="BD130" s="47">
        <f t="shared" si="141"/>
        <v>0</v>
      </c>
      <c r="BE130" s="604">
        <f t="shared" si="196"/>
        <v>0</v>
      </c>
      <c r="BF130" s="44">
        <f t="shared" si="197"/>
        <v>0</v>
      </c>
      <c r="BG130" s="44">
        <f t="shared" si="198"/>
        <v>0</v>
      </c>
      <c r="BH130" s="44">
        <f t="shared" si="199"/>
        <v>0</v>
      </c>
      <c r="BI130" s="44">
        <f t="shared" si="200"/>
        <v>17000</v>
      </c>
      <c r="BJ130" s="44">
        <f t="shared" si="201"/>
        <v>17000</v>
      </c>
      <c r="BK130" s="44">
        <f t="shared" si="142"/>
        <v>850</v>
      </c>
      <c r="BL130" s="44">
        <f t="shared" si="202"/>
        <v>850</v>
      </c>
      <c r="BM130" s="44">
        <f t="shared" si="143"/>
        <v>8925</v>
      </c>
      <c r="BN130" s="44">
        <f t="shared" si="203"/>
        <v>8925</v>
      </c>
      <c r="BO130" s="44">
        <f t="shared" si="144"/>
        <v>8075</v>
      </c>
      <c r="BP130" s="46">
        <f t="shared" si="145"/>
        <v>0</v>
      </c>
      <c r="BQ130" s="47">
        <f t="shared" si="146"/>
        <v>0</v>
      </c>
      <c r="BR130" s="604">
        <f t="shared" si="204"/>
        <v>0</v>
      </c>
      <c r="BS130" s="44">
        <f t="shared" si="205"/>
        <v>0</v>
      </c>
      <c r="BT130" s="44">
        <f t="shared" si="206"/>
        <v>0</v>
      </c>
      <c r="BU130" s="44">
        <f t="shared" si="207"/>
        <v>0</v>
      </c>
      <c r="BV130" s="44">
        <f t="shared" si="208"/>
        <v>17000</v>
      </c>
      <c r="BW130" s="44">
        <f t="shared" si="209"/>
        <v>17000</v>
      </c>
      <c r="BX130" s="44">
        <f t="shared" si="147"/>
        <v>850</v>
      </c>
      <c r="BY130" s="44">
        <f t="shared" si="210"/>
        <v>850</v>
      </c>
      <c r="BZ130" s="44">
        <f t="shared" si="148"/>
        <v>8075</v>
      </c>
      <c r="CA130" s="44">
        <f t="shared" si="211"/>
        <v>8075</v>
      </c>
      <c r="CB130" s="44">
        <f t="shared" si="149"/>
        <v>8925</v>
      </c>
      <c r="CC130" s="46">
        <f t="shared" si="150"/>
        <v>0</v>
      </c>
      <c r="CD130" s="47">
        <f t="shared" si="151"/>
        <v>0</v>
      </c>
      <c r="CE130" s="604">
        <f t="shared" si="212"/>
        <v>0</v>
      </c>
      <c r="CF130" s="44">
        <f t="shared" si="213"/>
        <v>0</v>
      </c>
      <c r="CG130" s="44">
        <f t="shared" si="214"/>
        <v>0</v>
      </c>
      <c r="CH130" s="44">
        <f t="shared" si="215"/>
        <v>0</v>
      </c>
      <c r="CI130" s="44">
        <f t="shared" si="216"/>
        <v>17000</v>
      </c>
      <c r="CJ130" s="44">
        <f t="shared" si="217"/>
        <v>17000</v>
      </c>
      <c r="CK130" s="44">
        <f t="shared" si="152"/>
        <v>850</v>
      </c>
      <c r="CL130" s="44">
        <f t="shared" si="218"/>
        <v>850</v>
      </c>
      <c r="CM130" s="44">
        <f t="shared" si="153"/>
        <v>7225</v>
      </c>
      <c r="CN130" s="44">
        <f t="shared" si="219"/>
        <v>7225</v>
      </c>
      <c r="CO130" s="44">
        <f t="shared" si="154"/>
        <v>9775</v>
      </c>
      <c r="CP130" s="46">
        <f t="shared" si="155"/>
        <v>0</v>
      </c>
      <c r="CQ130" s="47">
        <f t="shared" si="156"/>
        <v>0</v>
      </c>
      <c r="CR130" s="604">
        <f t="shared" si="220"/>
        <v>0</v>
      </c>
      <c r="CS130" s="44">
        <f t="shared" si="221"/>
        <v>0</v>
      </c>
      <c r="CT130" s="44">
        <f t="shared" si="222"/>
        <v>0</v>
      </c>
      <c r="CU130" s="44">
        <f t="shared" si="223"/>
        <v>0</v>
      </c>
      <c r="CV130" s="44">
        <f t="shared" si="224"/>
        <v>17000</v>
      </c>
      <c r="CW130" s="44">
        <f t="shared" si="225"/>
        <v>17000</v>
      </c>
      <c r="CX130" s="44">
        <f t="shared" si="157"/>
        <v>850</v>
      </c>
      <c r="CY130" s="44">
        <f t="shared" si="226"/>
        <v>850</v>
      </c>
      <c r="CZ130" s="44">
        <f t="shared" si="158"/>
        <v>6375</v>
      </c>
      <c r="DA130" s="44">
        <f t="shared" si="227"/>
        <v>6375</v>
      </c>
      <c r="DB130" s="44">
        <f t="shared" si="159"/>
        <v>10625</v>
      </c>
      <c r="DC130" s="46">
        <f t="shared" si="160"/>
        <v>0</v>
      </c>
      <c r="DD130" s="47">
        <f t="shared" si="161"/>
        <v>0</v>
      </c>
      <c r="DE130" s="604">
        <f t="shared" si="228"/>
        <v>0</v>
      </c>
      <c r="DF130" s="44">
        <f t="shared" si="229"/>
        <v>0</v>
      </c>
      <c r="DG130" s="44">
        <f t="shared" si="230"/>
        <v>0</v>
      </c>
      <c r="DH130" s="44">
        <f t="shared" si="231"/>
        <v>0</v>
      </c>
      <c r="DI130" s="44">
        <f t="shared" si="232"/>
        <v>17000</v>
      </c>
      <c r="DJ130" s="44">
        <f t="shared" si="233"/>
        <v>17000</v>
      </c>
      <c r="DK130" s="44">
        <f t="shared" si="162"/>
        <v>850</v>
      </c>
      <c r="DL130" s="44">
        <f t="shared" si="234"/>
        <v>850</v>
      </c>
      <c r="DM130" s="44">
        <f t="shared" si="163"/>
        <v>5525</v>
      </c>
      <c r="DN130" s="44">
        <f t="shared" si="235"/>
        <v>5525</v>
      </c>
      <c r="DO130" s="44">
        <f t="shared" si="164"/>
        <v>11475</v>
      </c>
      <c r="DP130" s="46">
        <f t="shared" si="165"/>
        <v>0</v>
      </c>
      <c r="DQ130" s="47">
        <f t="shared" si="166"/>
        <v>0</v>
      </c>
      <c r="DR130" s="604">
        <f t="shared" si="236"/>
        <v>0</v>
      </c>
      <c r="DS130" s="44">
        <f t="shared" si="237"/>
        <v>0</v>
      </c>
      <c r="DT130" s="44">
        <f t="shared" si="238"/>
        <v>0</v>
      </c>
      <c r="DU130" s="44">
        <f t="shared" si="239"/>
        <v>0</v>
      </c>
      <c r="DV130" s="44">
        <f t="shared" si="240"/>
        <v>17000</v>
      </c>
      <c r="DW130" s="44">
        <f t="shared" si="241"/>
        <v>17000</v>
      </c>
      <c r="DX130" s="44">
        <f t="shared" si="167"/>
        <v>850</v>
      </c>
      <c r="DY130" s="44">
        <f t="shared" si="242"/>
        <v>850</v>
      </c>
      <c r="DZ130" s="44">
        <f t="shared" si="168"/>
        <v>4675</v>
      </c>
      <c r="EA130" s="44">
        <f t="shared" si="243"/>
        <v>4675</v>
      </c>
      <c r="EB130" s="44">
        <f t="shared" si="169"/>
        <v>12325</v>
      </c>
      <c r="EC130" s="46">
        <f t="shared" si="170"/>
        <v>0</v>
      </c>
      <c r="ED130" s="47">
        <f t="shared" si="171"/>
        <v>0</v>
      </c>
    </row>
    <row r="131" spans="1:134" x14ac:dyDescent="0.35">
      <c r="A131" s="81">
        <v>1999</v>
      </c>
      <c r="B131" s="82" t="s">
        <v>300</v>
      </c>
      <c r="C131" s="82"/>
      <c r="D131" s="83" t="s">
        <v>41</v>
      </c>
      <c r="E131" s="87">
        <v>826000</v>
      </c>
      <c r="F131" s="85">
        <v>38899</v>
      </c>
      <c r="G131" s="86">
        <v>50</v>
      </c>
      <c r="H131" s="179"/>
      <c r="I131" s="180"/>
      <c r="J131" s="181"/>
      <c r="K131" s="42">
        <f t="shared" si="122"/>
        <v>0.02</v>
      </c>
      <c r="L131" s="43">
        <f t="shared" si="123"/>
        <v>16520</v>
      </c>
      <c r="M131" s="44">
        <f t="shared" si="124"/>
        <v>735140</v>
      </c>
      <c r="N131" s="44"/>
      <c r="O131" s="44">
        <f t="shared" si="125"/>
        <v>90860</v>
      </c>
      <c r="P131" s="45"/>
      <c r="Q131" s="44">
        <f t="shared" si="126"/>
        <v>826000</v>
      </c>
      <c r="R131" s="604">
        <f t="shared" si="172"/>
        <v>0</v>
      </c>
      <c r="S131" s="44">
        <f t="shared" si="173"/>
        <v>0</v>
      </c>
      <c r="T131" s="44">
        <f t="shared" si="174"/>
        <v>0</v>
      </c>
      <c r="U131" s="44">
        <f t="shared" si="175"/>
        <v>0</v>
      </c>
      <c r="V131" s="44">
        <f t="shared" si="176"/>
        <v>826000</v>
      </c>
      <c r="W131" s="44">
        <f t="shared" si="177"/>
        <v>826000</v>
      </c>
      <c r="X131" s="44">
        <f t="shared" si="127"/>
        <v>16520</v>
      </c>
      <c r="Y131" s="44">
        <f t="shared" si="178"/>
        <v>16520</v>
      </c>
      <c r="Z131" s="44">
        <f t="shared" si="128"/>
        <v>718620</v>
      </c>
      <c r="AA131" s="44">
        <f t="shared" si="179"/>
        <v>718620</v>
      </c>
      <c r="AB131" s="44">
        <f t="shared" si="129"/>
        <v>107380</v>
      </c>
      <c r="AC131" s="46">
        <f t="shared" si="130"/>
        <v>0</v>
      </c>
      <c r="AD131" s="47">
        <f t="shared" si="131"/>
        <v>0</v>
      </c>
      <c r="AE131" s="604">
        <f t="shared" si="180"/>
        <v>0</v>
      </c>
      <c r="AF131" s="44">
        <f t="shared" si="181"/>
        <v>0</v>
      </c>
      <c r="AG131" s="44">
        <f t="shared" si="182"/>
        <v>0</v>
      </c>
      <c r="AH131" s="44">
        <f t="shared" si="183"/>
        <v>0</v>
      </c>
      <c r="AI131" s="44">
        <f t="shared" si="184"/>
        <v>826000</v>
      </c>
      <c r="AJ131" s="44">
        <f t="shared" si="185"/>
        <v>826000</v>
      </c>
      <c r="AK131" s="44">
        <f t="shared" si="132"/>
        <v>16520</v>
      </c>
      <c r="AL131" s="44">
        <f t="shared" si="186"/>
        <v>16520</v>
      </c>
      <c r="AM131" s="44">
        <f t="shared" si="133"/>
        <v>702100</v>
      </c>
      <c r="AN131" s="44">
        <f t="shared" si="187"/>
        <v>702100</v>
      </c>
      <c r="AO131" s="44">
        <f t="shared" si="134"/>
        <v>123900</v>
      </c>
      <c r="AP131" s="46">
        <f t="shared" si="135"/>
        <v>0</v>
      </c>
      <c r="AQ131" s="47">
        <f t="shared" si="136"/>
        <v>0</v>
      </c>
      <c r="AR131" s="604">
        <f t="shared" si="188"/>
        <v>0</v>
      </c>
      <c r="AS131" s="44">
        <f t="shared" si="189"/>
        <v>0</v>
      </c>
      <c r="AT131" s="44">
        <f t="shared" si="190"/>
        <v>0</v>
      </c>
      <c r="AU131" s="44">
        <f t="shared" si="191"/>
        <v>0</v>
      </c>
      <c r="AV131" s="44">
        <f t="shared" si="192"/>
        <v>826000</v>
      </c>
      <c r="AW131" s="44">
        <f t="shared" si="193"/>
        <v>826000</v>
      </c>
      <c r="AX131" s="44">
        <f t="shared" si="137"/>
        <v>16520</v>
      </c>
      <c r="AY131" s="44">
        <f t="shared" si="194"/>
        <v>16520</v>
      </c>
      <c r="AZ131" s="44">
        <f t="shared" si="138"/>
        <v>685580</v>
      </c>
      <c r="BA131" s="44">
        <f t="shared" si="195"/>
        <v>685580</v>
      </c>
      <c r="BB131" s="44">
        <f t="shared" si="139"/>
        <v>140420</v>
      </c>
      <c r="BC131" s="46">
        <f t="shared" si="140"/>
        <v>0</v>
      </c>
      <c r="BD131" s="47">
        <f t="shared" si="141"/>
        <v>0</v>
      </c>
      <c r="BE131" s="604">
        <f t="shared" si="196"/>
        <v>0</v>
      </c>
      <c r="BF131" s="44">
        <f t="shared" si="197"/>
        <v>0</v>
      </c>
      <c r="BG131" s="44">
        <f t="shared" si="198"/>
        <v>0</v>
      </c>
      <c r="BH131" s="44">
        <f t="shared" si="199"/>
        <v>0</v>
      </c>
      <c r="BI131" s="44">
        <f t="shared" si="200"/>
        <v>826000</v>
      </c>
      <c r="BJ131" s="44">
        <f t="shared" si="201"/>
        <v>826000</v>
      </c>
      <c r="BK131" s="44">
        <f t="shared" si="142"/>
        <v>16520</v>
      </c>
      <c r="BL131" s="44">
        <f t="shared" si="202"/>
        <v>16520</v>
      </c>
      <c r="BM131" s="44">
        <f t="shared" si="143"/>
        <v>669060</v>
      </c>
      <c r="BN131" s="44">
        <f t="shared" si="203"/>
        <v>669060</v>
      </c>
      <c r="BO131" s="44">
        <f t="shared" si="144"/>
        <v>156940</v>
      </c>
      <c r="BP131" s="46">
        <f t="shared" si="145"/>
        <v>0</v>
      </c>
      <c r="BQ131" s="47">
        <f t="shared" si="146"/>
        <v>0</v>
      </c>
      <c r="BR131" s="604">
        <f t="shared" si="204"/>
        <v>0</v>
      </c>
      <c r="BS131" s="44">
        <f t="shared" si="205"/>
        <v>0</v>
      </c>
      <c r="BT131" s="44">
        <f t="shared" si="206"/>
        <v>0</v>
      </c>
      <c r="BU131" s="44">
        <f t="shared" si="207"/>
        <v>0</v>
      </c>
      <c r="BV131" s="44">
        <f t="shared" si="208"/>
        <v>826000</v>
      </c>
      <c r="BW131" s="44">
        <f t="shared" si="209"/>
        <v>826000</v>
      </c>
      <c r="BX131" s="44">
        <f t="shared" si="147"/>
        <v>16520</v>
      </c>
      <c r="BY131" s="44">
        <f t="shared" si="210"/>
        <v>16520</v>
      </c>
      <c r="BZ131" s="44">
        <f t="shared" si="148"/>
        <v>652540</v>
      </c>
      <c r="CA131" s="44">
        <f t="shared" si="211"/>
        <v>652540</v>
      </c>
      <c r="CB131" s="44">
        <f t="shared" si="149"/>
        <v>173460</v>
      </c>
      <c r="CC131" s="46">
        <f t="shared" si="150"/>
        <v>0</v>
      </c>
      <c r="CD131" s="47">
        <f t="shared" si="151"/>
        <v>0</v>
      </c>
      <c r="CE131" s="604">
        <f t="shared" si="212"/>
        <v>0</v>
      </c>
      <c r="CF131" s="44">
        <f t="shared" si="213"/>
        <v>0</v>
      </c>
      <c r="CG131" s="44">
        <f t="shared" si="214"/>
        <v>0</v>
      </c>
      <c r="CH131" s="44">
        <f t="shared" si="215"/>
        <v>0</v>
      </c>
      <c r="CI131" s="44">
        <f t="shared" si="216"/>
        <v>826000</v>
      </c>
      <c r="CJ131" s="44">
        <f t="shared" si="217"/>
        <v>826000</v>
      </c>
      <c r="CK131" s="44">
        <f t="shared" si="152"/>
        <v>16520</v>
      </c>
      <c r="CL131" s="44">
        <f t="shared" si="218"/>
        <v>16520</v>
      </c>
      <c r="CM131" s="44">
        <f t="shared" si="153"/>
        <v>636020</v>
      </c>
      <c r="CN131" s="44">
        <f t="shared" si="219"/>
        <v>636020</v>
      </c>
      <c r="CO131" s="44">
        <f t="shared" si="154"/>
        <v>189980</v>
      </c>
      <c r="CP131" s="46">
        <f t="shared" si="155"/>
        <v>0</v>
      </c>
      <c r="CQ131" s="47">
        <f t="shared" si="156"/>
        <v>0</v>
      </c>
      <c r="CR131" s="604">
        <f t="shared" si="220"/>
        <v>0</v>
      </c>
      <c r="CS131" s="44">
        <f t="shared" si="221"/>
        <v>0</v>
      </c>
      <c r="CT131" s="44">
        <f t="shared" si="222"/>
        <v>0</v>
      </c>
      <c r="CU131" s="44">
        <f t="shared" si="223"/>
        <v>0</v>
      </c>
      <c r="CV131" s="44">
        <f t="shared" si="224"/>
        <v>826000</v>
      </c>
      <c r="CW131" s="44">
        <f t="shared" si="225"/>
        <v>826000</v>
      </c>
      <c r="CX131" s="44">
        <f t="shared" si="157"/>
        <v>16520</v>
      </c>
      <c r="CY131" s="44">
        <f t="shared" si="226"/>
        <v>16520</v>
      </c>
      <c r="CZ131" s="44">
        <f t="shared" si="158"/>
        <v>619500</v>
      </c>
      <c r="DA131" s="44">
        <f t="shared" si="227"/>
        <v>619500</v>
      </c>
      <c r="DB131" s="44">
        <f t="shared" si="159"/>
        <v>206500</v>
      </c>
      <c r="DC131" s="46">
        <f t="shared" si="160"/>
        <v>0</v>
      </c>
      <c r="DD131" s="47">
        <f t="shared" si="161"/>
        <v>0</v>
      </c>
      <c r="DE131" s="604">
        <f t="shared" si="228"/>
        <v>0</v>
      </c>
      <c r="DF131" s="44">
        <f t="shared" si="229"/>
        <v>0</v>
      </c>
      <c r="DG131" s="44">
        <f t="shared" si="230"/>
        <v>0</v>
      </c>
      <c r="DH131" s="44">
        <f t="shared" si="231"/>
        <v>0</v>
      </c>
      <c r="DI131" s="44">
        <f t="shared" si="232"/>
        <v>826000</v>
      </c>
      <c r="DJ131" s="44">
        <f t="shared" si="233"/>
        <v>826000</v>
      </c>
      <c r="DK131" s="44">
        <f t="shared" si="162"/>
        <v>16520</v>
      </c>
      <c r="DL131" s="44">
        <f t="shared" si="234"/>
        <v>16520</v>
      </c>
      <c r="DM131" s="44">
        <f t="shared" si="163"/>
        <v>602980</v>
      </c>
      <c r="DN131" s="44">
        <f t="shared" si="235"/>
        <v>602980</v>
      </c>
      <c r="DO131" s="44">
        <f t="shared" si="164"/>
        <v>223020</v>
      </c>
      <c r="DP131" s="46">
        <f t="shared" si="165"/>
        <v>0</v>
      </c>
      <c r="DQ131" s="47">
        <f t="shared" si="166"/>
        <v>0</v>
      </c>
      <c r="DR131" s="604">
        <f t="shared" si="236"/>
        <v>0</v>
      </c>
      <c r="DS131" s="44">
        <f t="shared" si="237"/>
        <v>0</v>
      </c>
      <c r="DT131" s="44">
        <f t="shared" si="238"/>
        <v>0</v>
      </c>
      <c r="DU131" s="44">
        <f t="shared" si="239"/>
        <v>0</v>
      </c>
      <c r="DV131" s="44">
        <f t="shared" si="240"/>
        <v>826000</v>
      </c>
      <c r="DW131" s="44">
        <f t="shared" si="241"/>
        <v>826000</v>
      </c>
      <c r="DX131" s="44">
        <f t="shared" si="167"/>
        <v>16520</v>
      </c>
      <c r="DY131" s="44">
        <f t="shared" si="242"/>
        <v>16520</v>
      </c>
      <c r="DZ131" s="44">
        <f t="shared" si="168"/>
        <v>586460</v>
      </c>
      <c r="EA131" s="44">
        <f t="shared" si="243"/>
        <v>586460</v>
      </c>
      <c r="EB131" s="44">
        <f t="shared" si="169"/>
        <v>239540</v>
      </c>
      <c r="EC131" s="46">
        <f t="shared" si="170"/>
        <v>0</v>
      </c>
      <c r="ED131" s="47">
        <f t="shared" si="171"/>
        <v>0</v>
      </c>
    </row>
    <row r="132" spans="1:134" x14ac:dyDescent="0.35">
      <c r="A132" s="81"/>
      <c r="B132" s="82"/>
      <c r="C132" s="82"/>
      <c r="D132" s="83"/>
      <c r="E132" s="87"/>
      <c r="F132" s="85"/>
      <c r="G132" s="86"/>
      <c r="H132" s="179"/>
      <c r="I132" s="180"/>
      <c r="J132" s="181"/>
      <c r="K132" s="42">
        <f t="shared" si="122"/>
        <v>0</v>
      </c>
      <c r="L132" s="43">
        <f t="shared" si="123"/>
        <v>0</v>
      </c>
      <c r="M132" s="44">
        <f t="shared" si="124"/>
        <v>0</v>
      </c>
      <c r="N132" s="44"/>
      <c r="O132" s="44">
        <f t="shared" si="125"/>
        <v>0</v>
      </c>
      <c r="P132" s="45"/>
      <c r="Q132" s="44">
        <f t="shared" si="126"/>
        <v>0</v>
      </c>
      <c r="R132" s="604">
        <f t="shared" si="172"/>
        <v>0</v>
      </c>
      <c r="S132" s="44">
        <f t="shared" si="173"/>
        <v>0</v>
      </c>
      <c r="T132" s="44">
        <f t="shared" si="174"/>
        <v>0</v>
      </c>
      <c r="U132" s="44">
        <f t="shared" si="175"/>
        <v>0</v>
      </c>
      <c r="V132" s="44">
        <f t="shared" si="176"/>
        <v>0</v>
      </c>
      <c r="W132" s="44">
        <f t="shared" si="177"/>
        <v>0</v>
      </c>
      <c r="X132" s="44">
        <f t="shared" si="127"/>
        <v>0</v>
      </c>
      <c r="Y132" s="44">
        <f t="shared" si="178"/>
        <v>0</v>
      </c>
      <c r="Z132" s="44">
        <f t="shared" si="128"/>
        <v>0</v>
      </c>
      <c r="AA132" s="44">
        <f t="shared" si="179"/>
        <v>0</v>
      </c>
      <c r="AB132" s="44">
        <f t="shared" si="129"/>
        <v>0</v>
      </c>
      <c r="AC132" s="46">
        <f t="shared" si="130"/>
        <v>0</v>
      </c>
      <c r="AD132" s="47">
        <f t="shared" si="131"/>
        <v>0</v>
      </c>
      <c r="AE132" s="604">
        <f t="shared" si="180"/>
        <v>0</v>
      </c>
      <c r="AF132" s="44">
        <f t="shared" si="181"/>
        <v>0</v>
      </c>
      <c r="AG132" s="44">
        <f t="shared" si="182"/>
        <v>0</v>
      </c>
      <c r="AH132" s="44">
        <f t="shared" si="183"/>
        <v>0</v>
      </c>
      <c r="AI132" s="44">
        <f t="shared" si="184"/>
        <v>0</v>
      </c>
      <c r="AJ132" s="44">
        <f t="shared" si="185"/>
        <v>0</v>
      </c>
      <c r="AK132" s="44">
        <f t="shared" si="132"/>
        <v>0</v>
      </c>
      <c r="AL132" s="44">
        <f t="shared" si="186"/>
        <v>0</v>
      </c>
      <c r="AM132" s="44">
        <f t="shared" si="133"/>
        <v>0</v>
      </c>
      <c r="AN132" s="44">
        <f t="shared" si="187"/>
        <v>0</v>
      </c>
      <c r="AO132" s="44">
        <f t="shared" si="134"/>
        <v>0</v>
      </c>
      <c r="AP132" s="46">
        <f t="shared" si="135"/>
        <v>0</v>
      </c>
      <c r="AQ132" s="47">
        <f t="shared" si="136"/>
        <v>0</v>
      </c>
      <c r="AR132" s="604">
        <f t="shared" si="188"/>
        <v>0</v>
      </c>
      <c r="AS132" s="44">
        <f t="shared" si="189"/>
        <v>0</v>
      </c>
      <c r="AT132" s="44">
        <f t="shared" si="190"/>
        <v>0</v>
      </c>
      <c r="AU132" s="44">
        <f t="shared" si="191"/>
        <v>0</v>
      </c>
      <c r="AV132" s="44">
        <f t="shared" si="192"/>
        <v>0</v>
      </c>
      <c r="AW132" s="44">
        <f t="shared" si="193"/>
        <v>0</v>
      </c>
      <c r="AX132" s="44">
        <f t="shared" si="137"/>
        <v>0</v>
      </c>
      <c r="AY132" s="44">
        <f t="shared" si="194"/>
        <v>0</v>
      </c>
      <c r="AZ132" s="44">
        <f t="shared" si="138"/>
        <v>0</v>
      </c>
      <c r="BA132" s="44">
        <f t="shared" si="195"/>
        <v>0</v>
      </c>
      <c r="BB132" s="44">
        <f t="shared" si="139"/>
        <v>0</v>
      </c>
      <c r="BC132" s="46">
        <f t="shared" si="140"/>
        <v>0</v>
      </c>
      <c r="BD132" s="47">
        <f t="shared" si="141"/>
        <v>0</v>
      </c>
      <c r="BE132" s="604">
        <f t="shared" si="196"/>
        <v>0</v>
      </c>
      <c r="BF132" s="44">
        <f t="shared" si="197"/>
        <v>0</v>
      </c>
      <c r="BG132" s="44">
        <f t="shared" si="198"/>
        <v>0</v>
      </c>
      <c r="BH132" s="44">
        <f t="shared" si="199"/>
        <v>0</v>
      </c>
      <c r="BI132" s="44">
        <f t="shared" si="200"/>
        <v>0</v>
      </c>
      <c r="BJ132" s="44">
        <f t="shared" si="201"/>
        <v>0</v>
      </c>
      <c r="BK132" s="44">
        <f t="shared" si="142"/>
        <v>0</v>
      </c>
      <c r="BL132" s="44">
        <f t="shared" si="202"/>
        <v>0</v>
      </c>
      <c r="BM132" s="44">
        <f t="shared" si="143"/>
        <v>0</v>
      </c>
      <c r="BN132" s="44">
        <f t="shared" si="203"/>
        <v>0</v>
      </c>
      <c r="BO132" s="44">
        <f t="shared" si="144"/>
        <v>0</v>
      </c>
      <c r="BP132" s="46">
        <f t="shared" si="145"/>
        <v>0</v>
      </c>
      <c r="BQ132" s="47">
        <f t="shared" si="146"/>
        <v>0</v>
      </c>
      <c r="BR132" s="604">
        <f t="shared" si="204"/>
        <v>0</v>
      </c>
      <c r="BS132" s="44">
        <f t="shared" si="205"/>
        <v>0</v>
      </c>
      <c r="BT132" s="44">
        <f t="shared" si="206"/>
        <v>0</v>
      </c>
      <c r="BU132" s="44">
        <f t="shared" si="207"/>
        <v>0</v>
      </c>
      <c r="BV132" s="44">
        <f t="shared" si="208"/>
        <v>0</v>
      </c>
      <c r="BW132" s="44">
        <f t="shared" si="209"/>
        <v>0</v>
      </c>
      <c r="BX132" s="44">
        <f t="shared" si="147"/>
        <v>0</v>
      </c>
      <c r="BY132" s="44">
        <f t="shared" si="210"/>
        <v>0</v>
      </c>
      <c r="BZ132" s="44">
        <f t="shared" si="148"/>
        <v>0</v>
      </c>
      <c r="CA132" s="44">
        <f t="shared" si="211"/>
        <v>0</v>
      </c>
      <c r="CB132" s="44">
        <f t="shared" si="149"/>
        <v>0</v>
      </c>
      <c r="CC132" s="46">
        <f t="shared" si="150"/>
        <v>0</v>
      </c>
      <c r="CD132" s="47">
        <f t="shared" si="151"/>
        <v>0</v>
      </c>
      <c r="CE132" s="604">
        <f t="shared" si="212"/>
        <v>0</v>
      </c>
      <c r="CF132" s="44">
        <f t="shared" si="213"/>
        <v>0</v>
      </c>
      <c r="CG132" s="44">
        <f t="shared" si="214"/>
        <v>0</v>
      </c>
      <c r="CH132" s="44">
        <f t="shared" si="215"/>
        <v>0</v>
      </c>
      <c r="CI132" s="44">
        <f t="shared" si="216"/>
        <v>0</v>
      </c>
      <c r="CJ132" s="44">
        <f t="shared" si="217"/>
        <v>0</v>
      </c>
      <c r="CK132" s="44">
        <f t="shared" si="152"/>
        <v>0</v>
      </c>
      <c r="CL132" s="44">
        <f t="shared" si="218"/>
        <v>0</v>
      </c>
      <c r="CM132" s="44">
        <f t="shared" si="153"/>
        <v>0</v>
      </c>
      <c r="CN132" s="44">
        <f t="shared" si="219"/>
        <v>0</v>
      </c>
      <c r="CO132" s="44">
        <f t="shared" si="154"/>
        <v>0</v>
      </c>
      <c r="CP132" s="46">
        <f t="shared" si="155"/>
        <v>0</v>
      </c>
      <c r="CQ132" s="47">
        <f t="shared" si="156"/>
        <v>0</v>
      </c>
      <c r="CR132" s="604">
        <f t="shared" si="220"/>
        <v>0</v>
      </c>
      <c r="CS132" s="44">
        <f t="shared" si="221"/>
        <v>0</v>
      </c>
      <c r="CT132" s="44">
        <f t="shared" si="222"/>
        <v>0</v>
      </c>
      <c r="CU132" s="44">
        <f t="shared" si="223"/>
        <v>0</v>
      </c>
      <c r="CV132" s="44">
        <f t="shared" si="224"/>
        <v>0</v>
      </c>
      <c r="CW132" s="44">
        <f t="shared" si="225"/>
        <v>0</v>
      </c>
      <c r="CX132" s="44">
        <f t="shared" si="157"/>
        <v>0</v>
      </c>
      <c r="CY132" s="44">
        <f t="shared" si="226"/>
        <v>0</v>
      </c>
      <c r="CZ132" s="44">
        <f t="shared" si="158"/>
        <v>0</v>
      </c>
      <c r="DA132" s="44">
        <f t="shared" si="227"/>
        <v>0</v>
      </c>
      <c r="DB132" s="44">
        <f t="shared" si="159"/>
        <v>0</v>
      </c>
      <c r="DC132" s="46">
        <f t="shared" si="160"/>
        <v>0</v>
      </c>
      <c r="DD132" s="47">
        <f t="shared" si="161"/>
        <v>0</v>
      </c>
      <c r="DE132" s="604">
        <f t="shared" si="228"/>
        <v>0</v>
      </c>
      <c r="DF132" s="44">
        <f t="shared" si="229"/>
        <v>0</v>
      </c>
      <c r="DG132" s="44">
        <f t="shared" si="230"/>
        <v>0</v>
      </c>
      <c r="DH132" s="44">
        <f t="shared" si="231"/>
        <v>0</v>
      </c>
      <c r="DI132" s="44">
        <f t="shared" si="232"/>
        <v>0</v>
      </c>
      <c r="DJ132" s="44">
        <f t="shared" si="233"/>
        <v>0</v>
      </c>
      <c r="DK132" s="44">
        <f t="shared" si="162"/>
        <v>0</v>
      </c>
      <c r="DL132" s="44">
        <f t="shared" si="234"/>
        <v>0</v>
      </c>
      <c r="DM132" s="44">
        <f t="shared" si="163"/>
        <v>0</v>
      </c>
      <c r="DN132" s="44">
        <f t="shared" si="235"/>
        <v>0</v>
      </c>
      <c r="DO132" s="44">
        <f t="shared" si="164"/>
        <v>0</v>
      </c>
      <c r="DP132" s="46">
        <f t="shared" si="165"/>
        <v>0</v>
      </c>
      <c r="DQ132" s="47">
        <f t="shared" si="166"/>
        <v>0</v>
      </c>
      <c r="DR132" s="604">
        <f t="shared" si="236"/>
        <v>0</v>
      </c>
      <c r="DS132" s="44">
        <f t="shared" si="237"/>
        <v>0</v>
      </c>
      <c r="DT132" s="44">
        <f t="shared" si="238"/>
        <v>0</v>
      </c>
      <c r="DU132" s="44">
        <f t="shared" si="239"/>
        <v>0</v>
      </c>
      <c r="DV132" s="44">
        <f t="shared" si="240"/>
        <v>0</v>
      </c>
      <c r="DW132" s="44">
        <f t="shared" si="241"/>
        <v>0</v>
      </c>
      <c r="DX132" s="44">
        <f t="shared" si="167"/>
        <v>0</v>
      </c>
      <c r="DY132" s="44">
        <f t="shared" si="242"/>
        <v>0</v>
      </c>
      <c r="DZ132" s="44">
        <f t="shared" si="168"/>
        <v>0</v>
      </c>
      <c r="EA132" s="44">
        <f t="shared" si="243"/>
        <v>0</v>
      </c>
      <c r="EB132" s="44">
        <f t="shared" si="169"/>
        <v>0</v>
      </c>
      <c r="EC132" s="46">
        <f t="shared" si="170"/>
        <v>0</v>
      </c>
      <c r="ED132" s="47">
        <f t="shared" si="171"/>
        <v>0</v>
      </c>
    </row>
    <row r="133" spans="1:134" x14ac:dyDescent="0.35">
      <c r="A133" s="81">
        <v>1994</v>
      </c>
      <c r="B133" s="82" t="s">
        <v>301</v>
      </c>
      <c r="C133" s="82"/>
      <c r="D133" s="83"/>
      <c r="E133" s="87"/>
      <c r="F133" s="85"/>
      <c r="G133" s="86"/>
      <c r="H133" s="179"/>
      <c r="I133" s="180"/>
      <c r="J133" s="181"/>
      <c r="K133" s="42">
        <f t="shared" ref="K133:K196" si="244">IF(AND(G133&gt;0,G133&lt;=1,H133=0),1,IF(H133&gt;=1,1,IF(AND(H133&gt;0,H133&lt;1),H133,IF(AND(G133&gt;1,OR(H133=0,H133="")),ROUND(1/G133,4),0))))</f>
        <v>0</v>
      </c>
      <c r="L133" s="43">
        <f t="shared" ref="L133:L196" si="245">IF(AND(E133&gt;0,F133&gt;0,OR(G133&gt;0,H133&gt;0)),ROUND((E133-I133)*K133,2),IF(AND(E133&lt;0,F133&gt;0,OR(G133&gt;0,H133&gt;0)),ROUND(E133*K133,2),0))</f>
        <v>0</v>
      </c>
      <c r="M133" s="44">
        <f t="shared" ref="M133:M196" si="246">IF(AND(E133-O133&gt;=0,F133&gt;0,YEAR(M$4)&gt;=YEAR(F133)),E133-O133,IF(AND(E133-O133&lt;0,F133&gt;0,YEAR(M$4)&gt;=YEAR(F133)),E133-O133,0))</f>
        <v>0</v>
      </c>
      <c r="N133" s="44"/>
      <c r="O133" s="44">
        <f t="shared" ref="O133:O196" si="247">IF(AND(YEAR(F133)&lt;=YEAR(M$4),E133&lt;1000,E133&gt;-1000,F133&gt;0,K133=1),E133-I133,IF(AND(YEAR(F133)&lt;=YEAR(M$4),E133&gt;0,F133&gt;0,K133&gt;0,E133&gt;L133*(YEAR(M$4)-YEAR(F133))+ROUND((L133/12)*(13-MONTH(F133)),2)+I133),L133*(YEAR(M$4)-YEAR(F133))+ROUND((L133/12)*(13-MONTH(F133)),2),IF(AND(YEAR(F133)&lt;=YEAR(M$4),E133&gt;0,F133&gt;0,K133&gt;0,E133&lt;=(L133*(YEAR(M$4)-YEAR(F133)+ROUND((L133/12)*(13-MONTH(F133)),2)))+I133),E133-I133,IF(AND(YEAR(F133)&lt;=YEAR(M$4),E133&lt;0,F133&gt;0,K133&gt;0,E133&lt;L133*(YEAR(M$4)-YEAR(F133))+ROUND((L133/12)*(13-MONTH(F133)),2)+I133),L133*(YEAR(M$4)-YEAR(F133))+ROUND((L133/12)*(13-MONTH(F133)),2),IF(AND(YEAR(F133)&lt;=YEAR(M$4),E133&lt;0,F133&gt;0,K133&gt;0,E133&lt;=(L133*(YEAR(M$4)-YEAR(F133)+ROUND((L133/12)*(13-MONTH(F133)),2)))),E133,0)))))</f>
        <v>0</v>
      </c>
      <c r="P133" s="45"/>
      <c r="Q133" s="44">
        <f t="shared" ref="Q133:Q196" si="248">IF(AND(F133&gt;0,F133&lt;=M$4),E133,0)</f>
        <v>0</v>
      </c>
      <c r="R133" s="604">
        <f t="shared" si="172"/>
        <v>0</v>
      </c>
      <c r="S133" s="44">
        <f t="shared" si="173"/>
        <v>0</v>
      </c>
      <c r="T133" s="44">
        <f t="shared" si="174"/>
        <v>0</v>
      </c>
      <c r="U133" s="44">
        <f t="shared" si="175"/>
        <v>0</v>
      </c>
      <c r="V133" s="44">
        <f t="shared" si="176"/>
        <v>0</v>
      </c>
      <c r="W133" s="44">
        <f t="shared" si="177"/>
        <v>0</v>
      </c>
      <c r="X133" s="44">
        <f t="shared" ref="X133:X196" si="249">IF(AND(YEAR($F133)=YEAR(Z$4),$E133&lt;1000,$E133&gt;-1000,$F133&gt;0,$K133=1),$E133-$I133,IF(AND(YEAR($F133)=YEAR(Z$4),$F133&gt;0,$K133&gt;0),ROUND(($L133/12)*(13-MONTH($F133)),2),IF(AND(YEAR($F133)&lt;YEAR(Z$4),$E133&gt;0,$F133&gt;0,$K133&gt;0,M133&gt;$L133+$I133),$L133,IF(AND(YEAR($F133)&lt;YEAR(Z$4),$E133&gt;0,$F133&gt;0,$K133&gt;0,M133&gt;0,M133&lt;=$L133+$I133),M133-$I133,IF(AND(YEAR($F133)&lt;YEAR(Z$4),$E133&lt;0,$F133&gt;0,$K133&gt;0,M133&lt;0,M133&lt;=$L133),$L133,IF(AND(YEAR($F133)&lt;YEAR(Z$4),$E133&lt;0,$F133&gt;0,$K133&gt;0,M133&lt;0,M133&gt;$L133),M133,0))))))</f>
        <v>0</v>
      </c>
      <c r="Y133" s="44">
        <f t="shared" si="178"/>
        <v>0</v>
      </c>
      <c r="Z133" s="44">
        <f t="shared" ref="Z133:Z196" si="250">IF(AND(YEAR(Z$4)=YEAR($F133),$E133&gt;0,$F133&gt;0,$E133-X133&gt;=0),$E133-X133,IF(AND(YEAR(Z$4)&gt;YEAR($F133),$E133&gt;0,$F133&gt;0,M133-X133&gt;=0),M133-X133,IF(AND(YEAR(Z$4)=YEAR($F133),$E133&lt;0,$F133&gt;0,$E133-X133&lt;0),$E133-X133,IF(AND(YEAR(Z$4)&gt;YEAR($F133),$E133&lt;0,$F133&gt;0,M133-X133&lt;=0),M133-X133,0))))</f>
        <v>0</v>
      </c>
      <c r="AA133" s="44">
        <f t="shared" si="179"/>
        <v>0</v>
      </c>
      <c r="AB133" s="44">
        <f t="shared" ref="AB133:AB196" si="251">O133+X133</f>
        <v>0</v>
      </c>
      <c r="AC133" s="46">
        <f t="shared" ref="AC133:AC196" si="252">IF(AND(R133&lt;&gt;0,$J133="H",$L133=0),T133,IF(AND(YEAR(Z$4)&gt;YEAR($F133),$J133="H",$F133&gt;0,$L133=0),$E133,0))</f>
        <v>0</v>
      </c>
      <c r="AD133" s="47">
        <f t="shared" ref="AD133:AD196" si="253">IF(AND(YEAR(Z$4)&gt;=YEAR($F133),$E133&gt;0,$F133&gt;0,X133&gt;0,$J133="H"),ROUND(X133/$L133*$E133,2),IF(AND(YEAR(Z$4)&gt;=YEAR($F133),$E133&lt;0,$F133&gt;0,X133&lt;0,$J133="H"),ROUND(X133/$L133*$E133,2),0))</f>
        <v>0</v>
      </c>
      <c r="AE133" s="604">
        <f t="shared" si="180"/>
        <v>0</v>
      </c>
      <c r="AF133" s="44">
        <f t="shared" si="181"/>
        <v>0</v>
      </c>
      <c r="AG133" s="44">
        <f t="shared" si="182"/>
        <v>0</v>
      </c>
      <c r="AH133" s="44">
        <f t="shared" si="183"/>
        <v>0</v>
      </c>
      <c r="AI133" s="44">
        <f t="shared" si="184"/>
        <v>0</v>
      </c>
      <c r="AJ133" s="44">
        <f t="shared" si="185"/>
        <v>0</v>
      </c>
      <c r="AK133" s="44">
        <f t="shared" ref="AK133:AK196" si="254">IF(AND(YEAR($F133)=YEAR(AM$4),$E133&lt;1000,$E133&gt;-1000,$F133&gt;0,$K133=1),$E133-$I133,IF(AND(YEAR($F133)=YEAR(AM$4),$F133&gt;0,$K133&gt;0),ROUND(($L133/12)*(13-MONTH($F133)),2),IF(AND(YEAR($F133)&lt;YEAR(AM$4),$E133&gt;0,$F133&gt;0,$K133&gt;0,Z133&gt;$L133+$I133),$L133,IF(AND(YEAR($F133)&lt;YEAR(AM$4),$E133&gt;0,$F133&gt;0,$K133&gt;0,Z133&gt;0,Z133&lt;=$L133+$I133),Z133-$I133,IF(AND(YEAR($F133)&lt;YEAR(AM$4),$E133&lt;0,$F133&gt;0,$K133&gt;0,Z133&lt;0,Z133&lt;=$L133),$L133,IF(AND(YEAR($F133)&lt;YEAR(AM$4),$E133&lt;0,$F133&gt;0,$K133&gt;0,Z133&lt;0,Z133&gt;$L133),Z133,0))))))</f>
        <v>0</v>
      </c>
      <c r="AL133" s="44">
        <f t="shared" si="186"/>
        <v>0</v>
      </c>
      <c r="AM133" s="44">
        <f t="shared" ref="AM133:AM196" si="255">IF(AND(YEAR(AM$4)=YEAR($F133),$E133&gt;0,$F133&gt;0,$E133-AK133&gt;=0),$E133-AK133,IF(AND(YEAR(AM$4)&gt;YEAR($F133),$E133&gt;0,$F133&gt;0,Z133-AK133&gt;=0),Z133-AK133,IF(AND(YEAR(AM$4)=YEAR($F133),$E133&lt;0,$F133&gt;0,$E133-AK133&lt;0),$E133-AK133,IF(AND(YEAR(AM$4)&gt;YEAR($F133),$E133&lt;0,$F133&gt;0,Z133-AK133&lt;=0),Z133-AK133,0))))</f>
        <v>0</v>
      </c>
      <c r="AN133" s="44">
        <f t="shared" si="187"/>
        <v>0</v>
      </c>
      <c r="AO133" s="44">
        <f t="shared" ref="AO133:AO196" si="256">AB133+AK133</f>
        <v>0</v>
      </c>
      <c r="AP133" s="46">
        <f t="shared" ref="AP133:AP196" si="257">IF(AND(AE133&lt;&gt;0,$J133="H",$L133=0),AG133,IF(AND(YEAR(AM$4)&gt;YEAR($F133),$J133="H",$F133&gt;0,$L133=0),$E133,0))</f>
        <v>0</v>
      </c>
      <c r="AQ133" s="47">
        <f t="shared" ref="AQ133:AQ196" si="258">IF(AND(YEAR(AM$4)&gt;=YEAR($F133),$E133&gt;0,$F133&gt;0,AK133&gt;0,$J133="H"),ROUND(AK133/$L133*$E133,2),IF(AND(YEAR(AM$4)&gt;=YEAR($F133),$E133&lt;0,$F133&gt;0,AK133&lt;0,$J133="H"),ROUND(AK133/$L133*$E133,2),0))</f>
        <v>0</v>
      </c>
      <c r="AR133" s="604">
        <f t="shared" si="188"/>
        <v>0</v>
      </c>
      <c r="AS133" s="44">
        <f t="shared" si="189"/>
        <v>0</v>
      </c>
      <c r="AT133" s="44">
        <f t="shared" si="190"/>
        <v>0</v>
      </c>
      <c r="AU133" s="44">
        <f t="shared" si="191"/>
        <v>0</v>
      </c>
      <c r="AV133" s="44">
        <f t="shared" si="192"/>
        <v>0</v>
      </c>
      <c r="AW133" s="44">
        <f t="shared" si="193"/>
        <v>0</v>
      </c>
      <c r="AX133" s="44">
        <f t="shared" ref="AX133:AX196" si="259">IF(AND(YEAR($F133)=YEAR(AZ$4),$E133&lt;1000,$E133&gt;-1000,$F133&gt;0,$K133=1),$E133-$I133,IF(AND(YEAR($F133)=YEAR(AZ$4),$F133&gt;0,$K133&gt;0),ROUND(($L133/12)*(13-MONTH($F133)),2),IF(AND(YEAR($F133)&lt;YEAR(AZ$4),$E133&gt;0,$F133&gt;0,$K133&gt;0,AM133&gt;$L133+$I133),$L133,IF(AND(YEAR($F133)&lt;YEAR(AZ$4),$E133&gt;0,$F133&gt;0,$K133&gt;0,AM133&gt;0,AM133&lt;=$L133+$I133),AM133-$I133,IF(AND(YEAR($F133)&lt;YEAR(AZ$4),$E133&lt;0,$F133&gt;0,$K133&gt;0,AM133&lt;0,AM133&lt;=$L133),$L133,IF(AND(YEAR($F133)&lt;YEAR(AZ$4),$E133&lt;0,$F133&gt;0,$K133&gt;0,AM133&lt;0,AM133&gt;$L133),AM133,0))))))</f>
        <v>0</v>
      </c>
      <c r="AY133" s="44">
        <f t="shared" si="194"/>
        <v>0</v>
      </c>
      <c r="AZ133" s="44">
        <f t="shared" ref="AZ133:AZ196" si="260">IF(AND(YEAR(AZ$4)=YEAR($F133),$E133&gt;0,$F133&gt;0,$E133-AX133&gt;=0),$E133-AX133,IF(AND(YEAR(AZ$4)&gt;YEAR($F133),$E133&gt;0,$F133&gt;0,AM133-AX133&gt;=0),AM133-AX133,IF(AND(YEAR(AZ$4)=YEAR($F133),$E133&lt;0,$F133&gt;0,$E133-AX133&lt;0),$E133-AX133,IF(AND(YEAR(AZ$4)&gt;YEAR($F133),$E133&lt;0,$F133&gt;0,AM133-AX133&lt;=0),AM133-AX133,0))))</f>
        <v>0</v>
      </c>
      <c r="BA133" s="44">
        <f t="shared" si="195"/>
        <v>0</v>
      </c>
      <c r="BB133" s="44">
        <f t="shared" ref="BB133:BB196" si="261">AO133+AX133</f>
        <v>0</v>
      </c>
      <c r="BC133" s="46">
        <f t="shared" ref="BC133:BC196" si="262">IF(AND(AR133&lt;&gt;0,$J133="H",$L133=0),AT133,IF(AND(YEAR(AZ$4)&gt;YEAR($F133),$J133="H",$F133&gt;0,$L133=0),$E133,0))</f>
        <v>0</v>
      </c>
      <c r="BD133" s="47">
        <f t="shared" ref="BD133:BD196" si="263">IF(AND(YEAR(AZ$4)&gt;=YEAR($F133),$E133&gt;0,$F133&gt;0,AX133&gt;0,$J133="H"),ROUND(AX133/$L133*$E133,2),IF(AND(YEAR(AZ$4)&gt;=YEAR($F133),$E133&lt;0,$F133&gt;0,AX133&lt;0,$J133="H"),ROUND(AX133/$L133*$E133,2),0))</f>
        <v>0</v>
      </c>
      <c r="BE133" s="604">
        <f t="shared" si="196"/>
        <v>0</v>
      </c>
      <c r="BF133" s="44">
        <f t="shared" si="197"/>
        <v>0</v>
      </c>
      <c r="BG133" s="44">
        <f t="shared" si="198"/>
        <v>0</v>
      </c>
      <c r="BH133" s="44">
        <f t="shared" si="199"/>
        <v>0</v>
      </c>
      <c r="BI133" s="44">
        <f t="shared" si="200"/>
        <v>0</v>
      </c>
      <c r="BJ133" s="44">
        <f t="shared" si="201"/>
        <v>0</v>
      </c>
      <c r="BK133" s="44">
        <f t="shared" ref="BK133:BK196" si="264">IF(AND(YEAR($F133)=YEAR(BM$4),$E133&lt;1000,$E133&gt;-1000,$F133&gt;0,$K133=1),$E133-$I133,IF(AND(YEAR($F133)=YEAR(BM$4),$F133&gt;0,$K133&gt;0),ROUND(($L133/12)*(13-MONTH($F133)),2),IF(AND(YEAR($F133)&lt;YEAR(BM$4),$E133&gt;0,$F133&gt;0,$K133&gt;0,AZ133&gt;$L133+$I133),$L133,IF(AND(YEAR($F133)&lt;YEAR(BM$4),$E133&gt;0,$F133&gt;0,$K133&gt;0,AZ133&gt;0,AZ133&lt;=$L133+$I133),AZ133-$I133,IF(AND(YEAR($F133)&lt;YEAR(BM$4),$E133&lt;0,$F133&gt;0,$K133&gt;0,AZ133&lt;0,AZ133&lt;=$L133),$L133,IF(AND(YEAR($F133)&lt;YEAR(BM$4),$E133&lt;0,$F133&gt;0,$K133&gt;0,AZ133&lt;0,AZ133&gt;$L133),AZ133,0))))))</f>
        <v>0</v>
      </c>
      <c r="BL133" s="44">
        <f t="shared" si="202"/>
        <v>0</v>
      </c>
      <c r="BM133" s="44">
        <f t="shared" ref="BM133:BM196" si="265">IF(AND(YEAR(BM$4)=YEAR($F133),$E133&gt;0,$F133&gt;0,$E133-BK133&gt;=0),$E133-BK133,IF(AND(YEAR(BM$4)&gt;YEAR($F133),$E133&gt;0,$F133&gt;0,AZ133-BK133&gt;=0),AZ133-BK133,IF(AND(YEAR(BM$4)=YEAR($F133),$E133&lt;0,$F133&gt;0,$E133-BK133&lt;0),$E133-BK133,IF(AND(YEAR(BM$4)&gt;YEAR($F133),$E133&lt;0,$F133&gt;0,AZ133-BK133&lt;=0),AZ133-BK133,0))))</f>
        <v>0</v>
      </c>
      <c r="BN133" s="44">
        <f t="shared" si="203"/>
        <v>0</v>
      </c>
      <c r="BO133" s="44">
        <f t="shared" ref="BO133:BO196" si="266">BB133+BK133</f>
        <v>0</v>
      </c>
      <c r="BP133" s="46">
        <f t="shared" ref="BP133:BP196" si="267">IF(AND(BE133&lt;&gt;0,$J133="H",$L133=0),BG133,IF(AND(YEAR(BM$4)&gt;YEAR($F133),$J133="H",$F133&gt;0,$L133=0),$E133,0))</f>
        <v>0</v>
      </c>
      <c r="BQ133" s="47">
        <f t="shared" ref="BQ133:BQ196" si="268">IF(AND(YEAR(BM$4)&gt;=YEAR($F133),$E133&gt;0,$F133&gt;0,BK133&gt;0,$J133="H"),ROUND(BK133/$L133*$E133,2),IF(AND(YEAR(BM$4)&gt;=YEAR($F133),$E133&lt;0,$F133&gt;0,BK133&lt;0,$J133="H"),ROUND(BK133/$L133*$E133,2),0))</f>
        <v>0</v>
      </c>
      <c r="BR133" s="604">
        <f t="shared" si="204"/>
        <v>0</v>
      </c>
      <c r="BS133" s="44">
        <f t="shared" si="205"/>
        <v>0</v>
      </c>
      <c r="BT133" s="44">
        <f t="shared" si="206"/>
        <v>0</v>
      </c>
      <c r="BU133" s="44">
        <f t="shared" si="207"/>
        <v>0</v>
      </c>
      <c r="BV133" s="44">
        <f t="shared" si="208"/>
        <v>0</v>
      </c>
      <c r="BW133" s="44">
        <f t="shared" si="209"/>
        <v>0</v>
      </c>
      <c r="BX133" s="44">
        <f t="shared" ref="BX133:BX196" si="269">IF(AND(YEAR($F133)=YEAR(BZ$4),$E133&lt;1000,$E133&gt;-1000,$F133&gt;0,$K133=1),$E133-$I133,IF(AND(YEAR($F133)=YEAR(BZ$4),$F133&gt;0,$K133&gt;0),ROUND(($L133/12)*(13-MONTH($F133)),2),IF(AND(YEAR($F133)&lt;YEAR(BZ$4),$E133&gt;0,$F133&gt;0,$K133&gt;0,BM133&gt;$L133+$I133),$L133,IF(AND(YEAR($F133)&lt;YEAR(BZ$4),$E133&gt;0,$F133&gt;0,$K133&gt;0,BM133&gt;0,BM133&lt;=$L133+$I133),BM133-$I133,IF(AND(YEAR($F133)&lt;YEAR(BZ$4),$E133&lt;0,$F133&gt;0,$K133&gt;0,BM133&lt;0,BM133&lt;=$L133),$L133,IF(AND(YEAR($F133)&lt;YEAR(BZ$4),$E133&lt;0,$F133&gt;0,$K133&gt;0,BM133&lt;0,BM133&gt;$L133),BM133,0))))))</f>
        <v>0</v>
      </c>
      <c r="BY133" s="44">
        <f t="shared" si="210"/>
        <v>0</v>
      </c>
      <c r="BZ133" s="44">
        <f t="shared" ref="BZ133:BZ196" si="270">IF(AND(YEAR(BZ$4)=YEAR($F133),$E133&gt;0,$F133&gt;0,$E133-BX133&gt;=0),$E133-BX133,IF(AND(YEAR(BZ$4)&gt;YEAR($F133),$E133&gt;0,$F133&gt;0,BM133-BX133&gt;=0),BM133-BX133,IF(AND(YEAR(BZ$4)=YEAR($F133),$E133&lt;0,$F133&gt;0,$E133-BX133&lt;0),$E133-BX133,IF(AND(YEAR(BZ$4)&gt;YEAR($F133),$E133&lt;0,$F133&gt;0,BM133-BX133&lt;=0),BM133-BX133,0))))</f>
        <v>0</v>
      </c>
      <c r="CA133" s="44">
        <f t="shared" si="211"/>
        <v>0</v>
      </c>
      <c r="CB133" s="44">
        <f t="shared" ref="CB133:CB196" si="271">BO133+BX133</f>
        <v>0</v>
      </c>
      <c r="CC133" s="46">
        <f t="shared" ref="CC133:CC196" si="272">IF(AND(BR133&lt;&gt;0,$J133="H",$L133=0),BT133,IF(AND(YEAR(BZ$4)&gt;YEAR($F133),$J133="H",$F133&gt;0,$L133=0),$E133,0))</f>
        <v>0</v>
      </c>
      <c r="CD133" s="47">
        <f t="shared" ref="CD133:CD196" si="273">IF(AND(YEAR(BZ$4)&gt;=YEAR($F133),$E133&gt;0,$F133&gt;0,BX133&gt;0,$J133="H"),ROUND(BX133/$L133*$E133,2),IF(AND(YEAR(BZ$4)&gt;=YEAR($F133),$E133&lt;0,$F133&gt;0,BX133&lt;0,$J133="H"),ROUND(BX133/$L133*$E133,2),0))</f>
        <v>0</v>
      </c>
      <c r="CE133" s="604">
        <f t="shared" si="212"/>
        <v>0</v>
      </c>
      <c r="CF133" s="44">
        <f t="shared" si="213"/>
        <v>0</v>
      </c>
      <c r="CG133" s="44">
        <f t="shared" si="214"/>
        <v>0</v>
      </c>
      <c r="CH133" s="44">
        <f t="shared" si="215"/>
        <v>0</v>
      </c>
      <c r="CI133" s="44">
        <f t="shared" si="216"/>
        <v>0</v>
      </c>
      <c r="CJ133" s="44">
        <f t="shared" si="217"/>
        <v>0</v>
      </c>
      <c r="CK133" s="44">
        <f t="shared" ref="CK133:CK196" si="274">IF(AND(YEAR($F133)=YEAR(CM$4),$E133&lt;1000,$E133&gt;-1000,$F133&gt;0,$K133=1),$E133-$I133,IF(AND(YEAR($F133)=YEAR(CM$4),$F133&gt;0,$K133&gt;0),ROUND(($L133/12)*(13-MONTH($F133)),2),IF(AND(YEAR($F133)&lt;YEAR(CM$4),$E133&gt;0,$F133&gt;0,$K133&gt;0,BZ133&gt;$L133+$I133),$L133,IF(AND(YEAR($F133)&lt;YEAR(CM$4),$E133&gt;0,$F133&gt;0,$K133&gt;0,BZ133&gt;0,BZ133&lt;=$L133+$I133),BZ133-$I133,IF(AND(YEAR($F133)&lt;YEAR(CM$4),$E133&lt;0,$F133&gt;0,$K133&gt;0,BZ133&lt;0,BZ133&lt;=$L133),$L133,IF(AND(YEAR($F133)&lt;YEAR(CM$4),$E133&lt;0,$F133&gt;0,$K133&gt;0,BZ133&lt;0,BZ133&gt;$L133),BZ133,0))))))</f>
        <v>0</v>
      </c>
      <c r="CL133" s="44">
        <f t="shared" si="218"/>
        <v>0</v>
      </c>
      <c r="CM133" s="44">
        <f t="shared" ref="CM133:CM196" si="275">IF(AND(YEAR(CM$4)=YEAR($F133),$E133&gt;0,$F133&gt;0,$E133-CK133&gt;=0),$E133-CK133,IF(AND(YEAR(CM$4)&gt;YEAR($F133),$E133&gt;0,$F133&gt;0,BZ133-CK133&gt;=0),BZ133-CK133,IF(AND(YEAR(CM$4)=YEAR($F133),$E133&lt;0,$F133&gt;0,$E133-CK133&lt;0),$E133-CK133,IF(AND(YEAR(CM$4)&gt;YEAR($F133),$E133&lt;0,$F133&gt;0,BZ133-CK133&lt;=0),BZ133-CK133,0))))</f>
        <v>0</v>
      </c>
      <c r="CN133" s="44">
        <f t="shared" si="219"/>
        <v>0</v>
      </c>
      <c r="CO133" s="44">
        <f t="shared" ref="CO133:CO196" si="276">CB133+CK133</f>
        <v>0</v>
      </c>
      <c r="CP133" s="46">
        <f t="shared" ref="CP133:CP196" si="277">IF(AND(CE133&lt;&gt;0,$J133="H",$L133=0),CG133,IF(AND(YEAR(CM$4)&gt;YEAR($F133),$J133="H",$F133&gt;0,$L133=0),$E133,0))</f>
        <v>0</v>
      </c>
      <c r="CQ133" s="47">
        <f t="shared" ref="CQ133:CQ196" si="278">IF(AND(YEAR(CM$4)&gt;=YEAR($F133),$E133&gt;0,$F133&gt;0,CK133&gt;0,$J133="H"),ROUND(CK133/$L133*$E133,2),IF(AND(YEAR(CM$4)&gt;=YEAR($F133),$E133&lt;0,$F133&gt;0,CK133&lt;0,$J133="H"),ROUND(CK133/$L133*$E133,2),0))</f>
        <v>0</v>
      </c>
      <c r="CR133" s="604">
        <f t="shared" si="220"/>
        <v>0</v>
      </c>
      <c r="CS133" s="44">
        <f t="shared" si="221"/>
        <v>0</v>
      </c>
      <c r="CT133" s="44">
        <f t="shared" si="222"/>
        <v>0</v>
      </c>
      <c r="CU133" s="44">
        <f t="shared" si="223"/>
        <v>0</v>
      </c>
      <c r="CV133" s="44">
        <f t="shared" si="224"/>
        <v>0</v>
      </c>
      <c r="CW133" s="44">
        <f t="shared" si="225"/>
        <v>0</v>
      </c>
      <c r="CX133" s="44">
        <f t="shared" ref="CX133:CX196" si="279">IF(AND(YEAR($F133)=YEAR(CZ$4),$E133&lt;1000,$E133&gt;-1000,$F133&gt;0,$K133=1),$E133-$I133,IF(AND(YEAR($F133)=YEAR(CZ$4),$F133&gt;0,$K133&gt;0),ROUND(($L133/12)*(13-MONTH($F133)),2),IF(AND(YEAR($F133)&lt;YEAR(CZ$4),$E133&gt;0,$F133&gt;0,$K133&gt;0,CM133&gt;$L133+$I133),$L133,IF(AND(YEAR($F133)&lt;YEAR(CZ$4),$E133&gt;0,$F133&gt;0,$K133&gt;0,CM133&gt;0,CM133&lt;=$L133+$I133),CM133-$I133,IF(AND(YEAR($F133)&lt;YEAR(CZ$4),$E133&lt;0,$F133&gt;0,$K133&gt;0,CM133&lt;0,CM133&lt;=$L133),$L133,IF(AND(YEAR($F133)&lt;YEAR(CZ$4),$E133&lt;0,$F133&gt;0,$K133&gt;0,CM133&lt;0,CM133&gt;$L133),CM133,0))))))</f>
        <v>0</v>
      </c>
      <c r="CY133" s="44">
        <f t="shared" si="226"/>
        <v>0</v>
      </c>
      <c r="CZ133" s="44">
        <f t="shared" ref="CZ133:CZ196" si="280">IF(AND(YEAR(CZ$4)=YEAR($F133),$E133&gt;0,$F133&gt;0,$E133-CX133&gt;=0),$E133-CX133,IF(AND(YEAR(CZ$4)&gt;YEAR($F133),$E133&gt;0,$F133&gt;0,CM133-CX133&gt;=0),CM133-CX133,IF(AND(YEAR(CZ$4)=YEAR($F133),$E133&lt;0,$F133&gt;0,$E133-CX133&lt;0),$E133-CX133,IF(AND(YEAR(CZ$4)&gt;YEAR($F133),$E133&lt;0,$F133&gt;0,CM133-CX133&lt;=0),CM133-CX133,0))))</f>
        <v>0</v>
      </c>
      <c r="DA133" s="44">
        <f t="shared" si="227"/>
        <v>0</v>
      </c>
      <c r="DB133" s="44">
        <f t="shared" ref="DB133:DB196" si="281">CO133+CX133</f>
        <v>0</v>
      </c>
      <c r="DC133" s="46">
        <f t="shared" ref="DC133:DC196" si="282">IF(AND(CR133&lt;&gt;0,$J133="H",$L133=0),CT133,IF(AND(YEAR(CZ$4)&gt;YEAR($F133),$J133="H",$F133&gt;0,$L133=0),$E133,0))</f>
        <v>0</v>
      </c>
      <c r="DD133" s="47">
        <f t="shared" ref="DD133:DD196" si="283">IF(AND(YEAR(CZ$4)&gt;=YEAR($F133),$E133&gt;0,$F133&gt;0,CX133&gt;0,$J133="H"),ROUND(CX133/$L133*$E133,2),IF(AND(YEAR(CZ$4)&gt;=YEAR($F133),$E133&lt;0,$F133&gt;0,CX133&lt;0,$J133="H"),ROUND(CX133/$L133*$E133,2),0))</f>
        <v>0</v>
      </c>
      <c r="DE133" s="604">
        <f t="shared" si="228"/>
        <v>0</v>
      </c>
      <c r="DF133" s="44">
        <f t="shared" si="229"/>
        <v>0</v>
      </c>
      <c r="DG133" s="44">
        <f t="shared" si="230"/>
        <v>0</v>
      </c>
      <c r="DH133" s="44">
        <f t="shared" si="231"/>
        <v>0</v>
      </c>
      <c r="DI133" s="44">
        <f t="shared" si="232"/>
        <v>0</v>
      </c>
      <c r="DJ133" s="44">
        <f t="shared" si="233"/>
        <v>0</v>
      </c>
      <c r="DK133" s="44">
        <f t="shared" ref="DK133:DK196" si="284">IF(AND(YEAR($F133)=YEAR(DM$4),$E133&lt;1000,$E133&gt;-1000,$F133&gt;0,$K133=1),$E133-$I133,IF(AND(YEAR($F133)=YEAR(DM$4),$F133&gt;0,$K133&gt;0),ROUND(($L133/12)*(13-MONTH($F133)),2),IF(AND(YEAR($F133)&lt;YEAR(DM$4),$E133&gt;0,$F133&gt;0,$K133&gt;0,CZ133&gt;$L133+$I133),$L133,IF(AND(YEAR($F133)&lt;YEAR(DM$4),$E133&gt;0,$F133&gt;0,$K133&gt;0,CZ133&gt;0,CZ133&lt;=$L133+$I133),CZ133-$I133,IF(AND(YEAR($F133)&lt;YEAR(DM$4),$E133&lt;0,$F133&gt;0,$K133&gt;0,CZ133&lt;0,CZ133&lt;=$L133),$L133,IF(AND(YEAR($F133)&lt;YEAR(DM$4),$E133&lt;0,$F133&gt;0,$K133&gt;0,CZ133&lt;0,CZ133&gt;$L133),CZ133,0))))))</f>
        <v>0</v>
      </c>
      <c r="DL133" s="44">
        <f t="shared" si="234"/>
        <v>0</v>
      </c>
      <c r="DM133" s="44">
        <f t="shared" ref="DM133:DM196" si="285">IF(AND(YEAR(DM$4)=YEAR($F133),$E133&gt;0,$F133&gt;0,$E133-DK133&gt;=0),$E133-DK133,IF(AND(YEAR(DM$4)&gt;YEAR($F133),$E133&gt;0,$F133&gt;0,CZ133-DK133&gt;=0),CZ133-DK133,IF(AND(YEAR(DM$4)=YEAR($F133),$E133&lt;0,$F133&gt;0,$E133-DK133&lt;0),$E133-DK133,IF(AND(YEAR(DM$4)&gt;YEAR($F133),$E133&lt;0,$F133&gt;0,CZ133-DK133&lt;=0),CZ133-DK133,0))))</f>
        <v>0</v>
      </c>
      <c r="DN133" s="44">
        <f t="shared" si="235"/>
        <v>0</v>
      </c>
      <c r="DO133" s="44">
        <f t="shared" ref="DO133:DO196" si="286">DB133+DK133</f>
        <v>0</v>
      </c>
      <c r="DP133" s="46">
        <f t="shared" ref="DP133:DP196" si="287">IF(AND(DE133&lt;&gt;0,$J133="H",$L133=0),DG133,IF(AND(YEAR(DM$4)&gt;YEAR($F133),$J133="H",$F133&gt;0,$L133=0),$E133,0))</f>
        <v>0</v>
      </c>
      <c r="DQ133" s="47">
        <f t="shared" ref="DQ133:DQ196" si="288">IF(AND(YEAR(DM$4)&gt;=YEAR($F133),$E133&gt;0,$F133&gt;0,DK133&gt;0,$J133="H"),ROUND(DK133/$L133*$E133,2),IF(AND(YEAR(DM$4)&gt;=YEAR($F133),$E133&lt;0,$F133&gt;0,DK133&lt;0,$J133="H"),ROUND(DK133/$L133*$E133,2),0))</f>
        <v>0</v>
      </c>
      <c r="DR133" s="604">
        <f t="shared" si="236"/>
        <v>0</v>
      </c>
      <c r="DS133" s="44">
        <f t="shared" si="237"/>
        <v>0</v>
      </c>
      <c r="DT133" s="44">
        <f t="shared" si="238"/>
        <v>0</v>
      </c>
      <c r="DU133" s="44">
        <f t="shared" si="239"/>
        <v>0</v>
      </c>
      <c r="DV133" s="44">
        <f t="shared" si="240"/>
        <v>0</v>
      </c>
      <c r="DW133" s="44">
        <f t="shared" si="241"/>
        <v>0</v>
      </c>
      <c r="DX133" s="44">
        <f t="shared" ref="DX133:DX196" si="289">IF(AND(YEAR($F133)=YEAR(DZ$4),$E133&lt;1000,$E133&gt;-1000,$F133&gt;0,$K133=1),$E133-$I133,IF(AND(YEAR($F133)=YEAR(DZ$4),$F133&gt;0,$K133&gt;0),ROUND(($L133/12)*(13-MONTH($F133)),2),IF(AND(YEAR($F133)&lt;YEAR(DZ$4),$E133&gt;0,$F133&gt;0,$K133&gt;0,DM133&gt;$L133+$I133),$L133,IF(AND(YEAR($F133)&lt;YEAR(DZ$4),$E133&gt;0,$F133&gt;0,$K133&gt;0,DM133&gt;0,DM133&lt;=$L133+$I133),DM133-$I133,IF(AND(YEAR($F133)&lt;YEAR(DZ$4),$E133&lt;0,$F133&gt;0,$K133&gt;0,DM133&lt;0,DM133&lt;=$L133),$L133,IF(AND(YEAR($F133)&lt;YEAR(DZ$4),$E133&lt;0,$F133&gt;0,$K133&gt;0,DM133&lt;0,DM133&gt;$L133),DM133,0))))))</f>
        <v>0</v>
      </c>
      <c r="DY133" s="44">
        <f t="shared" si="242"/>
        <v>0</v>
      </c>
      <c r="DZ133" s="44">
        <f t="shared" ref="DZ133:DZ196" si="290">IF(AND(YEAR(DZ$4)=YEAR($F133),$E133&gt;0,$F133&gt;0,$E133-DX133&gt;=0),$E133-DX133,IF(AND(YEAR(DZ$4)&gt;YEAR($F133),$E133&gt;0,$F133&gt;0,DM133-DX133&gt;=0),DM133-DX133,IF(AND(YEAR(DZ$4)=YEAR($F133),$E133&lt;0,$F133&gt;0,$E133-DX133&lt;0),$E133-DX133,IF(AND(YEAR(DZ$4)&gt;YEAR($F133),$E133&lt;0,$F133&gt;0,DM133-DX133&lt;=0),DM133-DX133,0))))</f>
        <v>0</v>
      </c>
      <c r="EA133" s="44">
        <f t="shared" si="243"/>
        <v>0</v>
      </c>
      <c r="EB133" s="44">
        <f t="shared" ref="EB133:EB196" si="291">DO133+DX133</f>
        <v>0</v>
      </c>
      <c r="EC133" s="46">
        <f t="shared" ref="EC133:EC196" si="292">IF(AND(DR133&lt;&gt;0,$J133="H",$L133=0),DT133,IF(AND(YEAR(DZ$4)&gt;YEAR($F133),$J133="H",$F133&gt;0,$L133=0),$E133,0))</f>
        <v>0</v>
      </c>
      <c r="ED133" s="47">
        <f t="shared" ref="ED133:ED196" si="293">IF(AND(YEAR(DZ$4)&gt;=YEAR($F133),$E133&gt;0,$F133&gt;0,DX133&gt;0,$J133="H"),ROUND(DX133/$L133*$E133,2),IF(AND(YEAR(DZ$4)&gt;=YEAR($F133),$E133&lt;0,$F133&gt;0,DX133&lt;0,$J133="H"),ROUND(DX133/$L133*$E133,2),0))</f>
        <v>0</v>
      </c>
    </row>
    <row r="134" spans="1:134" x14ac:dyDescent="0.35">
      <c r="A134" s="81">
        <v>1994</v>
      </c>
      <c r="B134" s="82" t="s">
        <v>302</v>
      </c>
      <c r="C134" s="82"/>
      <c r="D134" s="83" t="s">
        <v>41</v>
      </c>
      <c r="E134" s="87">
        <v>1400</v>
      </c>
      <c r="F134" s="85">
        <v>34516</v>
      </c>
      <c r="G134" s="86">
        <v>10</v>
      </c>
      <c r="H134" s="179"/>
      <c r="I134" s="180"/>
      <c r="J134" s="181"/>
      <c r="K134" s="42">
        <f t="shared" si="244"/>
        <v>0.1</v>
      </c>
      <c r="L134" s="43">
        <f t="shared" si="245"/>
        <v>140</v>
      </c>
      <c r="M134" s="44">
        <f t="shared" si="246"/>
        <v>0</v>
      </c>
      <c r="N134" s="44"/>
      <c r="O134" s="44">
        <f t="shared" si="247"/>
        <v>1400</v>
      </c>
      <c r="P134" s="45"/>
      <c r="Q134" s="44">
        <f t="shared" si="248"/>
        <v>1400</v>
      </c>
      <c r="R134" s="604">
        <f t="shared" si="172"/>
        <v>0</v>
      </c>
      <c r="S134" s="44">
        <f t="shared" si="173"/>
        <v>0</v>
      </c>
      <c r="T134" s="44">
        <f t="shared" si="174"/>
        <v>0</v>
      </c>
      <c r="U134" s="44">
        <f t="shared" si="175"/>
        <v>0</v>
      </c>
      <c r="V134" s="44">
        <f t="shared" si="176"/>
        <v>1400</v>
      </c>
      <c r="W134" s="44">
        <f t="shared" si="177"/>
        <v>0</v>
      </c>
      <c r="X134" s="44">
        <f t="shared" si="249"/>
        <v>0</v>
      </c>
      <c r="Y134" s="44">
        <f t="shared" si="178"/>
        <v>0</v>
      </c>
      <c r="Z134" s="44">
        <f t="shared" si="250"/>
        <v>0</v>
      </c>
      <c r="AA134" s="44">
        <f t="shared" si="179"/>
        <v>0</v>
      </c>
      <c r="AB134" s="44">
        <f t="shared" si="251"/>
        <v>1400</v>
      </c>
      <c r="AC134" s="46">
        <f t="shared" si="252"/>
        <v>0</v>
      </c>
      <c r="AD134" s="47">
        <f t="shared" si="253"/>
        <v>0</v>
      </c>
      <c r="AE134" s="604">
        <f t="shared" si="180"/>
        <v>0</v>
      </c>
      <c r="AF134" s="44">
        <f t="shared" si="181"/>
        <v>0</v>
      </c>
      <c r="AG134" s="44">
        <f t="shared" si="182"/>
        <v>0</v>
      </c>
      <c r="AH134" s="44">
        <f t="shared" si="183"/>
        <v>0</v>
      </c>
      <c r="AI134" s="44">
        <f t="shared" si="184"/>
        <v>1400</v>
      </c>
      <c r="AJ134" s="44">
        <f t="shared" si="185"/>
        <v>0</v>
      </c>
      <c r="AK134" s="44">
        <f t="shared" si="254"/>
        <v>0</v>
      </c>
      <c r="AL134" s="44">
        <f t="shared" si="186"/>
        <v>0</v>
      </c>
      <c r="AM134" s="44">
        <f t="shared" si="255"/>
        <v>0</v>
      </c>
      <c r="AN134" s="44">
        <f t="shared" si="187"/>
        <v>0</v>
      </c>
      <c r="AO134" s="44">
        <f t="shared" si="256"/>
        <v>1400</v>
      </c>
      <c r="AP134" s="46">
        <f t="shared" si="257"/>
        <v>0</v>
      </c>
      <c r="AQ134" s="47">
        <f t="shared" si="258"/>
        <v>0</v>
      </c>
      <c r="AR134" s="604">
        <f t="shared" si="188"/>
        <v>0</v>
      </c>
      <c r="AS134" s="44">
        <f t="shared" si="189"/>
        <v>0</v>
      </c>
      <c r="AT134" s="44">
        <f t="shared" si="190"/>
        <v>0</v>
      </c>
      <c r="AU134" s="44">
        <f t="shared" si="191"/>
        <v>0</v>
      </c>
      <c r="AV134" s="44">
        <f t="shared" si="192"/>
        <v>1400</v>
      </c>
      <c r="AW134" s="44">
        <f t="shared" si="193"/>
        <v>0</v>
      </c>
      <c r="AX134" s="44">
        <f t="shared" si="259"/>
        <v>0</v>
      </c>
      <c r="AY134" s="44">
        <f t="shared" si="194"/>
        <v>0</v>
      </c>
      <c r="AZ134" s="44">
        <f t="shared" si="260"/>
        <v>0</v>
      </c>
      <c r="BA134" s="44">
        <f t="shared" si="195"/>
        <v>0</v>
      </c>
      <c r="BB134" s="44">
        <f t="shared" si="261"/>
        <v>1400</v>
      </c>
      <c r="BC134" s="46">
        <f t="shared" si="262"/>
        <v>0</v>
      </c>
      <c r="BD134" s="47">
        <f t="shared" si="263"/>
        <v>0</v>
      </c>
      <c r="BE134" s="604">
        <f t="shared" si="196"/>
        <v>0</v>
      </c>
      <c r="BF134" s="44">
        <f t="shared" si="197"/>
        <v>0</v>
      </c>
      <c r="BG134" s="44">
        <f t="shared" si="198"/>
        <v>0</v>
      </c>
      <c r="BH134" s="44">
        <f t="shared" si="199"/>
        <v>0</v>
      </c>
      <c r="BI134" s="44">
        <f t="shared" si="200"/>
        <v>1400</v>
      </c>
      <c r="BJ134" s="44">
        <f t="shared" si="201"/>
        <v>0</v>
      </c>
      <c r="BK134" s="44">
        <f t="shared" si="264"/>
        <v>0</v>
      </c>
      <c r="BL134" s="44">
        <f t="shared" si="202"/>
        <v>0</v>
      </c>
      <c r="BM134" s="44">
        <f t="shared" si="265"/>
        <v>0</v>
      </c>
      <c r="BN134" s="44">
        <f t="shared" si="203"/>
        <v>0</v>
      </c>
      <c r="BO134" s="44">
        <f t="shared" si="266"/>
        <v>1400</v>
      </c>
      <c r="BP134" s="46">
        <f t="shared" si="267"/>
        <v>0</v>
      </c>
      <c r="BQ134" s="47">
        <f t="shared" si="268"/>
        <v>0</v>
      </c>
      <c r="BR134" s="604">
        <f t="shared" si="204"/>
        <v>0</v>
      </c>
      <c r="BS134" s="44">
        <f t="shared" si="205"/>
        <v>0</v>
      </c>
      <c r="BT134" s="44">
        <f t="shared" si="206"/>
        <v>0</v>
      </c>
      <c r="BU134" s="44">
        <f t="shared" si="207"/>
        <v>0</v>
      </c>
      <c r="BV134" s="44">
        <f t="shared" si="208"/>
        <v>1400</v>
      </c>
      <c r="BW134" s="44">
        <f t="shared" si="209"/>
        <v>0</v>
      </c>
      <c r="BX134" s="44">
        <f t="shared" si="269"/>
        <v>0</v>
      </c>
      <c r="BY134" s="44">
        <f t="shared" si="210"/>
        <v>0</v>
      </c>
      <c r="BZ134" s="44">
        <f t="shared" si="270"/>
        <v>0</v>
      </c>
      <c r="CA134" s="44">
        <f t="shared" si="211"/>
        <v>0</v>
      </c>
      <c r="CB134" s="44">
        <f t="shared" si="271"/>
        <v>1400</v>
      </c>
      <c r="CC134" s="46">
        <f t="shared" si="272"/>
        <v>0</v>
      </c>
      <c r="CD134" s="47">
        <f t="shared" si="273"/>
        <v>0</v>
      </c>
      <c r="CE134" s="604">
        <f t="shared" si="212"/>
        <v>0</v>
      </c>
      <c r="CF134" s="44">
        <f t="shared" si="213"/>
        <v>0</v>
      </c>
      <c r="CG134" s="44">
        <f t="shared" si="214"/>
        <v>0</v>
      </c>
      <c r="CH134" s="44">
        <f t="shared" si="215"/>
        <v>0</v>
      </c>
      <c r="CI134" s="44">
        <f t="shared" si="216"/>
        <v>1400</v>
      </c>
      <c r="CJ134" s="44">
        <f t="shared" si="217"/>
        <v>0</v>
      </c>
      <c r="CK134" s="44">
        <f t="shared" si="274"/>
        <v>0</v>
      </c>
      <c r="CL134" s="44">
        <f t="shared" si="218"/>
        <v>0</v>
      </c>
      <c r="CM134" s="44">
        <f t="shared" si="275"/>
        <v>0</v>
      </c>
      <c r="CN134" s="44">
        <f t="shared" si="219"/>
        <v>0</v>
      </c>
      <c r="CO134" s="44">
        <f t="shared" si="276"/>
        <v>1400</v>
      </c>
      <c r="CP134" s="46">
        <f t="shared" si="277"/>
        <v>0</v>
      </c>
      <c r="CQ134" s="47">
        <f t="shared" si="278"/>
        <v>0</v>
      </c>
      <c r="CR134" s="604">
        <f t="shared" si="220"/>
        <v>0</v>
      </c>
      <c r="CS134" s="44">
        <f t="shared" si="221"/>
        <v>0</v>
      </c>
      <c r="CT134" s="44">
        <f t="shared" si="222"/>
        <v>0</v>
      </c>
      <c r="CU134" s="44">
        <f t="shared" si="223"/>
        <v>0</v>
      </c>
      <c r="CV134" s="44">
        <f t="shared" si="224"/>
        <v>1400</v>
      </c>
      <c r="CW134" s="44">
        <f t="shared" si="225"/>
        <v>0</v>
      </c>
      <c r="CX134" s="44">
        <f t="shared" si="279"/>
        <v>0</v>
      </c>
      <c r="CY134" s="44">
        <f t="shared" si="226"/>
        <v>0</v>
      </c>
      <c r="CZ134" s="44">
        <f t="shared" si="280"/>
        <v>0</v>
      </c>
      <c r="DA134" s="44">
        <f t="shared" si="227"/>
        <v>0</v>
      </c>
      <c r="DB134" s="44">
        <f t="shared" si="281"/>
        <v>1400</v>
      </c>
      <c r="DC134" s="46">
        <f t="shared" si="282"/>
        <v>0</v>
      </c>
      <c r="DD134" s="47">
        <f t="shared" si="283"/>
        <v>0</v>
      </c>
      <c r="DE134" s="604">
        <f t="shared" si="228"/>
        <v>0</v>
      </c>
      <c r="DF134" s="44">
        <f t="shared" si="229"/>
        <v>0</v>
      </c>
      <c r="DG134" s="44">
        <f t="shared" si="230"/>
        <v>0</v>
      </c>
      <c r="DH134" s="44">
        <f t="shared" si="231"/>
        <v>0</v>
      </c>
      <c r="DI134" s="44">
        <f t="shared" si="232"/>
        <v>1400</v>
      </c>
      <c r="DJ134" s="44">
        <f t="shared" si="233"/>
        <v>0</v>
      </c>
      <c r="DK134" s="44">
        <f t="shared" si="284"/>
        <v>0</v>
      </c>
      <c r="DL134" s="44">
        <f t="shared" si="234"/>
        <v>0</v>
      </c>
      <c r="DM134" s="44">
        <f t="shared" si="285"/>
        <v>0</v>
      </c>
      <c r="DN134" s="44">
        <f t="shared" si="235"/>
        <v>0</v>
      </c>
      <c r="DO134" s="44">
        <f t="shared" si="286"/>
        <v>1400</v>
      </c>
      <c r="DP134" s="46">
        <f t="shared" si="287"/>
        <v>0</v>
      </c>
      <c r="DQ134" s="47">
        <f t="shared" si="288"/>
        <v>0</v>
      </c>
      <c r="DR134" s="604">
        <f t="shared" si="236"/>
        <v>0</v>
      </c>
      <c r="DS134" s="44">
        <f t="shared" si="237"/>
        <v>0</v>
      </c>
      <c r="DT134" s="44">
        <f t="shared" si="238"/>
        <v>0</v>
      </c>
      <c r="DU134" s="44">
        <f t="shared" si="239"/>
        <v>0</v>
      </c>
      <c r="DV134" s="44">
        <f t="shared" si="240"/>
        <v>1400</v>
      </c>
      <c r="DW134" s="44">
        <f t="shared" si="241"/>
        <v>0</v>
      </c>
      <c r="DX134" s="44">
        <f t="shared" si="289"/>
        <v>0</v>
      </c>
      <c r="DY134" s="44">
        <f t="shared" si="242"/>
        <v>0</v>
      </c>
      <c r="DZ134" s="44">
        <f t="shared" si="290"/>
        <v>0</v>
      </c>
      <c r="EA134" s="44">
        <f t="shared" si="243"/>
        <v>0</v>
      </c>
      <c r="EB134" s="44">
        <f t="shared" si="291"/>
        <v>1400</v>
      </c>
      <c r="EC134" s="46">
        <f t="shared" si="292"/>
        <v>0</v>
      </c>
      <c r="ED134" s="47">
        <f t="shared" si="293"/>
        <v>0</v>
      </c>
    </row>
    <row r="135" spans="1:134" x14ac:dyDescent="0.35">
      <c r="A135" s="81">
        <v>1994</v>
      </c>
      <c r="B135" s="82" t="s">
        <v>303</v>
      </c>
      <c r="C135" s="82"/>
      <c r="D135" s="83" t="s">
        <v>29</v>
      </c>
      <c r="E135" s="87">
        <v>1700</v>
      </c>
      <c r="F135" s="85">
        <v>34516</v>
      </c>
      <c r="G135" s="86">
        <v>10</v>
      </c>
      <c r="H135" s="179"/>
      <c r="I135" s="180"/>
      <c r="J135" s="181"/>
      <c r="K135" s="42">
        <f t="shared" si="244"/>
        <v>0.1</v>
      </c>
      <c r="L135" s="43">
        <f t="shared" si="245"/>
        <v>170</v>
      </c>
      <c r="M135" s="44">
        <f t="shared" si="246"/>
        <v>0</v>
      </c>
      <c r="N135" s="44"/>
      <c r="O135" s="44">
        <f t="shared" si="247"/>
        <v>1700</v>
      </c>
      <c r="P135" s="45"/>
      <c r="Q135" s="44">
        <f t="shared" si="248"/>
        <v>1700</v>
      </c>
      <c r="R135" s="604">
        <f t="shared" ref="R135:R198" si="294">IF(YEAR($F135)=R$4,$E135,0)</f>
        <v>0</v>
      </c>
      <c r="S135" s="44">
        <f t="shared" ref="S135:S198" si="295">IF($J135&lt;&gt;"H",R135,0)</f>
        <v>0</v>
      </c>
      <c r="T135" s="44">
        <f t="shared" ref="T135:T198" si="296">IF(R135&lt;&gt;0,ROUND(R135*YEARFRAC($F135,Z$4,0),2),0)</f>
        <v>0</v>
      </c>
      <c r="U135" s="44">
        <f t="shared" ref="U135:U198" si="297">IF($J135&lt;&gt;"H",T135,0)</f>
        <v>0</v>
      </c>
      <c r="V135" s="44">
        <f t="shared" ref="V135:V198" si="298">IF(AND($F135&gt;0,$F135&lt;=Z$4),$E135,0)</f>
        <v>1700</v>
      </c>
      <c r="W135" s="44">
        <f t="shared" ref="W135:W198" si="299">IF(X135&lt;&gt;0,ROUND(X135/$L135*V135,2),0)</f>
        <v>0</v>
      </c>
      <c r="X135" s="44">
        <f t="shared" si="249"/>
        <v>0</v>
      </c>
      <c r="Y135" s="44">
        <f t="shared" ref="Y135:Y198" si="300">IF($J135&lt;&gt;"H",X135,0)</f>
        <v>0</v>
      </c>
      <c r="Z135" s="44">
        <f t="shared" si="250"/>
        <v>0</v>
      </c>
      <c r="AA135" s="44">
        <f t="shared" ref="AA135:AA198" si="301">IF($J135&lt;&gt;"H",Z135,0)</f>
        <v>0</v>
      </c>
      <c r="AB135" s="44">
        <f t="shared" si="251"/>
        <v>1700</v>
      </c>
      <c r="AC135" s="46">
        <f t="shared" si="252"/>
        <v>0</v>
      </c>
      <c r="AD135" s="47">
        <f t="shared" si="253"/>
        <v>0</v>
      </c>
      <c r="AE135" s="604">
        <f t="shared" ref="AE135:AE198" si="302">IF(YEAR($F135)=AE$4,$E135,0)</f>
        <v>0</v>
      </c>
      <c r="AF135" s="44">
        <f t="shared" ref="AF135:AF198" si="303">IF($J135&lt;&gt;"H",AE135,0)</f>
        <v>0</v>
      </c>
      <c r="AG135" s="44">
        <f t="shared" ref="AG135:AG198" si="304">IF(AE135&lt;&gt;0,ROUND(AE135*YEARFRAC($F135,AM$4,0),2),0)</f>
        <v>0</v>
      </c>
      <c r="AH135" s="44">
        <f t="shared" ref="AH135:AH198" si="305">IF($J135&lt;&gt;"H",AG135,0)</f>
        <v>0</v>
      </c>
      <c r="AI135" s="44">
        <f t="shared" ref="AI135:AI198" si="306">IF(AND($F135&gt;0,$F135&lt;=AM$4),$E135,0)</f>
        <v>1700</v>
      </c>
      <c r="AJ135" s="44">
        <f t="shared" ref="AJ135:AJ198" si="307">IF(AK135&lt;&gt;0,ROUND(AK135/$L135*AI135,2),0)</f>
        <v>0</v>
      </c>
      <c r="AK135" s="44">
        <f t="shared" si="254"/>
        <v>0</v>
      </c>
      <c r="AL135" s="44">
        <f t="shared" ref="AL135:AL198" si="308">IF($J135&lt;&gt;"H",AK135,0)</f>
        <v>0</v>
      </c>
      <c r="AM135" s="44">
        <f t="shared" si="255"/>
        <v>0</v>
      </c>
      <c r="AN135" s="44">
        <f t="shared" ref="AN135:AN198" si="309">IF($J135&lt;&gt;"H",AM135,0)</f>
        <v>0</v>
      </c>
      <c r="AO135" s="44">
        <f t="shared" si="256"/>
        <v>1700</v>
      </c>
      <c r="AP135" s="46">
        <f t="shared" si="257"/>
        <v>0</v>
      </c>
      <c r="AQ135" s="47">
        <f t="shared" si="258"/>
        <v>0</v>
      </c>
      <c r="AR135" s="604">
        <f t="shared" ref="AR135:AR198" si="310">IF(YEAR($F135)=AR$4,$E135,0)</f>
        <v>0</v>
      </c>
      <c r="AS135" s="44">
        <f t="shared" ref="AS135:AS198" si="311">IF($J135&lt;&gt;"H",AR135,0)</f>
        <v>0</v>
      </c>
      <c r="AT135" s="44">
        <f t="shared" ref="AT135:AT198" si="312">IF(AR135&lt;&gt;0,ROUND(AR135*YEARFRAC($F135,AZ$4,0),2),0)</f>
        <v>0</v>
      </c>
      <c r="AU135" s="44">
        <f t="shared" ref="AU135:AU198" si="313">IF($J135&lt;&gt;"H",AT135,0)</f>
        <v>0</v>
      </c>
      <c r="AV135" s="44">
        <f t="shared" ref="AV135:AV198" si="314">IF(AND($F135&gt;0,$F135&lt;=AZ$4),$E135,0)</f>
        <v>1700</v>
      </c>
      <c r="AW135" s="44">
        <f t="shared" ref="AW135:AW198" si="315">IF(AX135&lt;&gt;0,ROUND(AX135/$L135*AV135,2),0)</f>
        <v>0</v>
      </c>
      <c r="AX135" s="44">
        <f t="shared" si="259"/>
        <v>0</v>
      </c>
      <c r="AY135" s="44">
        <f t="shared" ref="AY135:AY198" si="316">IF($J135&lt;&gt;"H",AX135,0)</f>
        <v>0</v>
      </c>
      <c r="AZ135" s="44">
        <f t="shared" si="260"/>
        <v>0</v>
      </c>
      <c r="BA135" s="44">
        <f t="shared" ref="BA135:BA198" si="317">IF($J135&lt;&gt;"H",AZ135,0)</f>
        <v>0</v>
      </c>
      <c r="BB135" s="44">
        <f t="shared" si="261"/>
        <v>1700</v>
      </c>
      <c r="BC135" s="46">
        <f t="shared" si="262"/>
        <v>0</v>
      </c>
      <c r="BD135" s="47">
        <f t="shared" si="263"/>
        <v>0</v>
      </c>
      <c r="BE135" s="604">
        <f t="shared" ref="BE135:BE198" si="318">IF(YEAR($F135)=BE$4,$E135,0)</f>
        <v>0</v>
      </c>
      <c r="BF135" s="44">
        <f t="shared" ref="BF135:BF198" si="319">IF($J135&lt;&gt;"H",BE135,0)</f>
        <v>0</v>
      </c>
      <c r="BG135" s="44">
        <f t="shared" ref="BG135:BG198" si="320">IF(BE135&lt;&gt;0,ROUND(BE135*YEARFRAC($F135,BM$4,0),2),0)</f>
        <v>0</v>
      </c>
      <c r="BH135" s="44">
        <f t="shared" ref="BH135:BH198" si="321">IF($J135&lt;&gt;"H",BG135,0)</f>
        <v>0</v>
      </c>
      <c r="BI135" s="44">
        <f t="shared" ref="BI135:BI198" si="322">IF(AND($F135&gt;0,$F135&lt;=BM$4),$E135,0)</f>
        <v>1700</v>
      </c>
      <c r="BJ135" s="44">
        <f t="shared" ref="BJ135:BJ198" si="323">IF(BK135&lt;&gt;0,ROUND(BK135/$L135*BI135,2),0)</f>
        <v>0</v>
      </c>
      <c r="BK135" s="44">
        <f t="shared" si="264"/>
        <v>0</v>
      </c>
      <c r="BL135" s="44">
        <f t="shared" ref="BL135:BL198" si="324">IF($J135&lt;&gt;"H",BK135,0)</f>
        <v>0</v>
      </c>
      <c r="BM135" s="44">
        <f t="shared" si="265"/>
        <v>0</v>
      </c>
      <c r="BN135" s="44">
        <f t="shared" ref="BN135:BN198" si="325">IF($J135&lt;&gt;"H",BM135,0)</f>
        <v>0</v>
      </c>
      <c r="BO135" s="44">
        <f t="shared" si="266"/>
        <v>1700</v>
      </c>
      <c r="BP135" s="46">
        <f t="shared" si="267"/>
        <v>0</v>
      </c>
      <c r="BQ135" s="47">
        <f t="shared" si="268"/>
        <v>0</v>
      </c>
      <c r="BR135" s="604">
        <f t="shared" ref="BR135:BR198" si="326">IF(YEAR($F135)=BR$4,$E135,0)</f>
        <v>0</v>
      </c>
      <c r="BS135" s="44">
        <f t="shared" ref="BS135:BS198" si="327">IF($J135&lt;&gt;"H",BR135,0)</f>
        <v>0</v>
      </c>
      <c r="BT135" s="44">
        <f t="shared" ref="BT135:BT198" si="328">IF(BR135&lt;&gt;0,ROUND(BR135*YEARFRAC($F135,BZ$4,0),2),0)</f>
        <v>0</v>
      </c>
      <c r="BU135" s="44">
        <f t="shared" ref="BU135:BU198" si="329">IF($J135&lt;&gt;"H",BT135,0)</f>
        <v>0</v>
      </c>
      <c r="BV135" s="44">
        <f t="shared" ref="BV135:BV198" si="330">IF(AND($F135&gt;0,$F135&lt;=BZ$4),$E135,0)</f>
        <v>1700</v>
      </c>
      <c r="BW135" s="44">
        <f t="shared" ref="BW135:BW198" si="331">IF(BX135&lt;&gt;0,ROUND(BX135/$L135*BV135,2),0)</f>
        <v>0</v>
      </c>
      <c r="BX135" s="44">
        <f t="shared" si="269"/>
        <v>0</v>
      </c>
      <c r="BY135" s="44">
        <f t="shared" ref="BY135:BY198" si="332">IF($J135&lt;&gt;"H",BX135,0)</f>
        <v>0</v>
      </c>
      <c r="BZ135" s="44">
        <f t="shared" si="270"/>
        <v>0</v>
      </c>
      <c r="CA135" s="44">
        <f t="shared" ref="CA135:CA198" si="333">IF($J135&lt;&gt;"H",BZ135,0)</f>
        <v>0</v>
      </c>
      <c r="CB135" s="44">
        <f t="shared" si="271"/>
        <v>1700</v>
      </c>
      <c r="CC135" s="46">
        <f t="shared" si="272"/>
        <v>0</v>
      </c>
      <c r="CD135" s="47">
        <f t="shared" si="273"/>
        <v>0</v>
      </c>
      <c r="CE135" s="604">
        <f t="shared" ref="CE135:CE198" si="334">IF(YEAR($F135)=CE$4,$E135,0)</f>
        <v>0</v>
      </c>
      <c r="CF135" s="44">
        <f t="shared" ref="CF135:CF198" si="335">IF($J135&lt;&gt;"H",CE135,0)</f>
        <v>0</v>
      </c>
      <c r="CG135" s="44">
        <f t="shared" ref="CG135:CG198" si="336">IF(CE135&lt;&gt;0,ROUND(CE135*YEARFRAC($F135,CM$4,0),2),0)</f>
        <v>0</v>
      </c>
      <c r="CH135" s="44">
        <f t="shared" ref="CH135:CH198" si="337">IF($J135&lt;&gt;"H",CG135,0)</f>
        <v>0</v>
      </c>
      <c r="CI135" s="44">
        <f t="shared" ref="CI135:CI198" si="338">IF(AND($F135&gt;0,$F135&lt;=CM$4),$E135,0)</f>
        <v>1700</v>
      </c>
      <c r="CJ135" s="44">
        <f t="shared" ref="CJ135:CJ198" si="339">IF(CK135&lt;&gt;0,ROUND(CK135/$L135*CI135,2),0)</f>
        <v>0</v>
      </c>
      <c r="CK135" s="44">
        <f t="shared" si="274"/>
        <v>0</v>
      </c>
      <c r="CL135" s="44">
        <f t="shared" ref="CL135:CL198" si="340">IF($J135&lt;&gt;"H",CK135,0)</f>
        <v>0</v>
      </c>
      <c r="CM135" s="44">
        <f t="shared" si="275"/>
        <v>0</v>
      </c>
      <c r="CN135" s="44">
        <f t="shared" ref="CN135:CN198" si="341">IF($J135&lt;&gt;"H",CM135,0)</f>
        <v>0</v>
      </c>
      <c r="CO135" s="44">
        <f t="shared" si="276"/>
        <v>1700</v>
      </c>
      <c r="CP135" s="46">
        <f t="shared" si="277"/>
        <v>0</v>
      </c>
      <c r="CQ135" s="47">
        <f t="shared" si="278"/>
        <v>0</v>
      </c>
      <c r="CR135" s="604">
        <f t="shared" ref="CR135:CR198" si="342">IF(YEAR($F135)=CR$4,$E135,0)</f>
        <v>0</v>
      </c>
      <c r="CS135" s="44">
        <f t="shared" ref="CS135:CS198" si="343">IF($J135&lt;&gt;"H",CR135,0)</f>
        <v>0</v>
      </c>
      <c r="CT135" s="44">
        <f t="shared" ref="CT135:CT198" si="344">IF(CR135&lt;&gt;0,ROUND(CR135*YEARFRAC($F135,CZ$4,0),2),0)</f>
        <v>0</v>
      </c>
      <c r="CU135" s="44">
        <f t="shared" ref="CU135:CU198" si="345">IF($J135&lt;&gt;"H",CT135,0)</f>
        <v>0</v>
      </c>
      <c r="CV135" s="44">
        <f t="shared" ref="CV135:CV198" si="346">IF(AND($F135&gt;0,$F135&lt;=CZ$4),$E135,0)</f>
        <v>1700</v>
      </c>
      <c r="CW135" s="44">
        <f t="shared" ref="CW135:CW198" si="347">IF(CX135&lt;&gt;0,ROUND(CX135/$L135*CV135,2),0)</f>
        <v>0</v>
      </c>
      <c r="CX135" s="44">
        <f t="shared" si="279"/>
        <v>0</v>
      </c>
      <c r="CY135" s="44">
        <f t="shared" ref="CY135:CY198" si="348">IF($J135&lt;&gt;"H",CX135,0)</f>
        <v>0</v>
      </c>
      <c r="CZ135" s="44">
        <f t="shared" si="280"/>
        <v>0</v>
      </c>
      <c r="DA135" s="44">
        <f t="shared" ref="DA135:DA198" si="349">IF($J135&lt;&gt;"H",CZ135,0)</f>
        <v>0</v>
      </c>
      <c r="DB135" s="44">
        <f t="shared" si="281"/>
        <v>1700</v>
      </c>
      <c r="DC135" s="46">
        <f t="shared" si="282"/>
        <v>0</v>
      </c>
      <c r="DD135" s="47">
        <f t="shared" si="283"/>
        <v>0</v>
      </c>
      <c r="DE135" s="604">
        <f t="shared" ref="DE135:DE198" si="350">IF(YEAR($F135)=DE$4,$E135,0)</f>
        <v>0</v>
      </c>
      <c r="DF135" s="44">
        <f t="shared" ref="DF135:DF198" si="351">IF($J135&lt;&gt;"H",DE135,0)</f>
        <v>0</v>
      </c>
      <c r="DG135" s="44">
        <f t="shared" ref="DG135:DG198" si="352">IF(DE135&lt;&gt;0,ROUND(DE135*YEARFRAC($F135,DM$4,0),2),0)</f>
        <v>0</v>
      </c>
      <c r="DH135" s="44">
        <f t="shared" ref="DH135:DH198" si="353">IF($J135&lt;&gt;"H",DG135,0)</f>
        <v>0</v>
      </c>
      <c r="DI135" s="44">
        <f t="shared" ref="DI135:DI198" si="354">IF(AND($F135&gt;0,$F135&lt;=DM$4),$E135,0)</f>
        <v>1700</v>
      </c>
      <c r="DJ135" s="44">
        <f t="shared" ref="DJ135:DJ198" si="355">IF(DK135&lt;&gt;0,ROUND(DK135/$L135*DI135,2),0)</f>
        <v>0</v>
      </c>
      <c r="DK135" s="44">
        <f t="shared" si="284"/>
        <v>0</v>
      </c>
      <c r="DL135" s="44">
        <f t="shared" ref="DL135:DL198" si="356">IF($J135&lt;&gt;"H",DK135,0)</f>
        <v>0</v>
      </c>
      <c r="DM135" s="44">
        <f t="shared" si="285"/>
        <v>0</v>
      </c>
      <c r="DN135" s="44">
        <f t="shared" ref="DN135:DN198" si="357">IF($J135&lt;&gt;"H",DM135,0)</f>
        <v>0</v>
      </c>
      <c r="DO135" s="44">
        <f t="shared" si="286"/>
        <v>1700</v>
      </c>
      <c r="DP135" s="46">
        <f t="shared" si="287"/>
        <v>0</v>
      </c>
      <c r="DQ135" s="47">
        <f t="shared" si="288"/>
        <v>0</v>
      </c>
      <c r="DR135" s="604">
        <f t="shared" ref="DR135:DR198" si="358">IF(YEAR($F135)=DR$4,$E135,0)</f>
        <v>0</v>
      </c>
      <c r="DS135" s="44">
        <f t="shared" ref="DS135:DS198" si="359">IF($J135&lt;&gt;"H",DR135,0)</f>
        <v>0</v>
      </c>
      <c r="DT135" s="44">
        <f t="shared" ref="DT135:DT198" si="360">IF(DR135&lt;&gt;0,ROUND(DR135*YEARFRAC($F135,DZ$4,0),2),0)</f>
        <v>0</v>
      </c>
      <c r="DU135" s="44">
        <f t="shared" ref="DU135:DU198" si="361">IF($J135&lt;&gt;"H",DT135,0)</f>
        <v>0</v>
      </c>
      <c r="DV135" s="44">
        <f t="shared" ref="DV135:DV198" si="362">IF(AND($F135&gt;0,$F135&lt;=DZ$4),$E135,0)</f>
        <v>1700</v>
      </c>
      <c r="DW135" s="44">
        <f t="shared" ref="DW135:DW198" si="363">IF(DX135&lt;&gt;0,ROUND(DX135/$L135*DV135,2),0)</f>
        <v>0</v>
      </c>
      <c r="DX135" s="44">
        <f t="shared" si="289"/>
        <v>0</v>
      </c>
      <c r="DY135" s="44">
        <f t="shared" ref="DY135:DY198" si="364">IF($J135&lt;&gt;"H",DX135,0)</f>
        <v>0</v>
      </c>
      <c r="DZ135" s="44">
        <f t="shared" si="290"/>
        <v>0</v>
      </c>
      <c r="EA135" s="44">
        <f t="shared" ref="EA135:EA198" si="365">IF($J135&lt;&gt;"H",DZ135,0)</f>
        <v>0</v>
      </c>
      <c r="EB135" s="44">
        <f t="shared" si="291"/>
        <v>1700</v>
      </c>
      <c r="EC135" s="46">
        <f t="shared" si="292"/>
        <v>0</v>
      </c>
      <c r="ED135" s="47">
        <f t="shared" si="293"/>
        <v>0</v>
      </c>
    </row>
    <row r="136" spans="1:134" x14ac:dyDescent="0.35">
      <c r="A136" s="81">
        <v>1994</v>
      </c>
      <c r="B136" s="82" t="s">
        <v>304</v>
      </c>
      <c r="C136" s="82"/>
      <c r="D136" s="83" t="s">
        <v>41</v>
      </c>
      <c r="E136" s="87">
        <v>5800</v>
      </c>
      <c r="F136" s="85">
        <v>34516</v>
      </c>
      <c r="G136" s="86">
        <v>4</v>
      </c>
      <c r="H136" s="179"/>
      <c r="I136" s="180"/>
      <c r="J136" s="181"/>
      <c r="K136" s="42">
        <f t="shared" si="244"/>
        <v>0.25</v>
      </c>
      <c r="L136" s="43">
        <f t="shared" si="245"/>
        <v>1450</v>
      </c>
      <c r="M136" s="44">
        <f t="shared" si="246"/>
        <v>0</v>
      </c>
      <c r="N136" s="44"/>
      <c r="O136" s="44">
        <f t="shared" si="247"/>
        <v>5800</v>
      </c>
      <c r="P136" s="45"/>
      <c r="Q136" s="44">
        <f t="shared" si="248"/>
        <v>5800</v>
      </c>
      <c r="R136" s="604">
        <f t="shared" si="294"/>
        <v>0</v>
      </c>
      <c r="S136" s="44">
        <f t="shared" si="295"/>
        <v>0</v>
      </c>
      <c r="T136" s="44">
        <f t="shared" si="296"/>
        <v>0</v>
      </c>
      <c r="U136" s="44">
        <f t="shared" si="297"/>
        <v>0</v>
      </c>
      <c r="V136" s="44">
        <f t="shared" si="298"/>
        <v>5800</v>
      </c>
      <c r="W136" s="44">
        <f t="shared" si="299"/>
        <v>0</v>
      </c>
      <c r="X136" s="44">
        <f t="shared" si="249"/>
        <v>0</v>
      </c>
      <c r="Y136" s="44">
        <f t="shared" si="300"/>
        <v>0</v>
      </c>
      <c r="Z136" s="44">
        <f t="shared" si="250"/>
        <v>0</v>
      </c>
      <c r="AA136" s="44">
        <f t="shared" si="301"/>
        <v>0</v>
      </c>
      <c r="AB136" s="44">
        <f t="shared" si="251"/>
        <v>5800</v>
      </c>
      <c r="AC136" s="46">
        <f t="shared" si="252"/>
        <v>0</v>
      </c>
      <c r="AD136" s="47">
        <f t="shared" si="253"/>
        <v>0</v>
      </c>
      <c r="AE136" s="604">
        <f t="shared" si="302"/>
        <v>0</v>
      </c>
      <c r="AF136" s="44">
        <f t="shared" si="303"/>
        <v>0</v>
      </c>
      <c r="AG136" s="44">
        <f t="shared" si="304"/>
        <v>0</v>
      </c>
      <c r="AH136" s="44">
        <f t="shared" si="305"/>
        <v>0</v>
      </c>
      <c r="AI136" s="44">
        <f t="shared" si="306"/>
        <v>5800</v>
      </c>
      <c r="AJ136" s="44">
        <f t="shared" si="307"/>
        <v>0</v>
      </c>
      <c r="AK136" s="44">
        <f t="shared" si="254"/>
        <v>0</v>
      </c>
      <c r="AL136" s="44">
        <f t="shared" si="308"/>
        <v>0</v>
      </c>
      <c r="AM136" s="44">
        <f t="shared" si="255"/>
        <v>0</v>
      </c>
      <c r="AN136" s="44">
        <f t="shared" si="309"/>
        <v>0</v>
      </c>
      <c r="AO136" s="44">
        <f t="shared" si="256"/>
        <v>5800</v>
      </c>
      <c r="AP136" s="46">
        <f t="shared" si="257"/>
        <v>0</v>
      </c>
      <c r="AQ136" s="47">
        <f t="shared" si="258"/>
        <v>0</v>
      </c>
      <c r="AR136" s="604">
        <f t="shared" si="310"/>
        <v>0</v>
      </c>
      <c r="AS136" s="44">
        <f t="shared" si="311"/>
        <v>0</v>
      </c>
      <c r="AT136" s="44">
        <f t="shared" si="312"/>
        <v>0</v>
      </c>
      <c r="AU136" s="44">
        <f t="shared" si="313"/>
        <v>0</v>
      </c>
      <c r="AV136" s="44">
        <f t="shared" si="314"/>
        <v>5800</v>
      </c>
      <c r="AW136" s="44">
        <f t="shared" si="315"/>
        <v>0</v>
      </c>
      <c r="AX136" s="44">
        <f t="shared" si="259"/>
        <v>0</v>
      </c>
      <c r="AY136" s="44">
        <f t="shared" si="316"/>
        <v>0</v>
      </c>
      <c r="AZ136" s="44">
        <f t="shared" si="260"/>
        <v>0</v>
      </c>
      <c r="BA136" s="44">
        <f t="shared" si="317"/>
        <v>0</v>
      </c>
      <c r="BB136" s="44">
        <f t="shared" si="261"/>
        <v>5800</v>
      </c>
      <c r="BC136" s="46">
        <f t="shared" si="262"/>
        <v>0</v>
      </c>
      <c r="BD136" s="47">
        <f t="shared" si="263"/>
        <v>0</v>
      </c>
      <c r="BE136" s="604">
        <f t="shared" si="318"/>
        <v>0</v>
      </c>
      <c r="BF136" s="44">
        <f t="shared" si="319"/>
        <v>0</v>
      </c>
      <c r="BG136" s="44">
        <f t="shared" si="320"/>
        <v>0</v>
      </c>
      <c r="BH136" s="44">
        <f t="shared" si="321"/>
        <v>0</v>
      </c>
      <c r="BI136" s="44">
        <f t="shared" si="322"/>
        <v>5800</v>
      </c>
      <c r="BJ136" s="44">
        <f t="shared" si="323"/>
        <v>0</v>
      </c>
      <c r="BK136" s="44">
        <f t="shared" si="264"/>
        <v>0</v>
      </c>
      <c r="BL136" s="44">
        <f t="shared" si="324"/>
        <v>0</v>
      </c>
      <c r="BM136" s="44">
        <f t="shared" si="265"/>
        <v>0</v>
      </c>
      <c r="BN136" s="44">
        <f t="shared" si="325"/>
        <v>0</v>
      </c>
      <c r="BO136" s="44">
        <f t="shared" si="266"/>
        <v>5800</v>
      </c>
      <c r="BP136" s="46">
        <f t="shared" si="267"/>
        <v>0</v>
      </c>
      <c r="BQ136" s="47">
        <f t="shared" si="268"/>
        <v>0</v>
      </c>
      <c r="BR136" s="604">
        <f t="shared" si="326"/>
        <v>0</v>
      </c>
      <c r="BS136" s="44">
        <f t="shared" si="327"/>
        <v>0</v>
      </c>
      <c r="BT136" s="44">
        <f t="shared" si="328"/>
        <v>0</v>
      </c>
      <c r="BU136" s="44">
        <f t="shared" si="329"/>
        <v>0</v>
      </c>
      <c r="BV136" s="44">
        <f t="shared" si="330"/>
        <v>5800</v>
      </c>
      <c r="BW136" s="44">
        <f t="shared" si="331"/>
        <v>0</v>
      </c>
      <c r="BX136" s="44">
        <f t="shared" si="269"/>
        <v>0</v>
      </c>
      <c r="BY136" s="44">
        <f t="shared" si="332"/>
        <v>0</v>
      </c>
      <c r="BZ136" s="44">
        <f t="shared" si="270"/>
        <v>0</v>
      </c>
      <c r="CA136" s="44">
        <f t="shared" si="333"/>
        <v>0</v>
      </c>
      <c r="CB136" s="44">
        <f t="shared" si="271"/>
        <v>5800</v>
      </c>
      <c r="CC136" s="46">
        <f t="shared" si="272"/>
        <v>0</v>
      </c>
      <c r="CD136" s="47">
        <f t="shared" si="273"/>
        <v>0</v>
      </c>
      <c r="CE136" s="604">
        <f t="shared" si="334"/>
        <v>0</v>
      </c>
      <c r="CF136" s="44">
        <f t="shared" si="335"/>
        <v>0</v>
      </c>
      <c r="CG136" s="44">
        <f t="shared" si="336"/>
        <v>0</v>
      </c>
      <c r="CH136" s="44">
        <f t="shared" si="337"/>
        <v>0</v>
      </c>
      <c r="CI136" s="44">
        <f t="shared" si="338"/>
        <v>5800</v>
      </c>
      <c r="CJ136" s="44">
        <f t="shared" si="339"/>
        <v>0</v>
      </c>
      <c r="CK136" s="44">
        <f t="shared" si="274"/>
        <v>0</v>
      </c>
      <c r="CL136" s="44">
        <f t="shared" si="340"/>
        <v>0</v>
      </c>
      <c r="CM136" s="44">
        <f t="shared" si="275"/>
        <v>0</v>
      </c>
      <c r="CN136" s="44">
        <f t="shared" si="341"/>
        <v>0</v>
      </c>
      <c r="CO136" s="44">
        <f t="shared" si="276"/>
        <v>5800</v>
      </c>
      <c r="CP136" s="46">
        <f t="shared" si="277"/>
        <v>0</v>
      </c>
      <c r="CQ136" s="47">
        <f t="shared" si="278"/>
        <v>0</v>
      </c>
      <c r="CR136" s="604">
        <f t="shared" si="342"/>
        <v>0</v>
      </c>
      <c r="CS136" s="44">
        <f t="shared" si="343"/>
        <v>0</v>
      </c>
      <c r="CT136" s="44">
        <f t="shared" si="344"/>
        <v>0</v>
      </c>
      <c r="CU136" s="44">
        <f t="shared" si="345"/>
        <v>0</v>
      </c>
      <c r="CV136" s="44">
        <f t="shared" si="346"/>
        <v>5800</v>
      </c>
      <c r="CW136" s="44">
        <f t="shared" si="347"/>
        <v>0</v>
      </c>
      <c r="CX136" s="44">
        <f t="shared" si="279"/>
        <v>0</v>
      </c>
      <c r="CY136" s="44">
        <f t="shared" si="348"/>
        <v>0</v>
      </c>
      <c r="CZ136" s="44">
        <f t="shared" si="280"/>
        <v>0</v>
      </c>
      <c r="DA136" s="44">
        <f t="shared" si="349"/>
        <v>0</v>
      </c>
      <c r="DB136" s="44">
        <f t="shared" si="281"/>
        <v>5800</v>
      </c>
      <c r="DC136" s="46">
        <f t="shared" si="282"/>
        <v>0</v>
      </c>
      <c r="DD136" s="47">
        <f t="shared" si="283"/>
        <v>0</v>
      </c>
      <c r="DE136" s="604">
        <f t="shared" si="350"/>
        <v>0</v>
      </c>
      <c r="DF136" s="44">
        <f t="shared" si="351"/>
        <v>0</v>
      </c>
      <c r="DG136" s="44">
        <f t="shared" si="352"/>
        <v>0</v>
      </c>
      <c r="DH136" s="44">
        <f t="shared" si="353"/>
        <v>0</v>
      </c>
      <c r="DI136" s="44">
        <f t="shared" si="354"/>
        <v>5800</v>
      </c>
      <c r="DJ136" s="44">
        <f t="shared" si="355"/>
        <v>0</v>
      </c>
      <c r="DK136" s="44">
        <f t="shared" si="284"/>
        <v>0</v>
      </c>
      <c r="DL136" s="44">
        <f t="shared" si="356"/>
        <v>0</v>
      </c>
      <c r="DM136" s="44">
        <f t="shared" si="285"/>
        <v>0</v>
      </c>
      <c r="DN136" s="44">
        <f t="shared" si="357"/>
        <v>0</v>
      </c>
      <c r="DO136" s="44">
        <f t="shared" si="286"/>
        <v>5800</v>
      </c>
      <c r="DP136" s="46">
        <f t="shared" si="287"/>
        <v>0</v>
      </c>
      <c r="DQ136" s="47">
        <f t="shared" si="288"/>
        <v>0</v>
      </c>
      <c r="DR136" s="604">
        <f t="shared" si="358"/>
        <v>0</v>
      </c>
      <c r="DS136" s="44">
        <f t="shared" si="359"/>
        <v>0</v>
      </c>
      <c r="DT136" s="44">
        <f t="shared" si="360"/>
        <v>0</v>
      </c>
      <c r="DU136" s="44">
        <f t="shared" si="361"/>
        <v>0</v>
      </c>
      <c r="DV136" s="44">
        <f t="shared" si="362"/>
        <v>5800</v>
      </c>
      <c r="DW136" s="44">
        <f t="shared" si="363"/>
        <v>0</v>
      </c>
      <c r="DX136" s="44">
        <f t="shared" si="289"/>
        <v>0</v>
      </c>
      <c r="DY136" s="44">
        <f t="shared" si="364"/>
        <v>0</v>
      </c>
      <c r="DZ136" s="44">
        <f t="shared" si="290"/>
        <v>0</v>
      </c>
      <c r="EA136" s="44">
        <f t="shared" si="365"/>
        <v>0</v>
      </c>
      <c r="EB136" s="44">
        <f t="shared" si="291"/>
        <v>5800</v>
      </c>
      <c r="EC136" s="46">
        <f t="shared" si="292"/>
        <v>0</v>
      </c>
      <c r="ED136" s="47">
        <f t="shared" si="293"/>
        <v>0</v>
      </c>
    </row>
    <row r="137" spans="1:134" x14ac:dyDescent="0.35">
      <c r="A137" s="81">
        <v>1996</v>
      </c>
      <c r="B137" s="82" t="s">
        <v>305</v>
      </c>
      <c r="C137" s="82"/>
      <c r="D137" s="83" t="s">
        <v>32</v>
      </c>
      <c r="E137" s="87">
        <v>5000</v>
      </c>
      <c r="F137" s="85">
        <v>34516</v>
      </c>
      <c r="G137" s="86">
        <v>10</v>
      </c>
      <c r="H137" s="179"/>
      <c r="I137" s="180"/>
      <c r="J137" s="181"/>
      <c r="K137" s="42">
        <f t="shared" si="244"/>
        <v>0.1</v>
      </c>
      <c r="L137" s="43">
        <f t="shared" si="245"/>
        <v>500</v>
      </c>
      <c r="M137" s="44">
        <f t="shared" si="246"/>
        <v>0</v>
      </c>
      <c r="N137" s="44"/>
      <c r="O137" s="44">
        <f t="shared" si="247"/>
        <v>5000</v>
      </c>
      <c r="P137" s="45"/>
      <c r="Q137" s="44">
        <f t="shared" si="248"/>
        <v>5000</v>
      </c>
      <c r="R137" s="604">
        <f t="shared" si="294"/>
        <v>0</v>
      </c>
      <c r="S137" s="44">
        <f t="shared" si="295"/>
        <v>0</v>
      </c>
      <c r="T137" s="44">
        <f t="shared" si="296"/>
        <v>0</v>
      </c>
      <c r="U137" s="44">
        <f t="shared" si="297"/>
        <v>0</v>
      </c>
      <c r="V137" s="44">
        <f t="shared" si="298"/>
        <v>5000</v>
      </c>
      <c r="W137" s="44">
        <f t="shared" si="299"/>
        <v>0</v>
      </c>
      <c r="X137" s="44">
        <f t="shared" si="249"/>
        <v>0</v>
      </c>
      <c r="Y137" s="44">
        <f t="shared" si="300"/>
        <v>0</v>
      </c>
      <c r="Z137" s="44">
        <f t="shared" si="250"/>
        <v>0</v>
      </c>
      <c r="AA137" s="44">
        <f t="shared" si="301"/>
        <v>0</v>
      </c>
      <c r="AB137" s="44">
        <f t="shared" si="251"/>
        <v>5000</v>
      </c>
      <c r="AC137" s="46">
        <f t="shared" si="252"/>
        <v>0</v>
      </c>
      <c r="AD137" s="47">
        <f t="shared" si="253"/>
        <v>0</v>
      </c>
      <c r="AE137" s="604">
        <f t="shared" si="302"/>
        <v>0</v>
      </c>
      <c r="AF137" s="44">
        <f t="shared" si="303"/>
        <v>0</v>
      </c>
      <c r="AG137" s="44">
        <f t="shared" si="304"/>
        <v>0</v>
      </c>
      <c r="AH137" s="44">
        <f t="shared" si="305"/>
        <v>0</v>
      </c>
      <c r="AI137" s="44">
        <f t="shared" si="306"/>
        <v>5000</v>
      </c>
      <c r="AJ137" s="44">
        <f t="shared" si="307"/>
        <v>0</v>
      </c>
      <c r="AK137" s="44">
        <f t="shared" si="254"/>
        <v>0</v>
      </c>
      <c r="AL137" s="44">
        <f t="shared" si="308"/>
        <v>0</v>
      </c>
      <c r="AM137" s="44">
        <f t="shared" si="255"/>
        <v>0</v>
      </c>
      <c r="AN137" s="44">
        <f t="shared" si="309"/>
        <v>0</v>
      </c>
      <c r="AO137" s="44">
        <f t="shared" si="256"/>
        <v>5000</v>
      </c>
      <c r="AP137" s="46">
        <f t="shared" si="257"/>
        <v>0</v>
      </c>
      <c r="AQ137" s="47">
        <f t="shared" si="258"/>
        <v>0</v>
      </c>
      <c r="AR137" s="604">
        <f t="shared" si="310"/>
        <v>0</v>
      </c>
      <c r="AS137" s="44">
        <f t="shared" si="311"/>
        <v>0</v>
      </c>
      <c r="AT137" s="44">
        <f t="shared" si="312"/>
        <v>0</v>
      </c>
      <c r="AU137" s="44">
        <f t="shared" si="313"/>
        <v>0</v>
      </c>
      <c r="AV137" s="44">
        <f t="shared" si="314"/>
        <v>5000</v>
      </c>
      <c r="AW137" s="44">
        <f t="shared" si="315"/>
        <v>0</v>
      </c>
      <c r="AX137" s="44">
        <f t="shared" si="259"/>
        <v>0</v>
      </c>
      <c r="AY137" s="44">
        <f t="shared" si="316"/>
        <v>0</v>
      </c>
      <c r="AZ137" s="44">
        <f t="shared" si="260"/>
        <v>0</v>
      </c>
      <c r="BA137" s="44">
        <f t="shared" si="317"/>
        <v>0</v>
      </c>
      <c r="BB137" s="44">
        <f t="shared" si="261"/>
        <v>5000</v>
      </c>
      <c r="BC137" s="46">
        <f t="shared" si="262"/>
        <v>0</v>
      </c>
      <c r="BD137" s="47">
        <f t="shared" si="263"/>
        <v>0</v>
      </c>
      <c r="BE137" s="604">
        <f t="shared" si="318"/>
        <v>0</v>
      </c>
      <c r="BF137" s="44">
        <f t="shared" si="319"/>
        <v>0</v>
      </c>
      <c r="BG137" s="44">
        <f t="shared" si="320"/>
        <v>0</v>
      </c>
      <c r="BH137" s="44">
        <f t="shared" si="321"/>
        <v>0</v>
      </c>
      <c r="BI137" s="44">
        <f t="shared" si="322"/>
        <v>5000</v>
      </c>
      <c r="BJ137" s="44">
        <f t="shared" si="323"/>
        <v>0</v>
      </c>
      <c r="BK137" s="44">
        <f t="shared" si="264"/>
        <v>0</v>
      </c>
      <c r="BL137" s="44">
        <f t="shared" si="324"/>
        <v>0</v>
      </c>
      <c r="BM137" s="44">
        <f t="shared" si="265"/>
        <v>0</v>
      </c>
      <c r="BN137" s="44">
        <f t="shared" si="325"/>
        <v>0</v>
      </c>
      <c r="BO137" s="44">
        <f t="shared" si="266"/>
        <v>5000</v>
      </c>
      <c r="BP137" s="46">
        <f t="shared" si="267"/>
        <v>0</v>
      </c>
      <c r="BQ137" s="47">
        <f t="shared" si="268"/>
        <v>0</v>
      </c>
      <c r="BR137" s="604">
        <f t="shared" si="326"/>
        <v>0</v>
      </c>
      <c r="BS137" s="44">
        <f t="shared" si="327"/>
        <v>0</v>
      </c>
      <c r="BT137" s="44">
        <f t="shared" si="328"/>
        <v>0</v>
      </c>
      <c r="BU137" s="44">
        <f t="shared" si="329"/>
        <v>0</v>
      </c>
      <c r="BV137" s="44">
        <f t="shared" si="330"/>
        <v>5000</v>
      </c>
      <c r="BW137" s="44">
        <f t="shared" si="331"/>
        <v>0</v>
      </c>
      <c r="BX137" s="44">
        <f t="shared" si="269"/>
        <v>0</v>
      </c>
      <c r="BY137" s="44">
        <f t="shared" si="332"/>
        <v>0</v>
      </c>
      <c r="BZ137" s="44">
        <f t="shared" si="270"/>
        <v>0</v>
      </c>
      <c r="CA137" s="44">
        <f t="shared" si="333"/>
        <v>0</v>
      </c>
      <c r="CB137" s="44">
        <f t="shared" si="271"/>
        <v>5000</v>
      </c>
      <c r="CC137" s="46">
        <f t="shared" si="272"/>
        <v>0</v>
      </c>
      <c r="CD137" s="47">
        <f t="shared" si="273"/>
        <v>0</v>
      </c>
      <c r="CE137" s="604">
        <f t="shared" si="334"/>
        <v>0</v>
      </c>
      <c r="CF137" s="44">
        <f t="shared" si="335"/>
        <v>0</v>
      </c>
      <c r="CG137" s="44">
        <f t="shared" si="336"/>
        <v>0</v>
      </c>
      <c r="CH137" s="44">
        <f t="shared" si="337"/>
        <v>0</v>
      </c>
      <c r="CI137" s="44">
        <f t="shared" si="338"/>
        <v>5000</v>
      </c>
      <c r="CJ137" s="44">
        <f t="shared" si="339"/>
        <v>0</v>
      </c>
      <c r="CK137" s="44">
        <f t="shared" si="274"/>
        <v>0</v>
      </c>
      <c r="CL137" s="44">
        <f t="shared" si="340"/>
        <v>0</v>
      </c>
      <c r="CM137" s="44">
        <f t="shared" si="275"/>
        <v>0</v>
      </c>
      <c r="CN137" s="44">
        <f t="shared" si="341"/>
        <v>0</v>
      </c>
      <c r="CO137" s="44">
        <f t="shared" si="276"/>
        <v>5000</v>
      </c>
      <c r="CP137" s="46">
        <f t="shared" si="277"/>
        <v>0</v>
      </c>
      <c r="CQ137" s="47">
        <f t="shared" si="278"/>
        <v>0</v>
      </c>
      <c r="CR137" s="604">
        <f t="shared" si="342"/>
        <v>0</v>
      </c>
      <c r="CS137" s="44">
        <f t="shared" si="343"/>
        <v>0</v>
      </c>
      <c r="CT137" s="44">
        <f t="shared" si="344"/>
        <v>0</v>
      </c>
      <c r="CU137" s="44">
        <f t="shared" si="345"/>
        <v>0</v>
      </c>
      <c r="CV137" s="44">
        <f t="shared" si="346"/>
        <v>5000</v>
      </c>
      <c r="CW137" s="44">
        <f t="shared" si="347"/>
        <v>0</v>
      </c>
      <c r="CX137" s="44">
        <f t="shared" si="279"/>
        <v>0</v>
      </c>
      <c r="CY137" s="44">
        <f t="shared" si="348"/>
        <v>0</v>
      </c>
      <c r="CZ137" s="44">
        <f t="shared" si="280"/>
        <v>0</v>
      </c>
      <c r="DA137" s="44">
        <f t="shared" si="349"/>
        <v>0</v>
      </c>
      <c r="DB137" s="44">
        <f t="shared" si="281"/>
        <v>5000</v>
      </c>
      <c r="DC137" s="46">
        <f t="shared" si="282"/>
        <v>0</v>
      </c>
      <c r="DD137" s="47">
        <f t="shared" si="283"/>
        <v>0</v>
      </c>
      <c r="DE137" s="604">
        <f t="shared" si="350"/>
        <v>0</v>
      </c>
      <c r="DF137" s="44">
        <f t="shared" si="351"/>
        <v>0</v>
      </c>
      <c r="DG137" s="44">
        <f t="shared" si="352"/>
        <v>0</v>
      </c>
      <c r="DH137" s="44">
        <f t="shared" si="353"/>
        <v>0</v>
      </c>
      <c r="DI137" s="44">
        <f t="shared" si="354"/>
        <v>5000</v>
      </c>
      <c r="DJ137" s="44">
        <f t="shared" si="355"/>
        <v>0</v>
      </c>
      <c r="DK137" s="44">
        <f t="shared" si="284"/>
        <v>0</v>
      </c>
      <c r="DL137" s="44">
        <f t="shared" si="356"/>
        <v>0</v>
      </c>
      <c r="DM137" s="44">
        <f t="shared" si="285"/>
        <v>0</v>
      </c>
      <c r="DN137" s="44">
        <f t="shared" si="357"/>
        <v>0</v>
      </c>
      <c r="DO137" s="44">
        <f t="shared" si="286"/>
        <v>5000</v>
      </c>
      <c r="DP137" s="46">
        <f t="shared" si="287"/>
        <v>0</v>
      </c>
      <c r="DQ137" s="47">
        <f t="shared" si="288"/>
        <v>0</v>
      </c>
      <c r="DR137" s="604">
        <f t="shared" si="358"/>
        <v>0</v>
      </c>
      <c r="DS137" s="44">
        <f t="shared" si="359"/>
        <v>0</v>
      </c>
      <c r="DT137" s="44">
        <f t="shared" si="360"/>
        <v>0</v>
      </c>
      <c r="DU137" s="44">
        <f t="shared" si="361"/>
        <v>0</v>
      </c>
      <c r="DV137" s="44">
        <f t="shared" si="362"/>
        <v>5000</v>
      </c>
      <c r="DW137" s="44">
        <f t="shared" si="363"/>
        <v>0</v>
      </c>
      <c r="DX137" s="44">
        <f t="shared" si="289"/>
        <v>0</v>
      </c>
      <c r="DY137" s="44">
        <f t="shared" si="364"/>
        <v>0</v>
      </c>
      <c r="DZ137" s="44">
        <f t="shared" si="290"/>
        <v>0</v>
      </c>
      <c r="EA137" s="44">
        <f t="shared" si="365"/>
        <v>0</v>
      </c>
      <c r="EB137" s="44">
        <f t="shared" si="291"/>
        <v>5000</v>
      </c>
      <c r="EC137" s="46">
        <f t="shared" si="292"/>
        <v>0</v>
      </c>
      <c r="ED137" s="47">
        <f t="shared" si="293"/>
        <v>0</v>
      </c>
    </row>
    <row r="138" spans="1:134" x14ac:dyDescent="0.35">
      <c r="A138" s="81">
        <v>1996</v>
      </c>
      <c r="B138" s="82" t="s">
        <v>306</v>
      </c>
      <c r="C138" s="82"/>
      <c r="D138" s="83" t="s">
        <v>32</v>
      </c>
      <c r="E138" s="87">
        <v>78300</v>
      </c>
      <c r="F138" s="85">
        <v>35247</v>
      </c>
      <c r="G138" s="86">
        <v>10</v>
      </c>
      <c r="H138" s="179"/>
      <c r="I138" s="180"/>
      <c r="J138" s="181"/>
      <c r="K138" s="42">
        <f t="shared" si="244"/>
        <v>0.1</v>
      </c>
      <c r="L138" s="43">
        <f t="shared" si="245"/>
        <v>7830</v>
      </c>
      <c r="M138" s="44">
        <f t="shared" si="246"/>
        <v>0</v>
      </c>
      <c r="N138" s="44"/>
      <c r="O138" s="44">
        <f t="shared" si="247"/>
        <v>78300</v>
      </c>
      <c r="P138" s="45"/>
      <c r="Q138" s="44">
        <f t="shared" si="248"/>
        <v>78300</v>
      </c>
      <c r="R138" s="604">
        <f t="shared" si="294"/>
        <v>0</v>
      </c>
      <c r="S138" s="44">
        <f t="shared" si="295"/>
        <v>0</v>
      </c>
      <c r="T138" s="44">
        <f t="shared" si="296"/>
        <v>0</v>
      </c>
      <c r="U138" s="44">
        <f t="shared" si="297"/>
        <v>0</v>
      </c>
      <c r="V138" s="44">
        <f t="shared" si="298"/>
        <v>78300</v>
      </c>
      <c r="W138" s="44">
        <f t="shared" si="299"/>
        <v>0</v>
      </c>
      <c r="X138" s="44">
        <f t="shared" si="249"/>
        <v>0</v>
      </c>
      <c r="Y138" s="44">
        <f t="shared" si="300"/>
        <v>0</v>
      </c>
      <c r="Z138" s="44">
        <f t="shared" si="250"/>
        <v>0</v>
      </c>
      <c r="AA138" s="44">
        <f t="shared" si="301"/>
        <v>0</v>
      </c>
      <c r="AB138" s="44">
        <f t="shared" si="251"/>
        <v>78300</v>
      </c>
      <c r="AC138" s="46">
        <f t="shared" si="252"/>
        <v>0</v>
      </c>
      <c r="AD138" s="47">
        <f t="shared" si="253"/>
        <v>0</v>
      </c>
      <c r="AE138" s="604">
        <f t="shared" si="302"/>
        <v>0</v>
      </c>
      <c r="AF138" s="44">
        <f t="shared" si="303"/>
        <v>0</v>
      </c>
      <c r="AG138" s="44">
        <f t="shared" si="304"/>
        <v>0</v>
      </c>
      <c r="AH138" s="44">
        <f t="shared" si="305"/>
        <v>0</v>
      </c>
      <c r="AI138" s="44">
        <f t="shared" si="306"/>
        <v>78300</v>
      </c>
      <c r="AJ138" s="44">
        <f t="shared" si="307"/>
        <v>0</v>
      </c>
      <c r="AK138" s="44">
        <f t="shared" si="254"/>
        <v>0</v>
      </c>
      <c r="AL138" s="44">
        <f t="shared" si="308"/>
        <v>0</v>
      </c>
      <c r="AM138" s="44">
        <f t="shared" si="255"/>
        <v>0</v>
      </c>
      <c r="AN138" s="44">
        <f t="shared" si="309"/>
        <v>0</v>
      </c>
      <c r="AO138" s="44">
        <f t="shared" si="256"/>
        <v>78300</v>
      </c>
      <c r="AP138" s="46">
        <f t="shared" si="257"/>
        <v>0</v>
      </c>
      <c r="AQ138" s="47">
        <f t="shared" si="258"/>
        <v>0</v>
      </c>
      <c r="AR138" s="604">
        <f t="shared" si="310"/>
        <v>0</v>
      </c>
      <c r="AS138" s="44">
        <f t="shared" si="311"/>
        <v>0</v>
      </c>
      <c r="AT138" s="44">
        <f t="shared" si="312"/>
        <v>0</v>
      </c>
      <c r="AU138" s="44">
        <f t="shared" si="313"/>
        <v>0</v>
      </c>
      <c r="AV138" s="44">
        <f t="shared" si="314"/>
        <v>78300</v>
      </c>
      <c r="AW138" s="44">
        <f t="shared" si="315"/>
        <v>0</v>
      </c>
      <c r="AX138" s="44">
        <f t="shared" si="259"/>
        <v>0</v>
      </c>
      <c r="AY138" s="44">
        <f t="shared" si="316"/>
        <v>0</v>
      </c>
      <c r="AZ138" s="44">
        <f t="shared" si="260"/>
        <v>0</v>
      </c>
      <c r="BA138" s="44">
        <f t="shared" si="317"/>
        <v>0</v>
      </c>
      <c r="BB138" s="44">
        <f t="shared" si="261"/>
        <v>78300</v>
      </c>
      <c r="BC138" s="46">
        <f t="shared" si="262"/>
        <v>0</v>
      </c>
      <c r="BD138" s="47">
        <f t="shared" si="263"/>
        <v>0</v>
      </c>
      <c r="BE138" s="604">
        <f t="shared" si="318"/>
        <v>0</v>
      </c>
      <c r="BF138" s="44">
        <f t="shared" si="319"/>
        <v>0</v>
      </c>
      <c r="BG138" s="44">
        <f t="shared" si="320"/>
        <v>0</v>
      </c>
      <c r="BH138" s="44">
        <f t="shared" si="321"/>
        <v>0</v>
      </c>
      <c r="BI138" s="44">
        <f t="shared" si="322"/>
        <v>78300</v>
      </c>
      <c r="BJ138" s="44">
        <f t="shared" si="323"/>
        <v>0</v>
      </c>
      <c r="BK138" s="44">
        <f t="shared" si="264"/>
        <v>0</v>
      </c>
      <c r="BL138" s="44">
        <f t="shared" si="324"/>
        <v>0</v>
      </c>
      <c r="BM138" s="44">
        <f t="shared" si="265"/>
        <v>0</v>
      </c>
      <c r="BN138" s="44">
        <f t="shared" si="325"/>
        <v>0</v>
      </c>
      <c r="BO138" s="44">
        <f t="shared" si="266"/>
        <v>78300</v>
      </c>
      <c r="BP138" s="46">
        <f t="shared" si="267"/>
        <v>0</v>
      </c>
      <c r="BQ138" s="47">
        <f t="shared" si="268"/>
        <v>0</v>
      </c>
      <c r="BR138" s="604">
        <f t="shared" si="326"/>
        <v>0</v>
      </c>
      <c r="BS138" s="44">
        <f t="shared" si="327"/>
        <v>0</v>
      </c>
      <c r="BT138" s="44">
        <f t="shared" si="328"/>
        <v>0</v>
      </c>
      <c r="BU138" s="44">
        <f t="shared" si="329"/>
        <v>0</v>
      </c>
      <c r="BV138" s="44">
        <f t="shared" si="330"/>
        <v>78300</v>
      </c>
      <c r="BW138" s="44">
        <f t="shared" si="331"/>
        <v>0</v>
      </c>
      <c r="BX138" s="44">
        <f t="shared" si="269"/>
        <v>0</v>
      </c>
      <c r="BY138" s="44">
        <f t="shared" si="332"/>
        <v>0</v>
      </c>
      <c r="BZ138" s="44">
        <f t="shared" si="270"/>
        <v>0</v>
      </c>
      <c r="CA138" s="44">
        <f t="shared" si="333"/>
        <v>0</v>
      </c>
      <c r="CB138" s="44">
        <f t="shared" si="271"/>
        <v>78300</v>
      </c>
      <c r="CC138" s="46">
        <f t="shared" si="272"/>
        <v>0</v>
      </c>
      <c r="CD138" s="47">
        <f t="shared" si="273"/>
        <v>0</v>
      </c>
      <c r="CE138" s="604">
        <f t="shared" si="334"/>
        <v>0</v>
      </c>
      <c r="CF138" s="44">
        <f t="shared" si="335"/>
        <v>0</v>
      </c>
      <c r="CG138" s="44">
        <f t="shared" si="336"/>
        <v>0</v>
      </c>
      <c r="CH138" s="44">
        <f t="shared" si="337"/>
        <v>0</v>
      </c>
      <c r="CI138" s="44">
        <f t="shared" si="338"/>
        <v>78300</v>
      </c>
      <c r="CJ138" s="44">
        <f t="shared" si="339"/>
        <v>0</v>
      </c>
      <c r="CK138" s="44">
        <f t="shared" si="274"/>
        <v>0</v>
      </c>
      <c r="CL138" s="44">
        <f t="shared" si="340"/>
        <v>0</v>
      </c>
      <c r="CM138" s="44">
        <f t="shared" si="275"/>
        <v>0</v>
      </c>
      <c r="CN138" s="44">
        <f t="shared" si="341"/>
        <v>0</v>
      </c>
      <c r="CO138" s="44">
        <f t="shared" si="276"/>
        <v>78300</v>
      </c>
      <c r="CP138" s="46">
        <f t="shared" si="277"/>
        <v>0</v>
      </c>
      <c r="CQ138" s="47">
        <f t="shared" si="278"/>
        <v>0</v>
      </c>
      <c r="CR138" s="604">
        <f t="shared" si="342"/>
        <v>0</v>
      </c>
      <c r="CS138" s="44">
        <f t="shared" si="343"/>
        <v>0</v>
      </c>
      <c r="CT138" s="44">
        <f t="shared" si="344"/>
        <v>0</v>
      </c>
      <c r="CU138" s="44">
        <f t="shared" si="345"/>
        <v>0</v>
      </c>
      <c r="CV138" s="44">
        <f t="shared" si="346"/>
        <v>78300</v>
      </c>
      <c r="CW138" s="44">
        <f t="shared" si="347"/>
        <v>0</v>
      </c>
      <c r="CX138" s="44">
        <f t="shared" si="279"/>
        <v>0</v>
      </c>
      <c r="CY138" s="44">
        <f t="shared" si="348"/>
        <v>0</v>
      </c>
      <c r="CZ138" s="44">
        <f t="shared" si="280"/>
        <v>0</v>
      </c>
      <c r="DA138" s="44">
        <f t="shared" si="349"/>
        <v>0</v>
      </c>
      <c r="DB138" s="44">
        <f t="shared" si="281"/>
        <v>78300</v>
      </c>
      <c r="DC138" s="46">
        <f t="shared" si="282"/>
        <v>0</v>
      </c>
      <c r="DD138" s="47">
        <f t="shared" si="283"/>
        <v>0</v>
      </c>
      <c r="DE138" s="604">
        <f t="shared" si="350"/>
        <v>0</v>
      </c>
      <c r="DF138" s="44">
        <f t="shared" si="351"/>
        <v>0</v>
      </c>
      <c r="DG138" s="44">
        <f t="shared" si="352"/>
        <v>0</v>
      </c>
      <c r="DH138" s="44">
        <f t="shared" si="353"/>
        <v>0</v>
      </c>
      <c r="DI138" s="44">
        <f t="shared" si="354"/>
        <v>78300</v>
      </c>
      <c r="DJ138" s="44">
        <f t="shared" si="355"/>
        <v>0</v>
      </c>
      <c r="DK138" s="44">
        <f t="shared" si="284"/>
        <v>0</v>
      </c>
      <c r="DL138" s="44">
        <f t="shared" si="356"/>
        <v>0</v>
      </c>
      <c r="DM138" s="44">
        <f t="shared" si="285"/>
        <v>0</v>
      </c>
      <c r="DN138" s="44">
        <f t="shared" si="357"/>
        <v>0</v>
      </c>
      <c r="DO138" s="44">
        <f t="shared" si="286"/>
        <v>78300</v>
      </c>
      <c r="DP138" s="46">
        <f t="shared" si="287"/>
        <v>0</v>
      </c>
      <c r="DQ138" s="47">
        <f t="shared" si="288"/>
        <v>0</v>
      </c>
      <c r="DR138" s="604">
        <f t="shared" si="358"/>
        <v>0</v>
      </c>
      <c r="DS138" s="44">
        <f t="shared" si="359"/>
        <v>0</v>
      </c>
      <c r="DT138" s="44">
        <f t="shared" si="360"/>
        <v>0</v>
      </c>
      <c r="DU138" s="44">
        <f t="shared" si="361"/>
        <v>0</v>
      </c>
      <c r="DV138" s="44">
        <f t="shared" si="362"/>
        <v>78300</v>
      </c>
      <c r="DW138" s="44">
        <f t="shared" si="363"/>
        <v>0</v>
      </c>
      <c r="DX138" s="44">
        <f t="shared" si="289"/>
        <v>0</v>
      </c>
      <c r="DY138" s="44">
        <f t="shared" si="364"/>
        <v>0</v>
      </c>
      <c r="DZ138" s="44">
        <f t="shared" si="290"/>
        <v>0</v>
      </c>
      <c r="EA138" s="44">
        <f t="shared" si="365"/>
        <v>0</v>
      </c>
      <c r="EB138" s="44">
        <f t="shared" si="291"/>
        <v>78300</v>
      </c>
      <c r="EC138" s="46">
        <f t="shared" si="292"/>
        <v>0</v>
      </c>
      <c r="ED138" s="47">
        <f t="shared" si="293"/>
        <v>0</v>
      </c>
    </row>
    <row r="139" spans="1:134" x14ac:dyDescent="0.35">
      <c r="A139" s="81">
        <v>1997</v>
      </c>
      <c r="B139" s="82" t="s">
        <v>307</v>
      </c>
      <c r="C139" s="82"/>
      <c r="D139" s="83" t="s">
        <v>41</v>
      </c>
      <c r="E139" s="87">
        <v>500</v>
      </c>
      <c r="F139" s="85">
        <v>35247</v>
      </c>
      <c r="G139" s="86">
        <v>6.6660000000000004</v>
      </c>
      <c r="H139" s="179"/>
      <c r="I139" s="180"/>
      <c r="J139" s="181"/>
      <c r="K139" s="42">
        <f t="shared" si="244"/>
        <v>0.15</v>
      </c>
      <c r="L139" s="43">
        <f t="shared" si="245"/>
        <v>75</v>
      </c>
      <c r="M139" s="44">
        <f t="shared" si="246"/>
        <v>0</v>
      </c>
      <c r="N139" s="44"/>
      <c r="O139" s="44">
        <f t="shared" si="247"/>
        <v>500</v>
      </c>
      <c r="P139" s="45"/>
      <c r="Q139" s="44">
        <f t="shared" si="248"/>
        <v>500</v>
      </c>
      <c r="R139" s="604">
        <f t="shared" si="294"/>
        <v>0</v>
      </c>
      <c r="S139" s="44">
        <f t="shared" si="295"/>
        <v>0</v>
      </c>
      <c r="T139" s="44">
        <f t="shared" si="296"/>
        <v>0</v>
      </c>
      <c r="U139" s="44">
        <f t="shared" si="297"/>
        <v>0</v>
      </c>
      <c r="V139" s="44">
        <f t="shared" si="298"/>
        <v>500</v>
      </c>
      <c r="W139" s="44">
        <f t="shared" si="299"/>
        <v>0</v>
      </c>
      <c r="X139" s="44">
        <f t="shared" si="249"/>
        <v>0</v>
      </c>
      <c r="Y139" s="44">
        <f t="shared" si="300"/>
        <v>0</v>
      </c>
      <c r="Z139" s="44">
        <f t="shared" si="250"/>
        <v>0</v>
      </c>
      <c r="AA139" s="44">
        <f t="shared" si="301"/>
        <v>0</v>
      </c>
      <c r="AB139" s="44">
        <f t="shared" si="251"/>
        <v>500</v>
      </c>
      <c r="AC139" s="46">
        <f t="shared" si="252"/>
        <v>0</v>
      </c>
      <c r="AD139" s="47">
        <f t="shared" si="253"/>
        <v>0</v>
      </c>
      <c r="AE139" s="604">
        <f t="shared" si="302"/>
        <v>0</v>
      </c>
      <c r="AF139" s="44">
        <f t="shared" si="303"/>
        <v>0</v>
      </c>
      <c r="AG139" s="44">
        <f t="shared" si="304"/>
        <v>0</v>
      </c>
      <c r="AH139" s="44">
        <f t="shared" si="305"/>
        <v>0</v>
      </c>
      <c r="AI139" s="44">
        <f t="shared" si="306"/>
        <v>500</v>
      </c>
      <c r="AJ139" s="44">
        <f t="shared" si="307"/>
        <v>0</v>
      </c>
      <c r="AK139" s="44">
        <f t="shared" si="254"/>
        <v>0</v>
      </c>
      <c r="AL139" s="44">
        <f t="shared" si="308"/>
        <v>0</v>
      </c>
      <c r="AM139" s="44">
        <f t="shared" si="255"/>
        <v>0</v>
      </c>
      <c r="AN139" s="44">
        <f t="shared" si="309"/>
        <v>0</v>
      </c>
      <c r="AO139" s="44">
        <f t="shared" si="256"/>
        <v>500</v>
      </c>
      <c r="AP139" s="46">
        <f t="shared" si="257"/>
        <v>0</v>
      </c>
      <c r="AQ139" s="47">
        <f t="shared" si="258"/>
        <v>0</v>
      </c>
      <c r="AR139" s="604">
        <f t="shared" si="310"/>
        <v>0</v>
      </c>
      <c r="AS139" s="44">
        <f t="shared" si="311"/>
        <v>0</v>
      </c>
      <c r="AT139" s="44">
        <f t="shared" si="312"/>
        <v>0</v>
      </c>
      <c r="AU139" s="44">
        <f t="shared" si="313"/>
        <v>0</v>
      </c>
      <c r="AV139" s="44">
        <f t="shared" si="314"/>
        <v>500</v>
      </c>
      <c r="AW139" s="44">
        <f t="shared" si="315"/>
        <v>0</v>
      </c>
      <c r="AX139" s="44">
        <f t="shared" si="259"/>
        <v>0</v>
      </c>
      <c r="AY139" s="44">
        <f t="shared" si="316"/>
        <v>0</v>
      </c>
      <c r="AZ139" s="44">
        <f t="shared" si="260"/>
        <v>0</v>
      </c>
      <c r="BA139" s="44">
        <f t="shared" si="317"/>
        <v>0</v>
      </c>
      <c r="BB139" s="44">
        <f t="shared" si="261"/>
        <v>500</v>
      </c>
      <c r="BC139" s="46">
        <f t="shared" si="262"/>
        <v>0</v>
      </c>
      <c r="BD139" s="47">
        <f t="shared" si="263"/>
        <v>0</v>
      </c>
      <c r="BE139" s="604">
        <f t="shared" si="318"/>
        <v>0</v>
      </c>
      <c r="BF139" s="44">
        <f t="shared" si="319"/>
        <v>0</v>
      </c>
      <c r="BG139" s="44">
        <f t="shared" si="320"/>
        <v>0</v>
      </c>
      <c r="BH139" s="44">
        <f t="shared" si="321"/>
        <v>0</v>
      </c>
      <c r="BI139" s="44">
        <f t="shared" si="322"/>
        <v>500</v>
      </c>
      <c r="BJ139" s="44">
        <f t="shared" si="323"/>
        <v>0</v>
      </c>
      <c r="BK139" s="44">
        <f t="shared" si="264"/>
        <v>0</v>
      </c>
      <c r="BL139" s="44">
        <f t="shared" si="324"/>
        <v>0</v>
      </c>
      <c r="BM139" s="44">
        <f t="shared" si="265"/>
        <v>0</v>
      </c>
      <c r="BN139" s="44">
        <f t="shared" si="325"/>
        <v>0</v>
      </c>
      <c r="BO139" s="44">
        <f t="shared" si="266"/>
        <v>500</v>
      </c>
      <c r="BP139" s="46">
        <f t="shared" si="267"/>
        <v>0</v>
      </c>
      <c r="BQ139" s="47">
        <f t="shared" si="268"/>
        <v>0</v>
      </c>
      <c r="BR139" s="604">
        <f t="shared" si="326"/>
        <v>0</v>
      </c>
      <c r="BS139" s="44">
        <f t="shared" si="327"/>
        <v>0</v>
      </c>
      <c r="BT139" s="44">
        <f t="shared" si="328"/>
        <v>0</v>
      </c>
      <c r="BU139" s="44">
        <f t="shared" si="329"/>
        <v>0</v>
      </c>
      <c r="BV139" s="44">
        <f t="shared" si="330"/>
        <v>500</v>
      </c>
      <c r="BW139" s="44">
        <f t="shared" si="331"/>
        <v>0</v>
      </c>
      <c r="BX139" s="44">
        <f t="shared" si="269"/>
        <v>0</v>
      </c>
      <c r="BY139" s="44">
        <f t="shared" si="332"/>
        <v>0</v>
      </c>
      <c r="BZ139" s="44">
        <f t="shared" si="270"/>
        <v>0</v>
      </c>
      <c r="CA139" s="44">
        <f t="shared" si="333"/>
        <v>0</v>
      </c>
      <c r="CB139" s="44">
        <f t="shared" si="271"/>
        <v>500</v>
      </c>
      <c r="CC139" s="46">
        <f t="shared" si="272"/>
        <v>0</v>
      </c>
      <c r="CD139" s="47">
        <f t="shared" si="273"/>
        <v>0</v>
      </c>
      <c r="CE139" s="604">
        <f t="shared" si="334"/>
        <v>0</v>
      </c>
      <c r="CF139" s="44">
        <f t="shared" si="335"/>
        <v>0</v>
      </c>
      <c r="CG139" s="44">
        <f t="shared" si="336"/>
        <v>0</v>
      </c>
      <c r="CH139" s="44">
        <f t="shared" si="337"/>
        <v>0</v>
      </c>
      <c r="CI139" s="44">
        <f t="shared" si="338"/>
        <v>500</v>
      </c>
      <c r="CJ139" s="44">
        <f t="shared" si="339"/>
        <v>0</v>
      </c>
      <c r="CK139" s="44">
        <f t="shared" si="274"/>
        <v>0</v>
      </c>
      <c r="CL139" s="44">
        <f t="shared" si="340"/>
        <v>0</v>
      </c>
      <c r="CM139" s="44">
        <f t="shared" si="275"/>
        <v>0</v>
      </c>
      <c r="CN139" s="44">
        <f t="shared" si="341"/>
        <v>0</v>
      </c>
      <c r="CO139" s="44">
        <f t="shared" si="276"/>
        <v>500</v>
      </c>
      <c r="CP139" s="46">
        <f t="shared" si="277"/>
        <v>0</v>
      </c>
      <c r="CQ139" s="47">
        <f t="shared" si="278"/>
        <v>0</v>
      </c>
      <c r="CR139" s="604">
        <f t="shared" si="342"/>
        <v>0</v>
      </c>
      <c r="CS139" s="44">
        <f t="shared" si="343"/>
        <v>0</v>
      </c>
      <c r="CT139" s="44">
        <f t="shared" si="344"/>
        <v>0</v>
      </c>
      <c r="CU139" s="44">
        <f t="shared" si="345"/>
        <v>0</v>
      </c>
      <c r="CV139" s="44">
        <f t="shared" si="346"/>
        <v>500</v>
      </c>
      <c r="CW139" s="44">
        <f t="shared" si="347"/>
        <v>0</v>
      </c>
      <c r="CX139" s="44">
        <f t="shared" si="279"/>
        <v>0</v>
      </c>
      <c r="CY139" s="44">
        <f t="shared" si="348"/>
        <v>0</v>
      </c>
      <c r="CZ139" s="44">
        <f t="shared" si="280"/>
        <v>0</v>
      </c>
      <c r="DA139" s="44">
        <f t="shared" si="349"/>
        <v>0</v>
      </c>
      <c r="DB139" s="44">
        <f t="shared" si="281"/>
        <v>500</v>
      </c>
      <c r="DC139" s="46">
        <f t="shared" si="282"/>
        <v>0</v>
      </c>
      <c r="DD139" s="47">
        <f t="shared" si="283"/>
        <v>0</v>
      </c>
      <c r="DE139" s="604">
        <f t="shared" si="350"/>
        <v>0</v>
      </c>
      <c r="DF139" s="44">
        <f t="shared" si="351"/>
        <v>0</v>
      </c>
      <c r="DG139" s="44">
        <f t="shared" si="352"/>
        <v>0</v>
      </c>
      <c r="DH139" s="44">
        <f t="shared" si="353"/>
        <v>0</v>
      </c>
      <c r="DI139" s="44">
        <f t="shared" si="354"/>
        <v>500</v>
      </c>
      <c r="DJ139" s="44">
        <f t="shared" si="355"/>
        <v>0</v>
      </c>
      <c r="DK139" s="44">
        <f t="shared" si="284"/>
        <v>0</v>
      </c>
      <c r="DL139" s="44">
        <f t="shared" si="356"/>
        <v>0</v>
      </c>
      <c r="DM139" s="44">
        <f t="shared" si="285"/>
        <v>0</v>
      </c>
      <c r="DN139" s="44">
        <f t="shared" si="357"/>
        <v>0</v>
      </c>
      <c r="DO139" s="44">
        <f t="shared" si="286"/>
        <v>500</v>
      </c>
      <c r="DP139" s="46">
        <f t="shared" si="287"/>
        <v>0</v>
      </c>
      <c r="DQ139" s="47">
        <f t="shared" si="288"/>
        <v>0</v>
      </c>
      <c r="DR139" s="604">
        <f t="shared" si="358"/>
        <v>0</v>
      </c>
      <c r="DS139" s="44">
        <f t="shared" si="359"/>
        <v>0</v>
      </c>
      <c r="DT139" s="44">
        <f t="shared" si="360"/>
        <v>0</v>
      </c>
      <c r="DU139" s="44">
        <f t="shared" si="361"/>
        <v>0</v>
      </c>
      <c r="DV139" s="44">
        <f t="shared" si="362"/>
        <v>500</v>
      </c>
      <c r="DW139" s="44">
        <f t="shared" si="363"/>
        <v>0</v>
      </c>
      <c r="DX139" s="44">
        <f t="shared" si="289"/>
        <v>0</v>
      </c>
      <c r="DY139" s="44">
        <f t="shared" si="364"/>
        <v>0</v>
      </c>
      <c r="DZ139" s="44">
        <f t="shared" si="290"/>
        <v>0</v>
      </c>
      <c r="EA139" s="44">
        <f t="shared" si="365"/>
        <v>0</v>
      </c>
      <c r="EB139" s="44">
        <f t="shared" si="291"/>
        <v>500</v>
      </c>
      <c r="EC139" s="46">
        <f t="shared" si="292"/>
        <v>0</v>
      </c>
      <c r="ED139" s="47">
        <f t="shared" si="293"/>
        <v>0</v>
      </c>
    </row>
    <row r="140" spans="1:134" x14ac:dyDescent="0.35">
      <c r="A140" s="81">
        <v>1997</v>
      </c>
      <c r="B140" s="82" t="s">
        <v>308</v>
      </c>
      <c r="C140" s="82"/>
      <c r="D140" s="83" t="s">
        <v>32</v>
      </c>
      <c r="E140" s="87">
        <v>1800</v>
      </c>
      <c r="F140" s="85">
        <v>35612</v>
      </c>
      <c r="G140" s="86">
        <v>6.6660000000000004</v>
      </c>
      <c r="H140" s="179"/>
      <c r="I140" s="180"/>
      <c r="J140" s="181"/>
      <c r="K140" s="42">
        <f t="shared" si="244"/>
        <v>0.15</v>
      </c>
      <c r="L140" s="43">
        <f t="shared" si="245"/>
        <v>270</v>
      </c>
      <c r="M140" s="44">
        <f t="shared" si="246"/>
        <v>0</v>
      </c>
      <c r="N140" s="44"/>
      <c r="O140" s="44">
        <f t="shared" si="247"/>
        <v>1800</v>
      </c>
      <c r="P140" s="45"/>
      <c r="Q140" s="44">
        <f t="shared" si="248"/>
        <v>1800</v>
      </c>
      <c r="R140" s="604">
        <f t="shared" si="294"/>
        <v>0</v>
      </c>
      <c r="S140" s="44">
        <f t="shared" si="295"/>
        <v>0</v>
      </c>
      <c r="T140" s="44">
        <f t="shared" si="296"/>
        <v>0</v>
      </c>
      <c r="U140" s="44">
        <f t="shared" si="297"/>
        <v>0</v>
      </c>
      <c r="V140" s="44">
        <f t="shared" si="298"/>
        <v>1800</v>
      </c>
      <c r="W140" s="44">
        <f t="shared" si="299"/>
        <v>0</v>
      </c>
      <c r="X140" s="44">
        <f t="shared" si="249"/>
        <v>0</v>
      </c>
      <c r="Y140" s="44">
        <f t="shared" si="300"/>
        <v>0</v>
      </c>
      <c r="Z140" s="44">
        <f t="shared" si="250"/>
        <v>0</v>
      </c>
      <c r="AA140" s="44">
        <f t="shared" si="301"/>
        <v>0</v>
      </c>
      <c r="AB140" s="44">
        <f t="shared" si="251"/>
        <v>1800</v>
      </c>
      <c r="AC140" s="46">
        <f t="shared" si="252"/>
        <v>0</v>
      </c>
      <c r="AD140" s="47">
        <f t="shared" si="253"/>
        <v>0</v>
      </c>
      <c r="AE140" s="604">
        <f t="shared" si="302"/>
        <v>0</v>
      </c>
      <c r="AF140" s="44">
        <f t="shared" si="303"/>
        <v>0</v>
      </c>
      <c r="AG140" s="44">
        <f t="shared" si="304"/>
        <v>0</v>
      </c>
      <c r="AH140" s="44">
        <f t="shared" si="305"/>
        <v>0</v>
      </c>
      <c r="AI140" s="44">
        <f t="shared" si="306"/>
        <v>1800</v>
      </c>
      <c r="AJ140" s="44">
        <f t="shared" si="307"/>
        <v>0</v>
      </c>
      <c r="AK140" s="44">
        <f t="shared" si="254"/>
        <v>0</v>
      </c>
      <c r="AL140" s="44">
        <f t="shared" si="308"/>
        <v>0</v>
      </c>
      <c r="AM140" s="44">
        <f t="shared" si="255"/>
        <v>0</v>
      </c>
      <c r="AN140" s="44">
        <f t="shared" si="309"/>
        <v>0</v>
      </c>
      <c r="AO140" s="44">
        <f t="shared" si="256"/>
        <v>1800</v>
      </c>
      <c r="AP140" s="46">
        <f t="shared" si="257"/>
        <v>0</v>
      </c>
      <c r="AQ140" s="47">
        <f t="shared" si="258"/>
        <v>0</v>
      </c>
      <c r="AR140" s="604">
        <f t="shared" si="310"/>
        <v>0</v>
      </c>
      <c r="AS140" s="44">
        <f t="shared" si="311"/>
        <v>0</v>
      </c>
      <c r="AT140" s="44">
        <f t="shared" si="312"/>
        <v>0</v>
      </c>
      <c r="AU140" s="44">
        <f t="shared" si="313"/>
        <v>0</v>
      </c>
      <c r="AV140" s="44">
        <f t="shared" si="314"/>
        <v>1800</v>
      </c>
      <c r="AW140" s="44">
        <f t="shared" si="315"/>
        <v>0</v>
      </c>
      <c r="AX140" s="44">
        <f t="shared" si="259"/>
        <v>0</v>
      </c>
      <c r="AY140" s="44">
        <f t="shared" si="316"/>
        <v>0</v>
      </c>
      <c r="AZ140" s="44">
        <f t="shared" si="260"/>
        <v>0</v>
      </c>
      <c r="BA140" s="44">
        <f t="shared" si="317"/>
        <v>0</v>
      </c>
      <c r="BB140" s="44">
        <f t="shared" si="261"/>
        <v>1800</v>
      </c>
      <c r="BC140" s="46">
        <f t="shared" si="262"/>
        <v>0</v>
      </c>
      <c r="BD140" s="47">
        <f t="shared" si="263"/>
        <v>0</v>
      </c>
      <c r="BE140" s="604">
        <f t="shared" si="318"/>
        <v>0</v>
      </c>
      <c r="BF140" s="44">
        <f t="shared" si="319"/>
        <v>0</v>
      </c>
      <c r="BG140" s="44">
        <f t="shared" si="320"/>
        <v>0</v>
      </c>
      <c r="BH140" s="44">
        <f t="shared" si="321"/>
        <v>0</v>
      </c>
      <c r="BI140" s="44">
        <f t="shared" si="322"/>
        <v>1800</v>
      </c>
      <c r="BJ140" s="44">
        <f t="shared" si="323"/>
        <v>0</v>
      </c>
      <c r="BK140" s="44">
        <f t="shared" si="264"/>
        <v>0</v>
      </c>
      <c r="BL140" s="44">
        <f t="shared" si="324"/>
        <v>0</v>
      </c>
      <c r="BM140" s="44">
        <f t="shared" si="265"/>
        <v>0</v>
      </c>
      <c r="BN140" s="44">
        <f t="shared" si="325"/>
        <v>0</v>
      </c>
      <c r="BO140" s="44">
        <f t="shared" si="266"/>
        <v>1800</v>
      </c>
      <c r="BP140" s="46">
        <f t="shared" si="267"/>
        <v>0</v>
      </c>
      <c r="BQ140" s="47">
        <f t="shared" si="268"/>
        <v>0</v>
      </c>
      <c r="BR140" s="604">
        <f t="shared" si="326"/>
        <v>0</v>
      </c>
      <c r="BS140" s="44">
        <f t="shared" si="327"/>
        <v>0</v>
      </c>
      <c r="BT140" s="44">
        <f t="shared" si="328"/>
        <v>0</v>
      </c>
      <c r="BU140" s="44">
        <f t="shared" si="329"/>
        <v>0</v>
      </c>
      <c r="BV140" s="44">
        <f t="shared" si="330"/>
        <v>1800</v>
      </c>
      <c r="BW140" s="44">
        <f t="shared" si="331"/>
        <v>0</v>
      </c>
      <c r="BX140" s="44">
        <f t="shared" si="269"/>
        <v>0</v>
      </c>
      <c r="BY140" s="44">
        <f t="shared" si="332"/>
        <v>0</v>
      </c>
      <c r="BZ140" s="44">
        <f t="shared" si="270"/>
        <v>0</v>
      </c>
      <c r="CA140" s="44">
        <f t="shared" si="333"/>
        <v>0</v>
      </c>
      <c r="CB140" s="44">
        <f t="shared" si="271"/>
        <v>1800</v>
      </c>
      <c r="CC140" s="46">
        <f t="shared" si="272"/>
        <v>0</v>
      </c>
      <c r="CD140" s="47">
        <f t="shared" si="273"/>
        <v>0</v>
      </c>
      <c r="CE140" s="604">
        <f t="shared" si="334"/>
        <v>0</v>
      </c>
      <c r="CF140" s="44">
        <f t="shared" si="335"/>
        <v>0</v>
      </c>
      <c r="CG140" s="44">
        <f t="shared" si="336"/>
        <v>0</v>
      </c>
      <c r="CH140" s="44">
        <f t="shared" si="337"/>
        <v>0</v>
      </c>
      <c r="CI140" s="44">
        <f t="shared" si="338"/>
        <v>1800</v>
      </c>
      <c r="CJ140" s="44">
        <f t="shared" si="339"/>
        <v>0</v>
      </c>
      <c r="CK140" s="44">
        <f t="shared" si="274"/>
        <v>0</v>
      </c>
      <c r="CL140" s="44">
        <f t="shared" si="340"/>
        <v>0</v>
      </c>
      <c r="CM140" s="44">
        <f t="shared" si="275"/>
        <v>0</v>
      </c>
      <c r="CN140" s="44">
        <f t="shared" si="341"/>
        <v>0</v>
      </c>
      <c r="CO140" s="44">
        <f t="shared" si="276"/>
        <v>1800</v>
      </c>
      <c r="CP140" s="46">
        <f t="shared" si="277"/>
        <v>0</v>
      </c>
      <c r="CQ140" s="47">
        <f t="shared" si="278"/>
        <v>0</v>
      </c>
      <c r="CR140" s="604">
        <f t="shared" si="342"/>
        <v>0</v>
      </c>
      <c r="CS140" s="44">
        <f t="shared" si="343"/>
        <v>0</v>
      </c>
      <c r="CT140" s="44">
        <f t="shared" si="344"/>
        <v>0</v>
      </c>
      <c r="CU140" s="44">
        <f t="shared" si="345"/>
        <v>0</v>
      </c>
      <c r="CV140" s="44">
        <f t="shared" si="346"/>
        <v>1800</v>
      </c>
      <c r="CW140" s="44">
        <f t="shared" si="347"/>
        <v>0</v>
      </c>
      <c r="CX140" s="44">
        <f t="shared" si="279"/>
        <v>0</v>
      </c>
      <c r="CY140" s="44">
        <f t="shared" si="348"/>
        <v>0</v>
      </c>
      <c r="CZ140" s="44">
        <f t="shared" si="280"/>
        <v>0</v>
      </c>
      <c r="DA140" s="44">
        <f t="shared" si="349"/>
        <v>0</v>
      </c>
      <c r="DB140" s="44">
        <f t="shared" si="281"/>
        <v>1800</v>
      </c>
      <c r="DC140" s="46">
        <f t="shared" si="282"/>
        <v>0</v>
      </c>
      <c r="DD140" s="47">
        <f t="shared" si="283"/>
        <v>0</v>
      </c>
      <c r="DE140" s="604">
        <f t="shared" si="350"/>
        <v>0</v>
      </c>
      <c r="DF140" s="44">
        <f t="shared" si="351"/>
        <v>0</v>
      </c>
      <c r="DG140" s="44">
        <f t="shared" si="352"/>
        <v>0</v>
      </c>
      <c r="DH140" s="44">
        <f t="shared" si="353"/>
        <v>0</v>
      </c>
      <c r="DI140" s="44">
        <f t="shared" si="354"/>
        <v>1800</v>
      </c>
      <c r="DJ140" s="44">
        <f t="shared" si="355"/>
        <v>0</v>
      </c>
      <c r="DK140" s="44">
        <f t="shared" si="284"/>
        <v>0</v>
      </c>
      <c r="DL140" s="44">
        <f t="shared" si="356"/>
        <v>0</v>
      </c>
      <c r="DM140" s="44">
        <f t="shared" si="285"/>
        <v>0</v>
      </c>
      <c r="DN140" s="44">
        <f t="shared" si="357"/>
        <v>0</v>
      </c>
      <c r="DO140" s="44">
        <f t="shared" si="286"/>
        <v>1800</v>
      </c>
      <c r="DP140" s="46">
        <f t="shared" si="287"/>
        <v>0</v>
      </c>
      <c r="DQ140" s="47">
        <f t="shared" si="288"/>
        <v>0</v>
      </c>
      <c r="DR140" s="604">
        <f t="shared" si="358"/>
        <v>0</v>
      </c>
      <c r="DS140" s="44">
        <f t="shared" si="359"/>
        <v>0</v>
      </c>
      <c r="DT140" s="44">
        <f t="shared" si="360"/>
        <v>0</v>
      </c>
      <c r="DU140" s="44">
        <f t="shared" si="361"/>
        <v>0</v>
      </c>
      <c r="DV140" s="44">
        <f t="shared" si="362"/>
        <v>1800</v>
      </c>
      <c r="DW140" s="44">
        <f t="shared" si="363"/>
        <v>0</v>
      </c>
      <c r="DX140" s="44">
        <f t="shared" si="289"/>
        <v>0</v>
      </c>
      <c r="DY140" s="44">
        <f t="shared" si="364"/>
        <v>0</v>
      </c>
      <c r="DZ140" s="44">
        <f t="shared" si="290"/>
        <v>0</v>
      </c>
      <c r="EA140" s="44">
        <f t="shared" si="365"/>
        <v>0</v>
      </c>
      <c r="EB140" s="44">
        <f t="shared" si="291"/>
        <v>1800</v>
      </c>
      <c r="EC140" s="46">
        <f t="shared" si="292"/>
        <v>0</v>
      </c>
      <c r="ED140" s="47">
        <f t="shared" si="293"/>
        <v>0</v>
      </c>
    </row>
    <row r="141" spans="1:134" x14ac:dyDescent="0.35">
      <c r="A141" s="81">
        <v>1997</v>
      </c>
      <c r="B141" s="82" t="s">
        <v>309</v>
      </c>
      <c r="C141" s="82"/>
      <c r="D141" s="83" t="s">
        <v>41</v>
      </c>
      <c r="E141" s="87">
        <v>1000</v>
      </c>
      <c r="F141" s="85">
        <v>35612</v>
      </c>
      <c r="G141" s="86">
        <v>6.6660000000000004</v>
      </c>
      <c r="H141" s="179"/>
      <c r="I141" s="180"/>
      <c r="J141" s="181"/>
      <c r="K141" s="42">
        <f t="shared" si="244"/>
        <v>0.15</v>
      </c>
      <c r="L141" s="43">
        <f t="shared" si="245"/>
        <v>150</v>
      </c>
      <c r="M141" s="44">
        <f t="shared" si="246"/>
        <v>0</v>
      </c>
      <c r="N141" s="44"/>
      <c r="O141" s="44">
        <f t="shared" si="247"/>
        <v>1000</v>
      </c>
      <c r="P141" s="45"/>
      <c r="Q141" s="44">
        <f t="shared" si="248"/>
        <v>1000</v>
      </c>
      <c r="R141" s="604">
        <f t="shared" si="294"/>
        <v>0</v>
      </c>
      <c r="S141" s="44">
        <f t="shared" si="295"/>
        <v>0</v>
      </c>
      <c r="T141" s="44">
        <f t="shared" si="296"/>
        <v>0</v>
      </c>
      <c r="U141" s="44">
        <f t="shared" si="297"/>
        <v>0</v>
      </c>
      <c r="V141" s="44">
        <f t="shared" si="298"/>
        <v>1000</v>
      </c>
      <c r="W141" s="44">
        <f t="shared" si="299"/>
        <v>0</v>
      </c>
      <c r="X141" s="44">
        <f t="shared" si="249"/>
        <v>0</v>
      </c>
      <c r="Y141" s="44">
        <f t="shared" si="300"/>
        <v>0</v>
      </c>
      <c r="Z141" s="44">
        <f t="shared" si="250"/>
        <v>0</v>
      </c>
      <c r="AA141" s="44">
        <f t="shared" si="301"/>
        <v>0</v>
      </c>
      <c r="AB141" s="44">
        <f t="shared" si="251"/>
        <v>1000</v>
      </c>
      <c r="AC141" s="46">
        <f t="shared" si="252"/>
        <v>0</v>
      </c>
      <c r="AD141" s="47">
        <f t="shared" si="253"/>
        <v>0</v>
      </c>
      <c r="AE141" s="604">
        <f t="shared" si="302"/>
        <v>0</v>
      </c>
      <c r="AF141" s="44">
        <f t="shared" si="303"/>
        <v>0</v>
      </c>
      <c r="AG141" s="44">
        <f t="shared" si="304"/>
        <v>0</v>
      </c>
      <c r="AH141" s="44">
        <f t="shared" si="305"/>
        <v>0</v>
      </c>
      <c r="AI141" s="44">
        <f t="shared" si="306"/>
        <v>1000</v>
      </c>
      <c r="AJ141" s="44">
        <f t="shared" si="307"/>
        <v>0</v>
      </c>
      <c r="AK141" s="44">
        <f t="shared" si="254"/>
        <v>0</v>
      </c>
      <c r="AL141" s="44">
        <f t="shared" si="308"/>
        <v>0</v>
      </c>
      <c r="AM141" s="44">
        <f t="shared" si="255"/>
        <v>0</v>
      </c>
      <c r="AN141" s="44">
        <f t="shared" si="309"/>
        <v>0</v>
      </c>
      <c r="AO141" s="44">
        <f t="shared" si="256"/>
        <v>1000</v>
      </c>
      <c r="AP141" s="46">
        <f t="shared" si="257"/>
        <v>0</v>
      </c>
      <c r="AQ141" s="47">
        <f t="shared" si="258"/>
        <v>0</v>
      </c>
      <c r="AR141" s="604">
        <f t="shared" si="310"/>
        <v>0</v>
      </c>
      <c r="AS141" s="44">
        <f t="shared" si="311"/>
        <v>0</v>
      </c>
      <c r="AT141" s="44">
        <f t="shared" si="312"/>
        <v>0</v>
      </c>
      <c r="AU141" s="44">
        <f t="shared" si="313"/>
        <v>0</v>
      </c>
      <c r="AV141" s="44">
        <f t="shared" si="314"/>
        <v>1000</v>
      </c>
      <c r="AW141" s="44">
        <f t="shared" si="315"/>
        <v>0</v>
      </c>
      <c r="AX141" s="44">
        <f t="shared" si="259"/>
        <v>0</v>
      </c>
      <c r="AY141" s="44">
        <f t="shared" si="316"/>
        <v>0</v>
      </c>
      <c r="AZ141" s="44">
        <f t="shared" si="260"/>
        <v>0</v>
      </c>
      <c r="BA141" s="44">
        <f t="shared" si="317"/>
        <v>0</v>
      </c>
      <c r="BB141" s="44">
        <f t="shared" si="261"/>
        <v>1000</v>
      </c>
      <c r="BC141" s="46">
        <f t="shared" si="262"/>
        <v>0</v>
      </c>
      <c r="BD141" s="47">
        <f t="shared" si="263"/>
        <v>0</v>
      </c>
      <c r="BE141" s="604">
        <f t="shared" si="318"/>
        <v>0</v>
      </c>
      <c r="BF141" s="44">
        <f t="shared" si="319"/>
        <v>0</v>
      </c>
      <c r="BG141" s="44">
        <f t="shared" si="320"/>
        <v>0</v>
      </c>
      <c r="BH141" s="44">
        <f t="shared" si="321"/>
        <v>0</v>
      </c>
      <c r="BI141" s="44">
        <f t="shared" si="322"/>
        <v>1000</v>
      </c>
      <c r="BJ141" s="44">
        <f t="shared" si="323"/>
        <v>0</v>
      </c>
      <c r="BK141" s="44">
        <f t="shared" si="264"/>
        <v>0</v>
      </c>
      <c r="BL141" s="44">
        <f t="shared" si="324"/>
        <v>0</v>
      </c>
      <c r="BM141" s="44">
        <f t="shared" si="265"/>
        <v>0</v>
      </c>
      <c r="BN141" s="44">
        <f t="shared" si="325"/>
        <v>0</v>
      </c>
      <c r="BO141" s="44">
        <f t="shared" si="266"/>
        <v>1000</v>
      </c>
      <c r="BP141" s="46">
        <f t="shared" si="267"/>
        <v>0</v>
      </c>
      <c r="BQ141" s="47">
        <f t="shared" si="268"/>
        <v>0</v>
      </c>
      <c r="BR141" s="604">
        <f t="shared" si="326"/>
        <v>0</v>
      </c>
      <c r="BS141" s="44">
        <f t="shared" si="327"/>
        <v>0</v>
      </c>
      <c r="BT141" s="44">
        <f t="shared" si="328"/>
        <v>0</v>
      </c>
      <c r="BU141" s="44">
        <f t="shared" si="329"/>
        <v>0</v>
      </c>
      <c r="BV141" s="44">
        <f t="shared" si="330"/>
        <v>1000</v>
      </c>
      <c r="BW141" s="44">
        <f t="shared" si="331"/>
        <v>0</v>
      </c>
      <c r="BX141" s="44">
        <f t="shared" si="269"/>
        <v>0</v>
      </c>
      <c r="BY141" s="44">
        <f t="shared" si="332"/>
        <v>0</v>
      </c>
      <c r="BZ141" s="44">
        <f t="shared" si="270"/>
        <v>0</v>
      </c>
      <c r="CA141" s="44">
        <f t="shared" si="333"/>
        <v>0</v>
      </c>
      <c r="CB141" s="44">
        <f t="shared" si="271"/>
        <v>1000</v>
      </c>
      <c r="CC141" s="46">
        <f t="shared" si="272"/>
        <v>0</v>
      </c>
      <c r="CD141" s="47">
        <f t="shared" si="273"/>
        <v>0</v>
      </c>
      <c r="CE141" s="604">
        <f t="shared" si="334"/>
        <v>0</v>
      </c>
      <c r="CF141" s="44">
        <f t="shared" si="335"/>
        <v>0</v>
      </c>
      <c r="CG141" s="44">
        <f t="shared" si="336"/>
        <v>0</v>
      </c>
      <c r="CH141" s="44">
        <f t="shared" si="337"/>
        <v>0</v>
      </c>
      <c r="CI141" s="44">
        <f t="shared" si="338"/>
        <v>1000</v>
      </c>
      <c r="CJ141" s="44">
        <f t="shared" si="339"/>
        <v>0</v>
      </c>
      <c r="CK141" s="44">
        <f t="shared" si="274"/>
        <v>0</v>
      </c>
      <c r="CL141" s="44">
        <f t="shared" si="340"/>
        <v>0</v>
      </c>
      <c r="CM141" s="44">
        <f t="shared" si="275"/>
        <v>0</v>
      </c>
      <c r="CN141" s="44">
        <f t="shared" si="341"/>
        <v>0</v>
      </c>
      <c r="CO141" s="44">
        <f t="shared" si="276"/>
        <v>1000</v>
      </c>
      <c r="CP141" s="46">
        <f t="shared" si="277"/>
        <v>0</v>
      </c>
      <c r="CQ141" s="47">
        <f t="shared" si="278"/>
        <v>0</v>
      </c>
      <c r="CR141" s="604">
        <f t="shared" si="342"/>
        <v>0</v>
      </c>
      <c r="CS141" s="44">
        <f t="shared" si="343"/>
        <v>0</v>
      </c>
      <c r="CT141" s="44">
        <f t="shared" si="344"/>
        <v>0</v>
      </c>
      <c r="CU141" s="44">
        <f t="shared" si="345"/>
        <v>0</v>
      </c>
      <c r="CV141" s="44">
        <f t="shared" si="346"/>
        <v>1000</v>
      </c>
      <c r="CW141" s="44">
        <f t="shared" si="347"/>
        <v>0</v>
      </c>
      <c r="CX141" s="44">
        <f t="shared" si="279"/>
        <v>0</v>
      </c>
      <c r="CY141" s="44">
        <f t="shared" si="348"/>
        <v>0</v>
      </c>
      <c r="CZ141" s="44">
        <f t="shared" si="280"/>
        <v>0</v>
      </c>
      <c r="DA141" s="44">
        <f t="shared" si="349"/>
        <v>0</v>
      </c>
      <c r="DB141" s="44">
        <f t="shared" si="281"/>
        <v>1000</v>
      </c>
      <c r="DC141" s="46">
        <f t="shared" si="282"/>
        <v>0</v>
      </c>
      <c r="DD141" s="47">
        <f t="shared" si="283"/>
        <v>0</v>
      </c>
      <c r="DE141" s="604">
        <f t="shared" si="350"/>
        <v>0</v>
      </c>
      <c r="DF141" s="44">
        <f t="shared" si="351"/>
        <v>0</v>
      </c>
      <c r="DG141" s="44">
        <f t="shared" si="352"/>
        <v>0</v>
      </c>
      <c r="DH141" s="44">
        <f t="shared" si="353"/>
        <v>0</v>
      </c>
      <c r="DI141" s="44">
        <f t="shared" si="354"/>
        <v>1000</v>
      </c>
      <c r="DJ141" s="44">
        <f t="shared" si="355"/>
        <v>0</v>
      </c>
      <c r="DK141" s="44">
        <f t="shared" si="284"/>
        <v>0</v>
      </c>
      <c r="DL141" s="44">
        <f t="shared" si="356"/>
        <v>0</v>
      </c>
      <c r="DM141" s="44">
        <f t="shared" si="285"/>
        <v>0</v>
      </c>
      <c r="DN141" s="44">
        <f t="shared" si="357"/>
        <v>0</v>
      </c>
      <c r="DO141" s="44">
        <f t="shared" si="286"/>
        <v>1000</v>
      </c>
      <c r="DP141" s="46">
        <f t="shared" si="287"/>
        <v>0</v>
      </c>
      <c r="DQ141" s="47">
        <f t="shared" si="288"/>
        <v>0</v>
      </c>
      <c r="DR141" s="604">
        <f t="shared" si="358"/>
        <v>0</v>
      </c>
      <c r="DS141" s="44">
        <f t="shared" si="359"/>
        <v>0</v>
      </c>
      <c r="DT141" s="44">
        <f t="shared" si="360"/>
        <v>0</v>
      </c>
      <c r="DU141" s="44">
        <f t="shared" si="361"/>
        <v>0</v>
      </c>
      <c r="DV141" s="44">
        <f t="shared" si="362"/>
        <v>1000</v>
      </c>
      <c r="DW141" s="44">
        <f t="shared" si="363"/>
        <v>0</v>
      </c>
      <c r="DX141" s="44">
        <f t="shared" si="289"/>
        <v>0</v>
      </c>
      <c r="DY141" s="44">
        <f t="shared" si="364"/>
        <v>0</v>
      </c>
      <c r="DZ141" s="44">
        <f t="shared" si="290"/>
        <v>0</v>
      </c>
      <c r="EA141" s="44">
        <f t="shared" si="365"/>
        <v>0</v>
      </c>
      <c r="EB141" s="44">
        <f t="shared" si="291"/>
        <v>1000</v>
      </c>
      <c r="EC141" s="46">
        <f t="shared" si="292"/>
        <v>0</v>
      </c>
      <c r="ED141" s="47">
        <f t="shared" si="293"/>
        <v>0</v>
      </c>
    </row>
    <row r="142" spans="1:134" x14ac:dyDescent="0.35">
      <c r="A142" s="81">
        <v>1997</v>
      </c>
      <c r="B142" s="82" t="s">
        <v>310</v>
      </c>
      <c r="C142" s="82"/>
      <c r="D142" s="83" t="s">
        <v>32</v>
      </c>
      <c r="E142" s="87">
        <v>600</v>
      </c>
      <c r="F142" s="85">
        <v>35612</v>
      </c>
      <c r="G142" s="86">
        <v>6.6660000000000004</v>
      </c>
      <c r="H142" s="179"/>
      <c r="I142" s="180"/>
      <c r="J142" s="181"/>
      <c r="K142" s="42">
        <f t="shared" si="244"/>
        <v>0.15</v>
      </c>
      <c r="L142" s="43">
        <f t="shared" si="245"/>
        <v>90</v>
      </c>
      <c r="M142" s="44">
        <f t="shared" si="246"/>
        <v>0</v>
      </c>
      <c r="N142" s="44"/>
      <c r="O142" s="44">
        <f t="shared" si="247"/>
        <v>600</v>
      </c>
      <c r="P142" s="45"/>
      <c r="Q142" s="44">
        <f t="shared" si="248"/>
        <v>600</v>
      </c>
      <c r="R142" s="604">
        <f t="shared" si="294"/>
        <v>0</v>
      </c>
      <c r="S142" s="44">
        <f t="shared" si="295"/>
        <v>0</v>
      </c>
      <c r="T142" s="44">
        <f t="shared" si="296"/>
        <v>0</v>
      </c>
      <c r="U142" s="44">
        <f t="shared" si="297"/>
        <v>0</v>
      </c>
      <c r="V142" s="44">
        <f t="shared" si="298"/>
        <v>600</v>
      </c>
      <c r="W142" s="44">
        <f t="shared" si="299"/>
        <v>0</v>
      </c>
      <c r="X142" s="44">
        <f t="shared" si="249"/>
        <v>0</v>
      </c>
      <c r="Y142" s="44">
        <f t="shared" si="300"/>
        <v>0</v>
      </c>
      <c r="Z142" s="44">
        <f t="shared" si="250"/>
        <v>0</v>
      </c>
      <c r="AA142" s="44">
        <f t="shared" si="301"/>
        <v>0</v>
      </c>
      <c r="AB142" s="44">
        <f t="shared" si="251"/>
        <v>600</v>
      </c>
      <c r="AC142" s="46">
        <f t="shared" si="252"/>
        <v>0</v>
      </c>
      <c r="AD142" s="47">
        <f t="shared" si="253"/>
        <v>0</v>
      </c>
      <c r="AE142" s="604">
        <f t="shared" si="302"/>
        <v>0</v>
      </c>
      <c r="AF142" s="44">
        <f t="shared" si="303"/>
        <v>0</v>
      </c>
      <c r="AG142" s="44">
        <f t="shared" si="304"/>
        <v>0</v>
      </c>
      <c r="AH142" s="44">
        <f t="shared" si="305"/>
        <v>0</v>
      </c>
      <c r="AI142" s="44">
        <f t="shared" si="306"/>
        <v>600</v>
      </c>
      <c r="AJ142" s="44">
        <f t="shared" si="307"/>
        <v>0</v>
      </c>
      <c r="AK142" s="44">
        <f t="shared" si="254"/>
        <v>0</v>
      </c>
      <c r="AL142" s="44">
        <f t="shared" si="308"/>
        <v>0</v>
      </c>
      <c r="AM142" s="44">
        <f t="shared" si="255"/>
        <v>0</v>
      </c>
      <c r="AN142" s="44">
        <f t="shared" si="309"/>
        <v>0</v>
      </c>
      <c r="AO142" s="44">
        <f t="shared" si="256"/>
        <v>600</v>
      </c>
      <c r="AP142" s="46">
        <f t="shared" si="257"/>
        <v>0</v>
      </c>
      <c r="AQ142" s="47">
        <f t="shared" si="258"/>
        <v>0</v>
      </c>
      <c r="AR142" s="604">
        <f t="shared" si="310"/>
        <v>0</v>
      </c>
      <c r="AS142" s="44">
        <f t="shared" si="311"/>
        <v>0</v>
      </c>
      <c r="AT142" s="44">
        <f t="shared" si="312"/>
        <v>0</v>
      </c>
      <c r="AU142" s="44">
        <f t="shared" si="313"/>
        <v>0</v>
      </c>
      <c r="AV142" s="44">
        <f t="shared" si="314"/>
        <v>600</v>
      </c>
      <c r="AW142" s="44">
        <f t="shared" si="315"/>
        <v>0</v>
      </c>
      <c r="AX142" s="44">
        <f t="shared" si="259"/>
        <v>0</v>
      </c>
      <c r="AY142" s="44">
        <f t="shared" si="316"/>
        <v>0</v>
      </c>
      <c r="AZ142" s="44">
        <f t="shared" si="260"/>
        <v>0</v>
      </c>
      <c r="BA142" s="44">
        <f t="shared" si="317"/>
        <v>0</v>
      </c>
      <c r="BB142" s="44">
        <f t="shared" si="261"/>
        <v>600</v>
      </c>
      <c r="BC142" s="46">
        <f t="shared" si="262"/>
        <v>0</v>
      </c>
      <c r="BD142" s="47">
        <f t="shared" si="263"/>
        <v>0</v>
      </c>
      <c r="BE142" s="604">
        <f t="shared" si="318"/>
        <v>0</v>
      </c>
      <c r="BF142" s="44">
        <f t="shared" si="319"/>
        <v>0</v>
      </c>
      <c r="BG142" s="44">
        <f t="shared" si="320"/>
        <v>0</v>
      </c>
      <c r="BH142" s="44">
        <f t="shared" si="321"/>
        <v>0</v>
      </c>
      <c r="BI142" s="44">
        <f t="shared" si="322"/>
        <v>600</v>
      </c>
      <c r="BJ142" s="44">
        <f t="shared" si="323"/>
        <v>0</v>
      </c>
      <c r="BK142" s="44">
        <f t="shared" si="264"/>
        <v>0</v>
      </c>
      <c r="BL142" s="44">
        <f t="shared" si="324"/>
        <v>0</v>
      </c>
      <c r="BM142" s="44">
        <f t="shared" si="265"/>
        <v>0</v>
      </c>
      <c r="BN142" s="44">
        <f t="shared" si="325"/>
        <v>0</v>
      </c>
      <c r="BO142" s="44">
        <f t="shared" si="266"/>
        <v>600</v>
      </c>
      <c r="BP142" s="46">
        <f t="shared" si="267"/>
        <v>0</v>
      </c>
      <c r="BQ142" s="47">
        <f t="shared" si="268"/>
        <v>0</v>
      </c>
      <c r="BR142" s="604">
        <f t="shared" si="326"/>
        <v>0</v>
      </c>
      <c r="BS142" s="44">
        <f t="shared" si="327"/>
        <v>0</v>
      </c>
      <c r="BT142" s="44">
        <f t="shared" si="328"/>
        <v>0</v>
      </c>
      <c r="BU142" s="44">
        <f t="shared" si="329"/>
        <v>0</v>
      </c>
      <c r="BV142" s="44">
        <f t="shared" si="330"/>
        <v>600</v>
      </c>
      <c r="BW142" s="44">
        <f t="shared" si="331"/>
        <v>0</v>
      </c>
      <c r="BX142" s="44">
        <f t="shared" si="269"/>
        <v>0</v>
      </c>
      <c r="BY142" s="44">
        <f t="shared" si="332"/>
        <v>0</v>
      </c>
      <c r="BZ142" s="44">
        <f t="shared" si="270"/>
        <v>0</v>
      </c>
      <c r="CA142" s="44">
        <f t="shared" si="333"/>
        <v>0</v>
      </c>
      <c r="CB142" s="44">
        <f t="shared" si="271"/>
        <v>600</v>
      </c>
      <c r="CC142" s="46">
        <f t="shared" si="272"/>
        <v>0</v>
      </c>
      <c r="CD142" s="47">
        <f t="shared" si="273"/>
        <v>0</v>
      </c>
      <c r="CE142" s="604">
        <f t="shared" si="334"/>
        <v>0</v>
      </c>
      <c r="CF142" s="44">
        <f t="shared" si="335"/>
        <v>0</v>
      </c>
      <c r="CG142" s="44">
        <f t="shared" si="336"/>
        <v>0</v>
      </c>
      <c r="CH142" s="44">
        <f t="shared" si="337"/>
        <v>0</v>
      </c>
      <c r="CI142" s="44">
        <f t="shared" si="338"/>
        <v>600</v>
      </c>
      <c r="CJ142" s="44">
        <f t="shared" si="339"/>
        <v>0</v>
      </c>
      <c r="CK142" s="44">
        <f t="shared" si="274"/>
        <v>0</v>
      </c>
      <c r="CL142" s="44">
        <f t="shared" si="340"/>
        <v>0</v>
      </c>
      <c r="CM142" s="44">
        <f t="shared" si="275"/>
        <v>0</v>
      </c>
      <c r="CN142" s="44">
        <f t="shared" si="341"/>
        <v>0</v>
      </c>
      <c r="CO142" s="44">
        <f t="shared" si="276"/>
        <v>600</v>
      </c>
      <c r="CP142" s="46">
        <f t="shared" si="277"/>
        <v>0</v>
      </c>
      <c r="CQ142" s="47">
        <f t="shared" si="278"/>
        <v>0</v>
      </c>
      <c r="CR142" s="604">
        <f t="shared" si="342"/>
        <v>0</v>
      </c>
      <c r="CS142" s="44">
        <f t="shared" si="343"/>
        <v>0</v>
      </c>
      <c r="CT142" s="44">
        <f t="shared" si="344"/>
        <v>0</v>
      </c>
      <c r="CU142" s="44">
        <f t="shared" si="345"/>
        <v>0</v>
      </c>
      <c r="CV142" s="44">
        <f t="shared" si="346"/>
        <v>600</v>
      </c>
      <c r="CW142" s="44">
        <f t="shared" si="347"/>
        <v>0</v>
      </c>
      <c r="CX142" s="44">
        <f t="shared" si="279"/>
        <v>0</v>
      </c>
      <c r="CY142" s="44">
        <f t="shared" si="348"/>
        <v>0</v>
      </c>
      <c r="CZ142" s="44">
        <f t="shared" si="280"/>
        <v>0</v>
      </c>
      <c r="DA142" s="44">
        <f t="shared" si="349"/>
        <v>0</v>
      </c>
      <c r="DB142" s="44">
        <f t="shared" si="281"/>
        <v>600</v>
      </c>
      <c r="DC142" s="46">
        <f t="shared" si="282"/>
        <v>0</v>
      </c>
      <c r="DD142" s="47">
        <f t="shared" si="283"/>
        <v>0</v>
      </c>
      <c r="DE142" s="604">
        <f t="shared" si="350"/>
        <v>0</v>
      </c>
      <c r="DF142" s="44">
        <f t="shared" si="351"/>
        <v>0</v>
      </c>
      <c r="DG142" s="44">
        <f t="shared" si="352"/>
        <v>0</v>
      </c>
      <c r="DH142" s="44">
        <f t="shared" si="353"/>
        <v>0</v>
      </c>
      <c r="DI142" s="44">
        <f t="shared" si="354"/>
        <v>600</v>
      </c>
      <c r="DJ142" s="44">
        <f t="shared" si="355"/>
        <v>0</v>
      </c>
      <c r="DK142" s="44">
        <f t="shared" si="284"/>
        <v>0</v>
      </c>
      <c r="DL142" s="44">
        <f t="shared" si="356"/>
        <v>0</v>
      </c>
      <c r="DM142" s="44">
        <f t="shared" si="285"/>
        <v>0</v>
      </c>
      <c r="DN142" s="44">
        <f t="shared" si="357"/>
        <v>0</v>
      </c>
      <c r="DO142" s="44">
        <f t="shared" si="286"/>
        <v>600</v>
      </c>
      <c r="DP142" s="46">
        <f t="shared" si="287"/>
        <v>0</v>
      </c>
      <c r="DQ142" s="47">
        <f t="shared" si="288"/>
        <v>0</v>
      </c>
      <c r="DR142" s="604">
        <f t="shared" si="358"/>
        <v>0</v>
      </c>
      <c r="DS142" s="44">
        <f t="shared" si="359"/>
        <v>0</v>
      </c>
      <c r="DT142" s="44">
        <f t="shared" si="360"/>
        <v>0</v>
      </c>
      <c r="DU142" s="44">
        <f t="shared" si="361"/>
        <v>0</v>
      </c>
      <c r="DV142" s="44">
        <f t="shared" si="362"/>
        <v>600</v>
      </c>
      <c r="DW142" s="44">
        <f t="shared" si="363"/>
        <v>0</v>
      </c>
      <c r="DX142" s="44">
        <f t="shared" si="289"/>
        <v>0</v>
      </c>
      <c r="DY142" s="44">
        <f t="shared" si="364"/>
        <v>0</v>
      </c>
      <c r="DZ142" s="44">
        <f t="shared" si="290"/>
        <v>0</v>
      </c>
      <c r="EA142" s="44">
        <f t="shared" si="365"/>
        <v>0</v>
      </c>
      <c r="EB142" s="44">
        <f t="shared" si="291"/>
        <v>600</v>
      </c>
      <c r="EC142" s="46">
        <f t="shared" si="292"/>
        <v>0</v>
      </c>
      <c r="ED142" s="47">
        <f t="shared" si="293"/>
        <v>0</v>
      </c>
    </row>
    <row r="143" spans="1:134" x14ac:dyDescent="0.35">
      <c r="A143" s="81">
        <v>1997</v>
      </c>
      <c r="B143" s="82" t="s">
        <v>311</v>
      </c>
      <c r="C143" s="82"/>
      <c r="D143" s="83" t="s">
        <v>41</v>
      </c>
      <c r="E143" s="87">
        <v>1900</v>
      </c>
      <c r="F143" s="85">
        <v>35612</v>
      </c>
      <c r="G143" s="86">
        <v>8</v>
      </c>
      <c r="H143" s="179"/>
      <c r="I143" s="180"/>
      <c r="J143" s="181"/>
      <c r="K143" s="42">
        <f t="shared" si="244"/>
        <v>0.125</v>
      </c>
      <c r="L143" s="43">
        <f t="shared" si="245"/>
        <v>237.5</v>
      </c>
      <c r="M143" s="44">
        <f t="shared" si="246"/>
        <v>0</v>
      </c>
      <c r="N143" s="44"/>
      <c r="O143" s="44">
        <f t="shared" si="247"/>
        <v>1900</v>
      </c>
      <c r="P143" s="45"/>
      <c r="Q143" s="44">
        <f t="shared" si="248"/>
        <v>1900</v>
      </c>
      <c r="R143" s="604">
        <f t="shared" si="294"/>
        <v>0</v>
      </c>
      <c r="S143" s="44">
        <f t="shared" si="295"/>
        <v>0</v>
      </c>
      <c r="T143" s="44">
        <f t="shared" si="296"/>
        <v>0</v>
      </c>
      <c r="U143" s="44">
        <f t="shared" si="297"/>
        <v>0</v>
      </c>
      <c r="V143" s="44">
        <f t="shared" si="298"/>
        <v>1900</v>
      </c>
      <c r="W143" s="44">
        <f t="shared" si="299"/>
        <v>0</v>
      </c>
      <c r="X143" s="44">
        <f t="shared" si="249"/>
        <v>0</v>
      </c>
      <c r="Y143" s="44">
        <f t="shared" si="300"/>
        <v>0</v>
      </c>
      <c r="Z143" s="44">
        <f t="shared" si="250"/>
        <v>0</v>
      </c>
      <c r="AA143" s="44">
        <f t="shared" si="301"/>
        <v>0</v>
      </c>
      <c r="AB143" s="44">
        <f t="shared" si="251"/>
        <v>1900</v>
      </c>
      <c r="AC143" s="46">
        <f t="shared" si="252"/>
        <v>0</v>
      </c>
      <c r="AD143" s="47">
        <f t="shared" si="253"/>
        <v>0</v>
      </c>
      <c r="AE143" s="604">
        <f t="shared" si="302"/>
        <v>0</v>
      </c>
      <c r="AF143" s="44">
        <f t="shared" si="303"/>
        <v>0</v>
      </c>
      <c r="AG143" s="44">
        <f t="shared" si="304"/>
        <v>0</v>
      </c>
      <c r="AH143" s="44">
        <f t="shared" si="305"/>
        <v>0</v>
      </c>
      <c r="AI143" s="44">
        <f t="shared" si="306"/>
        <v>1900</v>
      </c>
      <c r="AJ143" s="44">
        <f t="shared" si="307"/>
        <v>0</v>
      </c>
      <c r="AK143" s="44">
        <f t="shared" si="254"/>
        <v>0</v>
      </c>
      <c r="AL143" s="44">
        <f t="shared" si="308"/>
        <v>0</v>
      </c>
      <c r="AM143" s="44">
        <f t="shared" si="255"/>
        <v>0</v>
      </c>
      <c r="AN143" s="44">
        <f t="shared" si="309"/>
        <v>0</v>
      </c>
      <c r="AO143" s="44">
        <f t="shared" si="256"/>
        <v>1900</v>
      </c>
      <c r="AP143" s="46">
        <f t="shared" si="257"/>
        <v>0</v>
      </c>
      <c r="AQ143" s="47">
        <f t="shared" si="258"/>
        <v>0</v>
      </c>
      <c r="AR143" s="604">
        <f t="shared" si="310"/>
        <v>0</v>
      </c>
      <c r="AS143" s="44">
        <f t="shared" si="311"/>
        <v>0</v>
      </c>
      <c r="AT143" s="44">
        <f t="shared" si="312"/>
        <v>0</v>
      </c>
      <c r="AU143" s="44">
        <f t="shared" si="313"/>
        <v>0</v>
      </c>
      <c r="AV143" s="44">
        <f t="shared" si="314"/>
        <v>1900</v>
      </c>
      <c r="AW143" s="44">
        <f t="shared" si="315"/>
        <v>0</v>
      </c>
      <c r="AX143" s="44">
        <f t="shared" si="259"/>
        <v>0</v>
      </c>
      <c r="AY143" s="44">
        <f t="shared" si="316"/>
        <v>0</v>
      </c>
      <c r="AZ143" s="44">
        <f t="shared" si="260"/>
        <v>0</v>
      </c>
      <c r="BA143" s="44">
        <f t="shared" si="317"/>
        <v>0</v>
      </c>
      <c r="BB143" s="44">
        <f t="shared" si="261"/>
        <v>1900</v>
      </c>
      <c r="BC143" s="46">
        <f t="shared" si="262"/>
        <v>0</v>
      </c>
      <c r="BD143" s="47">
        <f t="shared" si="263"/>
        <v>0</v>
      </c>
      <c r="BE143" s="604">
        <f t="shared" si="318"/>
        <v>0</v>
      </c>
      <c r="BF143" s="44">
        <f t="shared" si="319"/>
        <v>0</v>
      </c>
      <c r="BG143" s="44">
        <f t="shared" si="320"/>
        <v>0</v>
      </c>
      <c r="BH143" s="44">
        <f t="shared" si="321"/>
        <v>0</v>
      </c>
      <c r="BI143" s="44">
        <f t="shared" si="322"/>
        <v>1900</v>
      </c>
      <c r="BJ143" s="44">
        <f t="shared" si="323"/>
        <v>0</v>
      </c>
      <c r="BK143" s="44">
        <f t="shared" si="264"/>
        <v>0</v>
      </c>
      <c r="BL143" s="44">
        <f t="shared" si="324"/>
        <v>0</v>
      </c>
      <c r="BM143" s="44">
        <f t="shared" si="265"/>
        <v>0</v>
      </c>
      <c r="BN143" s="44">
        <f t="shared" si="325"/>
        <v>0</v>
      </c>
      <c r="BO143" s="44">
        <f t="shared" si="266"/>
        <v>1900</v>
      </c>
      <c r="BP143" s="46">
        <f t="shared" si="267"/>
        <v>0</v>
      </c>
      <c r="BQ143" s="47">
        <f t="shared" si="268"/>
        <v>0</v>
      </c>
      <c r="BR143" s="604">
        <f t="shared" si="326"/>
        <v>0</v>
      </c>
      <c r="BS143" s="44">
        <f t="shared" si="327"/>
        <v>0</v>
      </c>
      <c r="BT143" s="44">
        <f t="shared" si="328"/>
        <v>0</v>
      </c>
      <c r="BU143" s="44">
        <f t="shared" si="329"/>
        <v>0</v>
      </c>
      <c r="BV143" s="44">
        <f t="shared" si="330"/>
        <v>1900</v>
      </c>
      <c r="BW143" s="44">
        <f t="shared" si="331"/>
        <v>0</v>
      </c>
      <c r="BX143" s="44">
        <f t="shared" si="269"/>
        <v>0</v>
      </c>
      <c r="BY143" s="44">
        <f t="shared" si="332"/>
        <v>0</v>
      </c>
      <c r="BZ143" s="44">
        <f t="shared" si="270"/>
        <v>0</v>
      </c>
      <c r="CA143" s="44">
        <f t="shared" si="333"/>
        <v>0</v>
      </c>
      <c r="CB143" s="44">
        <f t="shared" si="271"/>
        <v>1900</v>
      </c>
      <c r="CC143" s="46">
        <f t="shared" si="272"/>
        <v>0</v>
      </c>
      <c r="CD143" s="47">
        <f t="shared" si="273"/>
        <v>0</v>
      </c>
      <c r="CE143" s="604">
        <f t="shared" si="334"/>
        <v>0</v>
      </c>
      <c r="CF143" s="44">
        <f t="shared" si="335"/>
        <v>0</v>
      </c>
      <c r="CG143" s="44">
        <f t="shared" si="336"/>
        <v>0</v>
      </c>
      <c r="CH143" s="44">
        <f t="shared" si="337"/>
        <v>0</v>
      </c>
      <c r="CI143" s="44">
        <f t="shared" si="338"/>
        <v>1900</v>
      </c>
      <c r="CJ143" s="44">
        <f t="shared" si="339"/>
        <v>0</v>
      </c>
      <c r="CK143" s="44">
        <f t="shared" si="274"/>
        <v>0</v>
      </c>
      <c r="CL143" s="44">
        <f t="shared" si="340"/>
        <v>0</v>
      </c>
      <c r="CM143" s="44">
        <f t="shared" si="275"/>
        <v>0</v>
      </c>
      <c r="CN143" s="44">
        <f t="shared" si="341"/>
        <v>0</v>
      </c>
      <c r="CO143" s="44">
        <f t="shared" si="276"/>
        <v>1900</v>
      </c>
      <c r="CP143" s="46">
        <f t="shared" si="277"/>
        <v>0</v>
      </c>
      <c r="CQ143" s="47">
        <f t="shared" si="278"/>
        <v>0</v>
      </c>
      <c r="CR143" s="604">
        <f t="shared" si="342"/>
        <v>0</v>
      </c>
      <c r="CS143" s="44">
        <f t="shared" si="343"/>
        <v>0</v>
      </c>
      <c r="CT143" s="44">
        <f t="shared" si="344"/>
        <v>0</v>
      </c>
      <c r="CU143" s="44">
        <f t="shared" si="345"/>
        <v>0</v>
      </c>
      <c r="CV143" s="44">
        <f t="shared" si="346"/>
        <v>1900</v>
      </c>
      <c r="CW143" s="44">
        <f t="shared" si="347"/>
        <v>0</v>
      </c>
      <c r="CX143" s="44">
        <f t="shared" si="279"/>
        <v>0</v>
      </c>
      <c r="CY143" s="44">
        <f t="shared" si="348"/>
        <v>0</v>
      </c>
      <c r="CZ143" s="44">
        <f t="shared" si="280"/>
        <v>0</v>
      </c>
      <c r="DA143" s="44">
        <f t="shared" si="349"/>
        <v>0</v>
      </c>
      <c r="DB143" s="44">
        <f t="shared" si="281"/>
        <v>1900</v>
      </c>
      <c r="DC143" s="46">
        <f t="shared" si="282"/>
        <v>0</v>
      </c>
      <c r="DD143" s="47">
        <f t="shared" si="283"/>
        <v>0</v>
      </c>
      <c r="DE143" s="604">
        <f t="shared" si="350"/>
        <v>0</v>
      </c>
      <c r="DF143" s="44">
        <f t="shared" si="351"/>
        <v>0</v>
      </c>
      <c r="DG143" s="44">
        <f t="shared" si="352"/>
        <v>0</v>
      </c>
      <c r="DH143" s="44">
        <f t="shared" si="353"/>
        <v>0</v>
      </c>
      <c r="DI143" s="44">
        <f t="shared" si="354"/>
        <v>1900</v>
      </c>
      <c r="DJ143" s="44">
        <f t="shared" si="355"/>
        <v>0</v>
      </c>
      <c r="DK143" s="44">
        <f t="shared" si="284"/>
        <v>0</v>
      </c>
      <c r="DL143" s="44">
        <f t="shared" si="356"/>
        <v>0</v>
      </c>
      <c r="DM143" s="44">
        <f t="shared" si="285"/>
        <v>0</v>
      </c>
      <c r="DN143" s="44">
        <f t="shared" si="357"/>
        <v>0</v>
      </c>
      <c r="DO143" s="44">
        <f t="shared" si="286"/>
        <v>1900</v>
      </c>
      <c r="DP143" s="46">
        <f t="shared" si="287"/>
        <v>0</v>
      </c>
      <c r="DQ143" s="47">
        <f t="shared" si="288"/>
        <v>0</v>
      </c>
      <c r="DR143" s="604">
        <f t="shared" si="358"/>
        <v>0</v>
      </c>
      <c r="DS143" s="44">
        <f t="shared" si="359"/>
        <v>0</v>
      </c>
      <c r="DT143" s="44">
        <f t="shared" si="360"/>
        <v>0</v>
      </c>
      <c r="DU143" s="44">
        <f t="shared" si="361"/>
        <v>0</v>
      </c>
      <c r="DV143" s="44">
        <f t="shared" si="362"/>
        <v>1900</v>
      </c>
      <c r="DW143" s="44">
        <f t="shared" si="363"/>
        <v>0</v>
      </c>
      <c r="DX143" s="44">
        <f t="shared" si="289"/>
        <v>0</v>
      </c>
      <c r="DY143" s="44">
        <f t="shared" si="364"/>
        <v>0</v>
      </c>
      <c r="DZ143" s="44">
        <f t="shared" si="290"/>
        <v>0</v>
      </c>
      <c r="EA143" s="44">
        <f t="shared" si="365"/>
        <v>0</v>
      </c>
      <c r="EB143" s="44">
        <f t="shared" si="291"/>
        <v>1900</v>
      </c>
      <c r="EC143" s="46">
        <f t="shared" si="292"/>
        <v>0</v>
      </c>
      <c r="ED143" s="47">
        <f t="shared" si="293"/>
        <v>0</v>
      </c>
    </row>
    <row r="144" spans="1:134" x14ac:dyDescent="0.35">
      <c r="A144" s="81">
        <v>1997</v>
      </c>
      <c r="B144" s="82" t="s">
        <v>312</v>
      </c>
      <c r="C144" s="82"/>
      <c r="D144" s="83" t="s">
        <v>41</v>
      </c>
      <c r="E144" s="87">
        <v>600</v>
      </c>
      <c r="F144" s="85">
        <v>35612</v>
      </c>
      <c r="G144" s="86">
        <v>8</v>
      </c>
      <c r="H144" s="179"/>
      <c r="I144" s="180"/>
      <c r="J144" s="181"/>
      <c r="K144" s="42">
        <f t="shared" si="244"/>
        <v>0.125</v>
      </c>
      <c r="L144" s="43">
        <f t="shared" si="245"/>
        <v>75</v>
      </c>
      <c r="M144" s="44">
        <f t="shared" si="246"/>
        <v>0</v>
      </c>
      <c r="N144" s="44"/>
      <c r="O144" s="44">
        <f t="shared" si="247"/>
        <v>600</v>
      </c>
      <c r="P144" s="45"/>
      <c r="Q144" s="44">
        <f t="shared" si="248"/>
        <v>600</v>
      </c>
      <c r="R144" s="604">
        <f t="shared" si="294"/>
        <v>0</v>
      </c>
      <c r="S144" s="44">
        <f t="shared" si="295"/>
        <v>0</v>
      </c>
      <c r="T144" s="44">
        <f t="shared" si="296"/>
        <v>0</v>
      </c>
      <c r="U144" s="44">
        <f t="shared" si="297"/>
        <v>0</v>
      </c>
      <c r="V144" s="44">
        <f t="shared" si="298"/>
        <v>600</v>
      </c>
      <c r="W144" s="44">
        <f t="shared" si="299"/>
        <v>0</v>
      </c>
      <c r="X144" s="44">
        <f t="shared" si="249"/>
        <v>0</v>
      </c>
      <c r="Y144" s="44">
        <f t="shared" si="300"/>
        <v>0</v>
      </c>
      <c r="Z144" s="44">
        <f t="shared" si="250"/>
        <v>0</v>
      </c>
      <c r="AA144" s="44">
        <f t="shared" si="301"/>
        <v>0</v>
      </c>
      <c r="AB144" s="44">
        <f t="shared" si="251"/>
        <v>600</v>
      </c>
      <c r="AC144" s="46">
        <f t="shared" si="252"/>
        <v>0</v>
      </c>
      <c r="AD144" s="47">
        <f t="shared" si="253"/>
        <v>0</v>
      </c>
      <c r="AE144" s="604">
        <f t="shared" si="302"/>
        <v>0</v>
      </c>
      <c r="AF144" s="44">
        <f t="shared" si="303"/>
        <v>0</v>
      </c>
      <c r="AG144" s="44">
        <f t="shared" si="304"/>
        <v>0</v>
      </c>
      <c r="AH144" s="44">
        <f t="shared" si="305"/>
        <v>0</v>
      </c>
      <c r="AI144" s="44">
        <f t="shared" si="306"/>
        <v>600</v>
      </c>
      <c r="AJ144" s="44">
        <f t="shared" si="307"/>
        <v>0</v>
      </c>
      <c r="AK144" s="44">
        <f t="shared" si="254"/>
        <v>0</v>
      </c>
      <c r="AL144" s="44">
        <f t="shared" si="308"/>
        <v>0</v>
      </c>
      <c r="AM144" s="44">
        <f t="shared" si="255"/>
        <v>0</v>
      </c>
      <c r="AN144" s="44">
        <f t="shared" si="309"/>
        <v>0</v>
      </c>
      <c r="AO144" s="44">
        <f t="shared" si="256"/>
        <v>600</v>
      </c>
      <c r="AP144" s="46">
        <f t="shared" si="257"/>
        <v>0</v>
      </c>
      <c r="AQ144" s="47">
        <f t="shared" si="258"/>
        <v>0</v>
      </c>
      <c r="AR144" s="604">
        <f t="shared" si="310"/>
        <v>0</v>
      </c>
      <c r="AS144" s="44">
        <f t="shared" si="311"/>
        <v>0</v>
      </c>
      <c r="AT144" s="44">
        <f t="shared" si="312"/>
        <v>0</v>
      </c>
      <c r="AU144" s="44">
        <f t="shared" si="313"/>
        <v>0</v>
      </c>
      <c r="AV144" s="44">
        <f t="shared" si="314"/>
        <v>600</v>
      </c>
      <c r="AW144" s="44">
        <f t="shared" si="315"/>
        <v>0</v>
      </c>
      <c r="AX144" s="44">
        <f t="shared" si="259"/>
        <v>0</v>
      </c>
      <c r="AY144" s="44">
        <f t="shared" si="316"/>
        <v>0</v>
      </c>
      <c r="AZ144" s="44">
        <f t="shared" si="260"/>
        <v>0</v>
      </c>
      <c r="BA144" s="44">
        <f t="shared" si="317"/>
        <v>0</v>
      </c>
      <c r="BB144" s="44">
        <f t="shared" si="261"/>
        <v>600</v>
      </c>
      <c r="BC144" s="46">
        <f t="shared" si="262"/>
        <v>0</v>
      </c>
      <c r="BD144" s="47">
        <f t="shared" si="263"/>
        <v>0</v>
      </c>
      <c r="BE144" s="604">
        <f t="shared" si="318"/>
        <v>0</v>
      </c>
      <c r="BF144" s="44">
        <f t="shared" si="319"/>
        <v>0</v>
      </c>
      <c r="BG144" s="44">
        <f t="shared" si="320"/>
        <v>0</v>
      </c>
      <c r="BH144" s="44">
        <f t="shared" si="321"/>
        <v>0</v>
      </c>
      <c r="BI144" s="44">
        <f t="shared" si="322"/>
        <v>600</v>
      </c>
      <c r="BJ144" s="44">
        <f t="shared" si="323"/>
        <v>0</v>
      </c>
      <c r="BK144" s="44">
        <f t="shared" si="264"/>
        <v>0</v>
      </c>
      <c r="BL144" s="44">
        <f t="shared" si="324"/>
        <v>0</v>
      </c>
      <c r="BM144" s="44">
        <f t="shared" si="265"/>
        <v>0</v>
      </c>
      <c r="BN144" s="44">
        <f t="shared" si="325"/>
        <v>0</v>
      </c>
      <c r="BO144" s="44">
        <f t="shared" si="266"/>
        <v>600</v>
      </c>
      <c r="BP144" s="46">
        <f t="shared" si="267"/>
        <v>0</v>
      </c>
      <c r="BQ144" s="47">
        <f t="shared" si="268"/>
        <v>0</v>
      </c>
      <c r="BR144" s="604">
        <f t="shared" si="326"/>
        <v>0</v>
      </c>
      <c r="BS144" s="44">
        <f t="shared" si="327"/>
        <v>0</v>
      </c>
      <c r="BT144" s="44">
        <f t="shared" si="328"/>
        <v>0</v>
      </c>
      <c r="BU144" s="44">
        <f t="shared" si="329"/>
        <v>0</v>
      </c>
      <c r="BV144" s="44">
        <f t="shared" si="330"/>
        <v>600</v>
      </c>
      <c r="BW144" s="44">
        <f t="shared" si="331"/>
        <v>0</v>
      </c>
      <c r="BX144" s="44">
        <f t="shared" si="269"/>
        <v>0</v>
      </c>
      <c r="BY144" s="44">
        <f t="shared" si="332"/>
        <v>0</v>
      </c>
      <c r="BZ144" s="44">
        <f t="shared" si="270"/>
        <v>0</v>
      </c>
      <c r="CA144" s="44">
        <f t="shared" si="333"/>
        <v>0</v>
      </c>
      <c r="CB144" s="44">
        <f t="shared" si="271"/>
        <v>600</v>
      </c>
      <c r="CC144" s="46">
        <f t="shared" si="272"/>
        <v>0</v>
      </c>
      <c r="CD144" s="47">
        <f t="shared" si="273"/>
        <v>0</v>
      </c>
      <c r="CE144" s="604">
        <f t="shared" si="334"/>
        <v>0</v>
      </c>
      <c r="CF144" s="44">
        <f t="shared" si="335"/>
        <v>0</v>
      </c>
      <c r="CG144" s="44">
        <f t="shared" si="336"/>
        <v>0</v>
      </c>
      <c r="CH144" s="44">
        <f t="shared" si="337"/>
        <v>0</v>
      </c>
      <c r="CI144" s="44">
        <f t="shared" si="338"/>
        <v>600</v>
      </c>
      <c r="CJ144" s="44">
        <f t="shared" si="339"/>
        <v>0</v>
      </c>
      <c r="CK144" s="44">
        <f t="shared" si="274"/>
        <v>0</v>
      </c>
      <c r="CL144" s="44">
        <f t="shared" si="340"/>
        <v>0</v>
      </c>
      <c r="CM144" s="44">
        <f t="shared" si="275"/>
        <v>0</v>
      </c>
      <c r="CN144" s="44">
        <f t="shared" si="341"/>
        <v>0</v>
      </c>
      <c r="CO144" s="44">
        <f t="shared" si="276"/>
        <v>600</v>
      </c>
      <c r="CP144" s="46">
        <f t="shared" si="277"/>
        <v>0</v>
      </c>
      <c r="CQ144" s="47">
        <f t="shared" si="278"/>
        <v>0</v>
      </c>
      <c r="CR144" s="604">
        <f t="shared" si="342"/>
        <v>0</v>
      </c>
      <c r="CS144" s="44">
        <f t="shared" si="343"/>
        <v>0</v>
      </c>
      <c r="CT144" s="44">
        <f t="shared" si="344"/>
        <v>0</v>
      </c>
      <c r="CU144" s="44">
        <f t="shared" si="345"/>
        <v>0</v>
      </c>
      <c r="CV144" s="44">
        <f t="shared" si="346"/>
        <v>600</v>
      </c>
      <c r="CW144" s="44">
        <f t="shared" si="347"/>
        <v>0</v>
      </c>
      <c r="CX144" s="44">
        <f t="shared" si="279"/>
        <v>0</v>
      </c>
      <c r="CY144" s="44">
        <f t="shared" si="348"/>
        <v>0</v>
      </c>
      <c r="CZ144" s="44">
        <f t="shared" si="280"/>
        <v>0</v>
      </c>
      <c r="DA144" s="44">
        <f t="shared" si="349"/>
        <v>0</v>
      </c>
      <c r="DB144" s="44">
        <f t="shared" si="281"/>
        <v>600</v>
      </c>
      <c r="DC144" s="46">
        <f t="shared" si="282"/>
        <v>0</v>
      </c>
      <c r="DD144" s="47">
        <f t="shared" si="283"/>
        <v>0</v>
      </c>
      <c r="DE144" s="604">
        <f t="shared" si="350"/>
        <v>0</v>
      </c>
      <c r="DF144" s="44">
        <f t="shared" si="351"/>
        <v>0</v>
      </c>
      <c r="DG144" s="44">
        <f t="shared" si="352"/>
        <v>0</v>
      </c>
      <c r="DH144" s="44">
        <f t="shared" si="353"/>
        <v>0</v>
      </c>
      <c r="DI144" s="44">
        <f t="shared" si="354"/>
        <v>600</v>
      </c>
      <c r="DJ144" s="44">
        <f t="shared" si="355"/>
        <v>0</v>
      </c>
      <c r="DK144" s="44">
        <f t="shared" si="284"/>
        <v>0</v>
      </c>
      <c r="DL144" s="44">
        <f t="shared" si="356"/>
        <v>0</v>
      </c>
      <c r="DM144" s="44">
        <f t="shared" si="285"/>
        <v>0</v>
      </c>
      <c r="DN144" s="44">
        <f t="shared" si="357"/>
        <v>0</v>
      </c>
      <c r="DO144" s="44">
        <f t="shared" si="286"/>
        <v>600</v>
      </c>
      <c r="DP144" s="46">
        <f t="shared" si="287"/>
        <v>0</v>
      </c>
      <c r="DQ144" s="47">
        <f t="shared" si="288"/>
        <v>0</v>
      </c>
      <c r="DR144" s="604">
        <f t="shared" si="358"/>
        <v>0</v>
      </c>
      <c r="DS144" s="44">
        <f t="shared" si="359"/>
        <v>0</v>
      </c>
      <c r="DT144" s="44">
        <f t="shared" si="360"/>
        <v>0</v>
      </c>
      <c r="DU144" s="44">
        <f t="shared" si="361"/>
        <v>0</v>
      </c>
      <c r="DV144" s="44">
        <f t="shared" si="362"/>
        <v>600</v>
      </c>
      <c r="DW144" s="44">
        <f t="shared" si="363"/>
        <v>0</v>
      </c>
      <c r="DX144" s="44">
        <f t="shared" si="289"/>
        <v>0</v>
      </c>
      <c r="DY144" s="44">
        <f t="shared" si="364"/>
        <v>0</v>
      </c>
      <c r="DZ144" s="44">
        <f t="shared" si="290"/>
        <v>0</v>
      </c>
      <c r="EA144" s="44">
        <f t="shared" si="365"/>
        <v>0</v>
      </c>
      <c r="EB144" s="44">
        <f t="shared" si="291"/>
        <v>600</v>
      </c>
      <c r="EC144" s="46">
        <f t="shared" si="292"/>
        <v>0</v>
      </c>
      <c r="ED144" s="47">
        <f t="shared" si="293"/>
        <v>0</v>
      </c>
    </row>
    <row r="145" spans="1:134" x14ac:dyDescent="0.35">
      <c r="A145" s="81">
        <v>1997</v>
      </c>
      <c r="B145" s="82" t="s">
        <v>313</v>
      </c>
      <c r="C145" s="82"/>
      <c r="D145" s="83" t="s">
        <v>41</v>
      </c>
      <c r="E145" s="87">
        <v>800</v>
      </c>
      <c r="F145" s="85">
        <v>35612</v>
      </c>
      <c r="G145" s="86">
        <v>8</v>
      </c>
      <c r="H145" s="179"/>
      <c r="I145" s="180"/>
      <c r="J145" s="181"/>
      <c r="K145" s="42">
        <f t="shared" si="244"/>
        <v>0.125</v>
      </c>
      <c r="L145" s="43">
        <f t="shared" si="245"/>
        <v>100</v>
      </c>
      <c r="M145" s="44">
        <f t="shared" si="246"/>
        <v>0</v>
      </c>
      <c r="N145" s="44"/>
      <c r="O145" s="44">
        <f t="shared" si="247"/>
        <v>800</v>
      </c>
      <c r="P145" s="45"/>
      <c r="Q145" s="44">
        <f t="shared" si="248"/>
        <v>800</v>
      </c>
      <c r="R145" s="604">
        <f t="shared" si="294"/>
        <v>0</v>
      </c>
      <c r="S145" s="44">
        <f t="shared" si="295"/>
        <v>0</v>
      </c>
      <c r="T145" s="44">
        <f t="shared" si="296"/>
        <v>0</v>
      </c>
      <c r="U145" s="44">
        <f t="shared" si="297"/>
        <v>0</v>
      </c>
      <c r="V145" s="44">
        <f t="shared" si="298"/>
        <v>800</v>
      </c>
      <c r="W145" s="44">
        <f t="shared" si="299"/>
        <v>0</v>
      </c>
      <c r="X145" s="44">
        <f t="shared" si="249"/>
        <v>0</v>
      </c>
      <c r="Y145" s="44">
        <f t="shared" si="300"/>
        <v>0</v>
      </c>
      <c r="Z145" s="44">
        <f t="shared" si="250"/>
        <v>0</v>
      </c>
      <c r="AA145" s="44">
        <f t="shared" si="301"/>
        <v>0</v>
      </c>
      <c r="AB145" s="44">
        <f t="shared" si="251"/>
        <v>800</v>
      </c>
      <c r="AC145" s="46">
        <f t="shared" si="252"/>
        <v>0</v>
      </c>
      <c r="AD145" s="47">
        <f t="shared" si="253"/>
        <v>0</v>
      </c>
      <c r="AE145" s="604">
        <f t="shared" si="302"/>
        <v>0</v>
      </c>
      <c r="AF145" s="44">
        <f t="shared" si="303"/>
        <v>0</v>
      </c>
      <c r="AG145" s="44">
        <f t="shared" si="304"/>
        <v>0</v>
      </c>
      <c r="AH145" s="44">
        <f t="shared" si="305"/>
        <v>0</v>
      </c>
      <c r="AI145" s="44">
        <f t="shared" si="306"/>
        <v>800</v>
      </c>
      <c r="AJ145" s="44">
        <f t="shared" si="307"/>
        <v>0</v>
      </c>
      <c r="AK145" s="44">
        <f t="shared" si="254"/>
        <v>0</v>
      </c>
      <c r="AL145" s="44">
        <f t="shared" si="308"/>
        <v>0</v>
      </c>
      <c r="AM145" s="44">
        <f t="shared" si="255"/>
        <v>0</v>
      </c>
      <c r="AN145" s="44">
        <f t="shared" si="309"/>
        <v>0</v>
      </c>
      <c r="AO145" s="44">
        <f t="shared" si="256"/>
        <v>800</v>
      </c>
      <c r="AP145" s="46">
        <f t="shared" si="257"/>
        <v>0</v>
      </c>
      <c r="AQ145" s="47">
        <f t="shared" si="258"/>
        <v>0</v>
      </c>
      <c r="AR145" s="604">
        <f t="shared" si="310"/>
        <v>0</v>
      </c>
      <c r="AS145" s="44">
        <f t="shared" si="311"/>
        <v>0</v>
      </c>
      <c r="AT145" s="44">
        <f t="shared" si="312"/>
        <v>0</v>
      </c>
      <c r="AU145" s="44">
        <f t="shared" si="313"/>
        <v>0</v>
      </c>
      <c r="AV145" s="44">
        <f t="shared" si="314"/>
        <v>800</v>
      </c>
      <c r="AW145" s="44">
        <f t="shared" si="315"/>
        <v>0</v>
      </c>
      <c r="AX145" s="44">
        <f t="shared" si="259"/>
        <v>0</v>
      </c>
      <c r="AY145" s="44">
        <f t="shared" si="316"/>
        <v>0</v>
      </c>
      <c r="AZ145" s="44">
        <f t="shared" si="260"/>
        <v>0</v>
      </c>
      <c r="BA145" s="44">
        <f t="shared" si="317"/>
        <v>0</v>
      </c>
      <c r="BB145" s="44">
        <f t="shared" si="261"/>
        <v>800</v>
      </c>
      <c r="BC145" s="46">
        <f t="shared" si="262"/>
        <v>0</v>
      </c>
      <c r="BD145" s="47">
        <f t="shared" si="263"/>
        <v>0</v>
      </c>
      <c r="BE145" s="604">
        <f t="shared" si="318"/>
        <v>0</v>
      </c>
      <c r="BF145" s="44">
        <f t="shared" si="319"/>
        <v>0</v>
      </c>
      <c r="BG145" s="44">
        <f t="shared" si="320"/>
        <v>0</v>
      </c>
      <c r="BH145" s="44">
        <f t="shared" si="321"/>
        <v>0</v>
      </c>
      <c r="BI145" s="44">
        <f t="shared" si="322"/>
        <v>800</v>
      </c>
      <c r="BJ145" s="44">
        <f t="shared" si="323"/>
        <v>0</v>
      </c>
      <c r="BK145" s="44">
        <f t="shared" si="264"/>
        <v>0</v>
      </c>
      <c r="BL145" s="44">
        <f t="shared" si="324"/>
        <v>0</v>
      </c>
      <c r="BM145" s="44">
        <f t="shared" si="265"/>
        <v>0</v>
      </c>
      <c r="BN145" s="44">
        <f t="shared" si="325"/>
        <v>0</v>
      </c>
      <c r="BO145" s="44">
        <f t="shared" si="266"/>
        <v>800</v>
      </c>
      <c r="BP145" s="46">
        <f t="shared" si="267"/>
        <v>0</v>
      </c>
      <c r="BQ145" s="47">
        <f t="shared" si="268"/>
        <v>0</v>
      </c>
      <c r="BR145" s="604">
        <f t="shared" si="326"/>
        <v>0</v>
      </c>
      <c r="BS145" s="44">
        <f t="shared" si="327"/>
        <v>0</v>
      </c>
      <c r="BT145" s="44">
        <f t="shared" si="328"/>
        <v>0</v>
      </c>
      <c r="BU145" s="44">
        <f t="shared" si="329"/>
        <v>0</v>
      </c>
      <c r="BV145" s="44">
        <f t="shared" si="330"/>
        <v>800</v>
      </c>
      <c r="BW145" s="44">
        <f t="shared" si="331"/>
        <v>0</v>
      </c>
      <c r="BX145" s="44">
        <f t="shared" si="269"/>
        <v>0</v>
      </c>
      <c r="BY145" s="44">
        <f t="shared" si="332"/>
        <v>0</v>
      </c>
      <c r="BZ145" s="44">
        <f t="shared" si="270"/>
        <v>0</v>
      </c>
      <c r="CA145" s="44">
        <f t="shared" si="333"/>
        <v>0</v>
      </c>
      <c r="CB145" s="44">
        <f t="shared" si="271"/>
        <v>800</v>
      </c>
      <c r="CC145" s="46">
        <f t="shared" si="272"/>
        <v>0</v>
      </c>
      <c r="CD145" s="47">
        <f t="shared" si="273"/>
        <v>0</v>
      </c>
      <c r="CE145" s="604">
        <f t="shared" si="334"/>
        <v>0</v>
      </c>
      <c r="CF145" s="44">
        <f t="shared" si="335"/>
        <v>0</v>
      </c>
      <c r="CG145" s="44">
        <f t="shared" si="336"/>
        <v>0</v>
      </c>
      <c r="CH145" s="44">
        <f t="shared" si="337"/>
        <v>0</v>
      </c>
      <c r="CI145" s="44">
        <f t="shared" si="338"/>
        <v>800</v>
      </c>
      <c r="CJ145" s="44">
        <f t="shared" si="339"/>
        <v>0</v>
      </c>
      <c r="CK145" s="44">
        <f t="shared" si="274"/>
        <v>0</v>
      </c>
      <c r="CL145" s="44">
        <f t="shared" si="340"/>
        <v>0</v>
      </c>
      <c r="CM145" s="44">
        <f t="shared" si="275"/>
        <v>0</v>
      </c>
      <c r="CN145" s="44">
        <f t="shared" si="341"/>
        <v>0</v>
      </c>
      <c r="CO145" s="44">
        <f t="shared" si="276"/>
        <v>800</v>
      </c>
      <c r="CP145" s="46">
        <f t="shared" si="277"/>
        <v>0</v>
      </c>
      <c r="CQ145" s="47">
        <f t="shared" si="278"/>
        <v>0</v>
      </c>
      <c r="CR145" s="604">
        <f t="shared" si="342"/>
        <v>0</v>
      </c>
      <c r="CS145" s="44">
        <f t="shared" si="343"/>
        <v>0</v>
      </c>
      <c r="CT145" s="44">
        <f t="shared" si="344"/>
        <v>0</v>
      </c>
      <c r="CU145" s="44">
        <f t="shared" si="345"/>
        <v>0</v>
      </c>
      <c r="CV145" s="44">
        <f t="shared" si="346"/>
        <v>800</v>
      </c>
      <c r="CW145" s="44">
        <f t="shared" si="347"/>
        <v>0</v>
      </c>
      <c r="CX145" s="44">
        <f t="shared" si="279"/>
        <v>0</v>
      </c>
      <c r="CY145" s="44">
        <f t="shared" si="348"/>
        <v>0</v>
      </c>
      <c r="CZ145" s="44">
        <f t="shared" si="280"/>
        <v>0</v>
      </c>
      <c r="DA145" s="44">
        <f t="shared" si="349"/>
        <v>0</v>
      </c>
      <c r="DB145" s="44">
        <f t="shared" si="281"/>
        <v>800</v>
      </c>
      <c r="DC145" s="46">
        <f t="shared" si="282"/>
        <v>0</v>
      </c>
      <c r="DD145" s="47">
        <f t="shared" si="283"/>
        <v>0</v>
      </c>
      <c r="DE145" s="604">
        <f t="shared" si="350"/>
        <v>0</v>
      </c>
      <c r="DF145" s="44">
        <f t="shared" si="351"/>
        <v>0</v>
      </c>
      <c r="DG145" s="44">
        <f t="shared" si="352"/>
        <v>0</v>
      </c>
      <c r="DH145" s="44">
        <f t="shared" si="353"/>
        <v>0</v>
      </c>
      <c r="DI145" s="44">
        <f t="shared" si="354"/>
        <v>800</v>
      </c>
      <c r="DJ145" s="44">
        <f t="shared" si="355"/>
        <v>0</v>
      </c>
      <c r="DK145" s="44">
        <f t="shared" si="284"/>
        <v>0</v>
      </c>
      <c r="DL145" s="44">
        <f t="shared" si="356"/>
        <v>0</v>
      </c>
      <c r="DM145" s="44">
        <f t="shared" si="285"/>
        <v>0</v>
      </c>
      <c r="DN145" s="44">
        <f t="shared" si="357"/>
        <v>0</v>
      </c>
      <c r="DO145" s="44">
        <f t="shared" si="286"/>
        <v>800</v>
      </c>
      <c r="DP145" s="46">
        <f t="shared" si="287"/>
        <v>0</v>
      </c>
      <c r="DQ145" s="47">
        <f t="shared" si="288"/>
        <v>0</v>
      </c>
      <c r="DR145" s="604">
        <f t="shared" si="358"/>
        <v>0</v>
      </c>
      <c r="DS145" s="44">
        <f t="shared" si="359"/>
        <v>0</v>
      </c>
      <c r="DT145" s="44">
        <f t="shared" si="360"/>
        <v>0</v>
      </c>
      <c r="DU145" s="44">
        <f t="shared" si="361"/>
        <v>0</v>
      </c>
      <c r="DV145" s="44">
        <f t="shared" si="362"/>
        <v>800</v>
      </c>
      <c r="DW145" s="44">
        <f t="shared" si="363"/>
        <v>0</v>
      </c>
      <c r="DX145" s="44">
        <f t="shared" si="289"/>
        <v>0</v>
      </c>
      <c r="DY145" s="44">
        <f t="shared" si="364"/>
        <v>0</v>
      </c>
      <c r="DZ145" s="44">
        <f t="shared" si="290"/>
        <v>0</v>
      </c>
      <c r="EA145" s="44">
        <f t="shared" si="365"/>
        <v>0</v>
      </c>
      <c r="EB145" s="44">
        <f t="shared" si="291"/>
        <v>800</v>
      </c>
      <c r="EC145" s="46">
        <f t="shared" si="292"/>
        <v>0</v>
      </c>
      <c r="ED145" s="47">
        <f t="shared" si="293"/>
        <v>0</v>
      </c>
    </row>
    <row r="146" spans="1:134" x14ac:dyDescent="0.35">
      <c r="A146" s="81">
        <v>1997</v>
      </c>
      <c r="B146" s="82" t="s">
        <v>314</v>
      </c>
      <c r="C146" s="82"/>
      <c r="D146" s="83" t="s">
        <v>32</v>
      </c>
      <c r="E146" s="87">
        <v>31100</v>
      </c>
      <c r="F146" s="85">
        <v>35612</v>
      </c>
      <c r="G146" s="86">
        <v>8</v>
      </c>
      <c r="H146" s="179"/>
      <c r="I146" s="180"/>
      <c r="J146" s="181"/>
      <c r="K146" s="42">
        <f t="shared" si="244"/>
        <v>0.125</v>
      </c>
      <c r="L146" s="43">
        <f t="shared" si="245"/>
        <v>3887.5</v>
      </c>
      <c r="M146" s="44">
        <f t="shared" si="246"/>
        <v>0</v>
      </c>
      <c r="N146" s="44"/>
      <c r="O146" s="44">
        <f t="shared" si="247"/>
        <v>31100</v>
      </c>
      <c r="P146" s="45"/>
      <c r="Q146" s="44">
        <f t="shared" si="248"/>
        <v>31100</v>
      </c>
      <c r="R146" s="604">
        <f t="shared" si="294"/>
        <v>0</v>
      </c>
      <c r="S146" s="44">
        <f t="shared" si="295"/>
        <v>0</v>
      </c>
      <c r="T146" s="44">
        <f t="shared" si="296"/>
        <v>0</v>
      </c>
      <c r="U146" s="44">
        <f t="shared" si="297"/>
        <v>0</v>
      </c>
      <c r="V146" s="44">
        <f t="shared" si="298"/>
        <v>31100</v>
      </c>
      <c r="W146" s="44">
        <f t="shared" si="299"/>
        <v>0</v>
      </c>
      <c r="X146" s="44">
        <f t="shared" si="249"/>
        <v>0</v>
      </c>
      <c r="Y146" s="44">
        <f t="shared" si="300"/>
        <v>0</v>
      </c>
      <c r="Z146" s="44">
        <f t="shared" si="250"/>
        <v>0</v>
      </c>
      <c r="AA146" s="44">
        <f t="shared" si="301"/>
        <v>0</v>
      </c>
      <c r="AB146" s="44">
        <f t="shared" si="251"/>
        <v>31100</v>
      </c>
      <c r="AC146" s="46">
        <f t="shared" si="252"/>
        <v>0</v>
      </c>
      <c r="AD146" s="47">
        <f t="shared" si="253"/>
        <v>0</v>
      </c>
      <c r="AE146" s="604">
        <f t="shared" si="302"/>
        <v>0</v>
      </c>
      <c r="AF146" s="44">
        <f t="shared" si="303"/>
        <v>0</v>
      </c>
      <c r="AG146" s="44">
        <f t="shared" si="304"/>
        <v>0</v>
      </c>
      <c r="AH146" s="44">
        <f t="shared" si="305"/>
        <v>0</v>
      </c>
      <c r="AI146" s="44">
        <f t="shared" si="306"/>
        <v>31100</v>
      </c>
      <c r="AJ146" s="44">
        <f t="shared" si="307"/>
        <v>0</v>
      </c>
      <c r="AK146" s="44">
        <f t="shared" si="254"/>
        <v>0</v>
      </c>
      <c r="AL146" s="44">
        <f t="shared" si="308"/>
        <v>0</v>
      </c>
      <c r="AM146" s="44">
        <f t="shared" si="255"/>
        <v>0</v>
      </c>
      <c r="AN146" s="44">
        <f t="shared" si="309"/>
        <v>0</v>
      </c>
      <c r="AO146" s="44">
        <f t="shared" si="256"/>
        <v>31100</v>
      </c>
      <c r="AP146" s="46">
        <f t="shared" si="257"/>
        <v>0</v>
      </c>
      <c r="AQ146" s="47">
        <f t="shared" si="258"/>
        <v>0</v>
      </c>
      <c r="AR146" s="604">
        <f t="shared" si="310"/>
        <v>0</v>
      </c>
      <c r="AS146" s="44">
        <f t="shared" si="311"/>
        <v>0</v>
      </c>
      <c r="AT146" s="44">
        <f t="shared" si="312"/>
        <v>0</v>
      </c>
      <c r="AU146" s="44">
        <f t="shared" si="313"/>
        <v>0</v>
      </c>
      <c r="AV146" s="44">
        <f t="shared" si="314"/>
        <v>31100</v>
      </c>
      <c r="AW146" s="44">
        <f t="shared" si="315"/>
        <v>0</v>
      </c>
      <c r="AX146" s="44">
        <f t="shared" si="259"/>
        <v>0</v>
      </c>
      <c r="AY146" s="44">
        <f t="shared" si="316"/>
        <v>0</v>
      </c>
      <c r="AZ146" s="44">
        <f t="shared" si="260"/>
        <v>0</v>
      </c>
      <c r="BA146" s="44">
        <f t="shared" si="317"/>
        <v>0</v>
      </c>
      <c r="BB146" s="44">
        <f t="shared" si="261"/>
        <v>31100</v>
      </c>
      <c r="BC146" s="46">
        <f t="shared" si="262"/>
        <v>0</v>
      </c>
      <c r="BD146" s="47">
        <f t="shared" si="263"/>
        <v>0</v>
      </c>
      <c r="BE146" s="604">
        <f t="shared" si="318"/>
        <v>0</v>
      </c>
      <c r="BF146" s="44">
        <f t="shared" si="319"/>
        <v>0</v>
      </c>
      <c r="BG146" s="44">
        <f t="shared" si="320"/>
        <v>0</v>
      </c>
      <c r="BH146" s="44">
        <f t="shared" si="321"/>
        <v>0</v>
      </c>
      <c r="BI146" s="44">
        <f t="shared" si="322"/>
        <v>31100</v>
      </c>
      <c r="BJ146" s="44">
        <f t="shared" si="323"/>
        <v>0</v>
      </c>
      <c r="BK146" s="44">
        <f t="shared" si="264"/>
        <v>0</v>
      </c>
      <c r="BL146" s="44">
        <f t="shared" si="324"/>
        <v>0</v>
      </c>
      <c r="BM146" s="44">
        <f t="shared" si="265"/>
        <v>0</v>
      </c>
      <c r="BN146" s="44">
        <f t="shared" si="325"/>
        <v>0</v>
      </c>
      <c r="BO146" s="44">
        <f t="shared" si="266"/>
        <v>31100</v>
      </c>
      <c r="BP146" s="46">
        <f t="shared" si="267"/>
        <v>0</v>
      </c>
      <c r="BQ146" s="47">
        <f t="shared" si="268"/>
        <v>0</v>
      </c>
      <c r="BR146" s="604">
        <f t="shared" si="326"/>
        <v>0</v>
      </c>
      <c r="BS146" s="44">
        <f t="shared" si="327"/>
        <v>0</v>
      </c>
      <c r="BT146" s="44">
        <f t="shared" si="328"/>
        <v>0</v>
      </c>
      <c r="BU146" s="44">
        <f t="shared" si="329"/>
        <v>0</v>
      </c>
      <c r="BV146" s="44">
        <f t="shared" si="330"/>
        <v>31100</v>
      </c>
      <c r="BW146" s="44">
        <f t="shared" si="331"/>
        <v>0</v>
      </c>
      <c r="BX146" s="44">
        <f t="shared" si="269"/>
        <v>0</v>
      </c>
      <c r="BY146" s="44">
        <f t="shared" si="332"/>
        <v>0</v>
      </c>
      <c r="BZ146" s="44">
        <f t="shared" si="270"/>
        <v>0</v>
      </c>
      <c r="CA146" s="44">
        <f t="shared" si="333"/>
        <v>0</v>
      </c>
      <c r="CB146" s="44">
        <f t="shared" si="271"/>
        <v>31100</v>
      </c>
      <c r="CC146" s="46">
        <f t="shared" si="272"/>
        <v>0</v>
      </c>
      <c r="CD146" s="47">
        <f t="shared" si="273"/>
        <v>0</v>
      </c>
      <c r="CE146" s="604">
        <f t="shared" si="334"/>
        <v>0</v>
      </c>
      <c r="CF146" s="44">
        <f t="shared" si="335"/>
        <v>0</v>
      </c>
      <c r="CG146" s="44">
        <f t="shared" si="336"/>
        <v>0</v>
      </c>
      <c r="CH146" s="44">
        <f t="shared" si="337"/>
        <v>0</v>
      </c>
      <c r="CI146" s="44">
        <f t="shared" si="338"/>
        <v>31100</v>
      </c>
      <c r="CJ146" s="44">
        <f t="shared" si="339"/>
        <v>0</v>
      </c>
      <c r="CK146" s="44">
        <f t="shared" si="274"/>
        <v>0</v>
      </c>
      <c r="CL146" s="44">
        <f t="shared" si="340"/>
        <v>0</v>
      </c>
      <c r="CM146" s="44">
        <f t="shared" si="275"/>
        <v>0</v>
      </c>
      <c r="CN146" s="44">
        <f t="shared" si="341"/>
        <v>0</v>
      </c>
      <c r="CO146" s="44">
        <f t="shared" si="276"/>
        <v>31100</v>
      </c>
      <c r="CP146" s="46">
        <f t="shared" si="277"/>
        <v>0</v>
      </c>
      <c r="CQ146" s="47">
        <f t="shared" si="278"/>
        <v>0</v>
      </c>
      <c r="CR146" s="604">
        <f t="shared" si="342"/>
        <v>0</v>
      </c>
      <c r="CS146" s="44">
        <f t="shared" si="343"/>
        <v>0</v>
      </c>
      <c r="CT146" s="44">
        <f t="shared" si="344"/>
        <v>0</v>
      </c>
      <c r="CU146" s="44">
        <f t="shared" si="345"/>
        <v>0</v>
      </c>
      <c r="CV146" s="44">
        <f t="shared" si="346"/>
        <v>31100</v>
      </c>
      <c r="CW146" s="44">
        <f t="shared" si="347"/>
        <v>0</v>
      </c>
      <c r="CX146" s="44">
        <f t="shared" si="279"/>
        <v>0</v>
      </c>
      <c r="CY146" s="44">
        <f t="shared" si="348"/>
        <v>0</v>
      </c>
      <c r="CZ146" s="44">
        <f t="shared" si="280"/>
        <v>0</v>
      </c>
      <c r="DA146" s="44">
        <f t="shared" si="349"/>
        <v>0</v>
      </c>
      <c r="DB146" s="44">
        <f t="shared" si="281"/>
        <v>31100</v>
      </c>
      <c r="DC146" s="46">
        <f t="shared" si="282"/>
        <v>0</v>
      </c>
      <c r="DD146" s="47">
        <f t="shared" si="283"/>
        <v>0</v>
      </c>
      <c r="DE146" s="604">
        <f t="shared" si="350"/>
        <v>0</v>
      </c>
      <c r="DF146" s="44">
        <f t="shared" si="351"/>
        <v>0</v>
      </c>
      <c r="DG146" s="44">
        <f t="shared" si="352"/>
        <v>0</v>
      </c>
      <c r="DH146" s="44">
        <f t="shared" si="353"/>
        <v>0</v>
      </c>
      <c r="DI146" s="44">
        <f t="shared" si="354"/>
        <v>31100</v>
      </c>
      <c r="DJ146" s="44">
        <f t="shared" si="355"/>
        <v>0</v>
      </c>
      <c r="DK146" s="44">
        <f t="shared" si="284"/>
        <v>0</v>
      </c>
      <c r="DL146" s="44">
        <f t="shared" si="356"/>
        <v>0</v>
      </c>
      <c r="DM146" s="44">
        <f t="shared" si="285"/>
        <v>0</v>
      </c>
      <c r="DN146" s="44">
        <f t="shared" si="357"/>
        <v>0</v>
      </c>
      <c r="DO146" s="44">
        <f t="shared" si="286"/>
        <v>31100</v>
      </c>
      <c r="DP146" s="46">
        <f t="shared" si="287"/>
        <v>0</v>
      </c>
      <c r="DQ146" s="47">
        <f t="shared" si="288"/>
        <v>0</v>
      </c>
      <c r="DR146" s="604">
        <f t="shared" si="358"/>
        <v>0</v>
      </c>
      <c r="DS146" s="44">
        <f t="shared" si="359"/>
        <v>0</v>
      </c>
      <c r="DT146" s="44">
        <f t="shared" si="360"/>
        <v>0</v>
      </c>
      <c r="DU146" s="44">
        <f t="shared" si="361"/>
        <v>0</v>
      </c>
      <c r="DV146" s="44">
        <f t="shared" si="362"/>
        <v>31100</v>
      </c>
      <c r="DW146" s="44">
        <f t="shared" si="363"/>
        <v>0</v>
      </c>
      <c r="DX146" s="44">
        <f t="shared" si="289"/>
        <v>0</v>
      </c>
      <c r="DY146" s="44">
        <f t="shared" si="364"/>
        <v>0</v>
      </c>
      <c r="DZ146" s="44">
        <f t="shared" si="290"/>
        <v>0</v>
      </c>
      <c r="EA146" s="44">
        <f t="shared" si="365"/>
        <v>0</v>
      </c>
      <c r="EB146" s="44">
        <f t="shared" si="291"/>
        <v>31100</v>
      </c>
      <c r="EC146" s="46">
        <f t="shared" si="292"/>
        <v>0</v>
      </c>
      <c r="ED146" s="47">
        <f t="shared" si="293"/>
        <v>0</v>
      </c>
    </row>
    <row r="147" spans="1:134" x14ac:dyDescent="0.35">
      <c r="A147" s="81">
        <v>1997</v>
      </c>
      <c r="B147" s="82" t="s">
        <v>315</v>
      </c>
      <c r="C147" s="82"/>
      <c r="D147" s="83" t="s">
        <v>41</v>
      </c>
      <c r="E147" s="87">
        <v>1100</v>
      </c>
      <c r="F147" s="85">
        <v>35612</v>
      </c>
      <c r="G147" s="86">
        <v>5</v>
      </c>
      <c r="H147" s="179"/>
      <c r="I147" s="180"/>
      <c r="J147" s="181"/>
      <c r="K147" s="42">
        <f t="shared" si="244"/>
        <v>0.2</v>
      </c>
      <c r="L147" s="43">
        <f t="shared" si="245"/>
        <v>220</v>
      </c>
      <c r="M147" s="44">
        <f t="shared" si="246"/>
        <v>0</v>
      </c>
      <c r="N147" s="44"/>
      <c r="O147" s="44">
        <f t="shared" si="247"/>
        <v>1100</v>
      </c>
      <c r="P147" s="45"/>
      <c r="Q147" s="44">
        <f t="shared" si="248"/>
        <v>1100</v>
      </c>
      <c r="R147" s="604">
        <f t="shared" si="294"/>
        <v>0</v>
      </c>
      <c r="S147" s="44">
        <f t="shared" si="295"/>
        <v>0</v>
      </c>
      <c r="T147" s="44">
        <f t="shared" si="296"/>
        <v>0</v>
      </c>
      <c r="U147" s="44">
        <f t="shared" si="297"/>
        <v>0</v>
      </c>
      <c r="V147" s="44">
        <f t="shared" si="298"/>
        <v>1100</v>
      </c>
      <c r="W147" s="44">
        <f t="shared" si="299"/>
        <v>0</v>
      </c>
      <c r="X147" s="44">
        <f t="shared" si="249"/>
        <v>0</v>
      </c>
      <c r="Y147" s="44">
        <f t="shared" si="300"/>
        <v>0</v>
      </c>
      <c r="Z147" s="44">
        <f t="shared" si="250"/>
        <v>0</v>
      </c>
      <c r="AA147" s="44">
        <f t="shared" si="301"/>
        <v>0</v>
      </c>
      <c r="AB147" s="44">
        <f t="shared" si="251"/>
        <v>1100</v>
      </c>
      <c r="AC147" s="46">
        <f t="shared" si="252"/>
        <v>0</v>
      </c>
      <c r="AD147" s="47">
        <f t="shared" si="253"/>
        <v>0</v>
      </c>
      <c r="AE147" s="604">
        <f t="shared" si="302"/>
        <v>0</v>
      </c>
      <c r="AF147" s="44">
        <f t="shared" si="303"/>
        <v>0</v>
      </c>
      <c r="AG147" s="44">
        <f t="shared" si="304"/>
        <v>0</v>
      </c>
      <c r="AH147" s="44">
        <f t="shared" si="305"/>
        <v>0</v>
      </c>
      <c r="AI147" s="44">
        <f t="shared" si="306"/>
        <v>1100</v>
      </c>
      <c r="AJ147" s="44">
        <f t="shared" si="307"/>
        <v>0</v>
      </c>
      <c r="AK147" s="44">
        <f t="shared" si="254"/>
        <v>0</v>
      </c>
      <c r="AL147" s="44">
        <f t="shared" si="308"/>
        <v>0</v>
      </c>
      <c r="AM147" s="44">
        <f t="shared" si="255"/>
        <v>0</v>
      </c>
      <c r="AN147" s="44">
        <f t="shared" si="309"/>
        <v>0</v>
      </c>
      <c r="AO147" s="44">
        <f t="shared" si="256"/>
        <v>1100</v>
      </c>
      <c r="AP147" s="46">
        <f t="shared" si="257"/>
        <v>0</v>
      </c>
      <c r="AQ147" s="47">
        <f t="shared" si="258"/>
        <v>0</v>
      </c>
      <c r="AR147" s="604">
        <f t="shared" si="310"/>
        <v>0</v>
      </c>
      <c r="AS147" s="44">
        <f t="shared" si="311"/>
        <v>0</v>
      </c>
      <c r="AT147" s="44">
        <f t="shared" si="312"/>
        <v>0</v>
      </c>
      <c r="AU147" s="44">
        <f t="shared" si="313"/>
        <v>0</v>
      </c>
      <c r="AV147" s="44">
        <f t="shared" si="314"/>
        <v>1100</v>
      </c>
      <c r="AW147" s="44">
        <f t="shared" si="315"/>
        <v>0</v>
      </c>
      <c r="AX147" s="44">
        <f t="shared" si="259"/>
        <v>0</v>
      </c>
      <c r="AY147" s="44">
        <f t="shared" si="316"/>
        <v>0</v>
      </c>
      <c r="AZ147" s="44">
        <f t="shared" si="260"/>
        <v>0</v>
      </c>
      <c r="BA147" s="44">
        <f t="shared" si="317"/>
        <v>0</v>
      </c>
      <c r="BB147" s="44">
        <f t="shared" si="261"/>
        <v>1100</v>
      </c>
      <c r="BC147" s="46">
        <f t="shared" si="262"/>
        <v>0</v>
      </c>
      <c r="BD147" s="47">
        <f t="shared" si="263"/>
        <v>0</v>
      </c>
      <c r="BE147" s="604">
        <f t="shared" si="318"/>
        <v>0</v>
      </c>
      <c r="BF147" s="44">
        <f t="shared" si="319"/>
        <v>0</v>
      </c>
      <c r="BG147" s="44">
        <f t="shared" si="320"/>
        <v>0</v>
      </c>
      <c r="BH147" s="44">
        <f t="shared" si="321"/>
        <v>0</v>
      </c>
      <c r="BI147" s="44">
        <f t="shared" si="322"/>
        <v>1100</v>
      </c>
      <c r="BJ147" s="44">
        <f t="shared" si="323"/>
        <v>0</v>
      </c>
      <c r="BK147" s="44">
        <f t="shared" si="264"/>
        <v>0</v>
      </c>
      <c r="BL147" s="44">
        <f t="shared" si="324"/>
        <v>0</v>
      </c>
      <c r="BM147" s="44">
        <f t="shared" si="265"/>
        <v>0</v>
      </c>
      <c r="BN147" s="44">
        <f t="shared" si="325"/>
        <v>0</v>
      </c>
      <c r="BO147" s="44">
        <f t="shared" si="266"/>
        <v>1100</v>
      </c>
      <c r="BP147" s="46">
        <f t="shared" si="267"/>
        <v>0</v>
      </c>
      <c r="BQ147" s="47">
        <f t="shared" si="268"/>
        <v>0</v>
      </c>
      <c r="BR147" s="604">
        <f t="shared" si="326"/>
        <v>0</v>
      </c>
      <c r="BS147" s="44">
        <f t="shared" si="327"/>
        <v>0</v>
      </c>
      <c r="BT147" s="44">
        <f t="shared" si="328"/>
        <v>0</v>
      </c>
      <c r="BU147" s="44">
        <f t="shared" si="329"/>
        <v>0</v>
      </c>
      <c r="BV147" s="44">
        <f t="shared" si="330"/>
        <v>1100</v>
      </c>
      <c r="BW147" s="44">
        <f t="shared" si="331"/>
        <v>0</v>
      </c>
      <c r="BX147" s="44">
        <f t="shared" si="269"/>
        <v>0</v>
      </c>
      <c r="BY147" s="44">
        <f t="shared" si="332"/>
        <v>0</v>
      </c>
      <c r="BZ147" s="44">
        <f t="shared" si="270"/>
        <v>0</v>
      </c>
      <c r="CA147" s="44">
        <f t="shared" si="333"/>
        <v>0</v>
      </c>
      <c r="CB147" s="44">
        <f t="shared" si="271"/>
        <v>1100</v>
      </c>
      <c r="CC147" s="46">
        <f t="shared" si="272"/>
        <v>0</v>
      </c>
      <c r="CD147" s="47">
        <f t="shared" si="273"/>
        <v>0</v>
      </c>
      <c r="CE147" s="604">
        <f t="shared" si="334"/>
        <v>0</v>
      </c>
      <c r="CF147" s="44">
        <f t="shared" si="335"/>
        <v>0</v>
      </c>
      <c r="CG147" s="44">
        <f t="shared" si="336"/>
        <v>0</v>
      </c>
      <c r="CH147" s="44">
        <f t="shared" si="337"/>
        <v>0</v>
      </c>
      <c r="CI147" s="44">
        <f t="shared" si="338"/>
        <v>1100</v>
      </c>
      <c r="CJ147" s="44">
        <f t="shared" si="339"/>
        <v>0</v>
      </c>
      <c r="CK147" s="44">
        <f t="shared" si="274"/>
        <v>0</v>
      </c>
      <c r="CL147" s="44">
        <f t="shared" si="340"/>
        <v>0</v>
      </c>
      <c r="CM147" s="44">
        <f t="shared" si="275"/>
        <v>0</v>
      </c>
      <c r="CN147" s="44">
        <f t="shared" si="341"/>
        <v>0</v>
      </c>
      <c r="CO147" s="44">
        <f t="shared" si="276"/>
        <v>1100</v>
      </c>
      <c r="CP147" s="46">
        <f t="shared" si="277"/>
        <v>0</v>
      </c>
      <c r="CQ147" s="47">
        <f t="shared" si="278"/>
        <v>0</v>
      </c>
      <c r="CR147" s="604">
        <f t="shared" si="342"/>
        <v>0</v>
      </c>
      <c r="CS147" s="44">
        <f t="shared" si="343"/>
        <v>0</v>
      </c>
      <c r="CT147" s="44">
        <f t="shared" si="344"/>
        <v>0</v>
      </c>
      <c r="CU147" s="44">
        <f t="shared" si="345"/>
        <v>0</v>
      </c>
      <c r="CV147" s="44">
        <f t="shared" si="346"/>
        <v>1100</v>
      </c>
      <c r="CW147" s="44">
        <f t="shared" si="347"/>
        <v>0</v>
      </c>
      <c r="CX147" s="44">
        <f t="shared" si="279"/>
        <v>0</v>
      </c>
      <c r="CY147" s="44">
        <f t="shared" si="348"/>
        <v>0</v>
      </c>
      <c r="CZ147" s="44">
        <f t="shared" si="280"/>
        <v>0</v>
      </c>
      <c r="DA147" s="44">
        <f t="shared" si="349"/>
        <v>0</v>
      </c>
      <c r="DB147" s="44">
        <f t="shared" si="281"/>
        <v>1100</v>
      </c>
      <c r="DC147" s="46">
        <f t="shared" si="282"/>
        <v>0</v>
      </c>
      <c r="DD147" s="47">
        <f t="shared" si="283"/>
        <v>0</v>
      </c>
      <c r="DE147" s="604">
        <f t="shared" si="350"/>
        <v>0</v>
      </c>
      <c r="DF147" s="44">
        <f t="shared" si="351"/>
        <v>0</v>
      </c>
      <c r="DG147" s="44">
        <f t="shared" si="352"/>
        <v>0</v>
      </c>
      <c r="DH147" s="44">
        <f t="shared" si="353"/>
        <v>0</v>
      </c>
      <c r="DI147" s="44">
        <f t="shared" si="354"/>
        <v>1100</v>
      </c>
      <c r="DJ147" s="44">
        <f t="shared" si="355"/>
        <v>0</v>
      </c>
      <c r="DK147" s="44">
        <f t="shared" si="284"/>
        <v>0</v>
      </c>
      <c r="DL147" s="44">
        <f t="shared" si="356"/>
        <v>0</v>
      </c>
      <c r="DM147" s="44">
        <f t="shared" si="285"/>
        <v>0</v>
      </c>
      <c r="DN147" s="44">
        <f t="shared" si="357"/>
        <v>0</v>
      </c>
      <c r="DO147" s="44">
        <f t="shared" si="286"/>
        <v>1100</v>
      </c>
      <c r="DP147" s="46">
        <f t="shared" si="287"/>
        <v>0</v>
      </c>
      <c r="DQ147" s="47">
        <f t="shared" si="288"/>
        <v>0</v>
      </c>
      <c r="DR147" s="604">
        <f t="shared" si="358"/>
        <v>0</v>
      </c>
      <c r="DS147" s="44">
        <f t="shared" si="359"/>
        <v>0</v>
      </c>
      <c r="DT147" s="44">
        <f t="shared" si="360"/>
        <v>0</v>
      </c>
      <c r="DU147" s="44">
        <f t="shared" si="361"/>
        <v>0</v>
      </c>
      <c r="DV147" s="44">
        <f t="shared" si="362"/>
        <v>1100</v>
      </c>
      <c r="DW147" s="44">
        <f t="shared" si="363"/>
        <v>0</v>
      </c>
      <c r="DX147" s="44">
        <f t="shared" si="289"/>
        <v>0</v>
      </c>
      <c r="DY147" s="44">
        <f t="shared" si="364"/>
        <v>0</v>
      </c>
      <c r="DZ147" s="44">
        <f t="shared" si="290"/>
        <v>0</v>
      </c>
      <c r="EA147" s="44">
        <f t="shared" si="365"/>
        <v>0</v>
      </c>
      <c r="EB147" s="44">
        <f t="shared" si="291"/>
        <v>1100</v>
      </c>
      <c r="EC147" s="46">
        <f t="shared" si="292"/>
        <v>0</v>
      </c>
      <c r="ED147" s="47">
        <f t="shared" si="293"/>
        <v>0</v>
      </c>
    </row>
    <row r="148" spans="1:134" x14ac:dyDescent="0.35">
      <c r="A148" s="81">
        <v>1997</v>
      </c>
      <c r="B148" s="82" t="s">
        <v>316</v>
      </c>
      <c r="C148" s="82"/>
      <c r="D148" s="83" t="s">
        <v>41</v>
      </c>
      <c r="E148" s="87">
        <v>800</v>
      </c>
      <c r="F148" s="85">
        <v>35612</v>
      </c>
      <c r="G148" s="86">
        <v>10</v>
      </c>
      <c r="H148" s="179"/>
      <c r="I148" s="180"/>
      <c r="J148" s="181"/>
      <c r="K148" s="42">
        <f t="shared" si="244"/>
        <v>0.1</v>
      </c>
      <c r="L148" s="43">
        <f t="shared" si="245"/>
        <v>80</v>
      </c>
      <c r="M148" s="44">
        <f t="shared" si="246"/>
        <v>0</v>
      </c>
      <c r="N148" s="44"/>
      <c r="O148" s="44">
        <f t="shared" si="247"/>
        <v>800</v>
      </c>
      <c r="P148" s="45"/>
      <c r="Q148" s="44">
        <f t="shared" si="248"/>
        <v>800</v>
      </c>
      <c r="R148" s="604">
        <f t="shared" si="294"/>
        <v>0</v>
      </c>
      <c r="S148" s="44">
        <f t="shared" si="295"/>
        <v>0</v>
      </c>
      <c r="T148" s="44">
        <f t="shared" si="296"/>
        <v>0</v>
      </c>
      <c r="U148" s="44">
        <f t="shared" si="297"/>
        <v>0</v>
      </c>
      <c r="V148" s="44">
        <f t="shared" si="298"/>
        <v>800</v>
      </c>
      <c r="W148" s="44">
        <f t="shared" si="299"/>
        <v>0</v>
      </c>
      <c r="X148" s="44">
        <f t="shared" si="249"/>
        <v>0</v>
      </c>
      <c r="Y148" s="44">
        <f t="shared" si="300"/>
        <v>0</v>
      </c>
      <c r="Z148" s="44">
        <f t="shared" si="250"/>
        <v>0</v>
      </c>
      <c r="AA148" s="44">
        <f t="shared" si="301"/>
        <v>0</v>
      </c>
      <c r="AB148" s="44">
        <f t="shared" si="251"/>
        <v>800</v>
      </c>
      <c r="AC148" s="46">
        <f t="shared" si="252"/>
        <v>0</v>
      </c>
      <c r="AD148" s="47">
        <f t="shared" si="253"/>
        <v>0</v>
      </c>
      <c r="AE148" s="604">
        <f t="shared" si="302"/>
        <v>0</v>
      </c>
      <c r="AF148" s="44">
        <f t="shared" si="303"/>
        <v>0</v>
      </c>
      <c r="AG148" s="44">
        <f t="shared" si="304"/>
        <v>0</v>
      </c>
      <c r="AH148" s="44">
        <f t="shared" si="305"/>
        <v>0</v>
      </c>
      <c r="AI148" s="44">
        <f t="shared" si="306"/>
        <v>800</v>
      </c>
      <c r="AJ148" s="44">
        <f t="shared" si="307"/>
        <v>0</v>
      </c>
      <c r="AK148" s="44">
        <f t="shared" si="254"/>
        <v>0</v>
      </c>
      <c r="AL148" s="44">
        <f t="shared" si="308"/>
        <v>0</v>
      </c>
      <c r="AM148" s="44">
        <f t="shared" si="255"/>
        <v>0</v>
      </c>
      <c r="AN148" s="44">
        <f t="shared" si="309"/>
        <v>0</v>
      </c>
      <c r="AO148" s="44">
        <f t="shared" si="256"/>
        <v>800</v>
      </c>
      <c r="AP148" s="46">
        <f t="shared" si="257"/>
        <v>0</v>
      </c>
      <c r="AQ148" s="47">
        <f t="shared" si="258"/>
        <v>0</v>
      </c>
      <c r="AR148" s="604">
        <f t="shared" si="310"/>
        <v>0</v>
      </c>
      <c r="AS148" s="44">
        <f t="shared" si="311"/>
        <v>0</v>
      </c>
      <c r="AT148" s="44">
        <f t="shared" si="312"/>
        <v>0</v>
      </c>
      <c r="AU148" s="44">
        <f t="shared" si="313"/>
        <v>0</v>
      </c>
      <c r="AV148" s="44">
        <f t="shared" si="314"/>
        <v>800</v>
      </c>
      <c r="AW148" s="44">
        <f t="shared" si="315"/>
        <v>0</v>
      </c>
      <c r="AX148" s="44">
        <f t="shared" si="259"/>
        <v>0</v>
      </c>
      <c r="AY148" s="44">
        <f t="shared" si="316"/>
        <v>0</v>
      </c>
      <c r="AZ148" s="44">
        <f t="shared" si="260"/>
        <v>0</v>
      </c>
      <c r="BA148" s="44">
        <f t="shared" si="317"/>
        <v>0</v>
      </c>
      <c r="BB148" s="44">
        <f t="shared" si="261"/>
        <v>800</v>
      </c>
      <c r="BC148" s="46">
        <f t="shared" si="262"/>
        <v>0</v>
      </c>
      <c r="BD148" s="47">
        <f t="shared" si="263"/>
        <v>0</v>
      </c>
      <c r="BE148" s="604">
        <f t="shared" si="318"/>
        <v>0</v>
      </c>
      <c r="BF148" s="44">
        <f t="shared" si="319"/>
        <v>0</v>
      </c>
      <c r="BG148" s="44">
        <f t="shared" si="320"/>
        <v>0</v>
      </c>
      <c r="BH148" s="44">
        <f t="shared" si="321"/>
        <v>0</v>
      </c>
      <c r="BI148" s="44">
        <f t="shared" si="322"/>
        <v>800</v>
      </c>
      <c r="BJ148" s="44">
        <f t="shared" si="323"/>
        <v>0</v>
      </c>
      <c r="BK148" s="44">
        <f t="shared" si="264"/>
        <v>0</v>
      </c>
      <c r="BL148" s="44">
        <f t="shared" si="324"/>
        <v>0</v>
      </c>
      <c r="BM148" s="44">
        <f t="shared" si="265"/>
        <v>0</v>
      </c>
      <c r="BN148" s="44">
        <f t="shared" si="325"/>
        <v>0</v>
      </c>
      <c r="BO148" s="44">
        <f t="shared" si="266"/>
        <v>800</v>
      </c>
      <c r="BP148" s="46">
        <f t="shared" si="267"/>
        <v>0</v>
      </c>
      <c r="BQ148" s="47">
        <f t="shared" si="268"/>
        <v>0</v>
      </c>
      <c r="BR148" s="604">
        <f t="shared" si="326"/>
        <v>0</v>
      </c>
      <c r="BS148" s="44">
        <f t="shared" si="327"/>
        <v>0</v>
      </c>
      <c r="BT148" s="44">
        <f t="shared" si="328"/>
        <v>0</v>
      </c>
      <c r="BU148" s="44">
        <f t="shared" si="329"/>
        <v>0</v>
      </c>
      <c r="BV148" s="44">
        <f t="shared" si="330"/>
        <v>800</v>
      </c>
      <c r="BW148" s="44">
        <f t="shared" si="331"/>
        <v>0</v>
      </c>
      <c r="BX148" s="44">
        <f t="shared" si="269"/>
        <v>0</v>
      </c>
      <c r="BY148" s="44">
        <f t="shared" si="332"/>
        <v>0</v>
      </c>
      <c r="BZ148" s="44">
        <f t="shared" si="270"/>
        <v>0</v>
      </c>
      <c r="CA148" s="44">
        <f t="shared" si="333"/>
        <v>0</v>
      </c>
      <c r="CB148" s="44">
        <f t="shared" si="271"/>
        <v>800</v>
      </c>
      <c r="CC148" s="46">
        <f t="shared" si="272"/>
        <v>0</v>
      </c>
      <c r="CD148" s="47">
        <f t="shared" si="273"/>
        <v>0</v>
      </c>
      <c r="CE148" s="604">
        <f t="shared" si="334"/>
        <v>0</v>
      </c>
      <c r="CF148" s="44">
        <f t="shared" si="335"/>
        <v>0</v>
      </c>
      <c r="CG148" s="44">
        <f t="shared" si="336"/>
        <v>0</v>
      </c>
      <c r="CH148" s="44">
        <f t="shared" si="337"/>
        <v>0</v>
      </c>
      <c r="CI148" s="44">
        <f t="shared" si="338"/>
        <v>800</v>
      </c>
      <c r="CJ148" s="44">
        <f t="shared" si="339"/>
        <v>0</v>
      </c>
      <c r="CK148" s="44">
        <f t="shared" si="274"/>
        <v>0</v>
      </c>
      <c r="CL148" s="44">
        <f t="shared" si="340"/>
        <v>0</v>
      </c>
      <c r="CM148" s="44">
        <f t="shared" si="275"/>
        <v>0</v>
      </c>
      <c r="CN148" s="44">
        <f t="shared" si="341"/>
        <v>0</v>
      </c>
      <c r="CO148" s="44">
        <f t="shared" si="276"/>
        <v>800</v>
      </c>
      <c r="CP148" s="46">
        <f t="shared" si="277"/>
        <v>0</v>
      </c>
      <c r="CQ148" s="47">
        <f t="shared" si="278"/>
        <v>0</v>
      </c>
      <c r="CR148" s="604">
        <f t="shared" si="342"/>
        <v>0</v>
      </c>
      <c r="CS148" s="44">
        <f t="shared" si="343"/>
        <v>0</v>
      </c>
      <c r="CT148" s="44">
        <f t="shared" si="344"/>
        <v>0</v>
      </c>
      <c r="CU148" s="44">
        <f t="shared" si="345"/>
        <v>0</v>
      </c>
      <c r="CV148" s="44">
        <f t="shared" si="346"/>
        <v>800</v>
      </c>
      <c r="CW148" s="44">
        <f t="shared" si="347"/>
        <v>0</v>
      </c>
      <c r="CX148" s="44">
        <f t="shared" si="279"/>
        <v>0</v>
      </c>
      <c r="CY148" s="44">
        <f t="shared" si="348"/>
        <v>0</v>
      </c>
      <c r="CZ148" s="44">
        <f t="shared" si="280"/>
        <v>0</v>
      </c>
      <c r="DA148" s="44">
        <f t="shared" si="349"/>
        <v>0</v>
      </c>
      <c r="DB148" s="44">
        <f t="shared" si="281"/>
        <v>800</v>
      </c>
      <c r="DC148" s="46">
        <f t="shared" si="282"/>
        <v>0</v>
      </c>
      <c r="DD148" s="47">
        <f t="shared" si="283"/>
        <v>0</v>
      </c>
      <c r="DE148" s="604">
        <f t="shared" si="350"/>
        <v>0</v>
      </c>
      <c r="DF148" s="44">
        <f t="shared" si="351"/>
        <v>0</v>
      </c>
      <c r="DG148" s="44">
        <f t="shared" si="352"/>
        <v>0</v>
      </c>
      <c r="DH148" s="44">
        <f t="shared" si="353"/>
        <v>0</v>
      </c>
      <c r="DI148" s="44">
        <f t="shared" si="354"/>
        <v>800</v>
      </c>
      <c r="DJ148" s="44">
        <f t="shared" si="355"/>
        <v>0</v>
      </c>
      <c r="DK148" s="44">
        <f t="shared" si="284"/>
        <v>0</v>
      </c>
      <c r="DL148" s="44">
        <f t="shared" si="356"/>
        <v>0</v>
      </c>
      <c r="DM148" s="44">
        <f t="shared" si="285"/>
        <v>0</v>
      </c>
      <c r="DN148" s="44">
        <f t="shared" si="357"/>
        <v>0</v>
      </c>
      <c r="DO148" s="44">
        <f t="shared" si="286"/>
        <v>800</v>
      </c>
      <c r="DP148" s="46">
        <f t="shared" si="287"/>
        <v>0</v>
      </c>
      <c r="DQ148" s="47">
        <f t="shared" si="288"/>
        <v>0</v>
      </c>
      <c r="DR148" s="604">
        <f t="shared" si="358"/>
        <v>0</v>
      </c>
      <c r="DS148" s="44">
        <f t="shared" si="359"/>
        <v>0</v>
      </c>
      <c r="DT148" s="44">
        <f t="shared" si="360"/>
        <v>0</v>
      </c>
      <c r="DU148" s="44">
        <f t="shared" si="361"/>
        <v>0</v>
      </c>
      <c r="DV148" s="44">
        <f t="shared" si="362"/>
        <v>800</v>
      </c>
      <c r="DW148" s="44">
        <f t="shared" si="363"/>
        <v>0</v>
      </c>
      <c r="DX148" s="44">
        <f t="shared" si="289"/>
        <v>0</v>
      </c>
      <c r="DY148" s="44">
        <f t="shared" si="364"/>
        <v>0</v>
      </c>
      <c r="DZ148" s="44">
        <f t="shared" si="290"/>
        <v>0</v>
      </c>
      <c r="EA148" s="44">
        <f t="shared" si="365"/>
        <v>0</v>
      </c>
      <c r="EB148" s="44">
        <f t="shared" si="291"/>
        <v>800</v>
      </c>
      <c r="EC148" s="46">
        <f t="shared" si="292"/>
        <v>0</v>
      </c>
      <c r="ED148" s="47">
        <f t="shared" si="293"/>
        <v>0</v>
      </c>
    </row>
    <row r="149" spans="1:134" x14ac:dyDescent="0.35">
      <c r="A149" s="81">
        <v>1997</v>
      </c>
      <c r="B149" s="82" t="s">
        <v>317</v>
      </c>
      <c r="C149" s="82"/>
      <c r="D149" s="83" t="s">
        <v>41</v>
      </c>
      <c r="E149" s="87">
        <v>4500</v>
      </c>
      <c r="F149" s="85">
        <v>35612</v>
      </c>
      <c r="G149" s="86">
        <v>10</v>
      </c>
      <c r="H149" s="179"/>
      <c r="I149" s="180"/>
      <c r="J149" s="181"/>
      <c r="K149" s="42">
        <f t="shared" si="244"/>
        <v>0.1</v>
      </c>
      <c r="L149" s="43">
        <f t="shared" si="245"/>
        <v>450</v>
      </c>
      <c r="M149" s="44">
        <f t="shared" si="246"/>
        <v>0</v>
      </c>
      <c r="N149" s="44"/>
      <c r="O149" s="44">
        <f t="shared" si="247"/>
        <v>4500</v>
      </c>
      <c r="P149" s="45"/>
      <c r="Q149" s="44">
        <f t="shared" si="248"/>
        <v>4500</v>
      </c>
      <c r="R149" s="604">
        <f t="shared" si="294"/>
        <v>0</v>
      </c>
      <c r="S149" s="44">
        <f t="shared" si="295"/>
        <v>0</v>
      </c>
      <c r="T149" s="44">
        <f t="shared" si="296"/>
        <v>0</v>
      </c>
      <c r="U149" s="44">
        <f t="shared" si="297"/>
        <v>0</v>
      </c>
      <c r="V149" s="44">
        <f t="shared" si="298"/>
        <v>4500</v>
      </c>
      <c r="W149" s="44">
        <f t="shared" si="299"/>
        <v>0</v>
      </c>
      <c r="X149" s="44">
        <f t="shared" si="249"/>
        <v>0</v>
      </c>
      <c r="Y149" s="44">
        <f t="shared" si="300"/>
        <v>0</v>
      </c>
      <c r="Z149" s="44">
        <f t="shared" si="250"/>
        <v>0</v>
      </c>
      <c r="AA149" s="44">
        <f t="shared" si="301"/>
        <v>0</v>
      </c>
      <c r="AB149" s="44">
        <f t="shared" si="251"/>
        <v>4500</v>
      </c>
      <c r="AC149" s="46">
        <f t="shared" si="252"/>
        <v>0</v>
      </c>
      <c r="AD149" s="47">
        <f t="shared" si="253"/>
        <v>0</v>
      </c>
      <c r="AE149" s="604">
        <f t="shared" si="302"/>
        <v>0</v>
      </c>
      <c r="AF149" s="44">
        <f t="shared" si="303"/>
        <v>0</v>
      </c>
      <c r="AG149" s="44">
        <f t="shared" si="304"/>
        <v>0</v>
      </c>
      <c r="AH149" s="44">
        <f t="shared" si="305"/>
        <v>0</v>
      </c>
      <c r="AI149" s="44">
        <f t="shared" si="306"/>
        <v>4500</v>
      </c>
      <c r="AJ149" s="44">
        <f t="shared" si="307"/>
        <v>0</v>
      </c>
      <c r="AK149" s="44">
        <f t="shared" si="254"/>
        <v>0</v>
      </c>
      <c r="AL149" s="44">
        <f t="shared" si="308"/>
        <v>0</v>
      </c>
      <c r="AM149" s="44">
        <f t="shared" si="255"/>
        <v>0</v>
      </c>
      <c r="AN149" s="44">
        <f t="shared" si="309"/>
        <v>0</v>
      </c>
      <c r="AO149" s="44">
        <f t="shared" si="256"/>
        <v>4500</v>
      </c>
      <c r="AP149" s="46">
        <f t="shared" si="257"/>
        <v>0</v>
      </c>
      <c r="AQ149" s="47">
        <f t="shared" si="258"/>
        <v>0</v>
      </c>
      <c r="AR149" s="604">
        <f t="shared" si="310"/>
        <v>0</v>
      </c>
      <c r="AS149" s="44">
        <f t="shared" si="311"/>
        <v>0</v>
      </c>
      <c r="AT149" s="44">
        <f t="shared" si="312"/>
        <v>0</v>
      </c>
      <c r="AU149" s="44">
        <f t="shared" si="313"/>
        <v>0</v>
      </c>
      <c r="AV149" s="44">
        <f t="shared" si="314"/>
        <v>4500</v>
      </c>
      <c r="AW149" s="44">
        <f t="shared" si="315"/>
        <v>0</v>
      </c>
      <c r="AX149" s="44">
        <f t="shared" si="259"/>
        <v>0</v>
      </c>
      <c r="AY149" s="44">
        <f t="shared" si="316"/>
        <v>0</v>
      </c>
      <c r="AZ149" s="44">
        <f t="shared" si="260"/>
        <v>0</v>
      </c>
      <c r="BA149" s="44">
        <f t="shared" si="317"/>
        <v>0</v>
      </c>
      <c r="BB149" s="44">
        <f t="shared" si="261"/>
        <v>4500</v>
      </c>
      <c r="BC149" s="46">
        <f t="shared" si="262"/>
        <v>0</v>
      </c>
      <c r="BD149" s="47">
        <f t="shared" si="263"/>
        <v>0</v>
      </c>
      <c r="BE149" s="604">
        <f t="shared" si="318"/>
        <v>0</v>
      </c>
      <c r="BF149" s="44">
        <f t="shared" si="319"/>
        <v>0</v>
      </c>
      <c r="BG149" s="44">
        <f t="shared" si="320"/>
        <v>0</v>
      </c>
      <c r="BH149" s="44">
        <f t="shared" si="321"/>
        <v>0</v>
      </c>
      <c r="BI149" s="44">
        <f t="shared" si="322"/>
        <v>4500</v>
      </c>
      <c r="BJ149" s="44">
        <f t="shared" si="323"/>
        <v>0</v>
      </c>
      <c r="BK149" s="44">
        <f t="shared" si="264"/>
        <v>0</v>
      </c>
      <c r="BL149" s="44">
        <f t="shared" si="324"/>
        <v>0</v>
      </c>
      <c r="BM149" s="44">
        <f t="shared" si="265"/>
        <v>0</v>
      </c>
      <c r="BN149" s="44">
        <f t="shared" si="325"/>
        <v>0</v>
      </c>
      <c r="BO149" s="44">
        <f t="shared" si="266"/>
        <v>4500</v>
      </c>
      <c r="BP149" s="46">
        <f t="shared" si="267"/>
        <v>0</v>
      </c>
      <c r="BQ149" s="47">
        <f t="shared" si="268"/>
        <v>0</v>
      </c>
      <c r="BR149" s="604">
        <f t="shared" si="326"/>
        <v>0</v>
      </c>
      <c r="BS149" s="44">
        <f t="shared" si="327"/>
        <v>0</v>
      </c>
      <c r="BT149" s="44">
        <f t="shared" si="328"/>
        <v>0</v>
      </c>
      <c r="BU149" s="44">
        <f t="shared" si="329"/>
        <v>0</v>
      </c>
      <c r="BV149" s="44">
        <f t="shared" si="330"/>
        <v>4500</v>
      </c>
      <c r="BW149" s="44">
        <f t="shared" si="331"/>
        <v>0</v>
      </c>
      <c r="BX149" s="44">
        <f t="shared" si="269"/>
        <v>0</v>
      </c>
      <c r="BY149" s="44">
        <f t="shared" si="332"/>
        <v>0</v>
      </c>
      <c r="BZ149" s="44">
        <f t="shared" si="270"/>
        <v>0</v>
      </c>
      <c r="CA149" s="44">
        <f t="shared" si="333"/>
        <v>0</v>
      </c>
      <c r="CB149" s="44">
        <f t="shared" si="271"/>
        <v>4500</v>
      </c>
      <c r="CC149" s="46">
        <f t="shared" si="272"/>
        <v>0</v>
      </c>
      <c r="CD149" s="47">
        <f t="shared" si="273"/>
        <v>0</v>
      </c>
      <c r="CE149" s="604">
        <f t="shared" si="334"/>
        <v>0</v>
      </c>
      <c r="CF149" s="44">
        <f t="shared" si="335"/>
        <v>0</v>
      </c>
      <c r="CG149" s="44">
        <f t="shared" si="336"/>
        <v>0</v>
      </c>
      <c r="CH149" s="44">
        <f t="shared" si="337"/>
        <v>0</v>
      </c>
      <c r="CI149" s="44">
        <f t="shared" si="338"/>
        <v>4500</v>
      </c>
      <c r="CJ149" s="44">
        <f t="shared" si="339"/>
        <v>0</v>
      </c>
      <c r="CK149" s="44">
        <f t="shared" si="274"/>
        <v>0</v>
      </c>
      <c r="CL149" s="44">
        <f t="shared" si="340"/>
        <v>0</v>
      </c>
      <c r="CM149" s="44">
        <f t="shared" si="275"/>
        <v>0</v>
      </c>
      <c r="CN149" s="44">
        <f t="shared" si="341"/>
        <v>0</v>
      </c>
      <c r="CO149" s="44">
        <f t="shared" si="276"/>
        <v>4500</v>
      </c>
      <c r="CP149" s="46">
        <f t="shared" si="277"/>
        <v>0</v>
      </c>
      <c r="CQ149" s="47">
        <f t="shared" si="278"/>
        <v>0</v>
      </c>
      <c r="CR149" s="604">
        <f t="shared" si="342"/>
        <v>0</v>
      </c>
      <c r="CS149" s="44">
        <f t="shared" si="343"/>
        <v>0</v>
      </c>
      <c r="CT149" s="44">
        <f t="shared" si="344"/>
        <v>0</v>
      </c>
      <c r="CU149" s="44">
        <f t="shared" si="345"/>
        <v>0</v>
      </c>
      <c r="CV149" s="44">
        <f t="shared" si="346"/>
        <v>4500</v>
      </c>
      <c r="CW149" s="44">
        <f t="shared" si="347"/>
        <v>0</v>
      </c>
      <c r="CX149" s="44">
        <f t="shared" si="279"/>
        <v>0</v>
      </c>
      <c r="CY149" s="44">
        <f t="shared" si="348"/>
        <v>0</v>
      </c>
      <c r="CZ149" s="44">
        <f t="shared" si="280"/>
        <v>0</v>
      </c>
      <c r="DA149" s="44">
        <f t="shared" si="349"/>
        <v>0</v>
      </c>
      <c r="DB149" s="44">
        <f t="shared" si="281"/>
        <v>4500</v>
      </c>
      <c r="DC149" s="46">
        <f t="shared" si="282"/>
        <v>0</v>
      </c>
      <c r="DD149" s="47">
        <f t="shared" si="283"/>
        <v>0</v>
      </c>
      <c r="DE149" s="604">
        <f t="shared" si="350"/>
        <v>0</v>
      </c>
      <c r="DF149" s="44">
        <f t="shared" si="351"/>
        <v>0</v>
      </c>
      <c r="DG149" s="44">
        <f t="shared" si="352"/>
        <v>0</v>
      </c>
      <c r="DH149" s="44">
        <f t="shared" si="353"/>
        <v>0</v>
      </c>
      <c r="DI149" s="44">
        <f t="shared" si="354"/>
        <v>4500</v>
      </c>
      <c r="DJ149" s="44">
        <f t="shared" si="355"/>
        <v>0</v>
      </c>
      <c r="DK149" s="44">
        <f t="shared" si="284"/>
        <v>0</v>
      </c>
      <c r="DL149" s="44">
        <f t="shared" si="356"/>
        <v>0</v>
      </c>
      <c r="DM149" s="44">
        <f t="shared" si="285"/>
        <v>0</v>
      </c>
      <c r="DN149" s="44">
        <f t="shared" si="357"/>
        <v>0</v>
      </c>
      <c r="DO149" s="44">
        <f t="shared" si="286"/>
        <v>4500</v>
      </c>
      <c r="DP149" s="46">
        <f t="shared" si="287"/>
        <v>0</v>
      </c>
      <c r="DQ149" s="47">
        <f t="shared" si="288"/>
        <v>0</v>
      </c>
      <c r="DR149" s="604">
        <f t="shared" si="358"/>
        <v>0</v>
      </c>
      <c r="DS149" s="44">
        <f t="shared" si="359"/>
        <v>0</v>
      </c>
      <c r="DT149" s="44">
        <f t="shared" si="360"/>
        <v>0</v>
      </c>
      <c r="DU149" s="44">
        <f t="shared" si="361"/>
        <v>0</v>
      </c>
      <c r="DV149" s="44">
        <f t="shared" si="362"/>
        <v>4500</v>
      </c>
      <c r="DW149" s="44">
        <f t="shared" si="363"/>
        <v>0</v>
      </c>
      <c r="DX149" s="44">
        <f t="shared" si="289"/>
        <v>0</v>
      </c>
      <c r="DY149" s="44">
        <f t="shared" si="364"/>
        <v>0</v>
      </c>
      <c r="DZ149" s="44">
        <f t="shared" si="290"/>
        <v>0</v>
      </c>
      <c r="EA149" s="44">
        <f t="shared" si="365"/>
        <v>0</v>
      </c>
      <c r="EB149" s="44">
        <f t="shared" si="291"/>
        <v>4500</v>
      </c>
      <c r="EC149" s="46">
        <f t="shared" si="292"/>
        <v>0</v>
      </c>
      <c r="ED149" s="47">
        <f t="shared" si="293"/>
        <v>0</v>
      </c>
    </row>
    <row r="150" spans="1:134" x14ac:dyDescent="0.35">
      <c r="A150" s="81">
        <v>1998</v>
      </c>
      <c r="B150" s="82" t="s">
        <v>318</v>
      </c>
      <c r="C150" s="82"/>
      <c r="D150" s="83" t="s">
        <v>41</v>
      </c>
      <c r="E150" s="87">
        <v>20700</v>
      </c>
      <c r="F150" s="85">
        <v>35977</v>
      </c>
      <c r="G150" s="86">
        <v>10</v>
      </c>
      <c r="H150" s="179"/>
      <c r="I150" s="180"/>
      <c r="J150" s="181"/>
      <c r="K150" s="42">
        <f t="shared" si="244"/>
        <v>0.1</v>
      </c>
      <c r="L150" s="43">
        <f t="shared" si="245"/>
        <v>2070</v>
      </c>
      <c r="M150" s="44">
        <f t="shared" si="246"/>
        <v>0</v>
      </c>
      <c r="N150" s="44"/>
      <c r="O150" s="44">
        <f t="shared" si="247"/>
        <v>20700</v>
      </c>
      <c r="P150" s="45"/>
      <c r="Q150" s="44">
        <f t="shared" si="248"/>
        <v>20700</v>
      </c>
      <c r="R150" s="604">
        <f t="shared" si="294"/>
        <v>0</v>
      </c>
      <c r="S150" s="44">
        <f t="shared" si="295"/>
        <v>0</v>
      </c>
      <c r="T150" s="44">
        <f t="shared" si="296"/>
        <v>0</v>
      </c>
      <c r="U150" s="44">
        <f t="shared" si="297"/>
        <v>0</v>
      </c>
      <c r="V150" s="44">
        <f t="shared" si="298"/>
        <v>20700</v>
      </c>
      <c r="W150" s="44">
        <f t="shared" si="299"/>
        <v>0</v>
      </c>
      <c r="X150" s="44">
        <f t="shared" si="249"/>
        <v>0</v>
      </c>
      <c r="Y150" s="44">
        <f t="shared" si="300"/>
        <v>0</v>
      </c>
      <c r="Z150" s="44">
        <f t="shared" si="250"/>
        <v>0</v>
      </c>
      <c r="AA150" s="44">
        <f t="shared" si="301"/>
        <v>0</v>
      </c>
      <c r="AB150" s="44">
        <f t="shared" si="251"/>
        <v>20700</v>
      </c>
      <c r="AC150" s="46">
        <f t="shared" si="252"/>
        <v>0</v>
      </c>
      <c r="AD150" s="47">
        <f t="shared" si="253"/>
        <v>0</v>
      </c>
      <c r="AE150" s="604">
        <f t="shared" si="302"/>
        <v>0</v>
      </c>
      <c r="AF150" s="44">
        <f t="shared" si="303"/>
        <v>0</v>
      </c>
      <c r="AG150" s="44">
        <f t="shared" si="304"/>
        <v>0</v>
      </c>
      <c r="AH150" s="44">
        <f t="shared" si="305"/>
        <v>0</v>
      </c>
      <c r="AI150" s="44">
        <f t="shared" si="306"/>
        <v>20700</v>
      </c>
      <c r="AJ150" s="44">
        <f t="shared" si="307"/>
        <v>0</v>
      </c>
      <c r="AK150" s="44">
        <f t="shared" si="254"/>
        <v>0</v>
      </c>
      <c r="AL150" s="44">
        <f t="shared" si="308"/>
        <v>0</v>
      </c>
      <c r="AM150" s="44">
        <f t="shared" si="255"/>
        <v>0</v>
      </c>
      <c r="AN150" s="44">
        <f t="shared" si="309"/>
        <v>0</v>
      </c>
      <c r="AO150" s="44">
        <f t="shared" si="256"/>
        <v>20700</v>
      </c>
      <c r="AP150" s="46">
        <f t="shared" si="257"/>
        <v>0</v>
      </c>
      <c r="AQ150" s="47">
        <f t="shared" si="258"/>
        <v>0</v>
      </c>
      <c r="AR150" s="604">
        <f t="shared" si="310"/>
        <v>0</v>
      </c>
      <c r="AS150" s="44">
        <f t="shared" si="311"/>
        <v>0</v>
      </c>
      <c r="AT150" s="44">
        <f t="shared" si="312"/>
        <v>0</v>
      </c>
      <c r="AU150" s="44">
        <f t="shared" si="313"/>
        <v>0</v>
      </c>
      <c r="AV150" s="44">
        <f t="shared" si="314"/>
        <v>20700</v>
      </c>
      <c r="AW150" s="44">
        <f t="shared" si="315"/>
        <v>0</v>
      </c>
      <c r="AX150" s="44">
        <f t="shared" si="259"/>
        <v>0</v>
      </c>
      <c r="AY150" s="44">
        <f t="shared" si="316"/>
        <v>0</v>
      </c>
      <c r="AZ150" s="44">
        <f t="shared" si="260"/>
        <v>0</v>
      </c>
      <c r="BA150" s="44">
        <f t="shared" si="317"/>
        <v>0</v>
      </c>
      <c r="BB150" s="44">
        <f t="shared" si="261"/>
        <v>20700</v>
      </c>
      <c r="BC150" s="46">
        <f t="shared" si="262"/>
        <v>0</v>
      </c>
      <c r="BD150" s="47">
        <f t="shared" si="263"/>
        <v>0</v>
      </c>
      <c r="BE150" s="604">
        <f t="shared" si="318"/>
        <v>0</v>
      </c>
      <c r="BF150" s="44">
        <f t="shared" si="319"/>
        <v>0</v>
      </c>
      <c r="BG150" s="44">
        <f t="shared" si="320"/>
        <v>0</v>
      </c>
      <c r="BH150" s="44">
        <f t="shared" si="321"/>
        <v>0</v>
      </c>
      <c r="BI150" s="44">
        <f t="shared" si="322"/>
        <v>20700</v>
      </c>
      <c r="BJ150" s="44">
        <f t="shared" si="323"/>
        <v>0</v>
      </c>
      <c r="BK150" s="44">
        <f t="shared" si="264"/>
        <v>0</v>
      </c>
      <c r="BL150" s="44">
        <f t="shared" si="324"/>
        <v>0</v>
      </c>
      <c r="BM150" s="44">
        <f t="shared" si="265"/>
        <v>0</v>
      </c>
      <c r="BN150" s="44">
        <f t="shared" si="325"/>
        <v>0</v>
      </c>
      <c r="BO150" s="44">
        <f t="shared" si="266"/>
        <v>20700</v>
      </c>
      <c r="BP150" s="46">
        <f t="shared" si="267"/>
        <v>0</v>
      </c>
      <c r="BQ150" s="47">
        <f t="shared" si="268"/>
        <v>0</v>
      </c>
      <c r="BR150" s="604">
        <f t="shared" si="326"/>
        <v>0</v>
      </c>
      <c r="BS150" s="44">
        <f t="shared" si="327"/>
        <v>0</v>
      </c>
      <c r="BT150" s="44">
        <f t="shared" si="328"/>
        <v>0</v>
      </c>
      <c r="BU150" s="44">
        <f t="shared" si="329"/>
        <v>0</v>
      </c>
      <c r="BV150" s="44">
        <f t="shared" si="330"/>
        <v>20700</v>
      </c>
      <c r="BW150" s="44">
        <f t="shared" si="331"/>
        <v>0</v>
      </c>
      <c r="BX150" s="44">
        <f t="shared" si="269"/>
        <v>0</v>
      </c>
      <c r="BY150" s="44">
        <f t="shared" si="332"/>
        <v>0</v>
      </c>
      <c r="BZ150" s="44">
        <f t="shared" si="270"/>
        <v>0</v>
      </c>
      <c r="CA150" s="44">
        <f t="shared" si="333"/>
        <v>0</v>
      </c>
      <c r="CB150" s="44">
        <f t="shared" si="271"/>
        <v>20700</v>
      </c>
      <c r="CC150" s="46">
        <f t="shared" si="272"/>
        <v>0</v>
      </c>
      <c r="CD150" s="47">
        <f t="shared" si="273"/>
        <v>0</v>
      </c>
      <c r="CE150" s="604">
        <f t="shared" si="334"/>
        <v>0</v>
      </c>
      <c r="CF150" s="44">
        <f t="shared" si="335"/>
        <v>0</v>
      </c>
      <c r="CG150" s="44">
        <f t="shared" si="336"/>
        <v>0</v>
      </c>
      <c r="CH150" s="44">
        <f t="shared" si="337"/>
        <v>0</v>
      </c>
      <c r="CI150" s="44">
        <f t="shared" si="338"/>
        <v>20700</v>
      </c>
      <c r="CJ150" s="44">
        <f t="shared" si="339"/>
        <v>0</v>
      </c>
      <c r="CK150" s="44">
        <f t="shared" si="274"/>
        <v>0</v>
      </c>
      <c r="CL150" s="44">
        <f t="shared" si="340"/>
        <v>0</v>
      </c>
      <c r="CM150" s="44">
        <f t="shared" si="275"/>
        <v>0</v>
      </c>
      <c r="CN150" s="44">
        <f t="shared" si="341"/>
        <v>0</v>
      </c>
      <c r="CO150" s="44">
        <f t="shared" si="276"/>
        <v>20700</v>
      </c>
      <c r="CP150" s="46">
        <f t="shared" si="277"/>
        <v>0</v>
      </c>
      <c r="CQ150" s="47">
        <f t="shared" si="278"/>
        <v>0</v>
      </c>
      <c r="CR150" s="604">
        <f t="shared" si="342"/>
        <v>0</v>
      </c>
      <c r="CS150" s="44">
        <f t="shared" si="343"/>
        <v>0</v>
      </c>
      <c r="CT150" s="44">
        <f t="shared" si="344"/>
        <v>0</v>
      </c>
      <c r="CU150" s="44">
        <f t="shared" si="345"/>
        <v>0</v>
      </c>
      <c r="CV150" s="44">
        <f t="shared" si="346"/>
        <v>20700</v>
      </c>
      <c r="CW150" s="44">
        <f t="shared" si="347"/>
        <v>0</v>
      </c>
      <c r="CX150" s="44">
        <f t="shared" si="279"/>
        <v>0</v>
      </c>
      <c r="CY150" s="44">
        <f t="shared" si="348"/>
        <v>0</v>
      </c>
      <c r="CZ150" s="44">
        <f t="shared" si="280"/>
        <v>0</v>
      </c>
      <c r="DA150" s="44">
        <f t="shared" si="349"/>
        <v>0</v>
      </c>
      <c r="DB150" s="44">
        <f t="shared" si="281"/>
        <v>20700</v>
      </c>
      <c r="DC150" s="46">
        <f t="shared" si="282"/>
        <v>0</v>
      </c>
      <c r="DD150" s="47">
        <f t="shared" si="283"/>
        <v>0</v>
      </c>
      <c r="DE150" s="604">
        <f t="shared" si="350"/>
        <v>0</v>
      </c>
      <c r="DF150" s="44">
        <f t="shared" si="351"/>
        <v>0</v>
      </c>
      <c r="DG150" s="44">
        <f t="shared" si="352"/>
        <v>0</v>
      </c>
      <c r="DH150" s="44">
        <f t="shared" si="353"/>
        <v>0</v>
      </c>
      <c r="DI150" s="44">
        <f t="shared" si="354"/>
        <v>20700</v>
      </c>
      <c r="DJ150" s="44">
        <f t="shared" si="355"/>
        <v>0</v>
      </c>
      <c r="DK150" s="44">
        <f t="shared" si="284"/>
        <v>0</v>
      </c>
      <c r="DL150" s="44">
        <f t="shared" si="356"/>
        <v>0</v>
      </c>
      <c r="DM150" s="44">
        <f t="shared" si="285"/>
        <v>0</v>
      </c>
      <c r="DN150" s="44">
        <f t="shared" si="357"/>
        <v>0</v>
      </c>
      <c r="DO150" s="44">
        <f t="shared" si="286"/>
        <v>20700</v>
      </c>
      <c r="DP150" s="46">
        <f t="shared" si="287"/>
        <v>0</v>
      </c>
      <c r="DQ150" s="47">
        <f t="shared" si="288"/>
        <v>0</v>
      </c>
      <c r="DR150" s="604">
        <f t="shared" si="358"/>
        <v>0</v>
      </c>
      <c r="DS150" s="44">
        <f t="shared" si="359"/>
        <v>0</v>
      </c>
      <c r="DT150" s="44">
        <f t="shared" si="360"/>
        <v>0</v>
      </c>
      <c r="DU150" s="44">
        <f t="shared" si="361"/>
        <v>0</v>
      </c>
      <c r="DV150" s="44">
        <f t="shared" si="362"/>
        <v>20700</v>
      </c>
      <c r="DW150" s="44">
        <f t="shared" si="363"/>
        <v>0</v>
      </c>
      <c r="DX150" s="44">
        <f t="shared" si="289"/>
        <v>0</v>
      </c>
      <c r="DY150" s="44">
        <f t="shared" si="364"/>
        <v>0</v>
      </c>
      <c r="DZ150" s="44">
        <f t="shared" si="290"/>
        <v>0</v>
      </c>
      <c r="EA150" s="44">
        <f t="shared" si="365"/>
        <v>0</v>
      </c>
      <c r="EB150" s="44">
        <f t="shared" si="291"/>
        <v>20700</v>
      </c>
      <c r="EC150" s="46">
        <f t="shared" si="292"/>
        <v>0</v>
      </c>
      <c r="ED150" s="47">
        <f t="shared" si="293"/>
        <v>0</v>
      </c>
    </row>
    <row r="151" spans="1:134" x14ac:dyDescent="0.35">
      <c r="A151" s="81">
        <v>1998</v>
      </c>
      <c r="B151" s="82" t="s">
        <v>319</v>
      </c>
      <c r="C151" s="82"/>
      <c r="D151" s="83" t="s">
        <v>41</v>
      </c>
      <c r="E151" s="87">
        <v>4400</v>
      </c>
      <c r="F151" s="85">
        <v>35977</v>
      </c>
      <c r="G151" s="86">
        <v>10</v>
      </c>
      <c r="H151" s="179"/>
      <c r="I151" s="180"/>
      <c r="J151" s="181"/>
      <c r="K151" s="42">
        <f t="shared" si="244"/>
        <v>0.1</v>
      </c>
      <c r="L151" s="43">
        <f t="shared" si="245"/>
        <v>440</v>
      </c>
      <c r="M151" s="44">
        <f t="shared" si="246"/>
        <v>0</v>
      </c>
      <c r="N151" s="44"/>
      <c r="O151" s="44">
        <f t="shared" si="247"/>
        <v>4400</v>
      </c>
      <c r="P151" s="45"/>
      <c r="Q151" s="44">
        <f t="shared" si="248"/>
        <v>4400</v>
      </c>
      <c r="R151" s="604">
        <f t="shared" si="294"/>
        <v>0</v>
      </c>
      <c r="S151" s="44">
        <f t="shared" si="295"/>
        <v>0</v>
      </c>
      <c r="T151" s="44">
        <f t="shared" si="296"/>
        <v>0</v>
      </c>
      <c r="U151" s="44">
        <f t="shared" si="297"/>
        <v>0</v>
      </c>
      <c r="V151" s="44">
        <f t="shared" si="298"/>
        <v>4400</v>
      </c>
      <c r="W151" s="44">
        <f t="shared" si="299"/>
        <v>0</v>
      </c>
      <c r="X151" s="44">
        <f t="shared" si="249"/>
        <v>0</v>
      </c>
      <c r="Y151" s="44">
        <f t="shared" si="300"/>
        <v>0</v>
      </c>
      <c r="Z151" s="44">
        <f t="shared" si="250"/>
        <v>0</v>
      </c>
      <c r="AA151" s="44">
        <f t="shared" si="301"/>
        <v>0</v>
      </c>
      <c r="AB151" s="44">
        <f t="shared" si="251"/>
        <v>4400</v>
      </c>
      <c r="AC151" s="46">
        <f t="shared" si="252"/>
        <v>0</v>
      </c>
      <c r="AD151" s="47">
        <f t="shared" si="253"/>
        <v>0</v>
      </c>
      <c r="AE151" s="604">
        <f t="shared" si="302"/>
        <v>0</v>
      </c>
      <c r="AF151" s="44">
        <f t="shared" si="303"/>
        <v>0</v>
      </c>
      <c r="AG151" s="44">
        <f t="shared" si="304"/>
        <v>0</v>
      </c>
      <c r="AH151" s="44">
        <f t="shared" si="305"/>
        <v>0</v>
      </c>
      <c r="AI151" s="44">
        <f t="shared" si="306"/>
        <v>4400</v>
      </c>
      <c r="AJ151" s="44">
        <f t="shared" si="307"/>
        <v>0</v>
      </c>
      <c r="AK151" s="44">
        <f t="shared" si="254"/>
        <v>0</v>
      </c>
      <c r="AL151" s="44">
        <f t="shared" si="308"/>
        <v>0</v>
      </c>
      <c r="AM151" s="44">
        <f t="shared" si="255"/>
        <v>0</v>
      </c>
      <c r="AN151" s="44">
        <f t="shared" si="309"/>
        <v>0</v>
      </c>
      <c r="AO151" s="44">
        <f t="shared" si="256"/>
        <v>4400</v>
      </c>
      <c r="AP151" s="46">
        <f t="shared" si="257"/>
        <v>0</v>
      </c>
      <c r="AQ151" s="47">
        <f t="shared" si="258"/>
        <v>0</v>
      </c>
      <c r="AR151" s="604">
        <f t="shared" si="310"/>
        <v>0</v>
      </c>
      <c r="AS151" s="44">
        <f t="shared" si="311"/>
        <v>0</v>
      </c>
      <c r="AT151" s="44">
        <f t="shared" si="312"/>
        <v>0</v>
      </c>
      <c r="AU151" s="44">
        <f t="shared" si="313"/>
        <v>0</v>
      </c>
      <c r="AV151" s="44">
        <f t="shared" si="314"/>
        <v>4400</v>
      </c>
      <c r="AW151" s="44">
        <f t="shared" si="315"/>
        <v>0</v>
      </c>
      <c r="AX151" s="44">
        <f t="shared" si="259"/>
        <v>0</v>
      </c>
      <c r="AY151" s="44">
        <f t="shared" si="316"/>
        <v>0</v>
      </c>
      <c r="AZ151" s="44">
        <f t="shared" si="260"/>
        <v>0</v>
      </c>
      <c r="BA151" s="44">
        <f t="shared" si="317"/>
        <v>0</v>
      </c>
      <c r="BB151" s="44">
        <f t="shared" si="261"/>
        <v>4400</v>
      </c>
      <c r="BC151" s="46">
        <f t="shared" si="262"/>
        <v>0</v>
      </c>
      <c r="BD151" s="47">
        <f t="shared" si="263"/>
        <v>0</v>
      </c>
      <c r="BE151" s="604">
        <f t="shared" si="318"/>
        <v>0</v>
      </c>
      <c r="BF151" s="44">
        <f t="shared" si="319"/>
        <v>0</v>
      </c>
      <c r="BG151" s="44">
        <f t="shared" si="320"/>
        <v>0</v>
      </c>
      <c r="BH151" s="44">
        <f t="shared" si="321"/>
        <v>0</v>
      </c>
      <c r="BI151" s="44">
        <f t="shared" si="322"/>
        <v>4400</v>
      </c>
      <c r="BJ151" s="44">
        <f t="shared" si="323"/>
        <v>0</v>
      </c>
      <c r="BK151" s="44">
        <f t="shared" si="264"/>
        <v>0</v>
      </c>
      <c r="BL151" s="44">
        <f t="shared" si="324"/>
        <v>0</v>
      </c>
      <c r="BM151" s="44">
        <f t="shared" si="265"/>
        <v>0</v>
      </c>
      <c r="BN151" s="44">
        <f t="shared" si="325"/>
        <v>0</v>
      </c>
      <c r="BO151" s="44">
        <f t="shared" si="266"/>
        <v>4400</v>
      </c>
      <c r="BP151" s="46">
        <f t="shared" si="267"/>
        <v>0</v>
      </c>
      <c r="BQ151" s="47">
        <f t="shared" si="268"/>
        <v>0</v>
      </c>
      <c r="BR151" s="604">
        <f t="shared" si="326"/>
        <v>0</v>
      </c>
      <c r="BS151" s="44">
        <f t="shared" si="327"/>
        <v>0</v>
      </c>
      <c r="BT151" s="44">
        <f t="shared" si="328"/>
        <v>0</v>
      </c>
      <c r="BU151" s="44">
        <f t="shared" si="329"/>
        <v>0</v>
      </c>
      <c r="BV151" s="44">
        <f t="shared" si="330"/>
        <v>4400</v>
      </c>
      <c r="BW151" s="44">
        <f t="shared" si="331"/>
        <v>0</v>
      </c>
      <c r="BX151" s="44">
        <f t="shared" si="269"/>
        <v>0</v>
      </c>
      <c r="BY151" s="44">
        <f t="shared" si="332"/>
        <v>0</v>
      </c>
      <c r="BZ151" s="44">
        <f t="shared" si="270"/>
        <v>0</v>
      </c>
      <c r="CA151" s="44">
        <f t="shared" si="333"/>
        <v>0</v>
      </c>
      <c r="CB151" s="44">
        <f t="shared" si="271"/>
        <v>4400</v>
      </c>
      <c r="CC151" s="46">
        <f t="shared" si="272"/>
        <v>0</v>
      </c>
      <c r="CD151" s="47">
        <f t="shared" si="273"/>
        <v>0</v>
      </c>
      <c r="CE151" s="604">
        <f t="shared" si="334"/>
        <v>0</v>
      </c>
      <c r="CF151" s="44">
        <f t="shared" si="335"/>
        <v>0</v>
      </c>
      <c r="CG151" s="44">
        <f t="shared" si="336"/>
        <v>0</v>
      </c>
      <c r="CH151" s="44">
        <f t="shared" si="337"/>
        <v>0</v>
      </c>
      <c r="CI151" s="44">
        <f t="shared" si="338"/>
        <v>4400</v>
      </c>
      <c r="CJ151" s="44">
        <f t="shared" si="339"/>
        <v>0</v>
      </c>
      <c r="CK151" s="44">
        <f t="shared" si="274"/>
        <v>0</v>
      </c>
      <c r="CL151" s="44">
        <f t="shared" si="340"/>
        <v>0</v>
      </c>
      <c r="CM151" s="44">
        <f t="shared" si="275"/>
        <v>0</v>
      </c>
      <c r="CN151" s="44">
        <f t="shared" si="341"/>
        <v>0</v>
      </c>
      <c r="CO151" s="44">
        <f t="shared" si="276"/>
        <v>4400</v>
      </c>
      <c r="CP151" s="46">
        <f t="shared" si="277"/>
        <v>0</v>
      </c>
      <c r="CQ151" s="47">
        <f t="shared" si="278"/>
        <v>0</v>
      </c>
      <c r="CR151" s="604">
        <f t="shared" si="342"/>
        <v>0</v>
      </c>
      <c r="CS151" s="44">
        <f t="shared" si="343"/>
        <v>0</v>
      </c>
      <c r="CT151" s="44">
        <f t="shared" si="344"/>
        <v>0</v>
      </c>
      <c r="CU151" s="44">
        <f t="shared" si="345"/>
        <v>0</v>
      </c>
      <c r="CV151" s="44">
        <f t="shared" si="346"/>
        <v>4400</v>
      </c>
      <c r="CW151" s="44">
        <f t="shared" si="347"/>
        <v>0</v>
      </c>
      <c r="CX151" s="44">
        <f t="shared" si="279"/>
        <v>0</v>
      </c>
      <c r="CY151" s="44">
        <f t="shared" si="348"/>
        <v>0</v>
      </c>
      <c r="CZ151" s="44">
        <f t="shared" si="280"/>
        <v>0</v>
      </c>
      <c r="DA151" s="44">
        <f t="shared" si="349"/>
        <v>0</v>
      </c>
      <c r="DB151" s="44">
        <f t="shared" si="281"/>
        <v>4400</v>
      </c>
      <c r="DC151" s="46">
        <f t="shared" si="282"/>
        <v>0</v>
      </c>
      <c r="DD151" s="47">
        <f t="shared" si="283"/>
        <v>0</v>
      </c>
      <c r="DE151" s="604">
        <f t="shared" si="350"/>
        <v>0</v>
      </c>
      <c r="DF151" s="44">
        <f t="shared" si="351"/>
        <v>0</v>
      </c>
      <c r="DG151" s="44">
        <f t="shared" si="352"/>
        <v>0</v>
      </c>
      <c r="DH151" s="44">
        <f t="shared" si="353"/>
        <v>0</v>
      </c>
      <c r="DI151" s="44">
        <f t="shared" si="354"/>
        <v>4400</v>
      </c>
      <c r="DJ151" s="44">
        <f t="shared" si="355"/>
        <v>0</v>
      </c>
      <c r="DK151" s="44">
        <f t="shared" si="284"/>
        <v>0</v>
      </c>
      <c r="DL151" s="44">
        <f t="shared" si="356"/>
        <v>0</v>
      </c>
      <c r="DM151" s="44">
        <f t="shared" si="285"/>
        <v>0</v>
      </c>
      <c r="DN151" s="44">
        <f t="shared" si="357"/>
        <v>0</v>
      </c>
      <c r="DO151" s="44">
        <f t="shared" si="286"/>
        <v>4400</v>
      </c>
      <c r="DP151" s="46">
        <f t="shared" si="287"/>
        <v>0</v>
      </c>
      <c r="DQ151" s="47">
        <f t="shared" si="288"/>
        <v>0</v>
      </c>
      <c r="DR151" s="604">
        <f t="shared" si="358"/>
        <v>0</v>
      </c>
      <c r="DS151" s="44">
        <f t="shared" si="359"/>
        <v>0</v>
      </c>
      <c r="DT151" s="44">
        <f t="shared" si="360"/>
        <v>0</v>
      </c>
      <c r="DU151" s="44">
        <f t="shared" si="361"/>
        <v>0</v>
      </c>
      <c r="DV151" s="44">
        <f t="shared" si="362"/>
        <v>4400</v>
      </c>
      <c r="DW151" s="44">
        <f t="shared" si="363"/>
        <v>0</v>
      </c>
      <c r="DX151" s="44">
        <f t="shared" si="289"/>
        <v>0</v>
      </c>
      <c r="DY151" s="44">
        <f t="shared" si="364"/>
        <v>0</v>
      </c>
      <c r="DZ151" s="44">
        <f t="shared" si="290"/>
        <v>0</v>
      </c>
      <c r="EA151" s="44">
        <f t="shared" si="365"/>
        <v>0</v>
      </c>
      <c r="EB151" s="44">
        <f t="shared" si="291"/>
        <v>4400</v>
      </c>
      <c r="EC151" s="46">
        <f t="shared" si="292"/>
        <v>0</v>
      </c>
      <c r="ED151" s="47">
        <f t="shared" si="293"/>
        <v>0</v>
      </c>
    </row>
    <row r="152" spans="1:134" x14ac:dyDescent="0.35">
      <c r="A152" s="81">
        <v>1999</v>
      </c>
      <c r="B152" s="82" t="s">
        <v>320</v>
      </c>
      <c r="C152" s="82"/>
      <c r="D152" s="83" t="s">
        <v>41</v>
      </c>
      <c r="E152" s="87">
        <v>2600</v>
      </c>
      <c r="F152" s="85">
        <v>36342</v>
      </c>
      <c r="G152" s="86">
        <v>10</v>
      </c>
      <c r="H152" s="179"/>
      <c r="I152" s="180"/>
      <c r="J152" s="181"/>
      <c r="K152" s="42">
        <f t="shared" si="244"/>
        <v>0.1</v>
      </c>
      <c r="L152" s="43">
        <f t="shared" si="245"/>
        <v>260</v>
      </c>
      <c r="M152" s="44">
        <f t="shared" si="246"/>
        <v>0</v>
      </c>
      <c r="N152" s="44"/>
      <c r="O152" s="44">
        <f t="shared" si="247"/>
        <v>2600</v>
      </c>
      <c r="P152" s="45"/>
      <c r="Q152" s="44">
        <f t="shared" si="248"/>
        <v>2600</v>
      </c>
      <c r="R152" s="604">
        <f t="shared" si="294"/>
        <v>0</v>
      </c>
      <c r="S152" s="44">
        <f t="shared" si="295"/>
        <v>0</v>
      </c>
      <c r="T152" s="44">
        <f t="shared" si="296"/>
        <v>0</v>
      </c>
      <c r="U152" s="44">
        <f t="shared" si="297"/>
        <v>0</v>
      </c>
      <c r="V152" s="44">
        <f t="shared" si="298"/>
        <v>2600</v>
      </c>
      <c r="W152" s="44">
        <f t="shared" si="299"/>
        <v>0</v>
      </c>
      <c r="X152" s="44">
        <f t="shared" si="249"/>
        <v>0</v>
      </c>
      <c r="Y152" s="44">
        <f t="shared" si="300"/>
        <v>0</v>
      </c>
      <c r="Z152" s="44">
        <f t="shared" si="250"/>
        <v>0</v>
      </c>
      <c r="AA152" s="44">
        <f t="shared" si="301"/>
        <v>0</v>
      </c>
      <c r="AB152" s="44">
        <f t="shared" si="251"/>
        <v>2600</v>
      </c>
      <c r="AC152" s="46">
        <f t="shared" si="252"/>
        <v>0</v>
      </c>
      <c r="AD152" s="47">
        <f t="shared" si="253"/>
        <v>0</v>
      </c>
      <c r="AE152" s="604">
        <f t="shared" si="302"/>
        <v>0</v>
      </c>
      <c r="AF152" s="44">
        <f t="shared" si="303"/>
        <v>0</v>
      </c>
      <c r="AG152" s="44">
        <f t="shared" si="304"/>
        <v>0</v>
      </c>
      <c r="AH152" s="44">
        <f t="shared" si="305"/>
        <v>0</v>
      </c>
      <c r="AI152" s="44">
        <f t="shared" si="306"/>
        <v>2600</v>
      </c>
      <c r="AJ152" s="44">
        <f t="shared" si="307"/>
        <v>0</v>
      </c>
      <c r="AK152" s="44">
        <f t="shared" si="254"/>
        <v>0</v>
      </c>
      <c r="AL152" s="44">
        <f t="shared" si="308"/>
        <v>0</v>
      </c>
      <c r="AM152" s="44">
        <f t="shared" si="255"/>
        <v>0</v>
      </c>
      <c r="AN152" s="44">
        <f t="shared" si="309"/>
        <v>0</v>
      </c>
      <c r="AO152" s="44">
        <f t="shared" si="256"/>
        <v>2600</v>
      </c>
      <c r="AP152" s="46">
        <f t="shared" si="257"/>
        <v>0</v>
      </c>
      <c r="AQ152" s="47">
        <f t="shared" si="258"/>
        <v>0</v>
      </c>
      <c r="AR152" s="604">
        <f t="shared" si="310"/>
        <v>0</v>
      </c>
      <c r="AS152" s="44">
        <f t="shared" si="311"/>
        <v>0</v>
      </c>
      <c r="AT152" s="44">
        <f t="shared" si="312"/>
        <v>0</v>
      </c>
      <c r="AU152" s="44">
        <f t="shared" si="313"/>
        <v>0</v>
      </c>
      <c r="AV152" s="44">
        <f t="shared" si="314"/>
        <v>2600</v>
      </c>
      <c r="AW152" s="44">
        <f t="shared" si="315"/>
        <v>0</v>
      </c>
      <c r="AX152" s="44">
        <f t="shared" si="259"/>
        <v>0</v>
      </c>
      <c r="AY152" s="44">
        <f t="shared" si="316"/>
        <v>0</v>
      </c>
      <c r="AZ152" s="44">
        <f t="shared" si="260"/>
        <v>0</v>
      </c>
      <c r="BA152" s="44">
        <f t="shared" si="317"/>
        <v>0</v>
      </c>
      <c r="BB152" s="44">
        <f t="shared" si="261"/>
        <v>2600</v>
      </c>
      <c r="BC152" s="46">
        <f t="shared" si="262"/>
        <v>0</v>
      </c>
      <c r="BD152" s="47">
        <f t="shared" si="263"/>
        <v>0</v>
      </c>
      <c r="BE152" s="604">
        <f t="shared" si="318"/>
        <v>0</v>
      </c>
      <c r="BF152" s="44">
        <f t="shared" si="319"/>
        <v>0</v>
      </c>
      <c r="BG152" s="44">
        <f t="shared" si="320"/>
        <v>0</v>
      </c>
      <c r="BH152" s="44">
        <f t="shared" si="321"/>
        <v>0</v>
      </c>
      <c r="BI152" s="44">
        <f t="shared" si="322"/>
        <v>2600</v>
      </c>
      <c r="BJ152" s="44">
        <f t="shared" si="323"/>
        <v>0</v>
      </c>
      <c r="BK152" s="44">
        <f t="shared" si="264"/>
        <v>0</v>
      </c>
      <c r="BL152" s="44">
        <f t="shared" si="324"/>
        <v>0</v>
      </c>
      <c r="BM152" s="44">
        <f t="shared" si="265"/>
        <v>0</v>
      </c>
      <c r="BN152" s="44">
        <f t="shared" si="325"/>
        <v>0</v>
      </c>
      <c r="BO152" s="44">
        <f t="shared" si="266"/>
        <v>2600</v>
      </c>
      <c r="BP152" s="46">
        <f t="shared" si="267"/>
        <v>0</v>
      </c>
      <c r="BQ152" s="47">
        <f t="shared" si="268"/>
        <v>0</v>
      </c>
      <c r="BR152" s="604">
        <f t="shared" si="326"/>
        <v>0</v>
      </c>
      <c r="BS152" s="44">
        <f t="shared" si="327"/>
        <v>0</v>
      </c>
      <c r="BT152" s="44">
        <f t="shared" si="328"/>
        <v>0</v>
      </c>
      <c r="BU152" s="44">
        <f t="shared" si="329"/>
        <v>0</v>
      </c>
      <c r="BV152" s="44">
        <f t="shared" si="330"/>
        <v>2600</v>
      </c>
      <c r="BW152" s="44">
        <f t="shared" si="331"/>
        <v>0</v>
      </c>
      <c r="BX152" s="44">
        <f t="shared" si="269"/>
        <v>0</v>
      </c>
      <c r="BY152" s="44">
        <f t="shared" si="332"/>
        <v>0</v>
      </c>
      <c r="BZ152" s="44">
        <f t="shared" si="270"/>
        <v>0</v>
      </c>
      <c r="CA152" s="44">
        <f t="shared" si="333"/>
        <v>0</v>
      </c>
      <c r="CB152" s="44">
        <f t="shared" si="271"/>
        <v>2600</v>
      </c>
      <c r="CC152" s="46">
        <f t="shared" si="272"/>
        <v>0</v>
      </c>
      <c r="CD152" s="47">
        <f t="shared" si="273"/>
        <v>0</v>
      </c>
      <c r="CE152" s="604">
        <f t="shared" si="334"/>
        <v>0</v>
      </c>
      <c r="CF152" s="44">
        <f t="shared" si="335"/>
        <v>0</v>
      </c>
      <c r="CG152" s="44">
        <f t="shared" si="336"/>
        <v>0</v>
      </c>
      <c r="CH152" s="44">
        <f t="shared" si="337"/>
        <v>0</v>
      </c>
      <c r="CI152" s="44">
        <f t="shared" si="338"/>
        <v>2600</v>
      </c>
      <c r="CJ152" s="44">
        <f t="shared" si="339"/>
        <v>0</v>
      </c>
      <c r="CK152" s="44">
        <f t="shared" si="274"/>
        <v>0</v>
      </c>
      <c r="CL152" s="44">
        <f t="shared" si="340"/>
        <v>0</v>
      </c>
      <c r="CM152" s="44">
        <f t="shared" si="275"/>
        <v>0</v>
      </c>
      <c r="CN152" s="44">
        <f t="shared" si="341"/>
        <v>0</v>
      </c>
      <c r="CO152" s="44">
        <f t="shared" si="276"/>
        <v>2600</v>
      </c>
      <c r="CP152" s="46">
        <f t="shared" si="277"/>
        <v>0</v>
      </c>
      <c r="CQ152" s="47">
        <f t="shared" si="278"/>
        <v>0</v>
      </c>
      <c r="CR152" s="604">
        <f t="shared" si="342"/>
        <v>0</v>
      </c>
      <c r="CS152" s="44">
        <f t="shared" si="343"/>
        <v>0</v>
      </c>
      <c r="CT152" s="44">
        <f t="shared" si="344"/>
        <v>0</v>
      </c>
      <c r="CU152" s="44">
        <f t="shared" si="345"/>
        <v>0</v>
      </c>
      <c r="CV152" s="44">
        <f t="shared" si="346"/>
        <v>2600</v>
      </c>
      <c r="CW152" s="44">
        <f t="shared" si="347"/>
        <v>0</v>
      </c>
      <c r="CX152" s="44">
        <f t="shared" si="279"/>
        <v>0</v>
      </c>
      <c r="CY152" s="44">
        <f t="shared" si="348"/>
        <v>0</v>
      </c>
      <c r="CZ152" s="44">
        <f t="shared" si="280"/>
        <v>0</v>
      </c>
      <c r="DA152" s="44">
        <f t="shared" si="349"/>
        <v>0</v>
      </c>
      <c r="DB152" s="44">
        <f t="shared" si="281"/>
        <v>2600</v>
      </c>
      <c r="DC152" s="46">
        <f t="shared" si="282"/>
        <v>0</v>
      </c>
      <c r="DD152" s="47">
        <f t="shared" si="283"/>
        <v>0</v>
      </c>
      <c r="DE152" s="604">
        <f t="shared" si="350"/>
        <v>0</v>
      </c>
      <c r="DF152" s="44">
        <f t="shared" si="351"/>
        <v>0</v>
      </c>
      <c r="DG152" s="44">
        <f t="shared" si="352"/>
        <v>0</v>
      </c>
      <c r="DH152" s="44">
        <f t="shared" si="353"/>
        <v>0</v>
      </c>
      <c r="DI152" s="44">
        <f t="shared" si="354"/>
        <v>2600</v>
      </c>
      <c r="DJ152" s="44">
        <f t="shared" si="355"/>
        <v>0</v>
      </c>
      <c r="DK152" s="44">
        <f t="shared" si="284"/>
        <v>0</v>
      </c>
      <c r="DL152" s="44">
        <f t="shared" si="356"/>
        <v>0</v>
      </c>
      <c r="DM152" s="44">
        <f t="shared" si="285"/>
        <v>0</v>
      </c>
      <c r="DN152" s="44">
        <f t="shared" si="357"/>
        <v>0</v>
      </c>
      <c r="DO152" s="44">
        <f t="shared" si="286"/>
        <v>2600</v>
      </c>
      <c r="DP152" s="46">
        <f t="shared" si="287"/>
        <v>0</v>
      </c>
      <c r="DQ152" s="47">
        <f t="shared" si="288"/>
        <v>0</v>
      </c>
      <c r="DR152" s="604">
        <f t="shared" si="358"/>
        <v>0</v>
      </c>
      <c r="DS152" s="44">
        <f t="shared" si="359"/>
        <v>0</v>
      </c>
      <c r="DT152" s="44">
        <f t="shared" si="360"/>
        <v>0</v>
      </c>
      <c r="DU152" s="44">
        <f t="shared" si="361"/>
        <v>0</v>
      </c>
      <c r="DV152" s="44">
        <f t="shared" si="362"/>
        <v>2600</v>
      </c>
      <c r="DW152" s="44">
        <f t="shared" si="363"/>
        <v>0</v>
      </c>
      <c r="DX152" s="44">
        <f t="shared" si="289"/>
        <v>0</v>
      </c>
      <c r="DY152" s="44">
        <f t="shared" si="364"/>
        <v>0</v>
      </c>
      <c r="DZ152" s="44">
        <f t="shared" si="290"/>
        <v>0</v>
      </c>
      <c r="EA152" s="44">
        <f t="shared" si="365"/>
        <v>0</v>
      </c>
      <c r="EB152" s="44">
        <f t="shared" si="291"/>
        <v>2600</v>
      </c>
      <c r="EC152" s="46">
        <f t="shared" si="292"/>
        <v>0</v>
      </c>
      <c r="ED152" s="47">
        <f t="shared" si="293"/>
        <v>0</v>
      </c>
    </row>
    <row r="153" spans="1:134" x14ac:dyDescent="0.35">
      <c r="A153" s="81">
        <v>1999</v>
      </c>
      <c r="B153" s="82" t="s">
        <v>321</v>
      </c>
      <c r="C153" s="82"/>
      <c r="D153" s="83" t="s">
        <v>41</v>
      </c>
      <c r="E153" s="87">
        <v>8200</v>
      </c>
      <c r="F153" s="85">
        <v>36342</v>
      </c>
      <c r="G153" s="86">
        <v>10</v>
      </c>
      <c r="H153" s="179"/>
      <c r="I153" s="180"/>
      <c r="J153" s="181"/>
      <c r="K153" s="42">
        <f t="shared" si="244"/>
        <v>0.1</v>
      </c>
      <c r="L153" s="43">
        <f t="shared" si="245"/>
        <v>820</v>
      </c>
      <c r="M153" s="44">
        <f t="shared" si="246"/>
        <v>0</v>
      </c>
      <c r="N153" s="44"/>
      <c r="O153" s="44">
        <f t="shared" si="247"/>
        <v>8200</v>
      </c>
      <c r="P153" s="45"/>
      <c r="Q153" s="44">
        <f t="shared" si="248"/>
        <v>8200</v>
      </c>
      <c r="R153" s="604">
        <f t="shared" si="294"/>
        <v>0</v>
      </c>
      <c r="S153" s="44">
        <f t="shared" si="295"/>
        <v>0</v>
      </c>
      <c r="T153" s="44">
        <f t="shared" si="296"/>
        <v>0</v>
      </c>
      <c r="U153" s="44">
        <f t="shared" si="297"/>
        <v>0</v>
      </c>
      <c r="V153" s="44">
        <f t="shared" si="298"/>
        <v>8200</v>
      </c>
      <c r="W153" s="44">
        <f t="shared" si="299"/>
        <v>0</v>
      </c>
      <c r="X153" s="44">
        <f t="shared" si="249"/>
        <v>0</v>
      </c>
      <c r="Y153" s="44">
        <f t="shared" si="300"/>
        <v>0</v>
      </c>
      <c r="Z153" s="44">
        <f t="shared" si="250"/>
        <v>0</v>
      </c>
      <c r="AA153" s="44">
        <f t="shared" si="301"/>
        <v>0</v>
      </c>
      <c r="AB153" s="44">
        <f t="shared" si="251"/>
        <v>8200</v>
      </c>
      <c r="AC153" s="46">
        <f t="shared" si="252"/>
        <v>0</v>
      </c>
      <c r="AD153" s="47">
        <f t="shared" si="253"/>
        <v>0</v>
      </c>
      <c r="AE153" s="604">
        <f t="shared" si="302"/>
        <v>0</v>
      </c>
      <c r="AF153" s="44">
        <f t="shared" si="303"/>
        <v>0</v>
      </c>
      <c r="AG153" s="44">
        <f t="shared" si="304"/>
        <v>0</v>
      </c>
      <c r="AH153" s="44">
        <f t="shared" si="305"/>
        <v>0</v>
      </c>
      <c r="AI153" s="44">
        <f t="shared" si="306"/>
        <v>8200</v>
      </c>
      <c r="AJ153" s="44">
        <f t="shared" si="307"/>
        <v>0</v>
      </c>
      <c r="AK153" s="44">
        <f t="shared" si="254"/>
        <v>0</v>
      </c>
      <c r="AL153" s="44">
        <f t="shared" si="308"/>
        <v>0</v>
      </c>
      <c r="AM153" s="44">
        <f t="shared" si="255"/>
        <v>0</v>
      </c>
      <c r="AN153" s="44">
        <f t="shared" si="309"/>
        <v>0</v>
      </c>
      <c r="AO153" s="44">
        <f t="shared" si="256"/>
        <v>8200</v>
      </c>
      <c r="AP153" s="46">
        <f t="shared" si="257"/>
        <v>0</v>
      </c>
      <c r="AQ153" s="47">
        <f t="shared" si="258"/>
        <v>0</v>
      </c>
      <c r="AR153" s="604">
        <f t="shared" si="310"/>
        <v>0</v>
      </c>
      <c r="AS153" s="44">
        <f t="shared" si="311"/>
        <v>0</v>
      </c>
      <c r="AT153" s="44">
        <f t="shared" si="312"/>
        <v>0</v>
      </c>
      <c r="AU153" s="44">
        <f t="shared" si="313"/>
        <v>0</v>
      </c>
      <c r="AV153" s="44">
        <f t="shared" si="314"/>
        <v>8200</v>
      </c>
      <c r="AW153" s="44">
        <f t="shared" si="315"/>
        <v>0</v>
      </c>
      <c r="AX153" s="44">
        <f t="shared" si="259"/>
        <v>0</v>
      </c>
      <c r="AY153" s="44">
        <f t="shared" si="316"/>
        <v>0</v>
      </c>
      <c r="AZ153" s="44">
        <f t="shared" si="260"/>
        <v>0</v>
      </c>
      <c r="BA153" s="44">
        <f t="shared" si="317"/>
        <v>0</v>
      </c>
      <c r="BB153" s="44">
        <f t="shared" si="261"/>
        <v>8200</v>
      </c>
      <c r="BC153" s="46">
        <f t="shared" si="262"/>
        <v>0</v>
      </c>
      <c r="BD153" s="47">
        <f t="shared" si="263"/>
        <v>0</v>
      </c>
      <c r="BE153" s="604">
        <f t="shared" si="318"/>
        <v>0</v>
      </c>
      <c r="BF153" s="44">
        <f t="shared" si="319"/>
        <v>0</v>
      </c>
      <c r="BG153" s="44">
        <f t="shared" si="320"/>
        <v>0</v>
      </c>
      <c r="BH153" s="44">
        <f t="shared" si="321"/>
        <v>0</v>
      </c>
      <c r="BI153" s="44">
        <f t="shared" si="322"/>
        <v>8200</v>
      </c>
      <c r="BJ153" s="44">
        <f t="shared" si="323"/>
        <v>0</v>
      </c>
      <c r="BK153" s="44">
        <f t="shared" si="264"/>
        <v>0</v>
      </c>
      <c r="BL153" s="44">
        <f t="shared" si="324"/>
        <v>0</v>
      </c>
      <c r="BM153" s="44">
        <f t="shared" si="265"/>
        <v>0</v>
      </c>
      <c r="BN153" s="44">
        <f t="shared" si="325"/>
        <v>0</v>
      </c>
      <c r="BO153" s="44">
        <f t="shared" si="266"/>
        <v>8200</v>
      </c>
      <c r="BP153" s="46">
        <f t="shared" si="267"/>
        <v>0</v>
      </c>
      <c r="BQ153" s="47">
        <f t="shared" si="268"/>
        <v>0</v>
      </c>
      <c r="BR153" s="604">
        <f t="shared" si="326"/>
        <v>0</v>
      </c>
      <c r="BS153" s="44">
        <f t="shared" si="327"/>
        <v>0</v>
      </c>
      <c r="BT153" s="44">
        <f t="shared" si="328"/>
        <v>0</v>
      </c>
      <c r="BU153" s="44">
        <f t="shared" si="329"/>
        <v>0</v>
      </c>
      <c r="BV153" s="44">
        <f t="shared" si="330"/>
        <v>8200</v>
      </c>
      <c r="BW153" s="44">
        <f t="shared" si="331"/>
        <v>0</v>
      </c>
      <c r="BX153" s="44">
        <f t="shared" si="269"/>
        <v>0</v>
      </c>
      <c r="BY153" s="44">
        <f t="shared" si="332"/>
        <v>0</v>
      </c>
      <c r="BZ153" s="44">
        <f t="shared" si="270"/>
        <v>0</v>
      </c>
      <c r="CA153" s="44">
        <f t="shared" si="333"/>
        <v>0</v>
      </c>
      <c r="CB153" s="44">
        <f t="shared" si="271"/>
        <v>8200</v>
      </c>
      <c r="CC153" s="46">
        <f t="shared" si="272"/>
        <v>0</v>
      </c>
      <c r="CD153" s="47">
        <f t="shared" si="273"/>
        <v>0</v>
      </c>
      <c r="CE153" s="604">
        <f t="shared" si="334"/>
        <v>0</v>
      </c>
      <c r="CF153" s="44">
        <f t="shared" si="335"/>
        <v>0</v>
      </c>
      <c r="CG153" s="44">
        <f t="shared" si="336"/>
        <v>0</v>
      </c>
      <c r="CH153" s="44">
        <f t="shared" si="337"/>
        <v>0</v>
      </c>
      <c r="CI153" s="44">
        <f t="shared" si="338"/>
        <v>8200</v>
      </c>
      <c r="CJ153" s="44">
        <f t="shared" si="339"/>
        <v>0</v>
      </c>
      <c r="CK153" s="44">
        <f t="shared" si="274"/>
        <v>0</v>
      </c>
      <c r="CL153" s="44">
        <f t="shared" si="340"/>
        <v>0</v>
      </c>
      <c r="CM153" s="44">
        <f t="shared" si="275"/>
        <v>0</v>
      </c>
      <c r="CN153" s="44">
        <f t="shared" si="341"/>
        <v>0</v>
      </c>
      <c r="CO153" s="44">
        <f t="shared" si="276"/>
        <v>8200</v>
      </c>
      <c r="CP153" s="46">
        <f t="shared" si="277"/>
        <v>0</v>
      </c>
      <c r="CQ153" s="47">
        <f t="shared" si="278"/>
        <v>0</v>
      </c>
      <c r="CR153" s="604">
        <f t="shared" si="342"/>
        <v>0</v>
      </c>
      <c r="CS153" s="44">
        <f t="shared" si="343"/>
        <v>0</v>
      </c>
      <c r="CT153" s="44">
        <f t="shared" si="344"/>
        <v>0</v>
      </c>
      <c r="CU153" s="44">
        <f t="shared" si="345"/>
        <v>0</v>
      </c>
      <c r="CV153" s="44">
        <f t="shared" si="346"/>
        <v>8200</v>
      </c>
      <c r="CW153" s="44">
        <f t="shared" si="347"/>
        <v>0</v>
      </c>
      <c r="CX153" s="44">
        <f t="shared" si="279"/>
        <v>0</v>
      </c>
      <c r="CY153" s="44">
        <f t="shared" si="348"/>
        <v>0</v>
      </c>
      <c r="CZ153" s="44">
        <f t="shared" si="280"/>
        <v>0</v>
      </c>
      <c r="DA153" s="44">
        <f t="shared" si="349"/>
        <v>0</v>
      </c>
      <c r="DB153" s="44">
        <f t="shared" si="281"/>
        <v>8200</v>
      </c>
      <c r="DC153" s="46">
        <f t="shared" si="282"/>
        <v>0</v>
      </c>
      <c r="DD153" s="47">
        <f t="shared" si="283"/>
        <v>0</v>
      </c>
      <c r="DE153" s="604">
        <f t="shared" si="350"/>
        <v>0</v>
      </c>
      <c r="DF153" s="44">
        <f t="shared" si="351"/>
        <v>0</v>
      </c>
      <c r="DG153" s="44">
        <f t="shared" si="352"/>
        <v>0</v>
      </c>
      <c r="DH153" s="44">
        <f t="shared" si="353"/>
        <v>0</v>
      </c>
      <c r="DI153" s="44">
        <f t="shared" si="354"/>
        <v>8200</v>
      </c>
      <c r="DJ153" s="44">
        <f t="shared" si="355"/>
        <v>0</v>
      </c>
      <c r="DK153" s="44">
        <f t="shared" si="284"/>
        <v>0</v>
      </c>
      <c r="DL153" s="44">
        <f t="shared" si="356"/>
        <v>0</v>
      </c>
      <c r="DM153" s="44">
        <f t="shared" si="285"/>
        <v>0</v>
      </c>
      <c r="DN153" s="44">
        <f t="shared" si="357"/>
        <v>0</v>
      </c>
      <c r="DO153" s="44">
        <f t="shared" si="286"/>
        <v>8200</v>
      </c>
      <c r="DP153" s="46">
        <f t="shared" si="287"/>
        <v>0</v>
      </c>
      <c r="DQ153" s="47">
        <f t="shared" si="288"/>
        <v>0</v>
      </c>
      <c r="DR153" s="604">
        <f t="shared" si="358"/>
        <v>0</v>
      </c>
      <c r="DS153" s="44">
        <f t="shared" si="359"/>
        <v>0</v>
      </c>
      <c r="DT153" s="44">
        <f t="shared" si="360"/>
        <v>0</v>
      </c>
      <c r="DU153" s="44">
        <f t="shared" si="361"/>
        <v>0</v>
      </c>
      <c r="DV153" s="44">
        <f t="shared" si="362"/>
        <v>8200</v>
      </c>
      <c r="DW153" s="44">
        <f t="shared" si="363"/>
        <v>0</v>
      </c>
      <c r="DX153" s="44">
        <f t="shared" si="289"/>
        <v>0</v>
      </c>
      <c r="DY153" s="44">
        <f t="shared" si="364"/>
        <v>0</v>
      </c>
      <c r="DZ153" s="44">
        <f t="shared" si="290"/>
        <v>0</v>
      </c>
      <c r="EA153" s="44">
        <f t="shared" si="365"/>
        <v>0</v>
      </c>
      <c r="EB153" s="44">
        <f t="shared" si="291"/>
        <v>8200</v>
      </c>
      <c r="EC153" s="46">
        <f t="shared" si="292"/>
        <v>0</v>
      </c>
      <c r="ED153" s="47">
        <f t="shared" si="293"/>
        <v>0</v>
      </c>
    </row>
    <row r="154" spans="1:134" x14ac:dyDescent="0.35">
      <c r="A154" s="81">
        <v>2000</v>
      </c>
      <c r="B154" s="82" t="s">
        <v>322</v>
      </c>
      <c r="C154" s="82"/>
      <c r="D154" s="83" t="s">
        <v>41</v>
      </c>
      <c r="E154" s="87">
        <v>2500</v>
      </c>
      <c r="F154" s="85">
        <v>36708</v>
      </c>
      <c r="G154" s="86">
        <v>10</v>
      </c>
      <c r="H154" s="179"/>
      <c r="I154" s="180"/>
      <c r="J154" s="181"/>
      <c r="K154" s="42">
        <f t="shared" si="244"/>
        <v>0.1</v>
      </c>
      <c r="L154" s="43">
        <f t="shared" si="245"/>
        <v>250</v>
      </c>
      <c r="M154" s="44">
        <f t="shared" si="246"/>
        <v>0</v>
      </c>
      <c r="N154" s="44"/>
      <c r="O154" s="44">
        <f t="shared" si="247"/>
        <v>2500</v>
      </c>
      <c r="P154" s="45"/>
      <c r="Q154" s="44">
        <f t="shared" si="248"/>
        <v>2500</v>
      </c>
      <c r="R154" s="604">
        <f t="shared" si="294"/>
        <v>0</v>
      </c>
      <c r="S154" s="44">
        <f t="shared" si="295"/>
        <v>0</v>
      </c>
      <c r="T154" s="44">
        <f t="shared" si="296"/>
        <v>0</v>
      </c>
      <c r="U154" s="44">
        <f t="shared" si="297"/>
        <v>0</v>
      </c>
      <c r="V154" s="44">
        <f t="shared" si="298"/>
        <v>2500</v>
      </c>
      <c r="W154" s="44">
        <f t="shared" si="299"/>
        <v>0</v>
      </c>
      <c r="X154" s="44">
        <f t="shared" si="249"/>
        <v>0</v>
      </c>
      <c r="Y154" s="44">
        <f t="shared" si="300"/>
        <v>0</v>
      </c>
      <c r="Z154" s="44">
        <f t="shared" si="250"/>
        <v>0</v>
      </c>
      <c r="AA154" s="44">
        <f t="shared" si="301"/>
        <v>0</v>
      </c>
      <c r="AB154" s="44">
        <f t="shared" si="251"/>
        <v>2500</v>
      </c>
      <c r="AC154" s="46">
        <f t="shared" si="252"/>
        <v>0</v>
      </c>
      <c r="AD154" s="47">
        <f t="shared" si="253"/>
        <v>0</v>
      </c>
      <c r="AE154" s="604">
        <f t="shared" si="302"/>
        <v>0</v>
      </c>
      <c r="AF154" s="44">
        <f t="shared" si="303"/>
        <v>0</v>
      </c>
      <c r="AG154" s="44">
        <f t="shared" si="304"/>
        <v>0</v>
      </c>
      <c r="AH154" s="44">
        <f t="shared" si="305"/>
        <v>0</v>
      </c>
      <c r="AI154" s="44">
        <f t="shared" si="306"/>
        <v>2500</v>
      </c>
      <c r="AJ154" s="44">
        <f t="shared" si="307"/>
        <v>0</v>
      </c>
      <c r="AK154" s="44">
        <f t="shared" si="254"/>
        <v>0</v>
      </c>
      <c r="AL154" s="44">
        <f t="shared" si="308"/>
        <v>0</v>
      </c>
      <c r="AM154" s="44">
        <f t="shared" si="255"/>
        <v>0</v>
      </c>
      <c r="AN154" s="44">
        <f t="shared" si="309"/>
        <v>0</v>
      </c>
      <c r="AO154" s="44">
        <f t="shared" si="256"/>
        <v>2500</v>
      </c>
      <c r="AP154" s="46">
        <f t="shared" si="257"/>
        <v>0</v>
      </c>
      <c r="AQ154" s="47">
        <f t="shared" si="258"/>
        <v>0</v>
      </c>
      <c r="AR154" s="604">
        <f t="shared" si="310"/>
        <v>0</v>
      </c>
      <c r="AS154" s="44">
        <f t="shared" si="311"/>
        <v>0</v>
      </c>
      <c r="AT154" s="44">
        <f t="shared" si="312"/>
        <v>0</v>
      </c>
      <c r="AU154" s="44">
        <f t="shared" si="313"/>
        <v>0</v>
      </c>
      <c r="AV154" s="44">
        <f t="shared" si="314"/>
        <v>2500</v>
      </c>
      <c r="AW154" s="44">
        <f t="shared" si="315"/>
        <v>0</v>
      </c>
      <c r="AX154" s="44">
        <f t="shared" si="259"/>
        <v>0</v>
      </c>
      <c r="AY154" s="44">
        <f t="shared" si="316"/>
        <v>0</v>
      </c>
      <c r="AZ154" s="44">
        <f t="shared" si="260"/>
        <v>0</v>
      </c>
      <c r="BA154" s="44">
        <f t="shared" si="317"/>
        <v>0</v>
      </c>
      <c r="BB154" s="44">
        <f t="shared" si="261"/>
        <v>2500</v>
      </c>
      <c r="BC154" s="46">
        <f t="shared" si="262"/>
        <v>0</v>
      </c>
      <c r="BD154" s="47">
        <f t="shared" si="263"/>
        <v>0</v>
      </c>
      <c r="BE154" s="604">
        <f t="shared" si="318"/>
        <v>0</v>
      </c>
      <c r="BF154" s="44">
        <f t="shared" si="319"/>
        <v>0</v>
      </c>
      <c r="BG154" s="44">
        <f t="shared" si="320"/>
        <v>0</v>
      </c>
      <c r="BH154" s="44">
        <f t="shared" si="321"/>
        <v>0</v>
      </c>
      <c r="BI154" s="44">
        <f t="shared" si="322"/>
        <v>2500</v>
      </c>
      <c r="BJ154" s="44">
        <f t="shared" si="323"/>
        <v>0</v>
      </c>
      <c r="BK154" s="44">
        <f t="shared" si="264"/>
        <v>0</v>
      </c>
      <c r="BL154" s="44">
        <f t="shared" si="324"/>
        <v>0</v>
      </c>
      <c r="BM154" s="44">
        <f t="shared" si="265"/>
        <v>0</v>
      </c>
      <c r="BN154" s="44">
        <f t="shared" si="325"/>
        <v>0</v>
      </c>
      <c r="BO154" s="44">
        <f t="shared" si="266"/>
        <v>2500</v>
      </c>
      <c r="BP154" s="46">
        <f t="shared" si="267"/>
        <v>0</v>
      </c>
      <c r="BQ154" s="47">
        <f t="shared" si="268"/>
        <v>0</v>
      </c>
      <c r="BR154" s="604">
        <f t="shared" si="326"/>
        <v>0</v>
      </c>
      <c r="BS154" s="44">
        <f t="shared" si="327"/>
        <v>0</v>
      </c>
      <c r="BT154" s="44">
        <f t="shared" si="328"/>
        <v>0</v>
      </c>
      <c r="BU154" s="44">
        <f t="shared" si="329"/>
        <v>0</v>
      </c>
      <c r="BV154" s="44">
        <f t="shared" si="330"/>
        <v>2500</v>
      </c>
      <c r="BW154" s="44">
        <f t="shared" si="331"/>
        <v>0</v>
      </c>
      <c r="BX154" s="44">
        <f t="shared" si="269"/>
        <v>0</v>
      </c>
      <c r="BY154" s="44">
        <f t="shared" si="332"/>
        <v>0</v>
      </c>
      <c r="BZ154" s="44">
        <f t="shared" si="270"/>
        <v>0</v>
      </c>
      <c r="CA154" s="44">
        <f t="shared" si="333"/>
        <v>0</v>
      </c>
      <c r="CB154" s="44">
        <f t="shared" si="271"/>
        <v>2500</v>
      </c>
      <c r="CC154" s="46">
        <f t="shared" si="272"/>
        <v>0</v>
      </c>
      <c r="CD154" s="47">
        <f t="shared" si="273"/>
        <v>0</v>
      </c>
      <c r="CE154" s="604">
        <f t="shared" si="334"/>
        <v>0</v>
      </c>
      <c r="CF154" s="44">
        <f t="shared" si="335"/>
        <v>0</v>
      </c>
      <c r="CG154" s="44">
        <f t="shared" si="336"/>
        <v>0</v>
      </c>
      <c r="CH154" s="44">
        <f t="shared" si="337"/>
        <v>0</v>
      </c>
      <c r="CI154" s="44">
        <f t="shared" si="338"/>
        <v>2500</v>
      </c>
      <c r="CJ154" s="44">
        <f t="shared" si="339"/>
        <v>0</v>
      </c>
      <c r="CK154" s="44">
        <f t="shared" si="274"/>
        <v>0</v>
      </c>
      <c r="CL154" s="44">
        <f t="shared" si="340"/>
        <v>0</v>
      </c>
      <c r="CM154" s="44">
        <f t="shared" si="275"/>
        <v>0</v>
      </c>
      <c r="CN154" s="44">
        <f t="shared" si="341"/>
        <v>0</v>
      </c>
      <c r="CO154" s="44">
        <f t="shared" si="276"/>
        <v>2500</v>
      </c>
      <c r="CP154" s="46">
        <f t="shared" si="277"/>
        <v>0</v>
      </c>
      <c r="CQ154" s="47">
        <f t="shared" si="278"/>
        <v>0</v>
      </c>
      <c r="CR154" s="604">
        <f t="shared" si="342"/>
        <v>0</v>
      </c>
      <c r="CS154" s="44">
        <f t="shared" si="343"/>
        <v>0</v>
      </c>
      <c r="CT154" s="44">
        <f t="shared" si="344"/>
        <v>0</v>
      </c>
      <c r="CU154" s="44">
        <f t="shared" si="345"/>
        <v>0</v>
      </c>
      <c r="CV154" s="44">
        <f t="shared" si="346"/>
        <v>2500</v>
      </c>
      <c r="CW154" s="44">
        <f t="shared" si="347"/>
        <v>0</v>
      </c>
      <c r="CX154" s="44">
        <f t="shared" si="279"/>
        <v>0</v>
      </c>
      <c r="CY154" s="44">
        <f t="shared" si="348"/>
        <v>0</v>
      </c>
      <c r="CZ154" s="44">
        <f t="shared" si="280"/>
        <v>0</v>
      </c>
      <c r="DA154" s="44">
        <f t="shared" si="349"/>
        <v>0</v>
      </c>
      <c r="DB154" s="44">
        <f t="shared" si="281"/>
        <v>2500</v>
      </c>
      <c r="DC154" s="46">
        <f t="shared" si="282"/>
        <v>0</v>
      </c>
      <c r="DD154" s="47">
        <f t="shared" si="283"/>
        <v>0</v>
      </c>
      <c r="DE154" s="604">
        <f t="shared" si="350"/>
        <v>0</v>
      </c>
      <c r="DF154" s="44">
        <f t="shared" si="351"/>
        <v>0</v>
      </c>
      <c r="DG154" s="44">
        <f t="shared" si="352"/>
        <v>0</v>
      </c>
      <c r="DH154" s="44">
        <f t="shared" si="353"/>
        <v>0</v>
      </c>
      <c r="DI154" s="44">
        <f t="shared" si="354"/>
        <v>2500</v>
      </c>
      <c r="DJ154" s="44">
        <f t="shared" si="355"/>
        <v>0</v>
      </c>
      <c r="DK154" s="44">
        <f t="shared" si="284"/>
        <v>0</v>
      </c>
      <c r="DL154" s="44">
        <f t="shared" si="356"/>
        <v>0</v>
      </c>
      <c r="DM154" s="44">
        <f t="shared" si="285"/>
        <v>0</v>
      </c>
      <c r="DN154" s="44">
        <f t="shared" si="357"/>
        <v>0</v>
      </c>
      <c r="DO154" s="44">
        <f t="shared" si="286"/>
        <v>2500</v>
      </c>
      <c r="DP154" s="46">
        <f t="shared" si="287"/>
        <v>0</v>
      </c>
      <c r="DQ154" s="47">
        <f t="shared" si="288"/>
        <v>0</v>
      </c>
      <c r="DR154" s="604">
        <f t="shared" si="358"/>
        <v>0</v>
      </c>
      <c r="DS154" s="44">
        <f t="shared" si="359"/>
        <v>0</v>
      </c>
      <c r="DT154" s="44">
        <f t="shared" si="360"/>
        <v>0</v>
      </c>
      <c r="DU154" s="44">
        <f t="shared" si="361"/>
        <v>0</v>
      </c>
      <c r="DV154" s="44">
        <f t="shared" si="362"/>
        <v>2500</v>
      </c>
      <c r="DW154" s="44">
        <f t="shared" si="363"/>
        <v>0</v>
      </c>
      <c r="DX154" s="44">
        <f t="shared" si="289"/>
        <v>0</v>
      </c>
      <c r="DY154" s="44">
        <f t="shared" si="364"/>
        <v>0</v>
      </c>
      <c r="DZ154" s="44">
        <f t="shared" si="290"/>
        <v>0</v>
      </c>
      <c r="EA154" s="44">
        <f t="shared" si="365"/>
        <v>0</v>
      </c>
      <c r="EB154" s="44">
        <f t="shared" si="291"/>
        <v>2500</v>
      </c>
      <c r="EC154" s="46">
        <f t="shared" si="292"/>
        <v>0</v>
      </c>
      <c r="ED154" s="47">
        <f t="shared" si="293"/>
        <v>0</v>
      </c>
    </row>
    <row r="155" spans="1:134" x14ac:dyDescent="0.35">
      <c r="A155" s="81">
        <v>2001</v>
      </c>
      <c r="B155" s="82" t="s">
        <v>322</v>
      </c>
      <c r="C155" s="82"/>
      <c r="D155" s="83" t="s">
        <v>41</v>
      </c>
      <c r="E155" s="87">
        <v>5000</v>
      </c>
      <c r="F155" s="85">
        <v>37073</v>
      </c>
      <c r="G155" s="86">
        <v>10</v>
      </c>
      <c r="H155" s="179"/>
      <c r="I155" s="180"/>
      <c r="J155" s="181"/>
      <c r="K155" s="42">
        <f t="shared" si="244"/>
        <v>0.1</v>
      </c>
      <c r="L155" s="43">
        <f t="shared" si="245"/>
        <v>500</v>
      </c>
      <c r="M155" s="44">
        <f t="shared" si="246"/>
        <v>0</v>
      </c>
      <c r="N155" s="44"/>
      <c r="O155" s="44">
        <f t="shared" si="247"/>
        <v>5000</v>
      </c>
      <c r="P155" s="45"/>
      <c r="Q155" s="44">
        <f t="shared" si="248"/>
        <v>5000</v>
      </c>
      <c r="R155" s="604">
        <f t="shared" si="294"/>
        <v>0</v>
      </c>
      <c r="S155" s="44">
        <f t="shared" si="295"/>
        <v>0</v>
      </c>
      <c r="T155" s="44">
        <f t="shared" si="296"/>
        <v>0</v>
      </c>
      <c r="U155" s="44">
        <f t="shared" si="297"/>
        <v>0</v>
      </c>
      <c r="V155" s="44">
        <f t="shared" si="298"/>
        <v>5000</v>
      </c>
      <c r="W155" s="44">
        <f t="shared" si="299"/>
        <v>0</v>
      </c>
      <c r="X155" s="44">
        <f t="shared" si="249"/>
        <v>0</v>
      </c>
      <c r="Y155" s="44">
        <f t="shared" si="300"/>
        <v>0</v>
      </c>
      <c r="Z155" s="44">
        <f t="shared" si="250"/>
        <v>0</v>
      </c>
      <c r="AA155" s="44">
        <f t="shared" si="301"/>
        <v>0</v>
      </c>
      <c r="AB155" s="44">
        <f t="shared" si="251"/>
        <v>5000</v>
      </c>
      <c r="AC155" s="46">
        <f t="shared" si="252"/>
        <v>0</v>
      </c>
      <c r="AD155" s="47">
        <f t="shared" si="253"/>
        <v>0</v>
      </c>
      <c r="AE155" s="604">
        <f t="shared" si="302"/>
        <v>0</v>
      </c>
      <c r="AF155" s="44">
        <f t="shared" si="303"/>
        <v>0</v>
      </c>
      <c r="AG155" s="44">
        <f t="shared" si="304"/>
        <v>0</v>
      </c>
      <c r="AH155" s="44">
        <f t="shared" si="305"/>
        <v>0</v>
      </c>
      <c r="AI155" s="44">
        <f t="shared" si="306"/>
        <v>5000</v>
      </c>
      <c r="AJ155" s="44">
        <f t="shared" si="307"/>
        <v>0</v>
      </c>
      <c r="AK155" s="44">
        <f t="shared" si="254"/>
        <v>0</v>
      </c>
      <c r="AL155" s="44">
        <f t="shared" si="308"/>
        <v>0</v>
      </c>
      <c r="AM155" s="44">
        <f t="shared" si="255"/>
        <v>0</v>
      </c>
      <c r="AN155" s="44">
        <f t="shared" si="309"/>
        <v>0</v>
      </c>
      <c r="AO155" s="44">
        <f t="shared" si="256"/>
        <v>5000</v>
      </c>
      <c r="AP155" s="46">
        <f t="shared" si="257"/>
        <v>0</v>
      </c>
      <c r="AQ155" s="47">
        <f t="shared" si="258"/>
        <v>0</v>
      </c>
      <c r="AR155" s="604">
        <f t="shared" si="310"/>
        <v>0</v>
      </c>
      <c r="AS155" s="44">
        <f t="shared" si="311"/>
        <v>0</v>
      </c>
      <c r="AT155" s="44">
        <f t="shared" si="312"/>
        <v>0</v>
      </c>
      <c r="AU155" s="44">
        <f t="shared" si="313"/>
        <v>0</v>
      </c>
      <c r="AV155" s="44">
        <f t="shared" si="314"/>
        <v>5000</v>
      </c>
      <c r="AW155" s="44">
        <f t="shared" si="315"/>
        <v>0</v>
      </c>
      <c r="AX155" s="44">
        <f t="shared" si="259"/>
        <v>0</v>
      </c>
      <c r="AY155" s="44">
        <f t="shared" si="316"/>
        <v>0</v>
      </c>
      <c r="AZ155" s="44">
        <f t="shared" si="260"/>
        <v>0</v>
      </c>
      <c r="BA155" s="44">
        <f t="shared" si="317"/>
        <v>0</v>
      </c>
      <c r="BB155" s="44">
        <f t="shared" si="261"/>
        <v>5000</v>
      </c>
      <c r="BC155" s="46">
        <f t="shared" si="262"/>
        <v>0</v>
      </c>
      <c r="BD155" s="47">
        <f t="shared" si="263"/>
        <v>0</v>
      </c>
      <c r="BE155" s="604">
        <f t="shared" si="318"/>
        <v>0</v>
      </c>
      <c r="BF155" s="44">
        <f t="shared" si="319"/>
        <v>0</v>
      </c>
      <c r="BG155" s="44">
        <f t="shared" si="320"/>
        <v>0</v>
      </c>
      <c r="BH155" s="44">
        <f t="shared" si="321"/>
        <v>0</v>
      </c>
      <c r="BI155" s="44">
        <f t="shared" si="322"/>
        <v>5000</v>
      </c>
      <c r="BJ155" s="44">
        <f t="shared" si="323"/>
        <v>0</v>
      </c>
      <c r="BK155" s="44">
        <f t="shared" si="264"/>
        <v>0</v>
      </c>
      <c r="BL155" s="44">
        <f t="shared" si="324"/>
        <v>0</v>
      </c>
      <c r="BM155" s="44">
        <f t="shared" si="265"/>
        <v>0</v>
      </c>
      <c r="BN155" s="44">
        <f t="shared" si="325"/>
        <v>0</v>
      </c>
      <c r="BO155" s="44">
        <f t="shared" si="266"/>
        <v>5000</v>
      </c>
      <c r="BP155" s="46">
        <f t="shared" si="267"/>
        <v>0</v>
      </c>
      <c r="BQ155" s="47">
        <f t="shared" si="268"/>
        <v>0</v>
      </c>
      <c r="BR155" s="604">
        <f t="shared" si="326"/>
        <v>0</v>
      </c>
      <c r="BS155" s="44">
        <f t="shared" si="327"/>
        <v>0</v>
      </c>
      <c r="BT155" s="44">
        <f t="shared" si="328"/>
        <v>0</v>
      </c>
      <c r="BU155" s="44">
        <f t="shared" si="329"/>
        <v>0</v>
      </c>
      <c r="BV155" s="44">
        <f t="shared" si="330"/>
        <v>5000</v>
      </c>
      <c r="BW155" s="44">
        <f t="shared" si="331"/>
        <v>0</v>
      </c>
      <c r="BX155" s="44">
        <f t="shared" si="269"/>
        <v>0</v>
      </c>
      <c r="BY155" s="44">
        <f t="shared" si="332"/>
        <v>0</v>
      </c>
      <c r="BZ155" s="44">
        <f t="shared" si="270"/>
        <v>0</v>
      </c>
      <c r="CA155" s="44">
        <f t="shared" si="333"/>
        <v>0</v>
      </c>
      <c r="CB155" s="44">
        <f t="shared" si="271"/>
        <v>5000</v>
      </c>
      <c r="CC155" s="46">
        <f t="shared" si="272"/>
        <v>0</v>
      </c>
      <c r="CD155" s="47">
        <f t="shared" si="273"/>
        <v>0</v>
      </c>
      <c r="CE155" s="604">
        <f t="shared" si="334"/>
        <v>0</v>
      </c>
      <c r="CF155" s="44">
        <f t="shared" si="335"/>
        <v>0</v>
      </c>
      <c r="CG155" s="44">
        <f t="shared" si="336"/>
        <v>0</v>
      </c>
      <c r="CH155" s="44">
        <f t="shared" si="337"/>
        <v>0</v>
      </c>
      <c r="CI155" s="44">
        <f t="shared" si="338"/>
        <v>5000</v>
      </c>
      <c r="CJ155" s="44">
        <f t="shared" si="339"/>
        <v>0</v>
      </c>
      <c r="CK155" s="44">
        <f t="shared" si="274"/>
        <v>0</v>
      </c>
      <c r="CL155" s="44">
        <f t="shared" si="340"/>
        <v>0</v>
      </c>
      <c r="CM155" s="44">
        <f t="shared" si="275"/>
        <v>0</v>
      </c>
      <c r="CN155" s="44">
        <f t="shared" si="341"/>
        <v>0</v>
      </c>
      <c r="CO155" s="44">
        <f t="shared" si="276"/>
        <v>5000</v>
      </c>
      <c r="CP155" s="46">
        <f t="shared" si="277"/>
        <v>0</v>
      </c>
      <c r="CQ155" s="47">
        <f t="shared" si="278"/>
        <v>0</v>
      </c>
      <c r="CR155" s="604">
        <f t="shared" si="342"/>
        <v>0</v>
      </c>
      <c r="CS155" s="44">
        <f t="shared" si="343"/>
        <v>0</v>
      </c>
      <c r="CT155" s="44">
        <f t="shared" si="344"/>
        <v>0</v>
      </c>
      <c r="CU155" s="44">
        <f t="shared" si="345"/>
        <v>0</v>
      </c>
      <c r="CV155" s="44">
        <f t="shared" si="346"/>
        <v>5000</v>
      </c>
      <c r="CW155" s="44">
        <f t="shared" si="347"/>
        <v>0</v>
      </c>
      <c r="CX155" s="44">
        <f t="shared" si="279"/>
        <v>0</v>
      </c>
      <c r="CY155" s="44">
        <f t="shared" si="348"/>
        <v>0</v>
      </c>
      <c r="CZ155" s="44">
        <f t="shared" si="280"/>
        <v>0</v>
      </c>
      <c r="DA155" s="44">
        <f t="shared" si="349"/>
        <v>0</v>
      </c>
      <c r="DB155" s="44">
        <f t="shared" si="281"/>
        <v>5000</v>
      </c>
      <c r="DC155" s="46">
        <f t="shared" si="282"/>
        <v>0</v>
      </c>
      <c r="DD155" s="47">
        <f t="shared" si="283"/>
        <v>0</v>
      </c>
      <c r="DE155" s="604">
        <f t="shared" si="350"/>
        <v>0</v>
      </c>
      <c r="DF155" s="44">
        <f t="shared" si="351"/>
        <v>0</v>
      </c>
      <c r="DG155" s="44">
        <f t="shared" si="352"/>
        <v>0</v>
      </c>
      <c r="DH155" s="44">
        <f t="shared" si="353"/>
        <v>0</v>
      </c>
      <c r="DI155" s="44">
        <f t="shared" si="354"/>
        <v>5000</v>
      </c>
      <c r="DJ155" s="44">
        <f t="shared" si="355"/>
        <v>0</v>
      </c>
      <c r="DK155" s="44">
        <f t="shared" si="284"/>
        <v>0</v>
      </c>
      <c r="DL155" s="44">
        <f t="shared" si="356"/>
        <v>0</v>
      </c>
      <c r="DM155" s="44">
        <f t="shared" si="285"/>
        <v>0</v>
      </c>
      <c r="DN155" s="44">
        <f t="shared" si="357"/>
        <v>0</v>
      </c>
      <c r="DO155" s="44">
        <f t="shared" si="286"/>
        <v>5000</v>
      </c>
      <c r="DP155" s="46">
        <f t="shared" si="287"/>
        <v>0</v>
      </c>
      <c r="DQ155" s="47">
        <f t="shared" si="288"/>
        <v>0</v>
      </c>
      <c r="DR155" s="604">
        <f t="shared" si="358"/>
        <v>0</v>
      </c>
      <c r="DS155" s="44">
        <f t="shared" si="359"/>
        <v>0</v>
      </c>
      <c r="DT155" s="44">
        <f t="shared" si="360"/>
        <v>0</v>
      </c>
      <c r="DU155" s="44">
        <f t="shared" si="361"/>
        <v>0</v>
      </c>
      <c r="DV155" s="44">
        <f t="shared" si="362"/>
        <v>5000</v>
      </c>
      <c r="DW155" s="44">
        <f t="shared" si="363"/>
        <v>0</v>
      </c>
      <c r="DX155" s="44">
        <f t="shared" si="289"/>
        <v>0</v>
      </c>
      <c r="DY155" s="44">
        <f t="shared" si="364"/>
        <v>0</v>
      </c>
      <c r="DZ155" s="44">
        <f t="shared" si="290"/>
        <v>0</v>
      </c>
      <c r="EA155" s="44">
        <f t="shared" si="365"/>
        <v>0</v>
      </c>
      <c r="EB155" s="44">
        <f t="shared" si="291"/>
        <v>5000</v>
      </c>
      <c r="EC155" s="46">
        <f t="shared" si="292"/>
        <v>0</v>
      </c>
      <c r="ED155" s="47">
        <f t="shared" si="293"/>
        <v>0</v>
      </c>
    </row>
    <row r="156" spans="1:134" x14ac:dyDescent="0.35">
      <c r="A156" s="81">
        <v>2002</v>
      </c>
      <c r="B156" s="82" t="s">
        <v>322</v>
      </c>
      <c r="C156" s="82"/>
      <c r="D156" s="83" t="s">
        <v>41</v>
      </c>
      <c r="E156" s="87">
        <v>5000</v>
      </c>
      <c r="F156" s="85">
        <v>37438</v>
      </c>
      <c r="G156" s="86">
        <v>10</v>
      </c>
      <c r="H156" s="179"/>
      <c r="I156" s="180"/>
      <c r="J156" s="181"/>
      <c r="K156" s="42">
        <f t="shared" si="244"/>
        <v>0.1</v>
      </c>
      <c r="L156" s="43">
        <f t="shared" si="245"/>
        <v>500</v>
      </c>
      <c r="M156" s="44">
        <f t="shared" si="246"/>
        <v>250</v>
      </c>
      <c r="N156" s="44"/>
      <c r="O156" s="44">
        <f t="shared" si="247"/>
        <v>4750</v>
      </c>
      <c r="P156" s="45"/>
      <c r="Q156" s="44">
        <f t="shared" si="248"/>
        <v>5000</v>
      </c>
      <c r="R156" s="604">
        <f t="shared" si="294"/>
        <v>0</v>
      </c>
      <c r="S156" s="44">
        <f t="shared" si="295"/>
        <v>0</v>
      </c>
      <c r="T156" s="44">
        <f t="shared" si="296"/>
        <v>0</v>
      </c>
      <c r="U156" s="44">
        <f t="shared" si="297"/>
        <v>0</v>
      </c>
      <c r="V156" s="44">
        <f t="shared" si="298"/>
        <v>5000</v>
      </c>
      <c r="W156" s="44">
        <f t="shared" si="299"/>
        <v>2500</v>
      </c>
      <c r="X156" s="44">
        <f t="shared" si="249"/>
        <v>250</v>
      </c>
      <c r="Y156" s="44">
        <f t="shared" si="300"/>
        <v>250</v>
      </c>
      <c r="Z156" s="44">
        <f t="shared" si="250"/>
        <v>0</v>
      </c>
      <c r="AA156" s="44">
        <f t="shared" si="301"/>
        <v>0</v>
      </c>
      <c r="AB156" s="44">
        <f t="shared" si="251"/>
        <v>5000</v>
      </c>
      <c r="AC156" s="46">
        <f t="shared" si="252"/>
        <v>0</v>
      </c>
      <c r="AD156" s="47">
        <f t="shared" si="253"/>
        <v>0</v>
      </c>
      <c r="AE156" s="604">
        <f t="shared" si="302"/>
        <v>0</v>
      </c>
      <c r="AF156" s="44">
        <f t="shared" si="303"/>
        <v>0</v>
      </c>
      <c r="AG156" s="44">
        <f t="shared" si="304"/>
        <v>0</v>
      </c>
      <c r="AH156" s="44">
        <f t="shared" si="305"/>
        <v>0</v>
      </c>
      <c r="AI156" s="44">
        <f t="shared" si="306"/>
        <v>5000</v>
      </c>
      <c r="AJ156" s="44">
        <f t="shared" si="307"/>
        <v>0</v>
      </c>
      <c r="AK156" s="44">
        <f t="shared" si="254"/>
        <v>0</v>
      </c>
      <c r="AL156" s="44">
        <f t="shared" si="308"/>
        <v>0</v>
      </c>
      <c r="AM156" s="44">
        <f t="shared" si="255"/>
        <v>0</v>
      </c>
      <c r="AN156" s="44">
        <f t="shared" si="309"/>
        <v>0</v>
      </c>
      <c r="AO156" s="44">
        <f t="shared" si="256"/>
        <v>5000</v>
      </c>
      <c r="AP156" s="46">
        <f t="shared" si="257"/>
        <v>0</v>
      </c>
      <c r="AQ156" s="47">
        <f t="shared" si="258"/>
        <v>0</v>
      </c>
      <c r="AR156" s="604">
        <f t="shared" si="310"/>
        <v>0</v>
      </c>
      <c r="AS156" s="44">
        <f t="shared" si="311"/>
        <v>0</v>
      </c>
      <c r="AT156" s="44">
        <f t="shared" si="312"/>
        <v>0</v>
      </c>
      <c r="AU156" s="44">
        <f t="shared" si="313"/>
        <v>0</v>
      </c>
      <c r="AV156" s="44">
        <f t="shared" si="314"/>
        <v>5000</v>
      </c>
      <c r="AW156" s="44">
        <f t="shared" si="315"/>
        <v>0</v>
      </c>
      <c r="AX156" s="44">
        <f t="shared" si="259"/>
        <v>0</v>
      </c>
      <c r="AY156" s="44">
        <f t="shared" si="316"/>
        <v>0</v>
      </c>
      <c r="AZ156" s="44">
        <f t="shared" si="260"/>
        <v>0</v>
      </c>
      <c r="BA156" s="44">
        <f t="shared" si="317"/>
        <v>0</v>
      </c>
      <c r="BB156" s="44">
        <f t="shared" si="261"/>
        <v>5000</v>
      </c>
      <c r="BC156" s="46">
        <f t="shared" si="262"/>
        <v>0</v>
      </c>
      <c r="BD156" s="47">
        <f t="shared" si="263"/>
        <v>0</v>
      </c>
      <c r="BE156" s="604">
        <f t="shared" si="318"/>
        <v>0</v>
      </c>
      <c r="BF156" s="44">
        <f t="shared" si="319"/>
        <v>0</v>
      </c>
      <c r="BG156" s="44">
        <f t="shared" si="320"/>
        <v>0</v>
      </c>
      <c r="BH156" s="44">
        <f t="shared" si="321"/>
        <v>0</v>
      </c>
      <c r="BI156" s="44">
        <f t="shared" si="322"/>
        <v>5000</v>
      </c>
      <c r="BJ156" s="44">
        <f t="shared" si="323"/>
        <v>0</v>
      </c>
      <c r="BK156" s="44">
        <f t="shared" si="264"/>
        <v>0</v>
      </c>
      <c r="BL156" s="44">
        <f t="shared" si="324"/>
        <v>0</v>
      </c>
      <c r="BM156" s="44">
        <f t="shared" si="265"/>
        <v>0</v>
      </c>
      <c r="BN156" s="44">
        <f t="shared" si="325"/>
        <v>0</v>
      </c>
      <c r="BO156" s="44">
        <f t="shared" si="266"/>
        <v>5000</v>
      </c>
      <c r="BP156" s="46">
        <f t="shared" si="267"/>
        <v>0</v>
      </c>
      <c r="BQ156" s="47">
        <f t="shared" si="268"/>
        <v>0</v>
      </c>
      <c r="BR156" s="604">
        <f t="shared" si="326"/>
        <v>0</v>
      </c>
      <c r="BS156" s="44">
        <f t="shared" si="327"/>
        <v>0</v>
      </c>
      <c r="BT156" s="44">
        <f t="shared" si="328"/>
        <v>0</v>
      </c>
      <c r="BU156" s="44">
        <f t="shared" si="329"/>
        <v>0</v>
      </c>
      <c r="BV156" s="44">
        <f t="shared" si="330"/>
        <v>5000</v>
      </c>
      <c r="BW156" s="44">
        <f t="shared" si="331"/>
        <v>0</v>
      </c>
      <c r="BX156" s="44">
        <f t="shared" si="269"/>
        <v>0</v>
      </c>
      <c r="BY156" s="44">
        <f t="shared" si="332"/>
        <v>0</v>
      </c>
      <c r="BZ156" s="44">
        <f t="shared" si="270"/>
        <v>0</v>
      </c>
      <c r="CA156" s="44">
        <f t="shared" si="333"/>
        <v>0</v>
      </c>
      <c r="CB156" s="44">
        <f t="shared" si="271"/>
        <v>5000</v>
      </c>
      <c r="CC156" s="46">
        <f t="shared" si="272"/>
        <v>0</v>
      </c>
      <c r="CD156" s="47">
        <f t="shared" si="273"/>
        <v>0</v>
      </c>
      <c r="CE156" s="604">
        <f t="shared" si="334"/>
        <v>0</v>
      </c>
      <c r="CF156" s="44">
        <f t="shared" si="335"/>
        <v>0</v>
      </c>
      <c r="CG156" s="44">
        <f t="shared" si="336"/>
        <v>0</v>
      </c>
      <c r="CH156" s="44">
        <f t="shared" si="337"/>
        <v>0</v>
      </c>
      <c r="CI156" s="44">
        <f t="shared" si="338"/>
        <v>5000</v>
      </c>
      <c r="CJ156" s="44">
        <f t="shared" si="339"/>
        <v>0</v>
      </c>
      <c r="CK156" s="44">
        <f t="shared" si="274"/>
        <v>0</v>
      </c>
      <c r="CL156" s="44">
        <f t="shared" si="340"/>
        <v>0</v>
      </c>
      <c r="CM156" s="44">
        <f t="shared" si="275"/>
        <v>0</v>
      </c>
      <c r="CN156" s="44">
        <f t="shared" si="341"/>
        <v>0</v>
      </c>
      <c r="CO156" s="44">
        <f t="shared" si="276"/>
        <v>5000</v>
      </c>
      <c r="CP156" s="46">
        <f t="shared" si="277"/>
        <v>0</v>
      </c>
      <c r="CQ156" s="47">
        <f t="shared" si="278"/>
        <v>0</v>
      </c>
      <c r="CR156" s="604">
        <f t="shared" si="342"/>
        <v>0</v>
      </c>
      <c r="CS156" s="44">
        <f t="shared" si="343"/>
        <v>0</v>
      </c>
      <c r="CT156" s="44">
        <f t="shared" si="344"/>
        <v>0</v>
      </c>
      <c r="CU156" s="44">
        <f t="shared" si="345"/>
        <v>0</v>
      </c>
      <c r="CV156" s="44">
        <f t="shared" si="346"/>
        <v>5000</v>
      </c>
      <c r="CW156" s="44">
        <f t="shared" si="347"/>
        <v>0</v>
      </c>
      <c r="CX156" s="44">
        <f t="shared" si="279"/>
        <v>0</v>
      </c>
      <c r="CY156" s="44">
        <f t="shared" si="348"/>
        <v>0</v>
      </c>
      <c r="CZ156" s="44">
        <f t="shared" si="280"/>
        <v>0</v>
      </c>
      <c r="DA156" s="44">
        <f t="shared" si="349"/>
        <v>0</v>
      </c>
      <c r="DB156" s="44">
        <f t="shared" si="281"/>
        <v>5000</v>
      </c>
      <c r="DC156" s="46">
        <f t="shared" si="282"/>
        <v>0</v>
      </c>
      <c r="DD156" s="47">
        <f t="shared" si="283"/>
        <v>0</v>
      </c>
      <c r="DE156" s="604">
        <f t="shared" si="350"/>
        <v>0</v>
      </c>
      <c r="DF156" s="44">
        <f t="shared" si="351"/>
        <v>0</v>
      </c>
      <c r="DG156" s="44">
        <f t="shared" si="352"/>
        <v>0</v>
      </c>
      <c r="DH156" s="44">
        <f t="shared" si="353"/>
        <v>0</v>
      </c>
      <c r="DI156" s="44">
        <f t="shared" si="354"/>
        <v>5000</v>
      </c>
      <c r="DJ156" s="44">
        <f t="shared" si="355"/>
        <v>0</v>
      </c>
      <c r="DK156" s="44">
        <f t="shared" si="284"/>
        <v>0</v>
      </c>
      <c r="DL156" s="44">
        <f t="shared" si="356"/>
        <v>0</v>
      </c>
      <c r="DM156" s="44">
        <f t="shared" si="285"/>
        <v>0</v>
      </c>
      <c r="DN156" s="44">
        <f t="shared" si="357"/>
        <v>0</v>
      </c>
      <c r="DO156" s="44">
        <f t="shared" si="286"/>
        <v>5000</v>
      </c>
      <c r="DP156" s="46">
        <f t="shared" si="287"/>
        <v>0</v>
      </c>
      <c r="DQ156" s="47">
        <f t="shared" si="288"/>
        <v>0</v>
      </c>
      <c r="DR156" s="604">
        <f t="shared" si="358"/>
        <v>0</v>
      </c>
      <c r="DS156" s="44">
        <f t="shared" si="359"/>
        <v>0</v>
      </c>
      <c r="DT156" s="44">
        <f t="shared" si="360"/>
        <v>0</v>
      </c>
      <c r="DU156" s="44">
        <f t="shared" si="361"/>
        <v>0</v>
      </c>
      <c r="DV156" s="44">
        <f t="shared" si="362"/>
        <v>5000</v>
      </c>
      <c r="DW156" s="44">
        <f t="shared" si="363"/>
        <v>0</v>
      </c>
      <c r="DX156" s="44">
        <f t="shared" si="289"/>
        <v>0</v>
      </c>
      <c r="DY156" s="44">
        <f t="shared" si="364"/>
        <v>0</v>
      </c>
      <c r="DZ156" s="44">
        <f t="shared" si="290"/>
        <v>0</v>
      </c>
      <c r="EA156" s="44">
        <f t="shared" si="365"/>
        <v>0</v>
      </c>
      <c r="EB156" s="44">
        <f t="shared" si="291"/>
        <v>5000</v>
      </c>
      <c r="EC156" s="46">
        <f t="shared" si="292"/>
        <v>0</v>
      </c>
      <c r="ED156" s="47">
        <f t="shared" si="293"/>
        <v>0</v>
      </c>
    </row>
    <row r="157" spans="1:134" x14ac:dyDescent="0.35">
      <c r="A157" s="81">
        <v>2003</v>
      </c>
      <c r="B157" s="82" t="s">
        <v>322</v>
      </c>
      <c r="C157" s="82"/>
      <c r="D157" s="83" t="s">
        <v>41</v>
      </c>
      <c r="E157" s="87">
        <v>5000</v>
      </c>
      <c r="F157" s="85">
        <v>37803</v>
      </c>
      <c r="G157" s="86">
        <v>10</v>
      </c>
      <c r="H157" s="179"/>
      <c r="I157" s="180"/>
      <c r="J157" s="181"/>
      <c r="K157" s="42">
        <f t="shared" si="244"/>
        <v>0.1</v>
      </c>
      <c r="L157" s="43">
        <f t="shared" si="245"/>
        <v>500</v>
      </c>
      <c r="M157" s="44">
        <f t="shared" si="246"/>
        <v>750</v>
      </c>
      <c r="N157" s="44"/>
      <c r="O157" s="44">
        <f t="shared" si="247"/>
        <v>4250</v>
      </c>
      <c r="P157" s="45"/>
      <c r="Q157" s="44">
        <f t="shared" si="248"/>
        <v>5000</v>
      </c>
      <c r="R157" s="604">
        <f t="shared" si="294"/>
        <v>0</v>
      </c>
      <c r="S157" s="44">
        <f t="shared" si="295"/>
        <v>0</v>
      </c>
      <c r="T157" s="44">
        <f t="shared" si="296"/>
        <v>0</v>
      </c>
      <c r="U157" s="44">
        <f t="shared" si="297"/>
        <v>0</v>
      </c>
      <c r="V157" s="44">
        <f t="shared" si="298"/>
        <v>5000</v>
      </c>
      <c r="W157" s="44">
        <f t="shared" si="299"/>
        <v>5000</v>
      </c>
      <c r="X157" s="44">
        <f t="shared" si="249"/>
        <v>500</v>
      </c>
      <c r="Y157" s="44">
        <f t="shared" si="300"/>
        <v>500</v>
      </c>
      <c r="Z157" s="44">
        <f t="shared" si="250"/>
        <v>250</v>
      </c>
      <c r="AA157" s="44">
        <f t="shared" si="301"/>
        <v>250</v>
      </c>
      <c r="AB157" s="44">
        <f t="shared" si="251"/>
        <v>4750</v>
      </c>
      <c r="AC157" s="46">
        <f t="shared" si="252"/>
        <v>0</v>
      </c>
      <c r="AD157" s="47">
        <f t="shared" si="253"/>
        <v>0</v>
      </c>
      <c r="AE157" s="604">
        <f t="shared" si="302"/>
        <v>0</v>
      </c>
      <c r="AF157" s="44">
        <f t="shared" si="303"/>
        <v>0</v>
      </c>
      <c r="AG157" s="44">
        <f t="shared" si="304"/>
        <v>0</v>
      </c>
      <c r="AH157" s="44">
        <f t="shared" si="305"/>
        <v>0</v>
      </c>
      <c r="AI157" s="44">
        <f t="shared" si="306"/>
        <v>5000</v>
      </c>
      <c r="AJ157" s="44">
        <f t="shared" si="307"/>
        <v>2500</v>
      </c>
      <c r="AK157" s="44">
        <f t="shared" si="254"/>
        <v>250</v>
      </c>
      <c r="AL157" s="44">
        <f t="shared" si="308"/>
        <v>250</v>
      </c>
      <c r="AM157" s="44">
        <f t="shared" si="255"/>
        <v>0</v>
      </c>
      <c r="AN157" s="44">
        <f t="shared" si="309"/>
        <v>0</v>
      </c>
      <c r="AO157" s="44">
        <f t="shared" si="256"/>
        <v>5000</v>
      </c>
      <c r="AP157" s="46">
        <f t="shared" si="257"/>
        <v>0</v>
      </c>
      <c r="AQ157" s="47">
        <f t="shared" si="258"/>
        <v>0</v>
      </c>
      <c r="AR157" s="604">
        <f t="shared" si="310"/>
        <v>0</v>
      </c>
      <c r="AS157" s="44">
        <f t="shared" si="311"/>
        <v>0</v>
      </c>
      <c r="AT157" s="44">
        <f t="shared" si="312"/>
        <v>0</v>
      </c>
      <c r="AU157" s="44">
        <f t="shared" si="313"/>
        <v>0</v>
      </c>
      <c r="AV157" s="44">
        <f t="shared" si="314"/>
        <v>5000</v>
      </c>
      <c r="AW157" s="44">
        <f t="shared" si="315"/>
        <v>0</v>
      </c>
      <c r="AX157" s="44">
        <f t="shared" si="259"/>
        <v>0</v>
      </c>
      <c r="AY157" s="44">
        <f t="shared" si="316"/>
        <v>0</v>
      </c>
      <c r="AZ157" s="44">
        <f t="shared" si="260"/>
        <v>0</v>
      </c>
      <c r="BA157" s="44">
        <f t="shared" si="317"/>
        <v>0</v>
      </c>
      <c r="BB157" s="44">
        <f t="shared" si="261"/>
        <v>5000</v>
      </c>
      <c r="BC157" s="46">
        <f t="shared" si="262"/>
        <v>0</v>
      </c>
      <c r="BD157" s="47">
        <f t="shared" si="263"/>
        <v>0</v>
      </c>
      <c r="BE157" s="604">
        <f t="shared" si="318"/>
        <v>0</v>
      </c>
      <c r="BF157" s="44">
        <f t="shared" si="319"/>
        <v>0</v>
      </c>
      <c r="BG157" s="44">
        <f t="shared" si="320"/>
        <v>0</v>
      </c>
      <c r="BH157" s="44">
        <f t="shared" si="321"/>
        <v>0</v>
      </c>
      <c r="BI157" s="44">
        <f t="shared" si="322"/>
        <v>5000</v>
      </c>
      <c r="BJ157" s="44">
        <f t="shared" si="323"/>
        <v>0</v>
      </c>
      <c r="BK157" s="44">
        <f t="shared" si="264"/>
        <v>0</v>
      </c>
      <c r="BL157" s="44">
        <f t="shared" si="324"/>
        <v>0</v>
      </c>
      <c r="BM157" s="44">
        <f t="shared" si="265"/>
        <v>0</v>
      </c>
      <c r="BN157" s="44">
        <f t="shared" si="325"/>
        <v>0</v>
      </c>
      <c r="BO157" s="44">
        <f t="shared" si="266"/>
        <v>5000</v>
      </c>
      <c r="BP157" s="46">
        <f t="shared" si="267"/>
        <v>0</v>
      </c>
      <c r="BQ157" s="47">
        <f t="shared" si="268"/>
        <v>0</v>
      </c>
      <c r="BR157" s="604">
        <f t="shared" si="326"/>
        <v>0</v>
      </c>
      <c r="BS157" s="44">
        <f t="shared" si="327"/>
        <v>0</v>
      </c>
      <c r="BT157" s="44">
        <f t="shared" si="328"/>
        <v>0</v>
      </c>
      <c r="BU157" s="44">
        <f t="shared" si="329"/>
        <v>0</v>
      </c>
      <c r="BV157" s="44">
        <f t="shared" si="330"/>
        <v>5000</v>
      </c>
      <c r="BW157" s="44">
        <f t="shared" si="331"/>
        <v>0</v>
      </c>
      <c r="BX157" s="44">
        <f t="shared" si="269"/>
        <v>0</v>
      </c>
      <c r="BY157" s="44">
        <f t="shared" si="332"/>
        <v>0</v>
      </c>
      <c r="BZ157" s="44">
        <f t="shared" si="270"/>
        <v>0</v>
      </c>
      <c r="CA157" s="44">
        <f t="shared" si="333"/>
        <v>0</v>
      </c>
      <c r="CB157" s="44">
        <f t="shared" si="271"/>
        <v>5000</v>
      </c>
      <c r="CC157" s="46">
        <f t="shared" si="272"/>
        <v>0</v>
      </c>
      <c r="CD157" s="47">
        <f t="shared" si="273"/>
        <v>0</v>
      </c>
      <c r="CE157" s="604">
        <f t="shared" si="334"/>
        <v>0</v>
      </c>
      <c r="CF157" s="44">
        <f t="shared" si="335"/>
        <v>0</v>
      </c>
      <c r="CG157" s="44">
        <f t="shared" si="336"/>
        <v>0</v>
      </c>
      <c r="CH157" s="44">
        <f t="shared" si="337"/>
        <v>0</v>
      </c>
      <c r="CI157" s="44">
        <f t="shared" si="338"/>
        <v>5000</v>
      </c>
      <c r="CJ157" s="44">
        <f t="shared" si="339"/>
        <v>0</v>
      </c>
      <c r="CK157" s="44">
        <f t="shared" si="274"/>
        <v>0</v>
      </c>
      <c r="CL157" s="44">
        <f t="shared" si="340"/>
        <v>0</v>
      </c>
      <c r="CM157" s="44">
        <f t="shared" si="275"/>
        <v>0</v>
      </c>
      <c r="CN157" s="44">
        <f t="shared" si="341"/>
        <v>0</v>
      </c>
      <c r="CO157" s="44">
        <f t="shared" si="276"/>
        <v>5000</v>
      </c>
      <c r="CP157" s="46">
        <f t="shared" si="277"/>
        <v>0</v>
      </c>
      <c r="CQ157" s="47">
        <f t="shared" si="278"/>
        <v>0</v>
      </c>
      <c r="CR157" s="604">
        <f t="shared" si="342"/>
        <v>0</v>
      </c>
      <c r="CS157" s="44">
        <f t="shared" si="343"/>
        <v>0</v>
      </c>
      <c r="CT157" s="44">
        <f t="shared" si="344"/>
        <v>0</v>
      </c>
      <c r="CU157" s="44">
        <f t="shared" si="345"/>
        <v>0</v>
      </c>
      <c r="CV157" s="44">
        <f t="shared" si="346"/>
        <v>5000</v>
      </c>
      <c r="CW157" s="44">
        <f t="shared" si="347"/>
        <v>0</v>
      </c>
      <c r="CX157" s="44">
        <f t="shared" si="279"/>
        <v>0</v>
      </c>
      <c r="CY157" s="44">
        <f t="shared" si="348"/>
        <v>0</v>
      </c>
      <c r="CZ157" s="44">
        <f t="shared" si="280"/>
        <v>0</v>
      </c>
      <c r="DA157" s="44">
        <f t="shared" si="349"/>
        <v>0</v>
      </c>
      <c r="DB157" s="44">
        <f t="shared" si="281"/>
        <v>5000</v>
      </c>
      <c r="DC157" s="46">
        <f t="shared" si="282"/>
        <v>0</v>
      </c>
      <c r="DD157" s="47">
        <f t="shared" si="283"/>
        <v>0</v>
      </c>
      <c r="DE157" s="604">
        <f t="shared" si="350"/>
        <v>0</v>
      </c>
      <c r="DF157" s="44">
        <f t="shared" si="351"/>
        <v>0</v>
      </c>
      <c r="DG157" s="44">
        <f t="shared" si="352"/>
        <v>0</v>
      </c>
      <c r="DH157" s="44">
        <f t="shared" si="353"/>
        <v>0</v>
      </c>
      <c r="DI157" s="44">
        <f t="shared" si="354"/>
        <v>5000</v>
      </c>
      <c r="DJ157" s="44">
        <f t="shared" si="355"/>
        <v>0</v>
      </c>
      <c r="DK157" s="44">
        <f t="shared" si="284"/>
        <v>0</v>
      </c>
      <c r="DL157" s="44">
        <f t="shared" si="356"/>
        <v>0</v>
      </c>
      <c r="DM157" s="44">
        <f t="shared" si="285"/>
        <v>0</v>
      </c>
      <c r="DN157" s="44">
        <f t="shared" si="357"/>
        <v>0</v>
      </c>
      <c r="DO157" s="44">
        <f t="shared" si="286"/>
        <v>5000</v>
      </c>
      <c r="DP157" s="46">
        <f t="shared" si="287"/>
        <v>0</v>
      </c>
      <c r="DQ157" s="47">
        <f t="shared" si="288"/>
        <v>0</v>
      </c>
      <c r="DR157" s="604">
        <f t="shared" si="358"/>
        <v>0</v>
      </c>
      <c r="DS157" s="44">
        <f t="shared" si="359"/>
        <v>0</v>
      </c>
      <c r="DT157" s="44">
        <f t="shared" si="360"/>
        <v>0</v>
      </c>
      <c r="DU157" s="44">
        <f t="shared" si="361"/>
        <v>0</v>
      </c>
      <c r="DV157" s="44">
        <f t="shared" si="362"/>
        <v>5000</v>
      </c>
      <c r="DW157" s="44">
        <f t="shared" si="363"/>
        <v>0</v>
      </c>
      <c r="DX157" s="44">
        <f t="shared" si="289"/>
        <v>0</v>
      </c>
      <c r="DY157" s="44">
        <f t="shared" si="364"/>
        <v>0</v>
      </c>
      <c r="DZ157" s="44">
        <f t="shared" si="290"/>
        <v>0</v>
      </c>
      <c r="EA157" s="44">
        <f t="shared" si="365"/>
        <v>0</v>
      </c>
      <c r="EB157" s="44">
        <f t="shared" si="291"/>
        <v>5000</v>
      </c>
      <c r="EC157" s="46">
        <f t="shared" si="292"/>
        <v>0</v>
      </c>
      <c r="ED157" s="47">
        <f t="shared" si="293"/>
        <v>0</v>
      </c>
    </row>
    <row r="158" spans="1:134" x14ac:dyDescent="0.35">
      <c r="A158" s="81">
        <v>2004</v>
      </c>
      <c r="B158" s="82" t="s">
        <v>322</v>
      </c>
      <c r="C158" s="82"/>
      <c r="D158" s="83" t="s">
        <v>41</v>
      </c>
      <c r="E158" s="87">
        <v>10000</v>
      </c>
      <c r="F158" s="85">
        <v>38169</v>
      </c>
      <c r="G158" s="86">
        <v>10</v>
      </c>
      <c r="H158" s="179"/>
      <c r="I158" s="180"/>
      <c r="J158" s="181"/>
      <c r="K158" s="42">
        <f t="shared" si="244"/>
        <v>0.1</v>
      </c>
      <c r="L158" s="43">
        <f t="shared" si="245"/>
        <v>1000</v>
      </c>
      <c r="M158" s="44">
        <f t="shared" si="246"/>
        <v>2500</v>
      </c>
      <c r="N158" s="44"/>
      <c r="O158" s="44">
        <f t="shared" si="247"/>
        <v>7500</v>
      </c>
      <c r="P158" s="45"/>
      <c r="Q158" s="44">
        <f t="shared" si="248"/>
        <v>10000</v>
      </c>
      <c r="R158" s="604">
        <f t="shared" si="294"/>
        <v>0</v>
      </c>
      <c r="S158" s="44">
        <f t="shared" si="295"/>
        <v>0</v>
      </c>
      <c r="T158" s="44">
        <f t="shared" si="296"/>
        <v>0</v>
      </c>
      <c r="U158" s="44">
        <f t="shared" si="297"/>
        <v>0</v>
      </c>
      <c r="V158" s="44">
        <f t="shared" si="298"/>
        <v>10000</v>
      </c>
      <c r="W158" s="44">
        <f t="shared" si="299"/>
        <v>10000</v>
      </c>
      <c r="X158" s="44">
        <f t="shared" si="249"/>
        <v>1000</v>
      </c>
      <c r="Y158" s="44">
        <f t="shared" si="300"/>
        <v>1000</v>
      </c>
      <c r="Z158" s="44">
        <f t="shared" si="250"/>
        <v>1500</v>
      </c>
      <c r="AA158" s="44">
        <f t="shared" si="301"/>
        <v>1500</v>
      </c>
      <c r="AB158" s="44">
        <f t="shared" si="251"/>
        <v>8500</v>
      </c>
      <c r="AC158" s="46">
        <f t="shared" si="252"/>
        <v>0</v>
      </c>
      <c r="AD158" s="47">
        <f t="shared" si="253"/>
        <v>0</v>
      </c>
      <c r="AE158" s="604">
        <f t="shared" si="302"/>
        <v>0</v>
      </c>
      <c r="AF158" s="44">
        <f t="shared" si="303"/>
        <v>0</v>
      </c>
      <c r="AG158" s="44">
        <f t="shared" si="304"/>
        <v>0</v>
      </c>
      <c r="AH158" s="44">
        <f t="shared" si="305"/>
        <v>0</v>
      </c>
      <c r="AI158" s="44">
        <f t="shared" si="306"/>
        <v>10000</v>
      </c>
      <c r="AJ158" s="44">
        <f t="shared" si="307"/>
        <v>10000</v>
      </c>
      <c r="AK158" s="44">
        <f t="shared" si="254"/>
        <v>1000</v>
      </c>
      <c r="AL158" s="44">
        <f t="shared" si="308"/>
        <v>1000</v>
      </c>
      <c r="AM158" s="44">
        <f t="shared" si="255"/>
        <v>500</v>
      </c>
      <c r="AN158" s="44">
        <f t="shared" si="309"/>
        <v>500</v>
      </c>
      <c r="AO158" s="44">
        <f t="shared" si="256"/>
        <v>9500</v>
      </c>
      <c r="AP158" s="46">
        <f t="shared" si="257"/>
        <v>0</v>
      </c>
      <c r="AQ158" s="47">
        <f t="shared" si="258"/>
        <v>0</v>
      </c>
      <c r="AR158" s="604">
        <f t="shared" si="310"/>
        <v>0</v>
      </c>
      <c r="AS158" s="44">
        <f t="shared" si="311"/>
        <v>0</v>
      </c>
      <c r="AT158" s="44">
        <f t="shared" si="312"/>
        <v>0</v>
      </c>
      <c r="AU158" s="44">
        <f t="shared" si="313"/>
        <v>0</v>
      </c>
      <c r="AV158" s="44">
        <f t="shared" si="314"/>
        <v>10000</v>
      </c>
      <c r="AW158" s="44">
        <f t="shared" si="315"/>
        <v>5000</v>
      </c>
      <c r="AX158" s="44">
        <f t="shared" si="259"/>
        <v>500</v>
      </c>
      <c r="AY158" s="44">
        <f t="shared" si="316"/>
        <v>500</v>
      </c>
      <c r="AZ158" s="44">
        <f t="shared" si="260"/>
        <v>0</v>
      </c>
      <c r="BA158" s="44">
        <f t="shared" si="317"/>
        <v>0</v>
      </c>
      <c r="BB158" s="44">
        <f t="shared" si="261"/>
        <v>10000</v>
      </c>
      <c r="BC158" s="46">
        <f t="shared" si="262"/>
        <v>0</v>
      </c>
      <c r="BD158" s="47">
        <f t="shared" si="263"/>
        <v>0</v>
      </c>
      <c r="BE158" s="604">
        <f t="shared" si="318"/>
        <v>0</v>
      </c>
      <c r="BF158" s="44">
        <f t="shared" si="319"/>
        <v>0</v>
      </c>
      <c r="BG158" s="44">
        <f t="shared" si="320"/>
        <v>0</v>
      </c>
      <c r="BH158" s="44">
        <f t="shared" si="321"/>
        <v>0</v>
      </c>
      <c r="BI158" s="44">
        <f t="shared" si="322"/>
        <v>10000</v>
      </c>
      <c r="BJ158" s="44">
        <f t="shared" si="323"/>
        <v>0</v>
      </c>
      <c r="BK158" s="44">
        <f t="shared" si="264"/>
        <v>0</v>
      </c>
      <c r="BL158" s="44">
        <f t="shared" si="324"/>
        <v>0</v>
      </c>
      <c r="BM158" s="44">
        <f t="shared" si="265"/>
        <v>0</v>
      </c>
      <c r="BN158" s="44">
        <f t="shared" si="325"/>
        <v>0</v>
      </c>
      <c r="BO158" s="44">
        <f t="shared" si="266"/>
        <v>10000</v>
      </c>
      <c r="BP158" s="46">
        <f t="shared" si="267"/>
        <v>0</v>
      </c>
      <c r="BQ158" s="47">
        <f t="shared" si="268"/>
        <v>0</v>
      </c>
      <c r="BR158" s="604">
        <f t="shared" si="326"/>
        <v>0</v>
      </c>
      <c r="BS158" s="44">
        <f t="shared" si="327"/>
        <v>0</v>
      </c>
      <c r="BT158" s="44">
        <f t="shared" si="328"/>
        <v>0</v>
      </c>
      <c r="BU158" s="44">
        <f t="shared" si="329"/>
        <v>0</v>
      </c>
      <c r="BV158" s="44">
        <f t="shared" si="330"/>
        <v>10000</v>
      </c>
      <c r="BW158" s="44">
        <f t="shared" si="331"/>
        <v>0</v>
      </c>
      <c r="BX158" s="44">
        <f t="shared" si="269"/>
        <v>0</v>
      </c>
      <c r="BY158" s="44">
        <f t="shared" si="332"/>
        <v>0</v>
      </c>
      <c r="BZ158" s="44">
        <f t="shared" si="270"/>
        <v>0</v>
      </c>
      <c r="CA158" s="44">
        <f t="shared" si="333"/>
        <v>0</v>
      </c>
      <c r="CB158" s="44">
        <f t="shared" si="271"/>
        <v>10000</v>
      </c>
      <c r="CC158" s="46">
        <f t="shared" si="272"/>
        <v>0</v>
      </c>
      <c r="CD158" s="47">
        <f t="shared" si="273"/>
        <v>0</v>
      </c>
      <c r="CE158" s="604">
        <f t="shared" si="334"/>
        <v>0</v>
      </c>
      <c r="CF158" s="44">
        <f t="shared" si="335"/>
        <v>0</v>
      </c>
      <c r="CG158" s="44">
        <f t="shared" si="336"/>
        <v>0</v>
      </c>
      <c r="CH158" s="44">
        <f t="shared" si="337"/>
        <v>0</v>
      </c>
      <c r="CI158" s="44">
        <f t="shared" si="338"/>
        <v>10000</v>
      </c>
      <c r="CJ158" s="44">
        <f t="shared" si="339"/>
        <v>0</v>
      </c>
      <c r="CK158" s="44">
        <f t="shared" si="274"/>
        <v>0</v>
      </c>
      <c r="CL158" s="44">
        <f t="shared" si="340"/>
        <v>0</v>
      </c>
      <c r="CM158" s="44">
        <f t="shared" si="275"/>
        <v>0</v>
      </c>
      <c r="CN158" s="44">
        <f t="shared" si="341"/>
        <v>0</v>
      </c>
      <c r="CO158" s="44">
        <f t="shared" si="276"/>
        <v>10000</v>
      </c>
      <c r="CP158" s="46">
        <f t="shared" si="277"/>
        <v>0</v>
      </c>
      <c r="CQ158" s="47">
        <f t="shared" si="278"/>
        <v>0</v>
      </c>
      <c r="CR158" s="604">
        <f t="shared" si="342"/>
        <v>0</v>
      </c>
      <c r="CS158" s="44">
        <f t="shared" si="343"/>
        <v>0</v>
      </c>
      <c r="CT158" s="44">
        <f t="shared" si="344"/>
        <v>0</v>
      </c>
      <c r="CU158" s="44">
        <f t="shared" si="345"/>
        <v>0</v>
      </c>
      <c r="CV158" s="44">
        <f t="shared" si="346"/>
        <v>10000</v>
      </c>
      <c r="CW158" s="44">
        <f t="shared" si="347"/>
        <v>0</v>
      </c>
      <c r="CX158" s="44">
        <f t="shared" si="279"/>
        <v>0</v>
      </c>
      <c r="CY158" s="44">
        <f t="shared" si="348"/>
        <v>0</v>
      </c>
      <c r="CZ158" s="44">
        <f t="shared" si="280"/>
        <v>0</v>
      </c>
      <c r="DA158" s="44">
        <f t="shared" si="349"/>
        <v>0</v>
      </c>
      <c r="DB158" s="44">
        <f t="shared" si="281"/>
        <v>10000</v>
      </c>
      <c r="DC158" s="46">
        <f t="shared" si="282"/>
        <v>0</v>
      </c>
      <c r="DD158" s="47">
        <f t="shared" si="283"/>
        <v>0</v>
      </c>
      <c r="DE158" s="604">
        <f t="shared" si="350"/>
        <v>0</v>
      </c>
      <c r="DF158" s="44">
        <f t="shared" si="351"/>
        <v>0</v>
      </c>
      <c r="DG158" s="44">
        <f t="shared" si="352"/>
        <v>0</v>
      </c>
      <c r="DH158" s="44">
        <f t="shared" si="353"/>
        <v>0</v>
      </c>
      <c r="DI158" s="44">
        <f t="shared" si="354"/>
        <v>10000</v>
      </c>
      <c r="DJ158" s="44">
        <f t="shared" si="355"/>
        <v>0</v>
      </c>
      <c r="DK158" s="44">
        <f t="shared" si="284"/>
        <v>0</v>
      </c>
      <c r="DL158" s="44">
        <f t="shared" si="356"/>
        <v>0</v>
      </c>
      <c r="DM158" s="44">
        <f t="shared" si="285"/>
        <v>0</v>
      </c>
      <c r="DN158" s="44">
        <f t="shared" si="357"/>
        <v>0</v>
      </c>
      <c r="DO158" s="44">
        <f t="shared" si="286"/>
        <v>10000</v>
      </c>
      <c r="DP158" s="46">
        <f t="shared" si="287"/>
        <v>0</v>
      </c>
      <c r="DQ158" s="47">
        <f t="shared" si="288"/>
        <v>0</v>
      </c>
      <c r="DR158" s="604">
        <f t="shared" si="358"/>
        <v>0</v>
      </c>
      <c r="DS158" s="44">
        <f t="shared" si="359"/>
        <v>0</v>
      </c>
      <c r="DT158" s="44">
        <f t="shared" si="360"/>
        <v>0</v>
      </c>
      <c r="DU158" s="44">
        <f t="shared" si="361"/>
        <v>0</v>
      </c>
      <c r="DV158" s="44">
        <f t="shared" si="362"/>
        <v>10000</v>
      </c>
      <c r="DW158" s="44">
        <f t="shared" si="363"/>
        <v>0</v>
      </c>
      <c r="DX158" s="44">
        <f t="shared" si="289"/>
        <v>0</v>
      </c>
      <c r="DY158" s="44">
        <f t="shared" si="364"/>
        <v>0</v>
      </c>
      <c r="DZ158" s="44">
        <f t="shared" si="290"/>
        <v>0</v>
      </c>
      <c r="EA158" s="44">
        <f t="shared" si="365"/>
        <v>0</v>
      </c>
      <c r="EB158" s="44">
        <f t="shared" si="291"/>
        <v>10000</v>
      </c>
      <c r="EC158" s="46">
        <f t="shared" si="292"/>
        <v>0</v>
      </c>
      <c r="ED158" s="47">
        <f t="shared" si="293"/>
        <v>0</v>
      </c>
    </row>
    <row r="159" spans="1:134" x14ac:dyDescent="0.35">
      <c r="A159" s="81">
        <v>2004</v>
      </c>
      <c r="B159" s="82" t="s">
        <v>323</v>
      </c>
      <c r="C159" s="82"/>
      <c r="D159" s="83" t="s">
        <v>41</v>
      </c>
      <c r="E159" s="87">
        <v>25000</v>
      </c>
      <c r="F159" s="85">
        <v>38169</v>
      </c>
      <c r="G159" s="86">
        <v>4</v>
      </c>
      <c r="H159" s="179"/>
      <c r="I159" s="180"/>
      <c r="J159" s="181"/>
      <c r="K159" s="42">
        <f t="shared" si="244"/>
        <v>0.25</v>
      </c>
      <c r="L159" s="43">
        <f t="shared" si="245"/>
        <v>6250</v>
      </c>
      <c r="M159" s="44">
        <f t="shared" si="246"/>
        <v>0</v>
      </c>
      <c r="N159" s="44"/>
      <c r="O159" s="44">
        <f t="shared" si="247"/>
        <v>25000</v>
      </c>
      <c r="P159" s="45"/>
      <c r="Q159" s="44">
        <f t="shared" si="248"/>
        <v>25000</v>
      </c>
      <c r="R159" s="604">
        <f t="shared" si="294"/>
        <v>0</v>
      </c>
      <c r="S159" s="44">
        <f t="shared" si="295"/>
        <v>0</v>
      </c>
      <c r="T159" s="44">
        <f t="shared" si="296"/>
        <v>0</v>
      </c>
      <c r="U159" s="44">
        <f t="shared" si="297"/>
        <v>0</v>
      </c>
      <c r="V159" s="44">
        <f t="shared" si="298"/>
        <v>25000</v>
      </c>
      <c r="W159" s="44">
        <f t="shared" si="299"/>
        <v>0</v>
      </c>
      <c r="X159" s="44">
        <f t="shared" si="249"/>
        <v>0</v>
      </c>
      <c r="Y159" s="44">
        <f t="shared" si="300"/>
        <v>0</v>
      </c>
      <c r="Z159" s="44">
        <f t="shared" si="250"/>
        <v>0</v>
      </c>
      <c r="AA159" s="44">
        <f t="shared" si="301"/>
        <v>0</v>
      </c>
      <c r="AB159" s="44">
        <f t="shared" si="251"/>
        <v>25000</v>
      </c>
      <c r="AC159" s="46">
        <f t="shared" si="252"/>
        <v>0</v>
      </c>
      <c r="AD159" s="47">
        <f t="shared" si="253"/>
        <v>0</v>
      </c>
      <c r="AE159" s="604">
        <f t="shared" si="302"/>
        <v>0</v>
      </c>
      <c r="AF159" s="44">
        <f t="shared" si="303"/>
        <v>0</v>
      </c>
      <c r="AG159" s="44">
        <f t="shared" si="304"/>
        <v>0</v>
      </c>
      <c r="AH159" s="44">
        <f t="shared" si="305"/>
        <v>0</v>
      </c>
      <c r="AI159" s="44">
        <f t="shared" si="306"/>
        <v>25000</v>
      </c>
      <c r="AJ159" s="44">
        <f t="shared" si="307"/>
        <v>0</v>
      </c>
      <c r="AK159" s="44">
        <f t="shared" si="254"/>
        <v>0</v>
      </c>
      <c r="AL159" s="44">
        <f t="shared" si="308"/>
        <v>0</v>
      </c>
      <c r="AM159" s="44">
        <f t="shared" si="255"/>
        <v>0</v>
      </c>
      <c r="AN159" s="44">
        <f t="shared" si="309"/>
        <v>0</v>
      </c>
      <c r="AO159" s="44">
        <f t="shared" si="256"/>
        <v>25000</v>
      </c>
      <c r="AP159" s="46">
        <f t="shared" si="257"/>
        <v>0</v>
      </c>
      <c r="AQ159" s="47">
        <f t="shared" si="258"/>
        <v>0</v>
      </c>
      <c r="AR159" s="604">
        <f t="shared" si="310"/>
        <v>0</v>
      </c>
      <c r="AS159" s="44">
        <f t="shared" si="311"/>
        <v>0</v>
      </c>
      <c r="AT159" s="44">
        <f t="shared" si="312"/>
        <v>0</v>
      </c>
      <c r="AU159" s="44">
        <f t="shared" si="313"/>
        <v>0</v>
      </c>
      <c r="AV159" s="44">
        <f t="shared" si="314"/>
        <v>25000</v>
      </c>
      <c r="AW159" s="44">
        <f t="shared" si="315"/>
        <v>0</v>
      </c>
      <c r="AX159" s="44">
        <f t="shared" si="259"/>
        <v>0</v>
      </c>
      <c r="AY159" s="44">
        <f t="shared" si="316"/>
        <v>0</v>
      </c>
      <c r="AZ159" s="44">
        <f t="shared" si="260"/>
        <v>0</v>
      </c>
      <c r="BA159" s="44">
        <f t="shared" si="317"/>
        <v>0</v>
      </c>
      <c r="BB159" s="44">
        <f t="shared" si="261"/>
        <v>25000</v>
      </c>
      <c r="BC159" s="46">
        <f t="shared" si="262"/>
        <v>0</v>
      </c>
      <c r="BD159" s="47">
        <f t="shared" si="263"/>
        <v>0</v>
      </c>
      <c r="BE159" s="604">
        <f t="shared" si="318"/>
        <v>0</v>
      </c>
      <c r="BF159" s="44">
        <f t="shared" si="319"/>
        <v>0</v>
      </c>
      <c r="BG159" s="44">
        <f t="shared" si="320"/>
        <v>0</v>
      </c>
      <c r="BH159" s="44">
        <f t="shared" si="321"/>
        <v>0</v>
      </c>
      <c r="BI159" s="44">
        <f t="shared" si="322"/>
        <v>25000</v>
      </c>
      <c r="BJ159" s="44">
        <f t="shared" si="323"/>
        <v>0</v>
      </c>
      <c r="BK159" s="44">
        <f t="shared" si="264"/>
        <v>0</v>
      </c>
      <c r="BL159" s="44">
        <f t="shared" si="324"/>
        <v>0</v>
      </c>
      <c r="BM159" s="44">
        <f t="shared" si="265"/>
        <v>0</v>
      </c>
      <c r="BN159" s="44">
        <f t="shared" si="325"/>
        <v>0</v>
      </c>
      <c r="BO159" s="44">
        <f t="shared" si="266"/>
        <v>25000</v>
      </c>
      <c r="BP159" s="46">
        <f t="shared" si="267"/>
        <v>0</v>
      </c>
      <c r="BQ159" s="47">
        <f t="shared" si="268"/>
        <v>0</v>
      </c>
      <c r="BR159" s="604">
        <f t="shared" si="326"/>
        <v>0</v>
      </c>
      <c r="BS159" s="44">
        <f t="shared" si="327"/>
        <v>0</v>
      </c>
      <c r="BT159" s="44">
        <f t="shared" si="328"/>
        <v>0</v>
      </c>
      <c r="BU159" s="44">
        <f t="shared" si="329"/>
        <v>0</v>
      </c>
      <c r="BV159" s="44">
        <f t="shared" si="330"/>
        <v>25000</v>
      </c>
      <c r="BW159" s="44">
        <f t="shared" si="331"/>
        <v>0</v>
      </c>
      <c r="BX159" s="44">
        <f t="shared" si="269"/>
        <v>0</v>
      </c>
      <c r="BY159" s="44">
        <f t="shared" si="332"/>
        <v>0</v>
      </c>
      <c r="BZ159" s="44">
        <f t="shared" si="270"/>
        <v>0</v>
      </c>
      <c r="CA159" s="44">
        <f t="shared" si="333"/>
        <v>0</v>
      </c>
      <c r="CB159" s="44">
        <f t="shared" si="271"/>
        <v>25000</v>
      </c>
      <c r="CC159" s="46">
        <f t="shared" si="272"/>
        <v>0</v>
      </c>
      <c r="CD159" s="47">
        <f t="shared" si="273"/>
        <v>0</v>
      </c>
      <c r="CE159" s="604">
        <f t="shared" si="334"/>
        <v>0</v>
      </c>
      <c r="CF159" s="44">
        <f t="shared" si="335"/>
        <v>0</v>
      </c>
      <c r="CG159" s="44">
        <f t="shared" si="336"/>
        <v>0</v>
      </c>
      <c r="CH159" s="44">
        <f t="shared" si="337"/>
        <v>0</v>
      </c>
      <c r="CI159" s="44">
        <f t="shared" si="338"/>
        <v>25000</v>
      </c>
      <c r="CJ159" s="44">
        <f t="shared" si="339"/>
        <v>0</v>
      </c>
      <c r="CK159" s="44">
        <f t="shared" si="274"/>
        <v>0</v>
      </c>
      <c r="CL159" s="44">
        <f t="shared" si="340"/>
        <v>0</v>
      </c>
      <c r="CM159" s="44">
        <f t="shared" si="275"/>
        <v>0</v>
      </c>
      <c r="CN159" s="44">
        <f t="shared" si="341"/>
        <v>0</v>
      </c>
      <c r="CO159" s="44">
        <f t="shared" si="276"/>
        <v>25000</v>
      </c>
      <c r="CP159" s="46">
        <f t="shared" si="277"/>
        <v>0</v>
      </c>
      <c r="CQ159" s="47">
        <f t="shared" si="278"/>
        <v>0</v>
      </c>
      <c r="CR159" s="604">
        <f t="shared" si="342"/>
        <v>0</v>
      </c>
      <c r="CS159" s="44">
        <f t="shared" si="343"/>
        <v>0</v>
      </c>
      <c r="CT159" s="44">
        <f t="shared" si="344"/>
        <v>0</v>
      </c>
      <c r="CU159" s="44">
        <f t="shared" si="345"/>
        <v>0</v>
      </c>
      <c r="CV159" s="44">
        <f t="shared" si="346"/>
        <v>25000</v>
      </c>
      <c r="CW159" s="44">
        <f t="shared" si="347"/>
        <v>0</v>
      </c>
      <c r="CX159" s="44">
        <f t="shared" si="279"/>
        <v>0</v>
      </c>
      <c r="CY159" s="44">
        <f t="shared" si="348"/>
        <v>0</v>
      </c>
      <c r="CZ159" s="44">
        <f t="shared" si="280"/>
        <v>0</v>
      </c>
      <c r="DA159" s="44">
        <f t="shared" si="349"/>
        <v>0</v>
      </c>
      <c r="DB159" s="44">
        <f t="shared" si="281"/>
        <v>25000</v>
      </c>
      <c r="DC159" s="46">
        <f t="shared" si="282"/>
        <v>0</v>
      </c>
      <c r="DD159" s="47">
        <f t="shared" si="283"/>
        <v>0</v>
      </c>
      <c r="DE159" s="604">
        <f t="shared" si="350"/>
        <v>0</v>
      </c>
      <c r="DF159" s="44">
        <f t="shared" si="351"/>
        <v>0</v>
      </c>
      <c r="DG159" s="44">
        <f t="shared" si="352"/>
        <v>0</v>
      </c>
      <c r="DH159" s="44">
        <f t="shared" si="353"/>
        <v>0</v>
      </c>
      <c r="DI159" s="44">
        <f t="shared" si="354"/>
        <v>25000</v>
      </c>
      <c r="DJ159" s="44">
        <f t="shared" si="355"/>
        <v>0</v>
      </c>
      <c r="DK159" s="44">
        <f t="shared" si="284"/>
        <v>0</v>
      </c>
      <c r="DL159" s="44">
        <f t="shared" si="356"/>
        <v>0</v>
      </c>
      <c r="DM159" s="44">
        <f t="shared" si="285"/>
        <v>0</v>
      </c>
      <c r="DN159" s="44">
        <f t="shared" si="357"/>
        <v>0</v>
      </c>
      <c r="DO159" s="44">
        <f t="shared" si="286"/>
        <v>25000</v>
      </c>
      <c r="DP159" s="46">
        <f t="shared" si="287"/>
        <v>0</v>
      </c>
      <c r="DQ159" s="47">
        <f t="shared" si="288"/>
        <v>0</v>
      </c>
      <c r="DR159" s="604">
        <f t="shared" si="358"/>
        <v>0</v>
      </c>
      <c r="DS159" s="44">
        <f t="shared" si="359"/>
        <v>0</v>
      </c>
      <c r="DT159" s="44">
        <f t="shared" si="360"/>
        <v>0</v>
      </c>
      <c r="DU159" s="44">
        <f t="shared" si="361"/>
        <v>0</v>
      </c>
      <c r="DV159" s="44">
        <f t="shared" si="362"/>
        <v>25000</v>
      </c>
      <c r="DW159" s="44">
        <f t="shared" si="363"/>
        <v>0</v>
      </c>
      <c r="DX159" s="44">
        <f t="shared" si="289"/>
        <v>0</v>
      </c>
      <c r="DY159" s="44">
        <f t="shared" si="364"/>
        <v>0</v>
      </c>
      <c r="DZ159" s="44">
        <f t="shared" si="290"/>
        <v>0</v>
      </c>
      <c r="EA159" s="44">
        <f t="shared" si="365"/>
        <v>0</v>
      </c>
      <c r="EB159" s="44">
        <f t="shared" si="291"/>
        <v>25000</v>
      </c>
      <c r="EC159" s="46">
        <f t="shared" si="292"/>
        <v>0</v>
      </c>
      <c r="ED159" s="47">
        <f t="shared" si="293"/>
        <v>0</v>
      </c>
    </row>
    <row r="160" spans="1:134" x14ac:dyDescent="0.35">
      <c r="A160" s="81">
        <v>2004</v>
      </c>
      <c r="B160" s="82" t="s">
        <v>324</v>
      </c>
      <c r="C160" s="82"/>
      <c r="D160" s="83" t="s">
        <v>41</v>
      </c>
      <c r="E160" s="87">
        <v>15000</v>
      </c>
      <c r="F160" s="85">
        <v>38169</v>
      </c>
      <c r="G160" s="86">
        <v>4</v>
      </c>
      <c r="H160" s="179"/>
      <c r="I160" s="180"/>
      <c r="J160" s="181"/>
      <c r="K160" s="42">
        <f t="shared" si="244"/>
        <v>0.25</v>
      </c>
      <c r="L160" s="43">
        <f t="shared" si="245"/>
        <v>3750</v>
      </c>
      <c r="M160" s="44">
        <f t="shared" si="246"/>
        <v>0</v>
      </c>
      <c r="N160" s="44"/>
      <c r="O160" s="44">
        <f t="shared" si="247"/>
        <v>15000</v>
      </c>
      <c r="P160" s="45"/>
      <c r="Q160" s="44">
        <f t="shared" si="248"/>
        <v>15000</v>
      </c>
      <c r="R160" s="604">
        <f t="shared" si="294"/>
        <v>0</v>
      </c>
      <c r="S160" s="44">
        <f t="shared" si="295"/>
        <v>0</v>
      </c>
      <c r="T160" s="44">
        <f t="shared" si="296"/>
        <v>0</v>
      </c>
      <c r="U160" s="44">
        <f t="shared" si="297"/>
        <v>0</v>
      </c>
      <c r="V160" s="44">
        <f t="shared" si="298"/>
        <v>15000</v>
      </c>
      <c r="W160" s="44">
        <f t="shared" si="299"/>
        <v>0</v>
      </c>
      <c r="X160" s="44">
        <f t="shared" si="249"/>
        <v>0</v>
      </c>
      <c r="Y160" s="44">
        <f t="shared" si="300"/>
        <v>0</v>
      </c>
      <c r="Z160" s="44">
        <f t="shared" si="250"/>
        <v>0</v>
      </c>
      <c r="AA160" s="44">
        <f t="shared" si="301"/>
        <v>0</v>
      </c>
      <c r="AB160" s="44">
        <f t="shared" si="251"/>
        <v>15000</v>
      </c>
      <c r="AC160" s="46">
        <f t="shared" si="252"/>
        <v>0</v>
      </c>
      <c r="AD160" s="47">
        <f t="shared" si="253"/>
        <v>0</v>
      </c>
      <c r="AE160" s="604">
        <f t="shared" si="302"/>
        <v>0</v>
      </c>
      <c r="AF160" s="44">
        <f t="shared" si="303"/>
        <v>0</v>
      </c>
      <c r="AG160" s="44">
        <f t="shared" si="304"/>
        <v>0</v>
      </c>
      <c r="AH160" s="44">
        <f t="shared" si="305"/>
        <v>0</v>
      </c>
      <c r="AI160" s="44">
        <f t="shared" si="306"/>
        <v>15000</v>
      </c>
      <c r="AJ160" s="44">
        <f t="shared" si="307"/>
        <v>0</v>
      </c>
      <c r="AK160" s="44">
        <f t="shared" si="254"/>
        <v>0</v>
      </c>
      <c r="AL160" s="44">
        <f t="shared" si="308"/>
        <v>0</v>
      </c>
      <c r="AM160" s="44">
        <f t="shared" si="255"/>
        <v>0</v>
      </c>
      <c r="AN160" s="44">
        <f t="shared" si="309"/>
        <v>0</v>
      </c>
      <c r="AO160" s="44">
        <f t="shared" si="256"/>
        <v>15000</v>
      </c>
      <c r="AP160" s="46">
        <f t="shared" si="257"/>
        <v>0</v>
      </c>
      <c r="AQ160" s="47">
        <f t="shared" si="258"/>
        <v>0</v>
      </c>
      <c r="AR160" s="604">
        <f t="shared" si="310"/>
        <v>0</v>
      </c>
      <c r="AS160" s="44">
        <f t="shared" si="311"/>
        <v>0</v>
      </c>
      <c r="AT160" s="44">
        <f t="shared" si="312"/>
        <v>0</v>
      </c>
      <c r="AU160" s="44">
        <f t="shared" si="313"/>
        <v>0</v>
      </c>
      <c r="AV160" s="44">
        <f t="shared" si="314"/>
        <v>15000</v>
      </c>
      <c r="AW160" s="44">
        <f t="shared" si="315"/>
        <v>0</v>
      </c>
      <c r="AX160" s="44">
        <f t="shared" si="259"/>
        <v>0</v>
      </c>
      <c r="AY160" s="44">
        <f t="shared" si="316"/>
        <v>0</v>
      </c>
      <c r="AZ160" s="44">
        <f t="shared" si="260"/>
        <v>0</v>
      </c>
      <c r="BA160" s="44">
        <f t="shared" si="317"/>
        <v>0</v>
      </c>
      <c r="BB160" s="44">
        <f t="shared" si="261"/>
        <v>15000</v>
      </c>
      <c r="BC160" s="46">
        <f t="shared" si="262"/>
        <v>0</v>
      </c>
      <c r="BD160" s="47">
        <f t="shared" si="263"/>
        <v>0</v>
      </c>
      <c r="BE160" s="604">
        <f t="shared" si="318"/>
        <v>0</v>
      </c>
      <c r="BF160" s="44">
        <f t="shared" si="319"/>
        <v>0</v>
      </c>
      <c r="BG160" s="44">
        <f t="shared" si="320"/>
        <v>0</v>
      </c>
      <c r="BH160" s="44">
        <f t="shared" si="321"/>
        <v>0</v>
      </c>
      <c r="BI160" s="44">
        <f t="shared" si="322"/>
        <v>15000</v>
      </c>
      <c r="BJ160" s="44">
        <f t="shared" si="323"/>
        <v>0</v>
      </c>
      <c r="BK160" s="44">
        <f t="shared" si="264"/>
        <v>0</v>
      </c>
      <c r="BL160" s="44">
        <f t="shared" si="324"/>
        <v>0</v>
      </c>
      <c r="BM160" s="44">
        <f t="shared" si="265"/>
        <v>0</v>
      </c>
      <c r="BN160" s="44">
        <f t="shared" si="325"/>
        <v>0</v>
      </c>
      <c r="BO160" s="44">
        <f t="shared" si="266"/>
        <v>15000</v>
      </c>
      <c r="BP160" s="46">
        <f t="shared" si="267"/>
        <v>0</v>
      </c>
      <c r="BQ160" s="47">
        <f t="shared" si="268"/>
        <v>0</v>
      </c>
      <c r="BR160" s="604">
        <f t="shared" si="326"/>
        <v>0</v>
      </c>
      <c r="BS160" s="44">
        <f t="shared" si="327"/>
        <v>0</v>
      </c>
      <c r="BT160" s="44">
        <f t="shared" si="328"/>
        <v>0</v>
      </c>
      <c r="BU160" s="44">
        <f t="shared" si="329"/>
        <v>0</v>
      </c>
      <c r="BV160" s="44">
        <f t="shared" si="330"/>
        <v>15000</v>
      </c>
      <c r="BW160" s="44">
        <f t="shared" si="331"/>
        <v>0</v>
      </c>
      <c r="BX160" s="44">
        <f t="shared" si="269"/>
        <v>0</v>
      </c>
      <c r="BY160" s="44">
        <f t="shared" si="332"/>
        <v>0</v>
      </c>
      <c r="BZ160" s="44">
        <f t="shared" si="270"/>
        <v>0</v>
      </c>
      <c r="CA160" s="44">
        <f t="shared" si="333"/>
        <v>0</v>
      </c>
      <c r="CB160" s="44">
        <f t="shared" si="271"/>
        <v>15000</v>
      </c>
      <c r="CC160" s="46">
        <f t="shared" si="272"/>
        <v>0</v>
      </c>
      <c r="CD160" s="47">
        <f t="shared" si="273"/>
        <v>0</v>
      </c>
      <c r="CE160" s="604">
        <f t="shared" si="334"/>
        <v>0</v>
      </c>
      <c r="CF160" s="44">
        <f t="shared" si="335"/>
        <v>0</v>
      </c>
      <c r="CG160" s="44">
        <f t="shared" si="336"/>
        <v>0</v>
      </c>
      <c r="CH160" s="44">
        <f t="shared" si="337"/>
        <v>0</v>
      </c>
      <c r="CI160" s="44">
        <f t="shared" si="338"/>
        <v>15000</v>
      </c>
      <c r="CJ160" s="44">
        <f t="shared" si="339"/>
        <v>0</v>
      </c>
      <c r="CK160" s="44">
        <f t="shared" si="274"/>
        <v>0</v>
      </c>
      <c r="CL160" s="44">
        <f t="shared" si="340"/>
        <v>0</v>
      </c>
      <c r="CM160" s="44">
        <f t="shared" si="275"/>
        <v>0</v>
      </c>
      <c r="CN160" s="44">
        <f t="shared" si="341"/>
        <v>0</v>
      </c>
      <c r="CO160" s="44">
        <f t="shared" si="276"/>
        <v>15000</v>
      </c>
      <c r="CP160" s="46">
        <f t="shared" si="277"/>
        <v>0</v>
      </c>
      <c r="CQ160" s="47">
        <f t="shared" si="278"/>
        <v>0</v>
      </c>
      <c r="CR160" s="604">
        <f t="shared" si="342"/>
        <v>0</v>
      </c>
      <c r="CS160" s="44">
        <f t="shared" si="343"/>
        <v>0</v>
      </c>
      <c r="CT160" s="44">
        <f t="shared" si="344"/>
        <v>0</v>
      </c>
      <c r="CU160" s="44">
        <f t="shared" si="345"/>
        <v>0</v>
      </c>
      <c r="CV160" s="44">
        <f t="shared" si="346"/>
        <v>15000</v>
      </c>
      <c r="CW160" s="44">
        <f t="shared" si="347"/>
        <v>0</v>
      </c>
      <c r="CX160" s="44">
        <f t="shared" si="279"/>
        <v>0</v>
      </c>
      <c r="CY160" s="44">
        <f t="shared" si="348"/>
        <v>0</v>
      </c>
      <c r="CZ160" s="44">
        <f t="shared" si="280"/>
        <v>0</v>
      </c>
      <c r="DA160" s="44">
        <f t="shared" si="349"/>
        <v>0</v>
      </c>
      <c r="DB160" s="44">
        <f t="shared" si="281"/>
        <v>15000</v>
      </c>
      <c r="DC160" s="46">
        <f t="shared" si="282"/>
        <v>0</v>
      </c>
      <c r="DD160" s="47">
        <f t="shared" si="283"/>
        <v>0</v>
      </c>
      <c r="DE160" s="604">
        <f t="shared" si="350"/>
        <v>0</v>
      </c>
      <c r="DF160" s="44">
        <f t="shared" si="351"/>
        <v>0</v>
      </c>
      <c r="DG160" s="44">
        <f t="shared" si="352"/>
        <v>0</v>
      </c>
      <c r="DH160" s="44">
        <f t="shared" si="353"/>
        <v>0</v>
      </c>
      <c r="DI160" s="44">
        <f t="shared" si="354"/>
        <v>15000</v>
      </c>
      <c r="DJ160" s="44">
        <f t="shared" si="355"/>
        <v>0</v>
      </c>
      <c r="DK160" s="44">
        <f t="shared" si="284"/>
        <v>0</v>
      </c>
      <c r="DL160" s="44">
        <f t="shared" si="356"/>
        <v>0</v>
      </c>
      <c r="DM160" s="44">
        <f t="shared" si="285"/>
        <v>0</v>
      </c>
      <c r="DN160" s="44">
        <f t="shared" si="357"/>
        <v>0</v>
      </c>
      <c r="DO160" s="44">
        <f t="shared" si="286"/>
        <v>15000</v>
      </c>
      <c r="DP160" s="46">
        <f t="shared" si="287"/>
        <v>0</v>
      </c>
      <c r="DQ160" s="47">
        <f t="shared" si="288"/>
        <v>0</v>
      </c>
      <c r="DR160" s="604">
        <f t="shared" si="358"/>
        <v>0</v>
      </c>
      <c r="DS160" s="44">
        <f t="shared" si="359"/>
        <v>0</v>
      </c>
      <c r="DT160" s="44">
        <f t="shared" si="360"/>
        <v>0</v>
      </c>
      <c r="DU160" s="44">
        <f t="shared" si="361"/>
        <v>0</v>
      </c>
      <c r="DV160" s="44">
        <f t="shared" si="362"/>
        <v>15000</v>
      </c>
      <c r="DW160" s="44">
        <f t="shared" si="363"/>
        <v>0</v>
      </c>
      <c r="DX160" s="44">
        <f t="shared" si="289"/>
        <v>0</v>
      </c>
      <c r="DY160" s="44">
        <f t="shared" si="364"/>
        <v>0</v>
      </c>
      <c r="DZ160" s="44">
        <f t="shared" si="290"/>
        <v>0</v>
      </c>
      <c r="EA160" s="44">
        <f t="shared" si="365"/>
        <v>0</v>
      </c>
      <c r="EB160" s="44">
        <f t="shared" si="291"/>
        <v>15000</v>
      </c>
      <c r="EC160" s="46">
        <f t="shared" si="292"/>
        <v>0</v>
      </c>
      <c r="ED160" s="47">
        <f t="shared" si="293"/>
        <v>0</v>
      </c>
    </row>
    <row r="161" spans="1:134" x14ac:dyDescent="0.35">
      <c r="A161" s="81">
        <v>2005</v>
      </c>
      <c r="B161" s="82" t="s">
        <v>322</v>
      </c>
      <c r="C161" s="82"/>
      <c r="D161" s="83" t="s">
        <v>41</v>
      </c>
      <c r="E161" s="87">
        <v>10000</v>
      </c>
      <c r="F161" s="85">
        <v>38534</v>
      </c>
      <c r="G161" s="86">
        <v>10</v>
      </c>
      <c r="H161" s="179"/>
      <c r="I161" s="180"/>
      <c r="J161" s="181"/>
      <c r="K161" s="42">
        <f t="shared" si="244"/>
        <v>0.1</v>
      </c>
      <c r="L161" s="43">
        <f t="shared" si="245"/>
        <v>1000</v>
      </c>
      <c r="M161" s="44">
        <f t="shared" si="246"/>
        <v>3500</v>
      </c>
      <c r="N161" s="44"/>
      <c r="O161" s="44">
        <f t="shared" si="247"/>
        <v>6500</v>
      </c>
      <c r="P161" s="45"/>
      <c r="Q161" s="44">
        <f t="shared" si="248"/>
        <v>10000</v>
      </c>
      <c r="R161" s="604">
        <f t="shared" si="294"/>
        <v>0</v>
      </c>
      <c r="S161" s="44">
        <f t="shared" si="295"/>
        <v>0</v>
      </c>
      <c r="T161" s="44">
        <f t="shared" si="296"/>
        <v>0</v>
      </c>
      <c r="U161" s="44">
        <f t="shared" si="297"/>
        <v>0</v>
      </c>
      <c r="V161" s="44">
        <f t="shared" si="298"/>
        <v>10000</v>
      </c>
      <c r="W161" s="44">
        <f t="shared" si="299"/>
        <v>10000</v>
      </c>
      <c r="X161" s="44">
        <f t="shared" si="249"/>
        <v>1000</v>
      </c>
      <c r="Y161" s="44">
        <f t="shared" si="300"/>
        <v>1000</v>
      </c>
      <c r="Z161" s="44">
        <f t="shared" si="250"/>
        <v>2500</v>
      </c>
      <c r="AA161" s="44">
        <f t="shared" si="301"/>
        <v>2500</v>
      </c>
      <c r="AB161" s="44">
        <f t="shared" si="251"/>
        <v>7500</v>
      </c>
      <c r="AC161" s="46">
        <f t="shared" si="252"/>
        <v>0</v>
      </c>
      <c r="AD161" s="47">
        <f t="shared" si="253"/>
        <v>0</v>
      </c>
      <c r="AE161" s="604">
        <f t="shared" si="302"/>
        <v>0</v>
      </c>
      <c r="AF161" s="44">
        <f t="shared" si="303"/>
        <v>0</v>
      </c>
      <c r="AG161" s="44">
        <f t="shared" si="304"/>
        <v>0</v>
      </c>
      <c r="AH161" s="44">
        <f t="shared" si="305"/>
        <v>0</v>
      </c>
      <c r="AI161" s="44">
        <f t="shared" si="306"/>
        <v>10000</v>
      </c>
      <c r="AJ161" s="44">
        <f t="shared" si="307"/>
        <v>10000</v>
      </c>
      <c r="AK161" s="44">
        <f t="shared" si="254"/>
        <v>1000</v>
      </c>
      <c r="AL161" s="44">
        <f t="shared" si="308"/>
        <v>1000</v>
      </c>
      <c r="AM161" s="44">
        <f t="shared" si="255"/>
        <v>1500</v>
      </c>
      <c r="AN161" s="44">
        <f t="shared" si="309"/>
        <v>1500</v>
      </c>
      <c r="AO161" s="44">
        <f t="shared" si="256"/>
        <v>8500</v>
      </c>
      <c r="AP161" s="46">
        <f t="shared" si="257"/>
        <v>0</v>
      </c>
      <c r="AQ161" s="47">
        <f t="shared" si="258"/>
        <v>0</v>
      </c>
      <c r="AR161" s="604">
        <f t="shared" si="310"/>
        <v>0</v>
      </c>
      <c r="AS161" s="44">
        <f t="shared" si="311"/>
        <v>0</v>
      </c>
      <c r="AT161" s="44">
        <f t="shared" si="312"/>
        <v>0</v>
      </c>
      <c r="AU161" s="44">
        <f t="shared" si="313"/>
        <v>0</v>
      </c>
      <c r="AV161" s="44">
        <f t="shared" si="314"/>
        <v>10000</v>
      </c>
      <c r="AW161" s="44">
        <f t="shared" si="315"/>
        <v>10000</v>
      </c>
      <c r="AX161" s="44">
        <f t="shared" si="259"/>
        <v>1000</v>
      </c>
      <c r="AY161" s="44">
        <f t="shared" si="316"/>
        <v>1000</v>
      </c>
      <c r="AZ161" s="44">
        <f t="shared" si="260"/>
        <v>500</v>
      </c>
      <c r="BA161" s="44">
        <f t="shared" si="317"/>
        <v>500</v>
      </c>
      <c r="BB161" s="44">
        <f t="shared" si="261"/>
        <v>9500</v>
      </c>
      <c r="BC161" s="46">
        <f t="shared" si="262"/>
        <v>0</v>
      </c>
      <c r="BD161" s="47">
        <f t="shared" si="263"/>
        <v>0</v>
      </c>
      <c r="BE161" s="604">
        <f t="shared" si="318"/>
        <v>0</v>
      </c>
      <c r="BF161" s="44">
        <f t="shared" si="319"/>
        <v>0</v>
      </c>
      <c r="BG161" s="44">
        <f t="shared" si="320"/>
        <v>0</v>
      </c>
      <c r="BH161" s="44">
        <f t="shared" si="321"/>
        <v>0</v>
      </c>
      <c r="BI161" s="44">
        <f t="shared" si="322"/>
        <v>10000</v>
      </c>
      <c r="BJ161" s="44">
        <f t="shared" si="323"/>
        <v>5000</v>
      </c>
      <c r="BK161" s="44">
        <f t="shared" si="264"/>
        <v>500</v>
      </c>
      <c r="BL161" s="44">
        <f t="shared" si="324"/>
        <v>500</v>
      </c>
      <c r="BM161" s="44">
        <f t="shared" si="265"/>
        <v>0</v>
      </c>
      <c r="BN161" s="44">
        <f t="shared" si="325"/>
        <v>0</v>
      </c>
      <c r="BO161" s="44">
        <f t="shared" si="266"/>
        <v>10000</v>
      </c>
      <c r="BP161" s="46">
        <f t="shared" si="267"/>
        <v>0</v>
      </c>
      <c r="BQ161" s="47">
        <f t="shared" si="268"/>
        <v>0</v>
      </c>
      <c r="BR161" s="604">
        <f t="shared" si="326"/>
        <v>0</v>
      </c>
      <c r="BS161" s="44">
        <f t="shared" si="327"/>
        <v>0</v>
      </c>
      <c r="BT161" s="44">
        <f t="shared" si="328"/>
        <v>0</v>
      </c>
      <c r="BU161" s="44">
        <f t="shared" si="329"/>
        <v>0</v>
      </c>
      <c r="BV161" s="44">
        <f t="shared" si="330"/>
        <v>10000</v>
      </c>
      <c r="BW161" s="44">
        <f t="shared" si="331"/>
        <v>0</v>
      </c>
      <c r="BX161" s="44">
        <f t="shared" si="269"/>
        <v>0</v>
      </c>
      <c r="BY161" s="44">
        <f t="shared" si="332"/>
        <v>0</v>
      </c>
      <c r="BZ161" s="44">
        <f t="shared" si="270"/>
        <v>0</v>
      </c>
      <c r="CA161" s="44">
        <f t="shared" si="333"/>
        <v>0</v>
      </c>
      <c r="CB161" s="44">
        <f t="shared" si="271"/>
        <v>10000</v>
      </c>
      <c r="CC161" s="46">
        <f t="shared" si="272"/>
        <v>0</v>
      </c>
      <c r="CD161" s="47">
        <f t="shared" si="273"/>
        <v>0</v>
      </c>
      <c r="CE161" s="604">
        <f t="shared" si="334"/>
        <v>0</v>
      </c>
      <c r="CF161" s="44">
        <f t="shared" si="335"/>
        <v>0</v>
      </c>
      <c r="CG161" s="44">
        <f t="shared" si="336"/>
        <v>0</v>
      </c>
      <c r="CH161" s="44">
        <f t="shared" si="337"/>
        <v>0</v>
      </c>
      <c r="CI161" s="44">
        <f t="shared" si="338"/>
        <v>10000</v>
      </c>
      <c r="CJ161" s="44">
        <f t="shared" si="339"/>
        <v>0</v>
      </c>
      <c r="CK161" s="44">
        <f t="shared" si="274"/>
        <v>0</v>
      </c>
      <c r="CL161" s="44">
        <f t="shared" si="340"/>
        <v>0</v>
      </c>
      <c r="CM161" s="44">
        <f t="shared" si="275"/>
        <v>0</v>
      </c>
      <c r="CN161" s="44">
        <f t="shared" si="341"/>
        <v>0</v>
      </c>
      <c r="CO161" s="44">
        <f t="shared" si="276"/>
        <v>10000</v>
      </c>
      <c r="CP161" s="46">
        <f t="shared" si="277"/>
        <v>0</v>
      </c>
      <c r="CQ161" s="47">
        <f t="shared" si="278"/>
        <v>0</v>
      </c>
      <c r="CR161" s="604">
        <f t="shared" si="342"/>
        <v>0</v>
      </c>
      <c r="CS161" s="44">
        <f t="shared" si="343"/>
        <v>0</v>
      </c>
      <c r="CT161" s="44">
        <f t="shared" si="344"/>
        <v>0</v>
      </c>
      <c r="CU161" s="44">
        <f t="shared" si="345"/>
        <v>0</v>
      </c>
      <c r="CV161" s="44">
        <f t="shared" si="346"/>
        <v>10000</v>
      </c>
      <c r="CW161" s="44">
        <f t="shared" si="347"/>
        <v>0</v>
      </c>
      <c r="CX161" s="44">
        <f t="shared" si="279"/>
        <v>0</v>
      </c>
      <c r="CY161" s="44">
        <f t="shared" si="348"/>
        <v>0</v>
      </c>
      <c r="CZ161" s="44">
        <f t="shared" si="280"/>
        <v>0</v>
      </c>
      <c r="DA161" s="44">
        <f t="shared" si="349"/>
        <v>0</v>
      </c>
      <c r="DB161" s="44">
        <f t="shared" si="281"/>
        <v>10000</v>
      </c>
      <c r="DC161" s="46">
        <f t="shared" si="282"/>
        <v>0</v>
      </c>
      <c r="DD161" s="47">
        <f t="shared" si="283"/>
        <v>0</v>
      </c>
      <c r="DE161" s="604">
        <f t="shared" si="350"/>
        <v>0</v>
      </c>
      <c r="DF161" s="44">
        <f t="shared" si="351"/>
        <v>0</v>
      </c>
      <c r="DG161" s="44">
        <f t="shared" si="352"/>
        <v>0</v>
      </c>
      <c r="DH161" s="44">
        <f t="shared" si="353"/>
        <v>0</v>
      </c>
      <c r="DI161" s="44">
        <f t="shared" si="354"/>
        <v>10000</v>
      </c>
      <c r="DJ161" s="44">
        <f t="shared" si="355"/>
        <v>0</v>
      </c>
      <c r="DK161" s="44">
        <f t="shared" si="284"/>
        <v>0</v>
      </c>
      <c r="DL161" s="44">
        <f t="shared" si="356"/>
        <v>0</v>
      </c>
      <c r="DM161" s="44">
        <f t="shared" si="285"/>
        <v>0</v>
      </c>
      <c r="DN161" s="44">
        <f t="shared" si="357"/>
        <v>0</v>
      </c>
      <c r="DO161" s="44">
        <f t="shared" si="286"/>
        <v>10000</v>
      </c>
      <c r="DP161" s="46">
        <f t="shared" si="287"/>
        <v>0</v>
      </c>
      <c r="DQ161" s="47">
        <f t="shared" si="288"/>
        <v>0</v>
      </c>
      <c r="DR161" s="604">
        <f t="shared" si="358"/>
        <v>0</v>
      </c>
      <c r="DS161" s="44">
        <f t="shared" si="359"/>
        <v>0</v>
      </c>
      <c r="DT161" s="44">
        <f t="shared" si="360"/>
        <v>0</v>
      </c>
      <c r="DU161" s="44">
        <f t="shared" si="361"/>
        <v>0</v>
      </c>
      <c r="DV161" s="44">
        <f t="shared" si="362"/>
        <v>10000</v>
      </c>
      <c r="DW161" s="44">
        <f t="shared" si="363"/>
        <v>0</v>
      </c>
      <c r="DX161" s="44">
        <f t="shared" si="289"/>
        <v>0</v>
      </c>
      <c r="DY161" s="44">
        <f t="shared" si="364"/>
        <v>0</v>
      </c>
      <c r="DZ161" s="44">
        <f t="shared" si="290"/>
        <v>0</v>
      </c>
      <c r="EA161" s="44">
        <f t="shared" si="365"/>
        <v>0</v>
      </c>
      <c r="EB161" s="44">
        <f t="shared" si="291"/>
        <v>10000</v>
      </c>
      <c r="EC161" s="46">
        <f t="shared" si="292"/>
        <v>0</v>
      </c>
      <c r="ED161" s="47">
        <f t="shared" si="293"/>
        <v>0</v>
      </c>
    </row>
    <row r="162" spans="1:134" x14ac:dyDescent="0.35">
      <c r="A162" s="81">
        <v>2006</v>
      </c>
      <c r="B162" s="82" t="s">
        <v>322</v>
      </c>
      <c r="C162" s="82"/>
      <c r="D162" s="83" t="s">
        <v>41</v>
      </c>
      <c r="E162" s="87">
        <v>10000</v>
      </c>
      <c r="F162" s="85">
        <v>38899</v>
      </c>
      <c r="G162" s="86">
        <v>10</v>
      </c>
      <c r="H162" s="179"/>
      <c r="I162" s="180"/>
      <c r="J162" s="181"/>
      <c r="K162" s="42">
        <f t="shared" si="244"/>
        <v>0.1</v>
      </c>
      <c r="L162" s="43">
        <f t="shared" si="245"/>
        <v>1000</v>
      </c>
      <c r="M162" s="44">
        <f t="shared" si="246"/>
        <v>4500</v>
      </c>
      <c r="N162" s="44"/>
      <c r="O162" s="44">
        <f t="shared" si="247"/>
        <v>5500</v>
      </c>
      <c r="P162" s="45"/>
      <c r="Q162" s="44">
        <f t="shared" si="248"/>
        <v>10000</v>
      </c>
      <c r="R162" s="604">
        <f t="shared" si="294"/>
        <v>0</v>
      </c>
      <c r="S162" s="44">
        <f t="shared" si="295"/>
        <v>0</v>
      </c>
      <c r="T162" s="44">
        <f t="shared" si="296"/>
        <v>0</v>
      </c>
      <c r="U162" s="44">
        <f t="shared" si="297"/>
        <v>0</v>
      </c>
      <c r="V162" s="44">
        <f t="shared" si="298"/>
        <v>10000</v>
      </c>
      <c r="W162" s="44">
        <f t="shared" si="299"/>
        <v>10000</v>
      </c>
      <c r="X162" s="44">
        <f t="shared" si="249"/>
        <v>1000</v>
      </c>
      <c r="Y162" s="44">
        <f t="shared" si="300"/>
        <v>1000</v>
      </c>
      <c r="Z162" s="44">
        <f t="shared" si="250"/>
        <v>3500</v>
      </c>
      <c r="AA162" s="44">
        <f t="shared" si="301"/>
        <v>3500</v>
      </c>
      <c r="AB162" s="44">
        <f t="shared" si="251"/>
        <v>6500</v>
      </c>
      <c r="AC162" s="46">
        <f t="shared" si="252"/>
        <v>0</v>
      </c>
      <c r="AD162" s="47">
        <f t="shared" si="253"/>
        <v>0</v>
      </c>
      <c r="AE162" s="604">
        <f t="shared" si="302"/>
        <v>0</v>
      </c>
      <c r="AF162" s="44">
        <f t="shared" si="303"/>
        <v>0</v>
      </c>
      <c r="AG162" s="44">
        <f t="shared" si="304"/>
        <v>0</v>
      </c>
      <c r="AH162" s="44">
        <f t="shared" si="305"/>
        <v>0</v>
      </c>
      <c r="AI162" s="44">
        <f t="shared" si="306"/>
        <v>10000</v>
      </c>
      <c r="AJ162" s="44">
        <f t="shared" si="307"/>
        <v>10000</v>
      </c>
      <c r="AK162" s="44">
        <f t="shared" si="254"/>
        <v>1000</v>
      </c>
      <c r="AL162" s="44">
        <f t="shared" si="308"/>
        <v>1000</v>
      </c>
      <c r="AM162" s="44">
        <f t="shared" si="255"/>
        <v>2500</v>
      </c>
      <c r="AN162" s="44">
        <f t="shared" si="309"/>
        <v>2500</v>
      </c>
      <c r="AO162" s="44">
        <f t="shared" si="256"/>
        <v>7500</v>
      </c>
      <c r="AP162" s="46">
        <f t="shared" si="257"/>
        <v>0</v>
      </c>
      <c r="AQ162" s="47">
        <f t="shared" si="258"/>
        <v>0</v>
      </c>
      <c r="AR162" s="604">
        <f t="shared" si="310"/>
        <v>0</v>
      </c>
      <c r="AS162" s="44">
        <f t="shared" si="311"/>
        <v>0</v>
      </c>
      <c r="AT162" s="44">
        <f t="shared" si="312"/>
        <v>0</v>
      </c>
      <c r="AU162" s="44">
        <f t="shared" si="313"/>
        <v>0</v>
      </c>
      <c r="AV162" s="44">
        <f t="shared" si="314"/>
        <v>10000</v>
      </c>
      <c r="AW162" s="44">
        <f t="shared" si="315"/>
        <v>10000</v>
      </c>
      <c r="AX162" s="44">
        <f t="shared" si="259"/>
        <v>1000</v>
      </c>
      <c r="AY162" s="44">
        <f t="shared" si="316"/>
        <v>1000</v>
      </c>
      <c r="AZ162" s="44">
        <f t="shared" si="260"/>
        <v>1500</v>
      </c>
      <c r="BA162" s="44">
        <f t="shared" si="317"/>
        <v>1500</v>
      </c>
      <c r="BB162" s="44">
        <f t="shared" si="261"/>
        <v>8500</v>
      </c>
      <c r="BC162" s="46">
        <f t="shared" si="262"/>
        <v>0</v>
      </c>
      <c r="BD162" s="47">
        <f t="shared" si="263"/>
        <v>0</v>
      </c>
      <c r="BE162" s="604">
        <f t="shared" si="318"/>
        <v>0</v>
      </c>
      <c r="BF162" s="44">
        <f t="shared" si="319"/>
        <v>0</v>
      </c>
      <c r="BG162" s="44">
        <f t="shared" si="320"/>
        <v>0</v>
      </c>
      <c r="BH162" s="44">
        <f t="shared" si="321"/>
        <v>0</v>
      </c>
      <c r="BI162" s="44">
        <f t="shared" si="322"/>
        <v>10000</v>
      </c>
      <c r="BJ162" s="44">
        <f t="shared" si="323"/>
        <v>10000</v>
      </c>
      <c r="BK162" s="44">
        <f t="shared" si="264"/>
        <v>1000</v>
      </c>
      <c r="BL162" s="44">
        <f t="shared" si="324"/>
        <v>1000</v>
      </c>
      <c r="BM162" s="44">
        <f t="shared" si="265"/>
        <v>500</v>
      </c>
      <c r="BN162" s="44">
        <f t="shared" si="325"/>
        <v>500</v>
      </c>
      <c r="BO162" s="44">
        <f t="shared" si="266"/>
        <v>9500</v>
      </c>
      <c r="BP162" s="46">
        <f t="shared" si="267"/>
        <v>0</v>
      </c>
      <c r="BQ162" s="47">
        <f t="shared" si="268"/>
        <v>0</v>
      </c>
      <c r="BR162" s="604">
        <f t="shared" si="326"/>
        <v>0</v>
      </c>
      <c r="BS162" s="44">
        <f t="shared" si="327"/>
        <v>0</v>
      </c>
      <c r="BT162" s="44">
        <f t="shared" si="328"/>
        <v>0</v>
      </c>
      <c r="BU162" s="44">
        <f t="shared" si="329"/>
        <v>0</v>
      </c>
      <c r="BV162" s="44">
        <f t="shared" si="330"/>
        <v>10000</v>
      </c>
      <c r="BW162" s="44">
        <f t="shared" si="331"/>
        <v>5000</v>
      </c>
      <c r="BX162" s="44">
        <f t="shared" si="269"/>
        <v>500</v>
      </c>
      <c r="BY162" s="44">
        <f t="shared" si="332"/>
        <v>500</v>
      </c>
      <c r="BZ162" s="44">
        <f t="shared" si="270"/>
        <v>0</v>
      </c>
      <c r="CA162" s="44">
        <f t="shared" si="333"/>
        <v>0</v>
      </c>
      <c r="CB162" s="44">
        <f t="shared" si="271"/>
        <v>10000</v>
      </c>
      <c r="CC162" s="46">
        <f t="shared" si="272"/>
        <v>0</v>
      </c>
      <c r="CD162" s="47">
        <f t="shared" si="273"/>
        <v>0</v>
      </c>
      <c r="CE162" s="604">
        <f t="shared" si="334"/>
        <v>0</v>
      </c>
      <c r="CF162" s="44">
        <f t="shared" si="335"/>
        <v>0</v>
      </c>
      <c r="CG162" s="44">
        <f t="shared" si="336"/>
        <v>0</v>
      </c>
      <c r="CH162" s="44">
        <f t="shared" si="337"/>
        <v>0</v>
      </c>
      <c r="CI162" s="44">
        <f t="shared" si="338"/>
        <v>10000</v>
      </c>
      <c r="CJ162" s="44">
        <f t="shared" si="339"/>
        <v>0</v>
      </c>
      <c r="CK162" s="44">
        <f t="shared" si="274"/>
        <v>0</v>
      </c>
      <c r="CL162" s="44">
        <f t="shared" si="340"/>
        <v>0</v>
      </c>
      <c r="CM162" s="44">
        <f t="shared" si="275"/>
        <v>0</v>
      </c>
      <c r="CN162" s="44">
        <f t="shared" si="341"/>
        <v>0</v>
      </c>
      <c r="CO162" s="44">
        <f t="shared" si="276"/>
        <v>10000</v>
      </c>
      <c r="CP162" s="46">
        <f t="shared" si="277"/>
        <v>0</v>
      </c>
      <c r="CQ162" s="47">
        <f t="shared" si="278"/>
        <v>0</v>
      </c>
      <c r="CR162" s="604">
        <f t="shared" si="342"/>
        <v>0</v>
      </c>
      <c r="CS162" s="44">
        <f t="shared" si="343"/>
        <v>0</v>
      </c>
      <c r="CT162" s="44">
        <f t="shared" si="344"/>
        <v>0</v>
      </c>
      <c r="CU162" s="44">
        <f t="shared" si="345"/>
        <v>0</v>
      </c>
      <c r="CV162" s="44">
        <f t="shared" si="346"/>
        <v>10000</v>
      </c>
      <c r="CW162" s="44">
        <f t="shared" si="347"/>
        <v>0</v>
      </c>
      <c r="CX162" s="44">
        <f t="shared" si="279"/>
        <v>0</v>
      </c>
      <c r="CY162" s="44">
        <f t="shared" si="348"/>
        <v>0</v>
      </c>
      <c r="CZ162" s="44">
        <f t="shared" si="280"/>
        <v>0</v>
      </c>
      <c r="DA162" s="44">
        <f t="shared" si="349"/>
        <v>0</v>
      </c>
      <c r="DB162" s="44">
        <f t="shared" si="281"/>
        <v>10000</v>
      </c>
      <c r="DC162" s="46">
        <f t="shared" si="282"/>
        <v>0</v>
      </c>
      <c r="DD162" s="47">
        <f t="shared" si="283"/>
        <v>0</v>
      </c>
      <c r="DE162" s="604">
        <f t="shared" si="350"/>
        <v>0</v>
      </c>
      <c r="DF162" s="44">
        <f t="shared" si="351"/>
        <v>0</v>
      </c>
      <c r="DG162" s="44">
        <f t="shared" si="352"/>
        <v>0</v>
      </c>
      <c r="DH162" s="44">
        <f t="shared" si="353"/>
        <v>0</v>
      </c>
      <c r="DI162" s="44">
        <f t="shared" si="354"/>
        <v>10000</v>
      </c>
      <c r="DJ162" s="44">
        <f t="shared" si="355"/>
        <v>0</v>
      </c>
      <c r="DK162" s="44">
        <f t="shared" si="284"/>
        <v>0</v>
      </c>
      <c r="DL162" s="44">
        <f t="shared" si="356"/>
        <v>0</v>
      </c>
      <c r="DM162" s="44">
        <f t="shared" si="285"/>
        <v>0</v>
      </c>
      <c r="DN162" s="44">
        <f t="shared" si="357"/>
        <v>0</v>
      </c>
      <c r="DO162" s="44">
        <f t="shared" si="286"/>
        <v>10000</v>
      </c>
      <c r="DP162" s="46">
        <f t="shared" si="287"/>
        <v>0</v>
      </c>
      <c r="DQ162" s="47">
        <f t="shared" si="288"/>
        <v>0</v>
      </c>
      <c r="DR162" s="604">
        <f t="shared" si="358"/>
        <v>0</v>
      </c>
      <c r="DS162" s="44">
        <f t="shared" si="359"/>
        <v>0</v>
      </c>
      <c r="DT162" s="44">
        <f t="shared" si="360"/>
        <v>0</v>
      </c>
      <c r="DU162" s="44">
        <f t="shared" si="361"/>
        <v>0</v>
      </c>
      <c r="DV162" s="44">
        <f t="shared" si="362"/>
        <v>10000</v>
      </c>
      <c r="DW162" s="44">
        <f t="shared" si="363"/>
        <v>0</v>
      </c>
      <c r="DX162" s="44">
        <f t="shared" si="289"/>
        <v>0</v>
      </c>
      <c r="DY162" s="44">
        <f t="shared" si="364"/>
        <v>0</v>
      </c>
      <c r="DZ162" s="44">
        <f t="shared" si="290"/>
        <v>0</v>
      </c>
      <c r="EA162" s="44">
        <f t="shared" si="365"/>
        <v>0</v>
      </c>
      <c r="EB162" s="44">
        <f t="shared" si="291"/>
        <v>10000</v>
      </c>
      <c r="EC162" s="46">
        <f t="shared" si="292"/>
        <v>0</v>
      </c>
      <c r="ED162" s="47">
        <f t="shared" si="293"/>
        <v>0</v>
      </c>
    </row>
    <row r="163" spans="1:134" x14ac:dyDescent="0.35">
      <c r="A163" s="81">
        <v>2007</v>
      </c>
      <c r="B163" s="82" t="s">
        <v>322</v>
      </c>
      <c r="C163" s="82"/>
      <c r="D163" s="83" t="s">
        <v>41</v>
      </c>
      <c r="E163" s="87">
        <v>10000</v>
      </c>
      <c r="F163" s="85">
        <v>39264</v>
      </c>
      <c r="G163" s="86">
        <v>10</v>
      </c>
      <c r="H163" s="179"/>
      <c r="I163" s="180"/>
      <c r="J163" s="181"/>
      <c r="K163" s="42">
        <f t="shared" si="244"/>
        <v>0.1</v>
      </c>
      <c r="L163" s="43">
        <f t="shared" si="245"/>
        <v>1000</v>
      </c>
      <c r="M163" s="44">
        <f t="shared" si="246"/>
        <v>5500</v>
      </c>
      <c r="N163" s="44"/>
      <c r="O163" s="44">
        <f t="shared" si="247"/>
        <v>4500</v>
      </c>
      <c r="P163" s="45"/>
      <c r="Q163" s="44">
        <f t="shared" si="248"/>
        <v>10000</v>
      </c>
      <c r="R163" s="604">
        <f t="shared" si="294"/>
        <v>0</v>
      </c>
      <c r="S163" s="44">
        <f t="shared" si="295"/>
        <v>0</v>
      </c>
      <c r="T163" s="44">
        <f t="shared" si="296"/>
        <v>0</v>
      </c>
      <c r="U163" s="44">
        <f t="shared" si="297"/>
        <v>0</v>
      </c>
      <c r="V163" s="44">
        <f t="shared" si="298"/>
        <v>10000</v>
      </c>
      <c r="W163" s="44">
        <f t="shared" si="299"/>
        <v>10000</v>
      </c>
      <c r="X163" s="44">
        <f t="shared" si="249"/>
        <v>1000</v>
      </c>
      <c r="Y163" s="44">
        <f t="shared" si="300"/>
        <v>1000</v>
      </c>
      <c r="Z163" s="44">
        <f t="shared" si="250"/>
        <v>4500</v>
      </c>
      <c r="AA163" s="44">
        <f t="shared" si="301"/>
        <v>4500</v>
      </c>
      <c r="AB163" s="44">
        <f t="shared" si="251"/>
        <v>5500</v>
      </c>
      <c r="AC163" s="46">
        <f t="shared" si="252"/>
        <v>0</v>
      </c>
      <c r="AD163" s="47">
        <f t="shared" si="253"/>
        <v>0</v>
      </c>
      <c r="AE163" s="604">
        <f t="shared" si="302"/>
        <v>0</v>
      </c>
      <c r="AF163" s="44">
        <f t="shared" si="303"/>
        <v>0</v>
      </c>
      <c r="AG163" s="44">
        <f t="shared" si="304"/>
        <v>0</v>
      </c>
      <c r="AH163" s="44">
        <f t="shared" si="305"/>
        <v>0</v>
      </c>
      <c r="AI163" s="44">
        <f t="shared" si="306"/>
        <v>10000</v>
      </c>
      <c r="AJ163" s="44">
        <f t="shared" si="307"/>
        <v>10000</v>
      </c>
      <c r="AK163" s="44">
        <f t="shared" si="254"/>
        <v>1000</v>
      </c>
      <c r="AL163" s="44">
        <f t="shared" si="308"/>
        <v>1000</v>
      </c>
      <c r="AM163" s="44">
        <f t="shared" si="255"/>
        <v>3500</v>
      </c>
      <c r="AN163" s="44">
        <f t="shared" si="309"/>
        <v>3500</v>
      </c>
      <c r="AO163" s="44">
        <f t="shared" si="256"/>
        <v>6500</v>
      </c>
      <c r="AP163" s="46">
        <f t="shared" si="257"/>
        <v>0</v>
      </c>
      <c r="AQ163" s="47">
        <f t="shared" si="258"/>
        <v>0</v>
      </c>
      <c r="AR163" s="604">
        <f t="shared" si="310"/>
        <v>0</v>
      </c>
      <c r="AS163" s="44">
        <f t="shared" si="311"/>
        <v>0</v>
      </c>
      <c r="AT163" s="44">
        <f t="shared" si="312"/>
        <v>0</v>
      </c>
      <c r="AU163" s="44">
        <f t="shared" si="313"/>
        <v>0</v>
      </c>
      <c r="AV163" s="44">
        <f t="shared" si="314"/>
        <v>10000</v>
      </c>
      <c r="AW163" s="44">
        <f t="shared" si="315"/>
        <v>10000</v>
      </c>
      <c r="AX163" s="44">
        <f t="shared" si="259"/>
        <v>1000</v>
      </c>
      <c r="AY163" s="44">
        <f t="shared" si="316"/>
        <v>1000</v>
      </c>
      <c r="AZ163" s="44">
        <f t="shared" si="260"/>
        <v>2500</v>
      </c>
      <c r="BA163" s="44">
        <f t="shared" si="317"/>
        <v>2500</v>
      </c>
      <c r="BB163" s="44">
        <f t="shared" si="261"/>
        <v>7500</v>
      </c>
      <c r="BC163" s="46">
        <f t="shared" si="262"/>
        <v>0</v>
      </c>
      <c r="BD163" s="47">
        <f t="shared" si="263"/>
        <v>0</v>
      </c>
      <c r="BE163" s="604">
        <f t="shared" si="318"/>
        <v>0</v>
      </c>
      <c r="BF163" s="44">
        <f t="shared" si="319"/>
        <v>0</v>
      </c>
      <c r="BG163" s="44">
        <f t="shared" si="320"/>
        <v>0</v>
      </c>
      <c r="BH163" s="44">
        <f t="shared" si="321"/>
        <v>0</v>
      </c>
      <c r="BI163" s="44">
        <f t="shared" si="322"/>
        <v>10000</v>
      </c>
      <c r="BJ163" s="44">
        <f t="shared" si="323"/>
        <v>10000</v>
      </c>
      <c r="BK163" s="44">
        <f t="shared" si="264"/>
        <v>1000</v>
      </c>
      <c r="BL163" s="44">
        <f t="shared" si="324"/>
        <v>1000</v>
      </c>
      <c r="BM163" s="44">
        <f t="shared" si="265"/>
        <v>1500</v>
      </c>
      <c r="BN163" s="44">
        <f t="shared" si="325"/>
        <v>1500</v>
      </c>
      <c r="BO163" s="44">
        <f t="shared" si="266"/>
        <v>8500</v>
      </c>
      <c r="BP163" s="46">
        <f t="shared" si="267"/>
        <v>0</v>
      </c>
      <c r="BQ163" s="47">
        <f t="shared" si="268"/>
        <v>0</v>
      </c>
      <c r="BR163" s="604">
        <f t="shared" si="326"/>
        <v>0</v>
      </c>
      <c r="BS163" s="44">
        <f t="shared" si="327"/>
        <v>0</v>
      </c>
      <c r="BT163" s="44">
        <f t="shared" si="328"/>
        <v>0</v>
      </c>
      <c r="BU163" s="44">
        <f t="shared" si="329"/>
        <v>0</v>
      </c>
      <c r="BV163" s="44">
        <f t="shared" si="330"/>
        <v>10000</v>
      </c>
      <c r="BW163" s="44">
        <f t="shared" si="331"/>
        <v>10000</v>
      </c>
      <c r="BX163" s="44">
        <f t="shared" si="269"/>
        <v>1000</v>
      </c>
      <c r="BY163" s="44">
        <f t="shared" si="332"/>
        <v>1000</v>
      </c>
      <c r="BZ163" s="44">
        <f t="shared" si="270"/>
        <v>500</v>
      </c>
      <c r="CA163" s="44">
        <f t="shared" si="333"/>
        <v>500</v>
      </c>
      <c r="CB163" s="44">
        <f t="shared" si="271"/>
        <v>9500</v>
      </c>
      <c r="CC163" s="46">
        <f t="shared" si="272"/>
        <v>0</v>
      </c>
      <c r="CD163" s="47">
        <f t="shared" si="273"/>
        <v>0</v>
      </c>
      <c r="CE163" s="604">
        <f t="shared" si="334"/>
        <v>0</v>
      </c>
      <c r="CF163" s="44">
        <f t="shared" si="335"/>
        <v>0</v>
      </c>
      <c r="CG163" s="44">
        <f t="shared" si="336"/>
        <v>0</v>
      </c>
      <c r="CH163" s="44">
        <f t="shared" si="337"/>
        <v>0</v>
      </c>
      <c r="CI163" s="44">
        <f t="shared" si="338"/>
        <v>10000</v>
      </c>
      <c r="CJ163" s="44">
        <f t="shared" si="339"/>
        <v>5000</v>
      </c>
      <c r="CK163" s="44">
        <f t="shared" si="274"/>
        <v>500</v>
      </c>
      <c r="CL163" s="44">
        <f t="shared" si="340"/>
        <v>500</v>
      </c>
      <c r="CM163" s="44">
        <f t="shared" si="275"/>
        <v>0</v>
      </c>
      <c r="CN163" s="44">
        <f t="shared" si="341"/>
        <v>0</v>
      </c>
      <c r="CO163" s="44">
        <f t="shared" si="276"/>
        <v>10000</v>
      </c>
      <c r="CP163" s="46">
        <f t="shared" si="277"/>
        <v>0</v>
      </c>
      <c r="CQ163" s="47">
        <f t="shared" si="278"/>
        <v>0</v>
      </c>
      <c r="CR163" s="604">
        <f t="shared" si="342"/>
        <v>0</v>
      </c>
      <c r="CS163" s="44">
        <f t="shared" si="343"/>
        <v>0</v>
      </c>
      <c r="CT163" s="44">
        <f t="shared" si="344"/>
        <v>0</v>
      </c>
      <c r="CU163" s="44">
        <f t="shared" si="345"/>
        <v>0</v>
      </c>
      <c r="CV163" s="44">
        <f t="shared" si="346"/>
        <v>10000</v>
      </c>
      <c r="CW163" s="44">
        <f t="shared" si="347"/>
        <v>0</v>
      </c>
      <c r="CX163" s="44">
        <f t="shared" si="279"/>
        <v>0</v>
      </c>
      <c r="CY163" s="44">
        <f t="shared" si="348"/>
        <v>0</v>
      </c>
      <c r="CZ163" s="44">
        <f t="shared" si="280"/>
        <v>0</v>
      </c>
      <c r="DA163" s="44">
        <f t="shared" si="349"/>
        <v>0</v>
      </c>
      <c r="DB163" s="44">
        <f t="shared" si="281"/>
        <v>10000</v>
      </c>
      <c r="DC163" s="46">
        <f t="shared" si="282"/>
        <v>0</v>
      </c>
      <c r="DD163" s="47">
        <f t="shared" si="283"/>
        <v>0</v>
      </c>
      <c r="DE163" s="604">
        <f t="shared" si="350"/>
        <v>0</v>
      </c>
      <c r="DF163" s="44">
        <f t="shared" si="351"/>
        <v>0</v>
      </c>
      <c r="DG163" s="44">
        <f t="shared" si="352"/>
        <v>0</v>
      </c>
      <c r="DH163" s="44">
        <f t="shared" si="353"/>
        <v>0</v>
      </c>
      <c r="DI163" s="44">
        <f t="shared" si="354"/>
        <v>10000</v>
      </c>
      <c r="DJ163" s="44">
        <f t="shared" si="355"/>
        <v>0</v>
      </c>
      <c r="DK163" s="44">
        <f t="shared" si="284"/>
        <v>0</v>
      </c>
      <c r="DL163" s="44">
        <f t="shared" si="356"/>
        <v>0</v>
      </c>
      <c r="DM163" s="44">
        <f t="shared" si="285"/>
        <v>0</v>
      </c>
      <c r="DN163" s="44">
        <f t="shared" si="357"/>
        <v>0</v>
      </c>
      <c r="DO163" s="44">
        <f t="shared" si="286"/>
        <v>10000</v>
      </c>
      <c r="DP163" s="46">
        <f t="shared" si="287"/>
        <v>0</v>
      </c>
      <c r="DQ163" s="47">
        <f t="shared" si="288"/>
        <v>0</v>
      </c>
      <c r="DR163" s="604">
        <f t="shared" si="358"/>
        <v>0</v>
      </c>
      <c r="DS163" s="44">
        <f t="shared" si="359"/>
        <v>0</v>
      </c>
      <c r="DT163" s="44">
        <f t="shared" si="360"/>
        <v>0</v>
      </c>
      <c r="DU163" s="44">
        <f t="shared" si="361"/>
        <v>0</v>
      </c>
      <c r="DV163" s="44">
        <f t="shared" si="362"/>
        <v>10000</v>
      </c>
      <c r="DW163" s="44">
        <f t="shared" si="363"/>
        <v>0</v>
      </c>
      <c r="DX163" s="44">
        <f t="shared" si="289"/>
        <v>0</v>
      </c>
      <c r="DY163" s="44">
        <f t="shared" si="364"/>
        <v>0</v>
      </c>
      <c r="DZ163" s="44">
        <f t="shared" si="290"/>
        <v>0</v>
      </c>
      <c r="EA163" s="44">
        <f t="shared" si="365"/>
        <v>0</v>
      </c>
      <c r="EB163" s="44">
        <f t="shared" si="291"/>
        <v>10000</v>
      </c>
      <c r="EC163" s="46">
        <f t="shared" si="292"/>
        <v>0</v>
      </c>
      <c r="ED163" s="47">
        <f t="shared" si="293"/>
        <v>0</v>
      </c>
    </row>
    <row r="164" spans="1:134" x14ac:dyDescent="0.35">
      <c r="A164" s="81">
        <v>2008</v>
      </c>
      <c r="B164" s="82" t="s">
        <v>322</v>
      </c>
      <c r="C164" s="82"/>
      <c r="D164" s="83" t="s">
        <v>41</v>
      </c>
      <c r="E164" s="87">
        <v>10000</v>
      </c>
      <c r="F164" s="85">
        <v>39630</v>
      </c>
      <c r="G164" s="86">
        <v>10</v>
      </c>
      <c r="H164" s="179"/>
      <c r="I164" s="180"/>
      <c r="J164" s="181"/>
      <c r="K164" s="42">
        <f t="shared" si="244"/>
        <v>0.1</v>
      </c>
      <c r="L164" s="43">
        <f t="shared" si="245"/>
        <v>1000</v>
      </c>
      <c r="M164" s="44">
        <f t="shared" si="246"/>
        <v>6500</v>
      </c>
      <c r="N164" s="44"/>
      <c r="O164" s="44">
        <f t="shared" si="247"/>
        <v>3500</v>
      </c>
      <c r="P164" s="45"/>
      <c r="Q164" s="44">
        <f t="shared" si="248"/>
        <v>10000</v>
      </c>
      <c r="R164" s="604">
        <f t="shared" si="294"/>
        <v>0</v>
      </c>
      <c r="S164" s="44">
        <f t="shared" si="295"/>
        <v>0</v>
      </c>
      <c r="T164" s="44">
        <f t="shared" si="296"/>
        <v>0</v>
      </c>
      <c r="U164" s="44">
        <f t="shared" si="297"/>
        <v>0</v>
      </c>
      <c r="V164" s="44">
        <f t="shared" si="298"/>
        <v>10000</v>
      </c>
      <c r="W164" s="44">
        <f t="shared" si="299"/>
        <v>10000</v>
      </c>
      <c r="X164" s="44">
        <f t="shared" si="249"/>
        <v>1000</v>
      </c>
      <c r="Y164" s="44">
        <f t="shared" si="300"/>
        <v>1000</v>
      </c>
      <c r="Z164" s="44">
        <f t="shared" si="250"/>
        <v>5500</v>
      </c>
      <c r="AA164" s="44">
        <f t="shared" si="301"/>
        <v>5500</v>
      </c>
      <c r="AB164" s="44">
        <f t="shared" si="251"/>
        <v>4500</v>
      </c>
      <c r="AC164" s="46">
        <f t="shared" si="252"/>
        <v>0</v>
      </c>
      <c r="AD164" s="47">
        <f t="shared" si="253"/>
        <v>0</v>
      </c>
      <c r="AE164" s="604">
        <f t="shared" si="302"/>
        <v>0</v>
      </c>
      <c r="AF164" s="44">
        <f t="shared" si="303"/>
        <v>0</v>
      </c>
      <c r="AG164" s="44">
        <f t="shared" si="304"/>
        <v>0</v>
      </c>
      <c r="AH164" s="44">
        <f t="shared" si="305"/>
        <v>0</v>
      </c>
      <c r="AI164" s="44">
        <f t="shared" si="306"/>
        <v>10000</v>
      </c>
      <c r="AJ164" s="44">
        <f t="shared" si="307"/>
        <v>10000</v>
      </c>
      <c r="AK164" s="44">
        <f t="shared" si="254"/>
        <v>1000</v>
      </c>
      <c r="AL164" s="44">
        <f t="shared" si="308"/>
        <v>1000</v>
      </c>
      <c r="AM164" s="44">
        <f t="shared" si="255"/>
        <v>4500</v>
      </c>
      <c r="AN164" s="44">
        <f t="shared" si="309"/>
        <v>4500</v>
      </c>
      <c r="AO164" s="44">
        <f t="shared" si="256"/>
        <v>5500</v>
      </c>
      <c r="AP164" s="46">
        <f t="shared" si="257"/>
        <v>0</v>
      </c>
      <c r="AQ164" s="47">
        <f t="shared" si="258"/>
        <v>0</v>
      </c>
      <c r="AR164" s="604">
        <f t="shared" si="310"/>
        <v>0</v>
      </c>
      <c r="AS164" s="44">
        <f t="shared" si="311"/>
        <v>0</v>
      </c>
      <c r="AT164" s="44">
        <f t="shared" si="312"/>
        <v>0</v>
      </c>
      <c r="AU164" s="44">
        <f t="shared" si="313"/>
        <v>0</v>
      </c>
      <c r="AV164" s="44">
        <f t="shared" si="314"/>
        <v>10000</v>
      </c>
      <c r="AW164" s="44">
        <f t="shared" si="315"/>
        <v>10000</v>
      </c>
      <c r="AX164" s="44">
        <f t="shared" si="259"/>
        <v>1000</v>
      </c>
      <c r="AY164" s="44">
        <f t="shared" si="316"/>
        <v>1000</v>
      </c>
      <c r="AZ164" s="44">
        <f t="shared" si="260"/>
        <v>3500</v>
      </c>
      <c r="BA164" s="44">
        <f t="shared" si="317"/>
        <v>3500</v>
      </c>
      <c r="BB164" s="44">
        <f t="shared" si="261"/>
        <v>6500</v>
      </c>
      <c r="BC164" s="46">
        <f t="shared" si="262"/>
        <v>0</v>
      </c>
      <c r="BD164" s="47">
        <f t="shared" si="263"/>
        <v>0</v>
      </c>
      <c r="BE164" s="604">
        <f t="shared" si="318"/>
        <v>0</v>
      </c>
      <c r="BF164" s="44">
        <f t="shared" si="319"/>
        <v>0</v>
      </c>
      <c r="BG164" s="44">
        <f t="shared" si="320"/>
        <v>0</v>
      </c>
      <c r="BH164" s="44">
        <f t="shared" si="321"/>
        <v>0</v>
      </c>
      <c r="BI164" s="44">
        <f t="shared" si="322"/>
        <v>10000</v>
      </c>
      <c r="BJ164" s="44">
        <f t="shared" si="323"/>
        <v>10000</v>
      </c>
      <c r="BK164" s="44">
        <f t="shared" si="264"/>
        <v>1000</v>
      </c>
      <c r="BL164" s="44">
        <f t="shared" si="324"/>
        <v>1000</v>
      </c>
      <c r="BM164" s="44">
        <f t="shared" si="265"/>
        <v>2500</v>
      </c>
      <c r="BN164" s="44">
        <f t="shared" si="325"/>
        <v>2500</v>
      </c>
      <c r="BO164" s="44">
        <f t="shared" si="266"/>
        <v>7500</v>
      </c>
      <c r="BP164" s="46">
        <f t="shared" si="267"/>
        <v>0</v>
      </c>
      <c r="BQ164" s="47">
        <f t="shared" si="268"/>
        <v>0</v>
      </c>
      <c r="BR164" s="604">
        <f t="shared" si="326"/>
        <v>0</v>
      </c>
      <c r="BS164" s="44">
        <f t="shared" si="327"/>
        <v>0</v>
      </c>
      <c r="BT164" s="44">
        <f t="shared" si="328"/>
        <v>0</v>
      </c>
      <c r="BU164" s="44">
        <f t="shared" si="329"/>
        <v>0</v>
      </c>
      <c r="BV164" s="44">
        <f t="shared" si="330"/>
        <v>10000</v>
      </c>
      <c r="BW164" s="44">
        <f t="shared" si="331"/>
        <v>10000</v>
      </c>
      <c r="BX164" s="44">
        <f t="shared" si="269"/>
        <v>1000</v>
      </c>
      <c r="BY164" s="44">
        <f t="shared" si="332"/>
        <v>1000</v>
      </c>
      <c r="BZ164" s="44">
        <f t="shared" si="270"/>
        <v>1500</v>
      </c>
      <c r="CA164" s="44">
        <f t="shared" si="333"/>
        <v>1500</v>
      </c>
      <c r="CB164" s="44">
        <f t="shared" si="271"/>
        <v>8500</v>
      </c>
      <c r="CC164" s="46">
        <f t="shared" si="272"/>
        <v>0</v>
      </c>
      <c r="CD164" s="47">
        <f t="shared" si="273"/>
        <v>0</v>
      </c>
      <c r="CE164" s="604">
        <f t="shared" si="334"/>
        <v>0</v>
      </c>
      <c r="CF164" s="44">
        <f t="shared" si="335"/>
        <v>0</v>
      </c>
      <c r="CG164" s="44">
        <f t="shared" si="336"/>
        <v>0</v>
      </c>
      <c r="CH164" s="44">
        <f t="shared" si="337"/>
        <v>0</v>
      </c>
      <c r="CI164" s="44">
        <f t="shared" si="338"/>
        <v>10000</v>
      </c>
      <c r="CJ164" s="44">
        <f t="shared" si="339"/>
        <v>10000</v>
      </c>
      <c r="CK164" s="44">
        <f t="shared" si="274"/>
        <v>1000</v>
      </c>
      <c r="CL164" s="44">
        <f t="shared" si="340"/>
        <v>1000</v>
      </c>
      <c r="CM164" s="44">
        <f t="shared" si="275"/>
        <v>500</v>
      </c>
      <c r="CN164" s="44">
        <f t="shared" si="341"/>
        <v>500</v>
      </c>
      <c r="CO164" s="44">
        <f t="shared" si="276"/>
        <v>9500</v>
      </c>
      <c r="CP164" s="46">
        <f t="shared" si="277"/>
        <v>0</v>
      </c>
      <c r="CQ164" s="47">
        <f t="shared" si="278"/>
        <v>0</v>
      </c>
      <c r="CR164" s="604">
        <f t="shared" si="342"/>
        <v>0</v>
      </c>
      <c r="CS164" s="44">
        <f t="shared" si="343"/>
        <v>0</v>
      </c>
      <c r="CT164" s="44">
        <f t="shared" si="344"/>
        <v>0</v>
      </c>
      <c r="CU164" s="44">
        <f t="shared" si="345"/>
        <v>0</v>
      </c>
      <c r="CV164" s="44">
        <f t="shared" si="346"/>
        <v>10000</v>
      </c>
      <c r="CW164" s="44">
        <f t="shared" si="347"/>
        <v>5000</v>
      </c>
      <c r="CX164" s="44">
        <f t="shared" si="279"/>
        <v>500</v>
      </c>
      <c r="CY164" s="44">
        <f t="shared" si="348"/>
        <v>500</v>
      </c>
      <c r="CZ164" s="44">
        <f t="shared" si="280"/>
        <v>0</v>
      </c>
      <c r="DA164" s="44">
        <f t="shared" si="349"/>
        <v>0</v>
      </c>
      <c r="DB164" s="44">
        <f t="shared" si="281"/>
        <v>10000</v>
      </c>
      <c r="DC164" s="46">
        <f t="shared" si="282"/>
        <v>0</v>
      </c>
      <c r="DD164" s="47">
        <f t="shared" si="283"/>
        <v>0</v>
      </c>
      <c r="DE164" s="604">
        <f t="shared" si="350"/>
        <v>0</v>
      </c>
      <c r="DF164" s="44">
        <f t="shared" si="351"/>
        <v>0</v>
      </c>
      <c r="DG164" s="44">
        <f t="shared" si="352"/>
        <v>0</v>
      </c>
      <c r="DH164" s="44">
        <f t="shared" si="353"/>
        <v>0</v>
      </c>
      <c r="DI164" s="44">
        <f t="shared" si="354"/>
        <v>10000</v>
      </c>
      <c r="DJ164" s="44">
        <f t="shared" si="355"/>
        <v>0</v>
      </c>
      <c r="DK164" s="44">
        <f t="shared" si="284"/>
        <v>0</v>
      </c>
      <c r="DL164" s="44">
        <f t="shared" si="356"/>
        <v>0</v>
      </c>
      <c r="DM164" s="44">
        <f t="shared" si="285"/>
        <v>0</v>
      </c>
      <c r="DN164" s="44">
        <f t="shared" si="357"/>
        <v>0</v>
      </c>
      <c r="DO164" s="44">
        <f t="shared" si="286"/>
        <v>10000</v>
      </c>
      <c r="DP164" s="46">
        <f t="shared" si="287"/>
        <v>0</v>
      </c>
      <c r="DQ164" s="47">
        <f t="shared" si="288"/>
        <v>0</v>
      </c>
      <c r="DR164" s="604">
        <f t="shared" si="358"/>
        <v>0</v>
      </c>
      <c r="DS164" s="44">
        <f t="shared" si="359"/>
        <v>0</v>
      </c>
      <c r="DT164" s="44">
        <f t="shared" si="360"/>
        <v>0</v>
      </c>
      <c r="DU164" s="44">
        <f t="shared" si="361"/>
        <v>0</v>
      </c>
      <c r="DV164" s="44">
        <f t="shared" si="362"/>
        <v>10000</v>
      </c>
      <c r="DW164" s="44">
        <f t="shared" si="363"/>
        <v>0</v>
      </c>
      <c r="DX164" s="44">
        <f t="shared" si="289"/>
        <v>0</v>
      </c>
      <c r="DY164" s="44">
        <f t="shared" si="364"/>
        <v>0</v>
      </c>
      <c r="DZ164" s="44">
        <f t="shared" si="290"/>
        <v>0</v>
      </c>
      <c r="EA164" s="44">
        <f t="shared" si="365"/>
        <v>0</v>
      </c>
      <c r="EB164" s="44">
        <f t="shared" si="291"/>
        <v>10000</v>
      </c>
      <c r="EC164" s="46">
        <f t="shared" si="292"/>
        <v>0</v>
      </c>
      <c r="ED164" s="47">
        <f t="shared" si="293"/>
        <v>0</v>
      </c>
    </row>
    <row r="165" spans="1:134" x14ac:dyDescent="0.35">
      <c r="A165" s="81">
        <v>2009</v>
      </c>
      <c r="B165" s="82" t="s">
        <v>322</v>
      </c>
      <c r="C165" s="82"/>
      <c r="D165" s="83" t="s">
        <v>41</v>
      </c>
      <c r="E165" s="87">
        <v>10000</v>
      </c>
      <c r="F165" s="85">
        <v>39995</v>
      </c>
      <c r="G165" s="86">
        <v>10</v>
      </c>
      <c r="H165" s="179"/>
      <c r="I165" s="180"/>
      <c r="J165" s="181"/>
      <c r="K165" s="42">
        <f t="shared" si="244"/>
        <v>0.1</v>
      </c>
      <c r="L165" s="43">
        <f t="shared" si="245"/>
        <v>1000</v>
      </c>
      <c r="M165" s="44">
        <f t="shared" si="246"/>
        <v>7500</v>
      </c>
      <c r="N165" s="44"/>
      <c r="O165" s="44">
        <f t="shared" si="247"/>
        <v>2500</v>
      </c>
      <c r="P165" s="45"/>
      <c r="Q165" s="44">
        <f t="shared" si="248"/>
        <v>10000</v>
      </c>
      <c r="R165" s="604">
        <f t="shared" si="294"/>
        <v>0</v>
      </c>
      <c r="S165" s="44">
        <f t="shared" si="295"/>
        <v>0</v>
      </c>
      <c r="T165" s="44">
        <f t="shared" si="296"/>
        <v>0</v>
      </c>
      <c r="U165" s="44">
        <f t="shared" si="297"/>
        <v>0</v>
      </c>
      <c r="V165" s="44">
        <f t="shared" si="298"/>
        <v>10000</v>
      </c>
      <c r="W165" s="44">
        <f t="shared" si="299"/>
        <v>10000</v>
      </c>
      <c r="X165" s="44">
        <f t="shared" si="249"/>
        <v>1000</v>
      </c>
      <c r="Y165" s="44">
        <f t="shared" si="300"/>
        <v>1000</v>
      </c>
      <c r="Z165" s="44">
        <f t="shared" si="250"/>
        <v>6500</v>
      </c>
      <c r="AA165" s="44">
        <f t="shared" si="301"/>
        <v>6500</v>
      </c>
      <c r="AB165" s="44">
        <f t="shared" si="251"/>
        <v>3500</v>
      </c>
      <c r="AC165" s="46">
        <f t="shared" si="252"/>
        <v>0</v>
      </c>
      <c r="AD165" s="47">
        <f t="shared" si="253"/>
        <v>0</v>
      </c>
      <c r="AE165" s="604">
        <f t="shared" si="302"/>
        <v>0</v>
      </c>
      <c r="AF165" s="44">
        <f t="shared" si="303"/>
        <v>0</v>
      </c>
      <c r="AG165" s="44">
        <f t="shared" si="304"/>
        <v>0</v>
      </c>
      <c r="AH165" s="44">
        <f t="shared" si="305"/>
        <v>0</v>
      </c>
      <c r="AI165" s="44">
        <f t="shared" si="306"/>
        <v>10000</v>
      </c>
      <c r="AJ165" s="44">
        <f t="shared" si="307"/>
        <v>10000</v>
      </c>
      <c r="AK165" s="44">
        <f t="shared" si="254"/>
        <v>1000</v>
      </c>
      <c r="AL165" s="44">
        <f t="shared" si="308"/>
        <v>1000</v>
      </c>
      <c r="AM165" s="44">
        <f t="shared" si="255"/>
        <v>5500</v>
      </c>
      <c r="AN165" s="44">
        <f t="shared" si="309"/>
        <v>5500</v>
      </c>
      <c r="AO165" s="44">
        <f t="shared" si="256"/>
        <v>4500</v>
      </c>
      <c r="AP165" s="46">
        <f t="shared" si="257"/>
        <v>0</v>
      </c>
      <c r="AQ165" s="47">
        <f t="shared" si="258"/>
        <v>0</v>
      </c>
      <c r="AR165" s="604">
        <f t="shared" si="310"/>
        <v>0</v>
      </c>
      <c r="AS165" s="44">
        <f t="shared" si="311"/>
        <v>0</v>
      </c>
      <c r="AT165" s="44">
        <f t="shared" si="312"/>
        <v>0</v>
      </c>
      <c r="AU165" s="44">
        <f t="shared" si="313"/>
        <v>0</v>
      </c>
      <c r="AV165" s="44">
        <f t="shared" si="314"/>
        <v>10000</v>
      </c>
      <c r="AW165" s="44">
        <f t="shared" si="315"/>
        <v>10000</v>
      </c>
      <c r="AX165" s="44">
        <f t="shared" si="259"/>
        <v>1000</v>
      </c>
      <c r="AY165" s="44">
        <f t="shared" si="316"/>
        <v>1000</v>
      </c>
      <c r="AZ165" s="44">
        <f t="shared" si="260"/>
        <v>4500</v>
      </c>
      <c r="BA165" s="44">
        <f t="shared" si="317"/>
        <v>4500</v>
      </c>
      <c r="BB165" s="44">
        <f t="shared" si="261"/>
        <v>5500</v>
      </c>
      <c r="BC165" s="46">
        <f t="shared" si="262"/>
        <v>0</v>
      </c>
      <c r="BD165" s="47">
        <f t="shared" si="263"/>
        <v>0</v>
      </c>
      <c r="BE165" s="604">
        <f t="shared" si="318"/>
        <v>0</v>
      </c>
      <c r="BF165" s="44">
        <f t="shared" si="319"/>
        <v>0</v>
      </c>
      <c r="BG165" s="44">
        <f t="shared" si="320"/>
        <v>0</v>
      </c>
      <c r="BH165" s="44">
        <f t="shared" si="321"/>
        <v>0</v>
      </c>
      <c r="BI165" s="44">
        <f t="shared" si="322"/>
        <v>10000</v>
      </c>
      <c r="BJ165" s="44">
        <f t="shared" si="323"/>
        <v>10000</v>
      </c>
      <c r="BK165" s="44">
        <f t="shared" si="264"/>
        <v>1000</v>
      </c>
      <c r="BL165" s="44">
        <f t="shared" si="324"/>
        <v>1000</v>
      </c>
      <c r="BM165" s="44">
        <f t="shared" si="265"/>
        <v>3500</v>
      </c>
      <c r="BN165" s="44">
        <f t="shared" si="325"/>
        <v>3500</v>
      </c>
      <c r="BO165" s="44">
        <f t="shared" si="266"/>
        <v>6500</v>
      </c>
      <c r="BP165" s="46">
        <f t="shared" si="267"/>
        <v>0</v>
      </c>
      <c r="BQ165" s="47">
        <f t="shared" si="268"/>
        <v>0</v>
      </c>
      <c r="BR165" s="604">
        <f t="shared" si="326"/>
        <v>0</v>
      </c>
      <c r="BS165" s="44">
        <f t="shared" si="327"/>
        <v>0</v>
      </c>
      <c r="BT165" s="44">
        <f t="shared" si="328"/>
        <v>0</v>
      </c>
      <c r="BU165" s="44">
        <f t="shared" si="329"/>
        <v>0</v>
      </c>
      <c r="BV165" s="44">
        <f t="shared" si="330"/>
        <v>10000</v>
      </c>
      <c r="BW165" s="44">
        <f t="shared" si="331"/>
        <v>10000</v>
      </c>
      <c r="BX165" s="44">
        <f t="shared" si="269"/>
        <v>1000</v>
      </c>
      <c r="BY165" s="44">
        <f t="shared" si="332"/>
        <v>1000</v>
      </c>
      <c r="BZ165" s="44">
        <f t="shared" si="270"/>
        <v>2500</v>
      </c>
      <c r="CA165" s="44">
        <f t="shared" si="333"/>
        <v>2500</v>
      </c>
      <c r="CB165" s="44">
        <f t="shared" si="271"/>
        <v>7500</v>
      </c>
      <c r="CC165" s="46">
        <f t="shared" si="272"/>
        <v>0</v>
      </c>
      <c r="CD165" s="47">
        <f t="shared" si="273"/>
        <v>0</v>
      </c>
      <c r="CE165" s="604">
        <f t="shared" si="334"/>
        <v>0</v>
      </c>
      <c r="CF165" s="44">
        <f t="shared" si="335"/>
        <v>0</v>
      </c>
      <c r="CG165" s="44">
        <f t="shared" si="336"/>
        <v>0</v>
      </c>
      <c r="CH165" s="44">
        <f t="shared" si="337"/>
        <v>0</v>
      </c>
      <c r="CI165" s="44">
        <f t="shared" si="338"/>
        <v>10000</v>
      </c>
      <c r="CJ165" s="44">
        <f t="shared" si="339"/>
        <v>10000</v>
      </c>
      <c r="CK165" s="44">
        <f t="shared" si="274"/>
        <v>1000</v>
      </c>
      <c r="CL165" s="44">
        <f t="shared" si="340"/>
        <v>1000</v>
      </c>
      <c r="CM165" s="44">
        <f t="shared" si="275"/>
        <v>1500</v>
      </c>
      <c r="CN165" s="44">
        <f t="shared" si="341"/>
        <v>1500</v>
      </c>
      <c r="CO165" s="44">
        <f t="shared" si="276"/>
        <v>8500</v>
      </c>
      <c r="CP165" s="46">
        <f t="shared" si="277"/>
        <v>0</v>
      </c>
      <c r="CQ165" s="47">
        <f t="shared" si="278"/>
        <v>0</v>
      </c>
      <c r="CR165" s="604">
        <f t="shared" si="342"/>
        <v>0</v>
      </c>
      <c r="CS165" s="44">
        <f t="shared" si="343"/>
        <v>0</v>
      </c>
      <c r="CT165" s="44">
        <f t="shared" si="344"/>
        <v>0</v>
      </c>
      <c r="CU165" s="44">
        <f t="shared" si="345"/>
        <v>0</v>
      </c>
      <c r="CV165" s="44">
        <f t="shared" si="346"/>
        <v>10000</v>
      </c>
      <c r="CW165" s="44">
        <f t="shared" si="347"/>
        <v>10000</v>
      </c>
      <c r="CX165" s="44">
        <f t="shared" si="279"/>
        <v>1000</v>
      </c>
      <c r="CY165" s="44">
        <f t="shared" si="348"/>
        <v>1000</v>
      </c>
      <c r="CZ165" s="44">
        <f t="shared" si="280"/>
        <v>500</v>
      </c>
      <c r="DA165" s="44">
        <f t="shared" si="349"/>
        <v>500</v>
      </c>
      <c r="DB165" s="44">
        <f t="shared" si="281"/>
        <v>9500</v>
      </c>
      <c r="DC165" s="46">
        <f t="shared" si="282"/>
        <v>0</v>
      </c>
      <c r="DD165" s="47">
        <f t="shared" si="283"/>
        <v>0</v>
      </c>
      <c r="DE165" s="604">
        <f t="shared" si="350"/>
        <v>0</v>
      </c>
      <c r="DF165" s="44">
        <f t="shared" si="351"/>
        <v>0</v>
      </c>
      <c r="DG165" s="44">
        <f t="shared" si="352"/>
        <v>0</v>
      </c>
      <c r="DH165" s="44">
        <f t="shared" si="353"/>
        <v>0</v>
      </c>
      <c r="DI165" s="44">
        <f t="shared" si="354"/>
        <v>10000</v>
      </c>
      <c r="DJ165" s="44">
        <f t="shared" si="355"/>
        <v>5000</v>
      </c>
      <c r="DK165" s="44">
        <f t="shared" si="284"/>
        <v>500</v>
      </c>
      <c r="DL165" s="44">
        <f t="shared" si="356"/>
        <v>500</v>
      </c>
      <c r="DM165" s="44">
        <f t="shared" si="285"/>
        <v>0</v>
      </c>
      <c r="DN165" s="44">
        <f t="shared" si="357"/>
        <v>0</v>
      </c>
      <c r="DO165" s="44">
        <f t="shared" si="286"/>
        <v>10000</v>
      </c>
      <c r="DP165" s="46">
        <f t="shared" si="287"/>
        <v>0</v>
      </c>
      <c r="DQ165" s="47">
        <f t="shared" si="288"/>
        <v>0</v>
      </c>
      <c r="DR165" s="604">
        <f t="shared" si="358"/>
        <v>0</v>
      </c>
      <c r="DS165" s="44">
        <f t="shared" si="359"/>
        <v>0</v>
      </c>
      <c r="DT165" s="44">
        <f t="shared" si="360"/>
        <v>0</v>
      </c>
      <c r="DU165" s="44">
        <f t="shared" si="361"/>
        <v>0</v>
      </c>
      <c r="DV165" s="44">
        <f t="shared" si="362"/>
        <v>10000</v>
      </c>
      <c r="DW165" s="44">
        <f t="shared" si="363"/>
        <v>0</v>
      </c>
      <c r="DX165" s="44">
        <f t="shared" si="289"/>
        <v>0</v>
      </c>
      <c r="DY165" s="44">
        <f t="shared" si="364"/>
        <v>0</v>
      </c>
      <c r="DZ165" s="44">
        <f t="shared" si="290"/>
        <v>0</v>
      </c>
      <c r="EA165" s="44">
        <f t="shared" si="365"/>
        <v>0</v>
      </c>
      <c r="EB165" s="44">
        <f t="shared" si="291"/>
        <v>10000</v>
      </c>
      <c r="EC165" s="46">
        <f t="shared" si="292"/>
        <v>0</v>
      </c>
      <c r="ED165" s="47">
        <f t="shared" si="293"/>
        <v>0</v>
      </c>
    </row>
    <row r="166" spans="1:134" x14ac:dyDescent="0.35">
      <c r="A166" s="81"/>
      <c r="B166" s="82"/>
      <c r="C166" s="82"/>
      <c r="D166" s="83"/>
      <c r="E166" s="87"/>
      <c r="F166" s="85"/>
      <c r="G166" s="86"/>
      <c r="H166" s="179"/>
      <c r="I166" s="180"/>
      <c r="J166" s="181"/>
      <c r="K166" s="42">
        <f t="shared" si="244"/>
        <v>0</v>
      </c>
      <c r="L166" s="43">
        <f t="shared" si="245"/>
        <v>0</v>
      </c>
      <c r="M166" s="44">
        <f t="shared" si="246"/>
        <v>0</v>
      </c>
      <c r="N166" s="44"/>
      <c r="O166" s="44">
        <f t="shared" si="247"/>
        <v>0</v>
      </c>
      <c r="P166" s="45"/>
      <c r="Q166" s="44">
        <f t="shared" si="248"/>
        <v>0</v>
      </c>
      <c r="R166" s="604">
        <f t="shared" si="294"/>
        <v>0</v>
      </c>
      <c r="S166" s="44">
        <f t="shared" si="295"/>
        <v>0</v>
      </c>
      <c r="T166" s="44">
        <f t="shared" si="296"/>
        <v>0</v>
      </c>
      <c r="U166" s="44">
        <f t="shared" si="297"/>
        <v>0</v>
      </c>
      <c r="V166" s="44">
        <f t="shared" si="298"/>
        <v>0</v>
      </c>
      <c r="W166" s="44">
        <f t="shared" si="299"/>
        <v>0</v>
      </c>
      <c r="X166" s="44">
        <f t="shared" si="249"/>
        <v>0</v>
      </c>
      <c r="Y166" s="44">
        <f t="shared" si="300"/>
        <v>0</v>
      </c>
      <c r="Z166" s="44">
        <f t="shared" si="250"/>
        <v>0</v>
      </c>
      <c r="AA166" s="44">
        <f t="shared" si="301"/>
        <v>0</v>
      </c>
      <c r="AB166" s="44">
        <f t="shared" si="251"/>
        <v>0</v>
      </c>
      <c r="AC166" s="46">
        <f t="shared" si="252"/>
        <v>0</v>
      </c>
      <c r="AD166" s="47">
        <f t="shared" si="253"/>
        <v>0</v>
      </c>
      <c r="AE166" s="604">
        <f t="shared" si="302"/>
        <v>0</v>
      </c>
      <c r="AF166" s="44">
        <f t="shared" si="303"/>
        <v>0</v>
      </c>
      <c r="AG166" s="44">
        <f t="shared" si="304"/>
        <v>0</v>
      </c>
      <c r="AH166" s="44">
        <f t="shared" si="305"/>
        <v>0</v>
      </c>
      <c r="AI166" s="44">
        <f t="shared" si="306"/>
        <v>0</v>
      </c>
      <c r="AJ166" s="44">
        <f t="shared" si="307"/>
        <v>0</v>
      </c>
      <c r="AK166" s="44">
        <f t="shared" si="254"/>
        <v>0</v>
      </c>
      <c r="AL166" s="44">
        <f t="shared" si="308"/>
        <v>0</v>
      </c>
      <c r="AM166" s="44">
        <f t="shared" si="255"/>
        <v>0</v>
      </c>
      <c r="AN166" s="44">
        <f t="shared" si="309"/>
        <v>0</v>
      </c>
      <c r="AO166" s="44">
        <f t="shared" si="256"/>
        <v>0</v>
      </c>
      <c r="AP166" s="46">
        <f t="shared" si="257"/>
        <v>0</v>
      </c>
      <c r="AQ166" s="47">
        <f t="shared" si="258"/>
        <v>0</v>
      </c>
      <c r="AR166" s="604">
        <f t="shared" si="310"/>
        <v>0</v>
      </c>
      <c r="AS166" s="44">
        <f t="shared" si="311"/>
        <v>0</v>
      </c>
      <c r="AT166" s="44">
        <f t="shared" si="312"/>
        <v>0</v>
      </c>
      <c r="AU166" s="44">
        <f t="shared" si="313"/>
        <v>0</v>
      </c>
      <c r="AV166" s="44">
        <f t="shared" si="314"/>
        <v>0</v>
      </c>
      <c r="AW166" s="44">
        <f t="shared" si="315"/>
        <v>0</v>
      </c>
      <c r="AX166" s="44">
        <f t="shared" si="259"/>
        <v>0</v>
      </c>
      <c r="AY166" s="44">
        <f t="shared" si="316"/>
        <v>0</v>
      </c>
      <c r="AZ166" s="44">
        <f t="shared" si="260"/>
        <v>0</v>
      </c>
      <c r="BA166" s="44">
        <f t="shared" si="317"/>
        <v>0</v>
      </c>
      <c r="BB166" s="44">
        <f t="shared" si="261"/>
        <v>0</v>
      </c>
      <c r="BC166" s="46">
        <f t="shared" si="262"/>
        <v>0</v>
      </c>
      <c r="BD166" s="47">
        <f t="shared" si="263"/>
        <v>0</v>
      </c>
      <c r="BE166" s="604">
        <f t="shared" si="318"/>
        <v>0</v>
      </c>
      <c r="BF166" s="44">
        <f t="shared" si="319"/>
        <v>0</v>
      </c>
      <c r="BG166" s="44">
        <f t="shared" si="320"/>
        <v>0</v>
      </c>
      <c r="BH166" s="44">
        <f t="shared" si="321"/>
        <v>0</v>
      </c>
      <c r="BI166" s="44">
        <f t="shared" si="322"/>
        <v>0</v>
      </c>
      <c r="BJ166" s="44">
        <f t="shared" si="323"/>
        <v>0</v>
      </c>
      <c r="BK166" s="44">
        <f t="shared" si="264"/>
        <v>0</v>
      </c>
      <c r="BL166" s="44">
        <f t="shared" si="324"/>
        <v>0</v>
      </c>
      <c r="BM166" s="44">
        <f t="shared" si="265"/>
        <v>0</v>
      </c>
      <c r="BN166" s="44">
        <f t="shared" si="325"/>
        <v>0</v>
      </c>
      <c r="BO166" s="44">
        <f t="shared" si="266"/>
        <v>0</v>
      </c>
      <c r="BP166" s="46">
        <f t="shared" si="267"/>
        <v>0</v>
      </c>
      <c r="BQ166" s="47">
        <f t="shared" si="268"/>
        <v>0</v>
      </c>
      <c r="BR166" s="604">
        <f t="shared" si="326"/>
        <v>0</v>
      </c>
      <c r="BS166" s="44">
        <f t="shared" si="327"/>
        <v>0</v>
      </c>
      <c r="BT166" s="44">
        <f t="shared" si="328"/>
        <v>0</v>
      </c>
      <c r="BU166" s="44">
        <f t="shared" si="329"/>
        <v>0</v>
      </c>
      <c r="BV166" s="44">
        <f t="shared" si="330"/>
        <v>0</v>
      </c>
      <c r="BW166" s="44">
        <f t="shared" si="331"/>
        <v>0</v>
      </c>
      <c r="BX166" s="44">
        <f t="shared" si="269"/>
        <v>0</v>
      </c>
      <c r="BY166" s="44">
        <f t="shared" si="332"/>
        <v>0</v>
      </c>
      <c r="BZ166" s="44">
        <f t="shared" si="270"/>
        <v>0</v>
      </c>
      <c r="CA166" s="44">
        <f t="shared" si="333"/>
        <v>0</v>
      </c>
      <c r="CB166" s="44">
        <f t="shared" si="271"/>
        <v>0</v>
      </c>
      <c r="CC166" s="46">
        <f t="shared" si="272"/>
        <v>0</v>
      </c>
      <c r="CD166" s="47">
        <f t="shared" si="273"/>
        <v>0</v>
      </c>
      <c r="CE166" s="604">
        <f t="shared" si="334"/>
        <v>0</v>
      </c>
      <c r="CF166" s="44">
        <f t="shared" si="335"/>
        <v>0</v>
      </c>
      <c r="CG166" s="44">
        <f t="shared" si="336"/>
        <v>0</v>
      </c>
      <c r="CH166" s="44">
        <f t="shared" si="337"/>
        <v>0</v>
      </c>
      <c r="CI166" s="44">
        <f t="shared" si="338"/>
        <v>0</v>
      </c>
      <c r="CJ166" s="44">
        <f t="shared" si="339"/>
        <v>0</v>
      </c>
      <c r="CK166" s="44">
        <f t="shared" si="274"/>
        <v>0</v>
      </c>
      <c r="CL166" s="44">
        <f t="shared" si="340"/>
        <v>0</v>
      </c>
      <c r="CM166" s="44">
        <f t="shared" si="275"/>
        <v>0</v>
      </c>
      <c r="CN166" s="44">
        <f t="shared" si="341"/>
        <v>0</v>
      </c>
      <c r="CO166" s="44">
        <f t="shared" si="276"/>
        <v>0</v>
      </c>
      <c r="CP166" s="46">
        <f t="shared" si="277"/>
        <v>0</v>
      </c>
      <c r="CQ166" s="47">
        <f t="shared" si="278"/>
        <v>0</v>
      </c>
      <c r="CR166" s="604">
        <f t="shared" si="342"/>
        <v>0</v>
      </c>
      <c r="CS166" s="44">
        <f t="shared" si="343"/>
        <v>0</v>
      </c>
      <c r="CT166" s="44">
        <f t="shared" si="344"/>
        <v>0</v>
      </c>
      <c r="CU166" s="44">
        <f t="shared" si="345"/>
        <v>0</v>
      </c>
      <c r="CV166" s="44">
        <f t="shared" si="346"/>
        <v>0</v>
      </c>
      <c r="CW166" s="44">
        <f t="shared" si="347"/>
        <v>0</v>
      </c>
      <c r="CX166" s="44">
        <f t="shared" si="279"/>
        <v>0</v>
      </c>
      <c r="CY166" s="44">
        <f t="shared" si="348"/>
        <v>0</v>
      </c>
      <c r="CZ166" s="44">
        <f t="shared" si="280"/>
        <v>0</v>
      </c>
      <c r="DA166" s="44">
        <f t="shared" si="349"/>
        <v>0</v>
      </c>
      <c r="DB166" s="44">
        <f t="shared" si="281"/>
        <v>0</v>
      </c>
      <c r="DC166" s="46">
        <f t="shared" si="282"/>
        <v>0</v>
      </c>
      <c r="DD166" s="47">
        <f t="shared" si="283"/>
        <v>0</v>
      </c>
      <c r="DE166" s="604">
        <f t="shared" si="350"/>
        <v>0</v>
      </c>
      <c r="DF166" s="44">
        <f t="shared" si="351"/>
        <v>0</v>
      </c>
      <c r="DG166" s="44">
        <f t="shared" si="352"/>
        <v>0</v>
      </c>
      <c r="DH166" s="44">
        <f t="shared" si="353"/>
        <v>0</v>
      </c>
      <c r="DI166" s="44">
        <f t="shared" si="354"/>
        <v>0</v>
      </c>
      <c r="DJ166" s="44">
        <f t="shared" si="355"/>
        <v>0</v>
      </c>
      <c r="DK166" s="44">
        <f t="shared" si="284"/>
        <v>0</v>
      </c>
      <c r="DL166" s="44">
        <f t="shared" si="356"/>
        <v>0</v>
      </c>
      <c r="DM166" s="44">
        <f t="shared" si="285"/>
        <v>0</v>
      </c>
      <c r="DN166" s="44">
        <f t="shared" si="357"/>
        <v>0</v>
      </c>
      <c r="DO166" s="44">
        <f t="shared" si="286"/>
        <v>0</v>
      </c>
      <c r="DP166" s="46">
        <f t="shared" si="287"/>
        <v>0</v>
      </c>
      <c r="DQ166" s="47">
        <f t="shared" si="288"/>
        <v>0</v>
      </c>
      <c r="DR166" s="604">
        <f t="shared" si="358"/>
        <v>0</v>
      </c>
      <c r="DS166" s="44">
        <f t="shared" si="359"/>
        <v>0</v>
      </c>
      <c r="DT166" s="44">
        <f t="shared" si="360"/>
        <v>0</v>
      </c>
      <c r="DU166" s="44">
        <f t="shared" si="361"/>
        <v>0</v>
      </c>
      <c r="DV166" s="44">
        <f t="shared" si="362"/>
        <v>0</v>
      </c>
      <c r="DW166" s="44">
        <f t="shared" si="363"/>
        <v>0</v>
      </c>
      <c r="DX166" s="44">
        <f t="shared" si="289"/>
        <v>0</v>
      </c>
      <c r="DY166" s="44">
        <f t="shared" si="364"/>
        <v>0</v>
      </c>
      <c r="DZ166" s="44">
        <f t="shared" si="290"/>
        <v>0</v>
      </c>
      <c r="EA166" s="44">
        <f t="shared" si="365"/>
        <v>0</v>
      </c>
      <c r="EB166" s="44">
        <f t="shared" si="291"/>
        <v>0</v>
      </c>
      <c r="EC166" s="46">
        <f t="shared" si="292"/>
        <v>0</v>
      </c>
      <c r="ED166" s="47">
        <f t="shared" si="293"/>
        <v>0</v>
      </c>
    </row>
    <row r="167" spans="1:134" x14ac:dyDescent="0.35">
      <c r="A167" s="81"/>
      <c r="B167" s="82" t="s">
        <v>325</v>
      </c>
      <c r="C167" s="82"/>
      <c r="D167" s="83"/>
      <c r="E167" s="87"/>
      <c r="F167" s="85"/>
      <c r="G167" s="86"/>
      <c r="H167" s="179"/>
      <c r="I167" s="180"/>
      <c r="J167" s="181"/>
      <c r="K167" s="42">
        <f t="shared" si="244"/>
        <v>0</v>
      </c>
      <c r="L167" s="43">
        <f t="shared" si="245"/>
        <v>0</v>
      </c>
      <c r="M167" s="44">
        <f t="shared" si="246"/>
        <v>0</v>
      </c>
      <c r="N167" s="44"/>
      <c r="O167" s="44">
        <f t="shared" si="247"/>
        <v>0</v>
      </c>
      <c r="P167" s="45"/>
      <c r="Q167" s="44">
        <f t="shared" si="248"/>
        <v>0</v>
      </c>
      <c r="R167" s="604">
        <f t="shared" si="294"/>
        <v>0</v>
      </c>
      <c r="S167" s="44">
        <f t="shared" si="295"/>
        <v>0</v>
      </c>
      <c r="T167" s="44">
        <f t="shared" si="296"/>
        <v>0</v>
      </c>
      <c r="U167" s="44">
        <f t="shared" si="297"/>
        <v>0</v>
      </c>
      <c r="V167" s="44">
        <f t="shared" si="298"/>
        <v>0</v>
      </c>
      <c r="W167" s="44">
        <f t="shared" si="299"/>
        <v>0</v>
      </c>
      <c r="X167" s="44">
        <f t="shared" si="249"/>
        <v>0</v>
      </c>
      <c r="Y167" s="44">
        <f t="shared" si="300"/>
        <v>0</v>
      </c>
      <c r="Z167" s="44">
        <f t="shared" si="250"/>
        <v>0</v>
      </c>
      <c r="AA167" s="44">
        <f t="shared" si="301"/>
        <v>0</v>
      </c>
      <c r="AB167" s="44">
        <f t="shared" si="251"/>
        <v>0</v>
      </c>
      <c r="AC167" s="46">
        <f t="shared" si="252"/>
        <v>0</v>
      </c>
      <c r="AD167" s="47">
        <f t="shared" si="253"/>
        <v>0</v>
      </c>
      <c r="AE167" s="604">
        <f t="shared" si="302"/>
        <v>0</v>
      </c>
      <c r="AF167" s="44">
        <f t="shared" si="303"/>
        <v>0</v>
      </c>
      <c r="AG167" s="44">
        <f t="shared" si="304"/>
        <v>0</v>
      </c>
      <c r="AH167" s="44">
        <f t="shared" si="305"/>
        <v>0</v>
      </c>
      <c r="AI167" s="44">
        <f t="shared" si="306"/>
        <v>0</v>
      </c>
      <c r="AJ167" s="44">
        <f t="shared" si="307"/>
        <v>0</v>
      </c>
      <c r="AK167" s="44">
        <f t="shared" si="254"/>
        <v>0</v>
      </c>
      <c r="AL167" s="44">
        <f t="shared" si="308"/>
        <v>0</v>
      </c>
      <c r="AM167" s="44">
        <f t="shared" si="255"/>
        <v>0</v>
      </c>
      <c r="AN167" s="44">
        <f t="shared" si="309"/>
        <v>0</v>
      </c>
      <c r="AO167" s="44">
        <f t="shared" si="256"/>
        <v>0</v>
      </c>
      <c r="AP167" s="46">
        <f t="shared" si="257"/>
        <v>0</v>
      </c>
      <c r="AQ167" s="47">
        <f t="shared" si="258"/>
        <v>0</v>
      </c>
      <c r="AR167" s="604">
        <f t="shared" si="310"/>
        <v>0</v>
      </c>
      <c r="AS167" s="44">
        <f t="shared" si="311"/>
        <v>0</v>
      </c>
      <c r="AT167" s="44">
        <f t="shared" si="312"/>
        <v>0</v>
      </c>
      <c r="AU167" s="44">
        <f t="shared" si="313"/>
        <v>0</v>
      </c>
      <c r="AV167" s="44">
        <f t="shared" si="314"/>
        <v>0</v>
      </c>
      <c r="AW167" s="44">
        <f t="shared" si="315"/>
        <v>0</v>
      </c>
      <c r="AX167" s="44">
        <f t="shared" si="259"/>
        <v>0</v>
      </c>
      <c r="AY167" s="44">
        <f t="shared" si="316"/>
        <v>0</v>
      </c>
      <c r="AZ167" s="44">
        <f t="shared" si="260"/>
        <v>0</v>
      </c>
      <c r="BA167" s="44">
        <f t="shared" si="317"/>
        <v>0</v>
      </c>
      <c r="BB167" s="44">
        <f t="shared" si="261"/>
        <v>0</v>
      </c>
      <c r="BC167" s="46">
        <f t="shared" si="262"/>
        <v>0</v>
      </c>
      <c r="BD167" s="47">
        <f t="shared" si="263"/>
        <v>0</v>
      </c>
      <c r="BE167" s="604">
        <f t="shared" si="318"/>
        <v>0</v>
      </c>
      <c r="BF167" s="44">
        <f t="shared" si="319"/>
        <v>0</v>
      </c>
      <c r="BG167" s="44">
        <f t="shared" si="320"/>
        <v>0</v>
      </c>
      <c r="BH167" s="44">
        <f t="shared" si="321"/>
        <v>0</v>
      </c>
      <c r="BI167" s="44">
        <f t="shared" si="322"/>
        <v>0</v>
      </c>
      <c r="BJ167" s="44">
        <f t="shared" si="323"/>
        <v>0</v>
      </c>
      <c r="BK167" s="44">
        <f t="shared" si="264"/>
        <v>0</v>
      </c>
      <c r="BL167" s="44">
        <f t="shared" si="324"/>
        <v>0</v>
      </c>
      <c r="BM167" s="44">
        <f t="shared" si="265"/>
        <v>0</v>
      </c>
      <c r="BN167" s="44">
        <f t="shared" si="325"/>
        <v>0</v>
      </c>
      <c r="BO167" s="44">
        <f t="shared" si="266"/>
        <v>0</v>
      </c>
      <c r="BP167" s="46">
        <f t="shared" si="267"/>
        <v>0</v>
      </c>
      <c r="BQ167" s="47">
        <f t="shared" si="268"/>
        <v>0</v>
      </c>
      <c r="BR167" s="604">
        <f t="shared" si="326"/>
        <v>0</v>
      </c>
      <c r="BS167" s="44">
        <f t="shared" si="327"/>
        <v>0</v>
      </c>
      <c r="BT167" s="44">
        <f t="shared" si="328"/>
        <v>0</v>
      </c>
      <c r="BU167" s="44">
        <f t="shared" si="329"/>
        <v>0</v>
      </c>
      <c r="BV167" s="44">
        <f t="shared" si="330"/>
        <v>0</v>
      </c>
      <c r="BW167" s="44">
        <f t="shared" si="331"/>
        <v>0</v>
      </c>
      <c r="BX167" s="44">
        <f t="shared" si="269"/>
        <v>0</v>
      </c>
      <c r="BY167" s="44">
        <f t="shared" si="332"/>
        <v>0</v>
      </c>
      <c r="BZ167" s="44">
        <f t="shared" si="270"/>
        <v>0</v>
      </c>
      <c r="CA167" s="44">
        <f t="shared" si="333"/>
        <v>0</v>
      </c>
      <c r="CB167" s="44">
        <f t="shared" si="271"/>
        <v>0</v>
      </c>
      <c r="CC167" s="46">
        <f t="shared" si="272"/>
        <v>0</v>
      </c>
      <c r="CD167" s="47">
        <f t="shared" si="273"/>
        <v>0</v>
      </c>
      <c r="CE167" s="604">
        <f t="shared" si="334"/>
        <v>0</v>
      </c>
      <c r="CF167" s="44">
        <f t="shared" si="335"/>
        <v>0</v>
      </c>
      <c r="CG167" s="44">
        <f t="shared" si="336"/>
        <v>0</v>
      </c>
      <c r="CH167" s="44">
        <f t="shared" si="337"/>
        <v>0</v>
      </c>
      <c r="CI167" s="44">
        <f t="shared" si="338"/>
        <v>0</v>
      </c>
      <c r="CJ167" s="44">
        <f t="shared" si="339"/>
        <v>0</v>
      </c>
      <c r="CK167" s="44">
        <f t="shared" si="274"/>
        <v>0</v>
      </c>
      <c r="CL167" s="44">
        <f t="shared" si="340"/>
        <v>0</v>
      </c>
      <c r="CM167" s="44">
        <f t="shared" si="275"/>
        <v>0</v>
      </c>
      <c r="CN167" s="44">
        <f t="shared" si="341"/>
        <v>0</v>
      </c>
      <c r="CO167" s="44">
        <f t="shared" si="276"/>
        <v>0</v>
      </c>
      <c r="CP167" s="46">
        <f t="shared" si="277"/>
        <v>0</v>
      </c>
      <c r="CQ167" s="47">
        <f t="shared" si="278"/>
        <v>0</v>
      </c>
      <c r="CR167" s="604">
        <f t="shared" si="342"/>
        <v>0</v>
      </c>
      <c r="CS167" s="44">
        <f t="shared" si="343"/>
        <v>0</v>
      </c>
      <c r="CT167" s="44">
        <f t="shared" si="344"/>
        <v>0</v>
      </c>
      <c r="CU167" s="44">
        <f t="shared" si="345"/>
        <v>0</v>
      </c>
      <c r="CV167" s="44">
        <f t="shared" si="346"/>
        <v>0</v>
      </c>
      <c r="CW167" s="44">
        <f t="shared" si="347"/>
        <v>0</v>
      </c>
      <c r="CX167" s="44">
        <f t="shared" si="279"/>
        <v>0</v>
      </c>
      <c r="CY167" s="44">
        <f t="shared" si="348"/>
        <v>0</v>
      </c>
      <c r="CZ167" s="44">
        <f t="shared" si="280"/>
        <v>0</v>
      </c>
      <c r="DA167" s="44">
        <f t="shared" si="349"/>
        <v>0</v>
      </c>
      <c r="DB167" s="44">
        <f t="shared" si="281"/>
        <v>0</v>
      </c>
      <c r="DC167" s="46">
        <f t="shared" si="282"/>
        <v>0</v>
      </c>
      <c r="DD167" s="47">
        <f t="shared" si="283"/>
        <v>0</v>
      </c>
      <c r="DE167" s="604">
        <f t="shared" si="350"/>
        <v>0</v>
      </c>
      <c r="DF167" s="44">
        <f t="shared" si="351"/>
        <v>0</v>
      </c>
      <c r="DG167" s="44">
        <f t="shared" si="352"/>
        <v>0</v>
      </c>
      <c r="DH167" s="44">
        <f t="shared" si="353"/>
        <v>0</v>
      </c>
      <c r="DI167" s="44">
        <f t="shared" si="354"/>
        <v>0</v>
      </c>
      <c r="DJ167" s="44">
        <f t="shared" si="355"/>
        <v>0</v>
      </c>
      <c r="DK167" s="44">
        <f t="shared" si="284"/>
        <v>0</v>
      </c>
      <c r="DL167" s="44">
        <f t="shared" si="356"/>
        <v>0</v>
      </c>
      <c r="DM167" s="44">
        <f t="shared" si="285"/>
        <v>0</v>
      </c>
      <c r="DN167" s="44">
        <f t="shared" si="357"/>
        <v>0</v>
      </c>
      <c r="DO167" s="44">
        <f t="shared" si="286"/>
        <v>0</v>
      </c>
      <c r="DP167" s="46">
        <f t="shared" si="287"/>
        <v>0</v>
      </c>
      <c r="DQ167" s="47">
        <f t="shared" si="288"/>
        <v>0</v>
      </c>
      <c r="DR167" s="604">
        <f t="shared" si="358"/>
        <v>0</v>
      </c>
      <c r="DS167" s="44">
        <f t="shared" si="359"/>
        <v>0</v>
      </c>
      <c r="DT167" s="44">
        <f t="shared" si="360"/>
        <v>0</v>
      </c>
      <c r="DU167" s="44">
        <f t="shared" si="361"/>
        <v>0</v>
      </c>
      <c r="DV167" s="44">
        <f t="shared" si="362"/>
        <v>0</v>
      </c>
      <c r="DW167" s="44">
        <f t="shared" si="363"/>
        <v>0</v>
      </c>
      <c r="DX167" s="44">
        <f t="shared" si="289"/>
        <v>0</v>
      </c>
      <c r="DY167" s="44">
        <f t="shared" si="364"/>
        <v>0</v>
      </c>
      <c r="DZ167" s="44">
        <f t="shared" si="290"/>
        <v>0</v>
      </c>
      <c r="EA167" s="44">
        <f t="shared" si="365"/>
        <v>0</v>
      </c>
      <c r="EB167" s="44">
        <f t="shared" si="291"/>
        <v>0</v>
      </c>
      <c r="EC167" s="46">
        <f t="shared" si="292"/>
        <v>0</v>
      </c>
      <c r="ED167" s="47">
        <f t="shared" si="293"/>
        <v>0</v>
      </c>
    </row>
    <row r="168" spans="1:134" x14ac:dyDescent="0.35">
      <c r="A168" s="81">
        <v>1998</v>
      </c>
      <c r="B168" s="82" t="s">
        <v>326</v>
      </c>
      <c r="C168" s="82"/>
      <c r="D168" s="83" t="s">
        <v>46</v>
      </c>
      <c r="E168" s="87">
        <v>202000</v>
      </c>
      <c r="F168" s="85">
        <v>35977</v>
      </c>
      <c r="G168" s="86">
        <v>40</v>
      </c>
      <c r="H168" s="179"/>
      <c r="I168" s="180"/>
      <c r="J168" s="181"/>
      <c r="K168" s="42">
        <f t="shared" si="244"/>
        <v>2.5000000000000001E-2</v>
      </c>
      <c r="L168" s="43">
        <f t="shared" si="245"/>
        <v>5050</v>
      </c>
      <c r="M168" s="44">
        <f t="shared" si="246"/>
        <v>133825</v>
      </c>
      <c r="N168" s="44"/>
      <c r="O168" s="44">
        <f t="shared" si="247"/>
        <v>68175</v>
      </c>
      <c r="P168" s="45"/>
      <c r="Q168" s="44">
        <f t="shared" si="248"/>
        <v>202000</v>
      </c>
      <c r="R168" s="604">
        <f t="shared" si="294"/>
        <v>0</v>
      </c>
      <c r="S168" s="44">
        <f t="shared" si="295"/>
        <v>0</v>
      </c>
      <c r="T168" s="44">
        <f t="shared" si="296"/>
        <v>0</v>
      </c>
      <c r="U168" s="44">
        <f t="shared" si="297"/>
        <v>0</v>
      </c>
      <c r="V168" s="44">
        <f t="shared" si="298"/>
        <v>202000</v>
      </c>
      <c r="W168" s="44">
        <f t="shared" si="299"/>
        <v>202000</v>
      </c>
      <c r="X168" s="44">
        <f t="shared" si="249"/>
        <v>5050</v>
      </c>
      <c r="Y168" s="44">
        <f t="shared" si="300"/>
        <v>5050</v>
      </c>
      <c r="Z168" s="44">
        <f t="shared" si="250"/>
        <v>128775</v>
      </c>
      <c r="AA168" s="44">
        <f t="shared" si="301"/>
        <v>128775</v>
      </c>
      <c r="AB168" s="44">
        <f t="shared" si="251"/>
        <v>73225</v>
      </c>
      <c r="AC168" s="46">
        <f t="shared" si="252"/>
        <v>0</v>
      </c>
      <c r="AD168" s="47">
        <f t="shared" si="253"/>
        <v>0</v>
      </c>
      <c r="AE168" s="604">
        <f t="shared" si="302"/>
        <v>0</v>
      </c>
      <c r="AF168" s="44">
        <f t="shared" si="303"/>
        <v>0</v>
      </c>
      <c r="AG168" s="44">
        <f t="shared" si="304"/>
        <v>0</v>
      </c>
      <c r="AH168" s="44">
        <f t="shared" si="305"/>
        <v>0</v>
      </c>
      <c r="AI168" s="44">
        <f t="shared" si="306"/>
        <v>202000</v>
      </c>
      <c r="AJ168" s="44">
        <f t="shared" si="307"/>
        <v>202000</v>
      </c>
      <c r="AK168" s="44">
        <f t="shared" si="254"/>
        <v>5050</v>
      </c>
      <c r="AL168" s="44">
        <f t="shared" si="308"/>
        <v>5050</v>
      </c>
      <c r="AM168" s="44">
        <f t="shared" si="255"/>
        <v>123725</v>
      </c>
      <c r="AN168" s="44">
        <f t="shared" si="309"/>
        <v>123725</v>
      </c>
      <c r="AO168" s="44">
        <f t="shared" si="256"/>
        <v>78275</v>
      </c>
      <c r="AP168" s="46">
        <f t="shared" si="257"/>
        <v>0</v>
      </c>
      <c r="AQ168" s="47">
        <f t="shared" si="258"/>
        <v>0</v>
      </c>
      <c r="AR168" s="604">
        <f t="shared" si="310"/>
        <v>0</v>
      </c>
      <c r="AS168" s="44">
        <f t="shared" si="311"/>
        <v>0</v>
      </c>
      <c r="AT168" s="44">
        <f t="shared" si="312"/>
        <v>0</v>
      </c>
      <c r="AU168" s="44">
        <f t="shared" si="313"/>
        <v>0</v>
      </c>
      <c r="AV168" s="44">
        <f t="shared" si="314"/>
        <v>202000</v>
      </c>
      <c r="AW168" s="44">
        <f t="shared" si="315"/>
        <v>202000</v>
      </c>
      <c r="AX168" s="44">
        <f t="shared" si="259"/>
        <v>5050</v>
      </c>
      <c r="AY168" s="44">
        <f t="shared" si="316"/>
        <v>5050</v>
      </c>
      <c r="AZ168" s="44">
        <f t="shared" si="260"/>
        <v>118675</v>
      </c>
      <c r="BA168" s="44">
        <f t="shared" si="317"/>
        <v>118675</v>
      </c>
      <c r="BB168" s="44">
        <f t="shared" si="261"/>
        <v>83325</v>
      </c>
      <c r="BC168" s="46">
        <f t="shared" si="262"/>
        <v>0</v>
      </c>
      <c r="BD168" s="47">
        <f t="shared" si="263"/>
        <v>0</v>
      </c>
      <c r="BE168" s="604">
        <f t="shared" si="318"/>
        <v>0</v>
      </c>
      <c r="BF168" s="44">
        <f t="shared" si="319"/>
        <v>0</v>
      </c>
      <c r="BG168" s="44">
        <f t="shared" si="320"/>
        <v>0</v>
      </c>
      <c r="BH168" s="44">
        <f t="shared" si="321"/>
        <v>0</v>
      </c>
      <c r="BI168" s="44">
        <f t="shared" si="322"/>
        <v>202000</v>
      </c>
      <c r="BJ168" s="44">
        <f t="shared" si="323"/>
        <v>202000</v>
      </c>
      <c r="BK168" s="44">
        <f t="shared" si="264"/>
        <v>5050</v>
      </c>
      <c r="BL168" s="44">
        <f t="shared" si="324"/>
        <v>5050</v>
      </c>
      <c r="BM168" s="44">
        <f t="shared" si="265"/>
        <v>113625</v>
      </c>
      <c r="BN168" s="44">
        <f t="shared" si="325"/>
        <v>113625</v>
      </c>
      <c r="BO168" s="44">
        <f t="shared" si="266"/>
        <v>88375</v>
      </c>
      <c r="BP168" s="46">
        <f t="shared" si="267"/>
        <v>0</v>
      </c>
      <c r="BQ168" s="47">
        <f t="shared" si="268"/>
        <v>0</v>
      </c>
      <c r="BR168" s="604">
        <f t="shared" si="326"/>
        <v>0</v>
      </c>
      <c r="BS168" s="44">
        <f t="shared" si="327"/>
        <v>0</v>
      </c>
      <c r="BT168" s="44">
        <f t="shared" si="328"/>
        <v>0</v>
      </c>
      <c r="BU168" s="44">
        <f t="shared" si="329"/>
        <v>0</v>
      </c>
      <c r="BV168" s="44">
        <f t="shared" si="330"/>
        <v>202000</v>
      </c>
      <c r="BW168" s="44">
        <f t="shared" si="331"/>
        <v>202000</v>
      </c>
      <c r="BX168" s="44">
        <f t="shared" si="269"/>
        <v>5050</v>
      </c>
      <c r="BY168" s="44">
        <f t="shared" si="332"/>
        <v>5050</v>
      </c>
      <c r="BZ168" s="44">
        <f t="shared" si="270"/>
        <v>108575</v>
      </c>
      <c r="CA168" s="44">
        <f t="shared" si="333"/>
        <v>108575</v>
      </c>
      <c r="CB168" s="44">
        <f t="shared" si="271"/>
        <v>93425</v>
      </c>
      <c r="CC168" s="46">
        <f t="shared" si="272"/>
        <v>0</v>
      </c>
      <c r="CD168" s="47">
        <f t="shared" si="273"/>
        <v>0</v>
      </c>
      <c r="CE168" s="604">
        <f t="shared" si="334"/>
        <v>0</v>
      </c>
      <c r="CF168" s="44">
        <f t="shared" si="335"/>
        <v>0</v>
      </c>
      <c r="CG168" s="44">
        <f t="shared" si="336"/>
        <v>0</v>
      </c>
      <c r="CH168" s="44">
        <f t="shared" si="337"/>
        <v>0</v>
      </c>
      <c r="CI168" s="44">
        <f t="shared" si="338"/>
        <v>202000</v>
      </c>
      <c r="CJ168" s="44">
        <f t="shared" si="339"/>
        <v>202000</v>
      </c>
      <c r="CK168" s="44">
        <f t="shared" si="274"/>
        <v>5050</v>
      </c>
      <c r="CL168" s="44">
        <f t="shared" si="340"/>
        <v>5050</v>
      </c>
      <c r="CM168" s="44">
        <f t="shared" si="275"/>
        <v>103525</v>
      </c>
      <c r="CN168" s="44">
        <f t="shared" si="341"/>
        <v>103525</v>
      </c>
      <c r="CO168" s="44">
        <f t="shared" si="276"/>
        <v>98475</v>
      </c>
      <c r="CP168" s="46">
        <f t="shared" si="277"/>
        <v>0</v>
      </c>
      <c r="CQ168" s="47">
        <f t="shared" si="278"/>
        <v>0</v>
      </c>
      <c r="CR168" s="604">
        <f t="shared" si="342"/>
        <v>0</v>
      </c>
      <c r="CS168" s="44">
        <f t="shared" si="343"/>
        <v>0</v>
      </c>
      <c r="CT168" s="44">
        <f t="shared" si="344"/>
        <v>0</v>
      </c>
      <c r="CU168" s="44">
        <f t="shared" si="345"/>
        <v>0</v>
      </c>
      <c r="CV168" s="44">
        <f t="shared" si="346"/>
        <v>202000</v>
      </c>
      <c r="CW168" s="44">
        <f t="shared" si="347"/>
        <v>202000</v>
      </c>
      <c r="CX168" s="44">
        <f t="shared" si="279"/>
        <v>5050</v>
      </c>
      <c r="CY168" s="44">
        <f t="shared" si="348"/>
        <v>5050</v>
      </c>
      <c r="CZ168" s="44">
        <f t="shared" si="280"/>
        <v>98475</v>
      </c>
      <c r="DA168" s="44">
        <f t="shared" si="349"/>
        <v>98475</v>
      </c>
      <c r="DB168" s="44">
        <f t="shared" si="281"/>
        <v>103525</v>
      </c>
      <c r="DC168" s="46">
        <f t="shared" si="282"/>
        <v>0</v>
      </c>
      <c r="DD168" s="47">
        <f t="shared" si="283"/>
        <v>0</v>
      </c>
      <c r="DE168" s="604">
        <f t="shared" si="350"/>
        <v>0</v>
      </c>
      <c r="DF168" s="44">
        <f t="shared" si="351"/>
        <v>0</v>
      </c>
      <c r="DG168" s="44">
        <f t="shared" si="352"/>
        <v>0</v>
      </c>
      <c r="DH168" s="44">
        <f t="shared" si="353"/>
        <v>0</v>
      </c>
      <c r="DI168" s="44">
        <f t="shared" si="354"/>
        <v>202000</v>
      </c>
      <c r="DJ168" s="44">
        <f t="shared" si="355"/>
        <v>202000</v>
      </c>
      <c r="DK168" s="44">
        <f t="shared" si="284"/>
        <v>5050</v>
      </c>
      <c r="DL168" s="44">
        <f t="shared" si="356"/>
        <v>5050</v>
      </c>
      <c r="DM168" s="44">
        <f t="shared" si="285"/>
        <v>93425</v>
      </c>
      <c r="DN168" s="44">
        <f t="shared" si="357"/>
        <v>93425</v>
      </c>
      <c r="DO168" s="44">
        <f t="shared" si="286"/>
        <v>108575</v>
      </c>
      <c r="DP168" s="46">
        <f t="shared" si="287"/>
        <v>0</v>
      </c>
      <c r="DQ168" s="47">
        <f t="shared" si="288"/>
        <v>0</v>
      </c>
      <c r="DR168" s="604">
        <f t="shared" si="358"/>
        <v>0</v>
      </c>
      <c r="DS168" s="44">
        <f t="shared" si="359"/>
        <v>0</v>
      </c>
      <c r="DT168" s="44">
        <f t="shared" si="360"/>
        <v>0</v>
      </c>
      <c r="DU168" s="44">
        <f t="shared" si="361"/>
        <v>0</v>
      </c>
      <c r="DV168" s="44">
        <f t="shared" si="362"/>
        <v>202000</v>
      </c>
      <c r="DW168" s="44">
        <f t="shared" si="363"/>
        <v>202000</v>
      </c>
      <c r="DX168" s="44">
        <f t="shared" si="289"/>
        <v>5050</v>
      </c>
      <c r="DY168" s="44">
        <f t="shared" si="364"/>
        <v>5050</v>
      </c>
      <c r="DZ168" s="44">
        <f t="shared" si="290"/>
        <v>88375</v>
      </c>
      <c r="EA168" s="44">
        <f t="shared" si="365"/>
        <v>88375</v>
      </c>
      <c r="EB168" s="44">
        <f t="shared" si="291"/>
        <v>113625</v>
      </c>
      <c r="EC168" s="46">
        <f t="shared" si="292"/>
        <v>0</v>
      </c>
      <c r="ED168" s="47">
        <f t="shared" si="293"/>
        <v>0</v>
      </c>
    </row>
    <row r="169" spans="1:134" x14ac:dyDescent="0.35">
      <c r="A169" s="81">
        <v>1998</v>
      </c>
      <c r="B169" s="82" t="s">
        <v>327</v>
      </c>
      <c r="C169" s="82"/>
      <c r="D169" s="83" t="s">
        <v>46</v>
      </c>
      <c r="E169" s="87">
        <v>150000</v>
      </c>
      <c r="F169" s="85">
        <v>35977</v>
      </c>
      <c r="G169" s="86">
        <v>12.5</v>
      </c>
      <c r="H169" s="179"/>
      <c r="I169" s="180"/>
      <c r="J169" s="181"/>
      <c r="K169" s="42">
        <f t="shared" si="244"/>
        <v>0.08</v>
      </c>
      <c r="L169" s="43">
        <f t="shared" si="245"/>
        <v>12000</v>
      </c>
      <c r="M169" s="44">
        <f t="shared" si="246"/>
        <v>0</v>
      </c>
      <c r="N169" s="44"/>
      <c r="O169" s="44">
        <f t="shared" si="247"/>
        <v>150000</v>
      </c>
      <c r="P169" s="45"/>
      <c r="Q169" s="44">
        <f t="shared" si="248"/>
        <v>150000</v>
      </c>
      <c r="R169" s="604">
        <f t="shared" si="294"/>
        <v>0</v>
      </c>
      <c r="S169" s="44">
        <f t="shared" si="295"/>
        <v>0</v>
      </c>
      <c r="T169" s="44">
        <f t="shared" si="296"/>
        <v>0</v>
      </c>
      <c r="U169" s="44">
        <f t="shared" si="297"/>
        <v>0</v>
      </c>
      <c r="V169" s="44">
        <f t="shared" si="298"/>
        <v>150000</v>
      </c>
      <c r="W169" s="44">
        <f t="shared" si="299"/>
        <v>0</v>
      </c>
      <c r="X169" s="44">
        <f t="shared" si="249"/>
        <v>0</v>
      </c>
      <c r="Y169" s="44">
        <f t="shared" si="300"/>
        <v>0</v>
      </c>
      <c r="Z169" s="44">
        <f t="shared" si="250"/>
        <v>0</v>
      </c>
      <c r="AA169" s="44">
        <f t="shared" si="301"/>
        <v>0</v>
      </c>
      <c r="AB169" s="44">
        <f t="shared" si="251"/>
        <v>150000</v>
      </c>
      <c r="AC169" s="46">
        <f t="shared" si="252"/>
        <v>0</v>
      </c>
      <c r="AD169" s="47">
        <f t="shared" si="253"/>
        <v>0</v>
      </c>
      <c r="AE169" s="604">
        <f t="shared" si="302"/>
        <v>0</v>
      </c>
      <c r="AF169" s="44">
        <f t="shared" si="303"/>
        <v>0</v>
      </c>
      <c r="AG169" s="44">
        <f t="shared" si="304"/>
        <v>0</v>
      </c>
      <c r="AH169" s="44">
        <f t="shared" si="305"/>
        <v>0</v>
      </c>
      <c r="AI169" s="44">
        <f t="shared" si="306"/>
        <v>150000</v>
      </c>
      <c r="AJ169" s="44">
        <f t="shared" si="307"/>
        <v>0</v>
      </c>
      <c r="AK169" s="44">
        <f t="shared" si="254"/>
        <v>0</v>
      </c>
      <c r="AL169" s="44">
        <f t="shared" si="308"/>
        <v>0</v>
      </c>
      <c r="AM169" s="44">
        <f t="shared" si="255"/>
        <v>0</v>
      </c>
      <c r="AN169" s="44">
        <f t="shared" si="309"/>
        <v>0</v>
      </c>
      <c r="AO169" s="44">
        <f t="shared" si="256"/>
        <v>150000</v>
      </c>
      <c r="AP169" s="46">
        <f t="shared" si="257"/>
        <v>0</v>
      </c>
      <c r="AQ169" s="47">
        <f t="shared" si="258"/>
        <v>0</v>
      </c>
      <c r="AR169" s="604">
        <f t="shared" si="310"/>
        <v>0</v>
      </c>
      <c r="AS169" s="44">
        <f t="shared" si="311"/>
        <v>0</v>
      </c>
      <c r="AT169" s="44">
        <f t="shared" si="312"/>
        <v>0</v>
      </c>
      <c r="AU169" s="44">
        <f t="shared" si="313"/>
        <v>0</v>
      </c>
      <c r="AV169" s="44">
        <f t="shared" si="314"/>
        <v>150000</v>
      </c>
      <c r="AW169" s="44">
        <f t="shared" si="315"/>
        <v>0</v>
      </c>
      <c r="AX169" s="44">
        <f t="shared" si="259"/>
        <v>0</v>
      </c>
      <c r="AY169" s="44">
        <f t="shared" si="316"/>
        <v>0</v>
      </c>
      <c r="AZ169" s="44">
        <f t="shared" si="260"/>
        <v>0</v>
      </c>
      <c r="BA169" s="44">
        <f t="shared" si="317"/>
        <v>0</v>
      </c>
      <c r="BB169" s="44">
        <f t="shared" si="261"/>
        <v>150000</v>
      </c>
      <c r="BC169" s="46">
        <f t="shared" si="262"/>
        <v>0</v>
      </c>
      <c r="BD169" s="47">
        <f t="shared" si="263"/>
        <v>0</v>
      </c>
      <c r="BE169" s="604">
        <f t="shared" si="318"/>
        <v>0</v>
      </c>
      <c r="BF169" s="44">
        <f t="shared" si="319"/>
        <v>0</v>
      </c>
      <c r="BG169" s="44">
        <f t="shared" si="320"/>
        <v>0</v>
      </c>
      <c r="BH169" s="44">
        <f t="shared" si="321"/>
        <v>0</v>
      </c>
      <c r="BI169" s="44">
        <f t="shared" si="322"/>
        <v>150000</v>
      </c>
      <c r="BJ169" s="44">
        <f t="shared" si="323"/>
        <v>0</v>
      </c>
      <c r="BK169" s="44">
        <f t="shared" si="264"/>
        <v>0</v>
      </c>
      <c r="BL169" s="44">
        <f t="shared" si="324"/>
        <v>0</v>
      </c>
      <c r="BM169" s="44">
        <f t="shared" si="265"/>
        <v>0</v>
      </c>
      <c r="BN169" s="44">
        <f t="shared" si="325"/>
        <v>0</v>
      </c>
      <c r="BO169" s="44">
        <f t="shared" si="266"/>
        <v>150000</v>
      </c>
      <c r="BP169" s="46">
        <f t="shared" si="267"/>
        <v>0</v>
      </c>
      <c r="BQ169" s="47">
        <f t="shared" si="268"/>
        <v>0</v>
      </c>
      <c r="BR169" s="604">
        <f t="shared" si="326"/>
        <v>0</v>
      </c>
      <c r="BS169" s="44">
        <f t="shared" si="327"/>
        <v>0</v>
      </c>
      <c r="BT169" s="44">
        <f t="shared" si="328"/>
        <v>0</v>
      </c>
      <c r="BU169" s="44">
        <f t="shared" si="329"/>
        <v>0</v>
      </c>
      <c r="BV169" s="44">
        <f t="shared" si="330"/>
        <v>150000</v>
      </c>
      <c r="BW169" s="44">
        <f t="shared" si="331"/>
        <v>0</v>
      </c>
      <c r="BX169" s="44">
        <f t="shared" si="269"/>
        <v>0</v>
      </c>
      <c r="BY169" s="44">
        <f t="shared" si="332"/>
        <v>0</v>
      </c>
      <c r="BZ169" s="44">
        <f t="shared" si="270"/>
        <v>0</v>
      </c>
      <c r="CA169" s="44">
        <f t="shared" si="333"/>
        <v>0</v>
      </c>
      <c r="CB169" s="44">
        <f t="shared" si="271"/>
        <v>150000</v>
      </c>
      <c r="CC169" s="46">
        <f t="shared" si="272"/>
        <v>0</v>
      </c>
      <c r="CD169" s="47">
        <f t="shared" si="273"/>
        <v>0</v>
      </c>
      <c r="CE169" s="604">
        <f t="shared" si="334"/>
        <v>0</v>
      </c>
      <c r="CF169" s="44">
        <f t="shared" si="335"/>
        <v>0</v>
      </c>
      <c r="CG169" s="44">
        <f t="shared" si="336"/>
        <v>0</v>
      </c>
      <c r="CH169" s="44">
        <f t="shared" si="337"/>
        <v>0</v>
      </c>
      <c r="CI169" s="44">
        <f t="shared" si="338"/>
        <v>150000</v>
      </c>
      <c r="CJ169" s="44">
        <f t="shared" si="339"/>
        <v>0</v>
      </c>
      <c r="CK169" s="44">
        <f t="shared" si="274"/>
        <v>0</v>
      </c>
      <c r="CL169" s="44">
        <f t="shared" si="340"/>
        <v>0</v>
      </c>
      <c r="CM169" s="44">
        <f t="shared" si="275"/>
        <v>0</v>
      </c>
      <c r="CN169" s="44">
        <f t="shared" si="341"/>
        <v>0</v>
      </c>
      <c r="CO169" s="44">
        <f t="shared" si="276"/>
        <v>150000</v>
      </c>
      <c r="CP169" s="46">
        <f t="shared" si="277"/>
        <v>0</v>
      </c>
      <c r="CQ169" s="47">
        <f t="shared" si="278"/>
        <v>0</v>
      </c>
      <c r="CR169" s="604">
        <f t="shared" si="342"/>
        <v>0</v>
      </c>
      <c r="CS169" s="44">
        <f t="shared" si="343"/>
        <v>0</v>
      </c>
      <c r="CT169" s="44">
        <f t="shared" si="344"/>
        <v>0</v>
      </c>
      <c r="CU169" s="44">
        <f t="shared" si="345"/>
        <v>0</v>
      </c>
      <c r="CV169" s="44">
        <f t="shared" si="346"/>
        <v>150000</v>
      </c>
      <c r="CW169" s="44">
        <f t="shared" si="347"/>
        <v>0</v>
      </c>
      <c r="CX169" s="44">
        <f t="shared" si="279"/>
        <v>0</v>
      </c>
      <c r="CY169" s="44">
        <f t="shared" si="348"/>
        <v>0</v>
      </c>
      <c r="CZ169" s="44">
        <f t="shared" si="280"/>
        <v>0</v>
      </c>
      <c r="DA169" s="44">
        <f t="shared" si="349"/>
        <v>0</v>
      </c>
      <c r="DB169" s="44">
        <f t="shared" si="281"/>
        <v>150000</v>
      </c>
      <c r="DC169" s="46">
        <f t="shared" si="282"/>
        <v>0</v>
      </c>
      <c r="DD169" s="47">
        <f t="shared" si="283"/>
        <v>0</v>
      </c>
      <c r="DE169" s="604">
        <f t="shared" si="350"/>
        <v>0</v>
      </c>
      <c r="DF169" s="44">
        <f t="shared" si="351"/>
        <v>0</v>
      </c>
      <c r="DG169" s="44">
        <f t="shared" si="352"/>
        <v>0</v>
      </c>
      <c r="DH169" s="44">
        <f t="shared" si="353"/>
        <v>0</v>
      </c>
      <c r="DI169" s="44">
        <f t="shared" si="354"/>
        <v>150000</v>
      </c>
      <c r="DJ169" s="44">
        <f t="shared" si="355"/>
        <v>0</v>
      </c>
      <c r="DK169" s="44">
        <f t="shared" si="284"/>
        <v>0</v>
      </c>
      <c r="DL169" s="44">
        <f t="shared" si="356"/>
        <v>0</v>
      </c>
      <c r="DM169" s="44">
        <f t="shared" si="285"/>
        <v>0</v>
      </c>
      <c r="DN169" s="44">
        <f t="shared" si="357"/>
        <v>0</v>
      </c>
      <c r="DO169" s="44">
        <f t="shared" si="286"/>
        <v>150000</v>
      </c>
      <c r="DP169" s="46">
        <f t="shared" si="287"/>
        <v>0</v>
      </c>
      <c r="DQ169" s="47">
        <f t="shared" si="288"/>
        <v>0</v>
      </c>
      <c r="DR169" s="604">
        <f t="shared" si="358"/>
        <v>0</v>
      </c>
      <c r="DS169" s="44">
        <f t="shared" si="359"/>
        <v>0</v>
      </c>
      <c r="DT169" s="44">
        <f t="shared" si="360"/>
        <v>0</v>
      </c>
      <c r="DU169" s="44">
        <f t="shared" si="361"/>
        <v>0</v>
      </c>
      <c r="DV169" s="44">
        <f t="shared" si="362"/>
        <v>150000</v>
      </c>
      <c r="DW169" s="44">
        <f t="shared" si="363"/>
        <v>0</v>
      </c>
      <c r="DX169" s="44">
        <f t="shared" si="289"/>
        <v>0</v>
      </c>
      <c r="DY169" s="44">
        <f t="shared" si="364"/>
        <v>0</v>
      </c>
      <c r="DZ169" s="44">
        <f t="shared" si="290"/>
        <v>0</v>
      </c>
      <c r="EA169" s="44">
        <f t="shared" si="365"/>
        <v>0</v>
      </c>
      <c r="EB169" s="44">
        <f t="shared" si="291"/>
        <v>150000</v>
      </c>
      <c r="EC169" s="46">
        <f t="shared" si="292"/>
        <v>0</v>
      </c>
      <c r="ED169" s="47">
        <f t="shared" si="293"/>
        <v>0</v>
      </c>
    </row>
    <row r="170" spans="1:134" x14ac:dyDescent="0.35">
      <c r="A170" s="81">
        <v>1998</v>
      </c>
      <c r="B170" s="82" t="s">
        <v>328</v>
      </c>
      <c r="C170" s="82"/>
      <c r="D170" s="83" t="s">
        <v>46</v>
      </c>
      <c r="E170" s="87">
        <v>75000</v>
      </c>
      <c r="F170" s="85">
        <v>35977</v>
      </c>
      <c r="G170" s="86">
        <v>25</v>
      </c>
      <c r="H170" s="179"/>
      <c r="I170" s="180"/>
      <c r="J170" s="181"/>
      <c r="K170" s="42">
        <f t="shared" si="244"/>
        <v>0.04</v>
      </c>
      <c r="L170" s="43">
        <f t="shared" si="245"/>
        <v>3000</v>
      </c>
      <c r="M170" s="44">
        <f t="shared" si="246"/>
        <v>34500</v>
      </c>
      <c r="N170" s="44"/>
      <c r="O170" s="44">
        <f t="shared" si="247"/>
        <v>40500</v>
      </c>
      <c r="P170" s="45"/>
      <c r="Q170" s="44">
        <f t="shared" si="248"/>
        <v>75000</v>
      </c>
      <c r="R170" s="604">
        <f t="shared" si="294"/>
        <v>0</v>
      </c>
      <c r="S170" s="44">
        <f t="shared" si="295"/>
        <v>0</v>
      </c>
      <c r="T170" s="44">
        <f t="shared" si="296"/>
        <v>0</v>
      </c>
      <c r="U170" s="44">
        <f t="shared" si="297"/>
        <v>0</v>
      </c>
      <c r="V170" s="44">
        <f t="shared" si="298"/>
        <v>75000</v>
      </c>
      <c r="W170" s="44">
        <f t="shared" si="299"/>
        <v>75000</v>
      </c>
      <c r="X170" s="44">
        <f t="shared" si="249"/>
        <v>3000</v>
      </c>
      <c r="Y170" s="44">
        <f t="shared" si="300"/>
        <v>3000</v>
      </c>
      <c r="Z170" s="44">
        <f t="shared" si="250"/>
        <v>31500</v>
      </c>
      <c r="AA170" s="44">
        <f t="shared" si="301"/>
        <v>31500</v>
      </c>
      <c r="AB170" s="44">
        <f t="shared" si="251"/>
        <v>43500</v>
      </c>
      <c r="AC170" s="46">
        <f t="shared" si="252"/>
        <v>0</v>
      </c>
      <c r="AD170" s="47">
        <f t="shared" si="253"/>
        <v>0</v>
      </c>
      <c r="AE170" s="604">
        <f t="shared" si="302"/>
        <v>0</v>
      </c>
      <c r="AF170" s="44">
        <f t="shared" si="303"/>
        <v>0</v>
      </c>
      <c r="AG170" s="44">
        <f t="shared" si="304"/>
        <v>0</v>
      </c>
      <c r="AH170" s="44">
        <f t="shared" si="305"/>
        <v>0</v>
      </c>
      <c r="AI170" s="44">
        <f t="shared" si="306"/>
        <v>75000</v>
      </c>
      <c r="AJ170" s="44">
        <f t="shared" si="307"/>
        <v>75000</v>
      </c>
      <c r="AK170" s="44">
        <f t="shared" si="254"/>
        <v>3000</v>
      </c>
      <c r="AL170" s="44">
        <f t="shared" si="308"/>
        <v>3000</v>
      </c>
      <c r="AM170" s="44">
        <f t="shared" si="255"/>
        <v>28500</v>
      </c>
      <c r="AN170" s="44">
        <f t="shared" si="309"/>
        <v>28500</v>
      </c>
      <c r="AO170" s="44">
        <f t="shared" si="256"/>
        <v>46500</v>
      </c>
      <c r="AP170" s="46">
        <f t="shared" si="257"/>
        <v>0</v>
      </c>
      <c r="AQ170" s="47">
        <f t="shared" si="258"/>
        <v>0</v>
      </c>
      <c r="AR170" s="604">
        <f t="shared" si="310"/>
        <v>0</v>
      </c>
      <c r="AS170" s="44">
        <f t="shared" si="311"/>
        <v>0</v>
      </c>
      <c r="AT170" s="44">
        <f t="shared" si="312"/>
        <v>0</v>
      </c>
      <c r="AU170" s="44">
        <f t="shared" si="313"/>
        <v>0</v>
      </c>
      <c r="AV170" s="44">
        <f t="shared" si="314"/>
        <v>75000</v>
      </c>
      <c r="AW170" s="44">
        <f t="shared" si="315"/>
        <v>75000</v>
      </c>
      <c r="AX170" s="44">
        <f t="shared" si="259"/>
        <v>3000</v>
      </c>
      <c r="AY170" s="44">
        <f t="shared" si="316"/>
        <v>3000</v>
      </c>
      <c r="AZ170" s="44">
        <f t="shared" si="260"/>
        <v>25500</v>
      </c>
      <c r="BA170" s="44">
        <f t="shared" si="317"/>
        <v>25500</v>
      </c>
      <c r="BB170" s="44">
        <f t="shared" si="261"/>
        <v>49500</v>
      </c>
      <c r="BC170" s="46">
        <f t="shared" si="262"/>
        <v>0</v>
      </c>
      <c r="BD170" s="47">
        <f t="shared" si="263"/>
        <v>0</v>
      </c>
      <c r="BE170" s="604">
        <f t="shared" si="318"/>
        <v>0</v>
      </c>
      <c r="BF170" s="44">
        <f t="shared" si="319"/>
        <v>0</v>
      </c>
      <c r="BG170" s="44">
        <f t="shared" si="320"/>
        <v>0</v>
      </c>
      <c r="BH170" s="44">
        <f t="shared" si="321"/>
        <v>0</v>
      </c>
      <c r="BI170" s="44">
        <f t="shared" si="322"/>
        <v>75000</v>
      </c>
      <c r="BJ170" s="44">
        <f t="shared" si="323"/>
        <v>75000</v>
      </c>
      <c r="BK170" s="44">
        <f t="shared" si="264"/>
        <v>3000</v>
      </c>
      <c r="BL170" s="44">
        <f t="shared" si="324"/>
        <v>3000</v>
      </c>
      <c r="BM170" s="44">
        <f t="shared" si="265"/>
        <v>22500</v>
      </c>
      <c r="BN170" s="44">
        <f t="shared" si="325"/>
        <v>22500</v>
      </c>
      <c r="BO170" s="44">
        <f t="shared" si="266"/>
        <v>52500</v>
      </c>
      <c r="BP170" s="46">
        <f t="shared" si="267"/>
        <v>0</v>
      </c>
      <c r="BQ170" s="47">
        <f t="shared" si="268"/>
        <v>0</v>
      </c>
      <c r="BR170" s="604">
        <f t="shared" si="326"/>
        <v>0</v>
      </c>
      <c r="BS170" s="44">
        <f t="shared" si="327"/>
        <v>0</v>
      </c>
      <c r="BT170" s="44">
        <f t="shared" si="328"/>
        <v>0</v>
      </c>
      <c r="BU170" s="44">
        <f t="shared" si="329"/>
        <v>0</v>
      </c>
      <c r="BV170" s="44">
        <f t="shared" si="330"/>
        <v>75000</v>
      </c>
      <c r="BW170" s="44">
        <f t="shared" si="331"/>
        <v>75000</v>
      </c>
      <c r="BX170" s="44">
        <f t="shared" si="269"/>
        <v>3000</v>
      </c>
      <c r="BY170" s="44">
        <f t="shared" si="332"/>
        <v>3000</v>
      </c>
      <c r="BZ170" s="44">
        <f t="shared" si="270"/>
        <v>19500</v>
      </c>
      <c r="CA170" s="44">
        <f t="shared" si="333"/>
        <v>19500</v>
      </c>
      <c r="CB170" s="44">
        <f t="shared" si="271"/>
        <v>55500</v>
      </c>
      <c r="CC170" s="46">
        <f t="shared" si="272"/>
        <v>0</v>
      </c>
      <c r="CD170" s="47">
        <f t="shared" si="273"/>
        <v>0</v>
      </c>
      <c r="CE170" s="604">
        <f t="shared" si="334"/>
        <v>0</v>
      </c>
      <c r="CF170" s="44">
        <f t="shared" si="335"/>
        <v>0</v>
      </c>
      <c r="CG170" s="44">
        <f t="shared" si="336"/>
        <v>0</v>
      </c>
      <c r="CH170" s="44">
        <f t="shared" si="337"/>
        <v>0</v>
      </c>
      <c r="CI170" s="44">
        <f t="shared" si="338"/>
        <v>75000</v>
      </c>
      <c r="CJ170" s="44">
        <f t="shared" si="339"/>
        <v>75000</v>
      </c>
      <c r="CK170" s="44">
        <f t="shared" si="274"/>
        <v>3000</v>
      </c>
      <c r="CL170" s="44">
        <f t="shared" si="340"/>
        <v>3000</v>
      </c>
      <c r="CM170" s="44">
        <f t="shared" si="275"/>
        <v>16500</v>
      </c>
      <c r="CN170" s="44">
        <f t="shared" si="341"/>
        <v>16500</v>
      </c>
      <c r="CO170" s="44">
        <f t="shared" si="276"/>
        <v>58500</v>
      </c>
      <c r="CP170" s="46">
        <f t="shared" si="277"/>
        <v>0</v>
      </c>
      <c r="CQ170" s="47">
        <f t="shared" si="278"/>
        <v>0</v>
      </c>
      <c r="CR170" s="604">
        <f t="shared" si="342"/>
        <v>0</v>
      </c>
      <c r="CS170" s="44">
        <f t="shared" si="343"/>
        <v>0</v>
      </c>
      <c r="CT170" s="44">
        <f t="shared" si="344"/>
        <v>0</v>
      </c>
      <c r="CU170" s="44">
        <f t="shared" si="345"/>
        <v>0</v>
      </c>
      <c r="CV170" s="44">
        <f t="shared" si="346"/>
        <v>75000</v>
      </c>
      <c r="CW170" s="44">
        <f t="shared" si="347"/>
        <v>75000</v>
      </c>
      <c r="CX170" s="44">
        <f t="shared" si="279"/>
        <v>3000</v>
      </c>
      <c r="CY170" s="44">
        <f t="shared" si="348"/>
        <v>3000</v>
      </c>
      <c r="CZ170" s="44">
        <f t="shared" si="280"/>
        <v>13500</v>
      </c>
      <c r="DA170" s="44">
        <f t="shared" si="349"/>
        <v>13500</v>
      </c>
      <c r="DB170" s="44">
        <f t="shared" si="281"/>
        <v>61500</v>
      </c>
      <c r="DC170" s="46">
        <f t="shared" si="282"/>
        <v>0</v>
      </c>
      <c r="DD170" s="47">
        <f t="shared" si="283"/>
        <v>0</v>
      </c>
      <c r="DE170" s="604">
        <f t="shared" si="350"/>
        <v>0</v>
      </c>
      <c r="DF170" s="44">
        <f t="shared" si="351"/>
        <v>0</v>
      </c>
      <c r="DG170" s="44">
        <f t="shared" si="352"/>
        <v>0</v>
      </c>
      <c r="DH170" s="44">
        <f t="shared" si="353"/>
        <v>0</v>
      </c>
      <c r="DI170" s="44">
        <f t="shared" si="354"/>
        <v>75000</v>
      </c>
      <c r="DJ170" s="44">
        <f t="shared" si="355"/>
        <v>75000</v>
      </c>
      <c r="DK170" s="44">
        <f t="shared" si="284"/>
        <v>3000</v>
      </c>
      <c r="DL170" s="44">
        <f t="shared" si="356"/>
        <v>3000</v>
      </c>
      <c r="DM170" s="44">
        <f t="shared" si="285"/>
        <v>10500</v>
      </c>
      <c r="DN170" s="44">
        <f t="shared" si="357"/>
        <v>10500</v>
      </c>
      <c r="DO170" s="44">
        <f t="shared" si="286"/>
        <v>64500</v>
      </c>
      <c r="DP170" s="46">
        <f t="shared" si="287"/>
        <v>0</v>
      </c>
      <c r="DQ170" s="47">
        <f t="shared" si="288"/>
        <v>0</v>
      </c>
      <c r="DR170" s="604">
        <f t="shared" si="358"/>
        <v>0</v>
      </c>
      <c r="DS170" s="44">
        <f t="shared" si="359"/>
        <v>0</v>
      </c>
      <c r="DT170" s="44">
        <f t="shared" si="360"/>
        <v>0</v>
      </c>
      <c r="DU170" s="44">
        <f t="shared" si="361"/>
        <v>0</v>
      </c>
      <c r="DV170" s="44">
        <f t="shared" si="362"/>
        <v>75000</v>
      </c>
      <c r="DW170" s="44">
        <f t="shared" si="363"/>
        <v>75000</v>
      </c>
      <c r="DX170" s="44">
        <f t="shared" si="289"/>
        <v>3000</v>
      </c>
      <c r="DY170" s="44">
        <f t="shared" si="364"/>
        <v>3000</v>
      </c>
      <c r="DZ170" s="44">
        <f t="shared" si="290"/>
        <v>7500</v>
      </c>
      <c r="EA170" s="44">
        <f t="shared" si="365"/>
        <v>7500</v>
      </c>
      <c r="EB170" s="44">
        <f t="shared" si="291"/>
        <v>67500</v>
      </c>
      <c r="EC170" s="46">
        <f t="shared" si="292"/>
        <v>0</v>
      </c>
      <c r="ED170" s="47">
        <f t="shared" si="293"/>
        <v>0</v>
      </c>
    </row>
    <row r="171" spans="1:134" x14ac:dyDescent="0.35">
      <c r="A171" s="81"/>
      <c r="B171" s="82"/>
      <c r="C171" s="82"/>
      <c r="D171" s="83"/>
      <c r="E171" s="87"/>
      <c r="F171" s="85"/>
      <c r="G171" s="86"/>
      <c r="H171" s="179"/>
      <c r="I171" s="180"/>
      <c r="J171" s="181"/>
      <c r="K171" s="42">
        <f t="shared" si="244"/>
        <v>0</v>
      </c>
      <c r="L171" s="43">
        <f t="shared" si="245"/>
        <v>0</v>
      </c>
      <c r="M171" s="44">
        <f t="shared" si="246"/>
        <v>0</v>
      </c>
      <c r="N171" s="44"/>
      <c r="O171" s="44">
        <f t="shared" si="247"/>
        <v>0</v>
      </c>
      <c r="P171" s="45"/>
      <c r="Q171" s="44">
        <f t="shared" si="248"/>
        <v>0</v>
      </c>
      <c r="R171" s="604">
        <f t="shared" si="294"/>
        <v>0</v>
      </c>
      <c r="S171" s="44">
        <f t="shared" si="295"/>
        <v>0</v>
      </c>
      <c r="T171" s="44">
        <f t="shared" si="296"/>
        <v>0</v>
      </c>
      <c r="U171" s="44">
        <f t="shared" si="297"/>
        <v>0</v>
      </c>
      <c r="V171" s="44">
        <f t="shared" si="298"/>
        <v>0</v>
      </c>
      <c r="W171" s="44">
        <f t="shared" si="299"/>
        <v>0</v>
      </c>
      <c r="X171" s="44">
        <f t="shared" si="249"/>
        <v>0</v>
      </c>
      <c r="Y171" s="44">
        <f t="shared" si="300"/>
        <v>0</v>
      </c>
      <c r="Z171" s="44">
        <f t="shared" si="250"/>
        <v>0</v>
      </c>
      <c r="AA171" s="44">
        <f t="shared" si="301"/>
        <v>0</v>
      </c>
      <c r="AB171" s="44">
        <f t="shared" si="251"/>
        <v>0</v>
      </c>
      <c r="AC171" s="46">
        <f t="shared" si="252"/>
        <v>0</v>
      </c>
      <c r="AD171" s="47">
        <f t="shared" si="253"/>
        <v>0</v>
      </c>
      <c r="AE171" s="604">
        <f t="shared" si="302"/>
        <v>0</v>
      </c>
      <c r="AF171" s="44">
        <f t="shared" si="303"/>
        <v>0</v>
      </c>
      <c r="AG171" s="44">
        <f t="shared" si="304"/>
        <v>0</v>
      </c>
      <c r="AH171" s="44">
        <f t="shared" si="305"/>
        <v>0</v>
      </c>
      <c r="AI171" s="44">
        <f t="shared" si="306"/>
        <v>0</v>
      </c>
      <c r="AJ171" s="44">
        <f t="shared" si="307"/>
        <v>0</v>
      </c>
      <c r="AK171" s="44">
        <f t="shared" si="254"/>
        <v>0</v>
      </c>
      <c r="AL171" s="44">
        <f t="shared" si="308"/>
        <v>0</v>
      </c>
      <c r="AM171" s="44">
        <f t="shared" si="255"/>
        <v>0</v>
      </c>
      <c r="AN171" s="44">
        <f t="shared" si="309"/>
        <v>0</v>
      </c>
      <c r="AO171" s="44">
        <f t="shared" si="256"/>
        <v>0</v>
      </c>
      <c r="AP171" s="46">
        <f t="shared" si="257"/>
        <v>0</v>
      </c>
      <c r="AQ171" s="47">
        <f t="shared" si="258"/>
        <v>0</v>
      </c>
      <c r="AR171" s="604">
        <f t="shared" si="310"/>
        <v>0</v>
      </c>
      <c r="AS171" s="44">
        <f t="shared" si="311"/>
        <v>0</v>
      </c>
      <c r="AT171" s="44">
        <f t="shared" si="312"/>
        <v>0</v>
      </c>
      <c r="AU171" s="44">
        <f t="shared" si="313"/>
        <v>0</v>
      </c>
      <c r="AV171" s="44">
        <f t="shared" si="314"/>
        <v>0</v>
      </c>
      <c r="AW171" s="44">
        <f t="shared" si="315"/>
        <v>0</v>
      </c>
      <c r="AX171" s="44">
        <f t="shared" si="259"/>
        <v>0</v>
      </c>
      <c r="AY171" s="44">
        <f t="shared" si="316"/>
        <v>0</v>
      </c>
      <c r="AZ171" s="44">
        <f t="shared" si="260"/>
        <v>0</v>
      </c>
      <c r="BA171" s="44">
        <f t="shared" si="317"/>
        <v>0</v>
      </c>
      <c r="BB171" s="44">
        <f t="shared" si="261"/>
        <v>0</v>
      </c>
      <c r="BC171" s="46">
        <f t="shared" si="262"/>
        <v>0</v>
      </c>
      <c r="BD171" s="47">
        <f t="shared" si="263"/>
        <v>0</v>
      </c>
      <c r="BE171" s="604">
        <f t="shared" si="318"/>
        <v>0</v>
      </c>
      <c r="BF171" s="44">
        <f t="shared" si="319"/>
        <v>0</v>
      </c>
      <c r="BG171" s="44">
        <f t="shared" si="320"/>
        <v>0</v>
      </c>
      <c r="BH171" s="44">
        <f t="shared" si="321"/>
        <v>0</v>
      </c>
      <c r="BI171" s="44">
        <f t="shared" si="322"/>
        <v>0</v>
      </c>
      <c r="BJ171" s="44">
        <f t="shared" si="323"/>
        <v>0</v>
      </c>
      <c r="BK171" s="44">
        <f t="shared" si="264"/>
        <v>0</v>
      </c>
      <c r="BL171" s="44">
        <f t="shared" si="324"/>
        <v>0</v>
      </c>
      <c r="BM171" s="44">
        <f t="shared" si="265"/>
        <v>0</v>
      </c>
      <c r="BN171" s="44">
        <f t="shared" si="325"/>
        <v>0</v>
      </c>
      <c r="BO171" s="44">
        <f t="shared" si="266"/>
        <v>0</v>
      </c>
      <c r="BP171" s="46">
        <f t="shared" si="267"/>
        <v>0</v>
      </c>
      <c r="BQ171" s="47">
        <f t="shared" si="268"/>
        <v>0</v>
      </c>
      <c r="BR171" s="604">
        <f t="shared" si="326"/>
        <v>0</v>
      </c>
      <c r="BS171" s="44">
        <f t="shared" si="327"/>
        <v>0</v>
      </c>
      <c r="BT171" s="44">
        <f t="shared" si="328"/>
        <v>0</v>
      </c>
      <c r="BU171" s="44">
        <f t="shared" si="329"/>
        <v>0</v>
      </c>
      <c r="BV171" s="44">
        <f t="shared" si="330"/>
        <v>0</v>
      </c>
      <c r="BW171" s="44">
        <f t="shared" si="331"/>
        <v>0</v>
      </c>
      <c r="BX171" s="44">
        <f t="shared" si="269"/>
        <v>0</v>
      </c>
      <c r="BY171" s="44">
        <f t="shared" si="332"/>
        <v>0</v>
      </c>
      <c r="BZ171" s="44">
        <f t="shared" si="270"/>
        <v>0</v>
      </c>
      <c r="CA171" s="44">
        <f t="shared" si="333"/>
        <v>0</v>
      </c>
      <c r="CB171" s="44">
        <f t="shared" si="271"/>
        <v>0</v>
      </c>
      <c r="CC171" s="46">
        <f t="shared" si="272"/>
        <v>0</v>
      </c>
      <c r="CD171" s="47">
        <f t="shared" si="273"/>
        <v>0</v>
      </c>
      <c r="CE171" s="604">
        <f t="shared" si="334"/>
        <v>0</v>
      </c>
      <c r="CF171" s="44">
        <f t="shared" si="335"/>
        <v>0</v>
      </c>
      <c r="CG171" s="44">
        <f t="shared" si="336"/>
        <v>0</v>
      </c>
      <c r="CH171" s="44">
        <f t="shared" si="337"/>
        <v>0</v>
      </c>
      <c r="CI171" s="44">
        <f t="shared" si="338"/>
        <v>0</v>
      </c>
      <c r="CJ171" s="44">
        <f t="shared" si="339"/>
        <v>0</v>
      </c>
      <c r="CK171" s="44">
        <f t="shared" si="274"/>
        <v>0</v>
      </c>
      <c r="CL171" s="44">
        <f t="shared" si="340"/>
        <v>0</v>
      </c>
      <c r="CM171" s="44">
        <f t="shared" si="275"/>
        <v>0</v>
      </c>
      <c r="CN171" s="44">
        <f t="shared" si="341"/>
        <v>0</v>
      </c>
      <c r="CO171" s="44">
        <f t="shared" si="276"/>
        <v>0</v>
      </c>
      <c r="CP171" s="46">
        <f t="shared" si="277"/>
        <v>0</v>
      </c>
      <c r="CQ171" s="47">
        <f t="shared" si="278"/>
        <v>0</v>
      </c>
      <c r="CR171" s="604">
        <f t="shared" si="342"/>
        <v>0</v>
      </c>
      <c r="CS171" s="44">
        <f t="shared" si="343"/>
        <v>0</v>
      </c>
      <c r="CT171" s="44">
        <f t="shared" si="344"/>
        <v>0</v>
      </c>
      <c r="CU171" s="44">
        <f t="shared" si="345"/>
        <v>0</v>
      </c>
      <c r="CV171" s="44">
        <f t="shared" si="346"/>
        <v>0</v>
      </c>
      <c r="CW171" s="44">
        <f t="shared" si="347"/>
        <v>0</v>
      </c>
      <c r="CX171" s="44">
        <f t="shared" si="279"/>
        <v>0</v>
      </c>
      <c r="CY171" s="44">
        <f t="shared" si="348"/>
        <v>0</v>
      </c>
      <c r="CZ171" s="44">
        <f t="shared" si="280"/>
        <v>0</v>
      </c>
      <c r="DA171" s="44">
        <f t="shared" si="349"/>
        <v>0</v>
      </c>
      <c r="DB171" s="44">
        <f t="shared" si="281"/>
        <v>0</v>
      </c>
      <c r="DC171" s="46">
        <f t="shared" si="282"/>
        <v>0</v>
      </c>
      <c r="DD171" s="47">
        <f t="shared" si="283"/>
        <v>0</v>
      </c>
      <c r="DE171" s="604">
        <f t="shared" si="350"/>
        <v>0</v>
      </c>
      <c r="DF171" s="44">
        <f t="shared" si="351"/>
        <v>0</v>
      </c>
      <c r="DG171" s="44">
        <f t="shared" si="352"/>
        <v>0</v>
      </c>
      <c r="DH171" s="44">
        <f t="shared" si="353"/>
        <v>0</v>
      </c>
      <c r="DI171" s="44">
        <f t="shared" si="354"/>
        <v>0</v>
      </c>
      <c r="DJ171" s="44">
        <f t="shared" si="355"/>
        <v>0</v>
      </c>
      <c r="DK171" s="44">
        <f t="shared" si="284"/>
        <v>0</v>
      </c>
      <c r="DL171" s="44">
        <f t="shared" si="356"/>
        <v>0</v>
      </c>
      <c r="DM171" s="44">
        <f t="shared" si="285"/>
        <v>0</v>
      </c>
      <c r="DN171" s="44">
        <f t="shared" si="357"/>
        <v>0</v>
      </c>
      <c r="DO171" s="44">
        <f t="shared" si="286"/>
        <v>0</v>
      </c>
      <c r="DP171" s="46">
        <f t="shared" si="287"/>
        <v>0</v>
      </c>
      <c r="DQ171" s="47">
        <f t="shared" si="288"/>
        <v>0</v>
      </c>
      <c r="DR171" s="604">
        <f t="shared" si="358"/>
        <v>0</v>
      </c>
      <c r="DS171" s="44">
        <f t="shared" si="359"/>
        <v>0</v>
      </c>
      <c r="DT171" s="44">
        <f t="shared" si="360"/>
        <v>0</v>
      </c>
      <c r="DU171" s="44">
        <f t="shared" si="361"/>
        <v>0</v>
      </c>
      <c r="DV171" s="44">
        <f t="shared" si="362"/>
        <v>0</v>
      </c>
      <c r="DW171" s="44">
        <f t="shared" si="363"/>
        <v>0</v>
      </c>
      <c r="DX171" s="44">
        <f t="shared" si="289"/>
        <v>0</v>
      </c>
      <c r="DY171" s="44">
        <f t="shared" si="364"/>
        <v>0</v>
      </c>
      <c r="DZ171" s="44">
        <f t="shared" si="290"/>
        <v>0</v>
      </c>
      <c r="EA171" s="44">
        <f t="shared" si="365"/>
        <v>0</v>
      </c>
      <c r="EB171" s="44">
        <f t="shared" si="291"/>
        <v>0</v>
      </c>
      <c r="EC171" s="46">
        <f t="shared" si="292"/>
        <v>0</v>
      </c>
      <c r="ED171" s="47">
        <f t="shared" si="293"/>
        <v>0</v>
      </c>
    </row>
    <row r="172" spans="1:134" x14ac:dyDescent="0.35">
      <c r="A172" s="81"/>
      <c r="B172" s="82" t="s">
        <v>329</v>
      </c>
      <c r="C172" s="82"/>
      <c r="D172" s="83"/>
      <c r="E172" s="87"/>
      <c r="F172" s="85"/>
      <c r="G172" s="86"/>
      <c r="H172" s="179"/>
      <c r="I172" s="180"/>
      <c r="J172" s="181"/>
      <c r="K172" s="42">
        <f t="shared" si="244"/>
        <v>0</v>
      </c>
      <c r="L172" s="43">
        <f t="shared" si="245"/>
        <v>0</v>
      </c>
      <c r="M172" s="44">
        <f t="shared" si="246"/>
        <v>0</v>
      </c>
      <c r="N172" s="44"/>
      <c r="O172" s="44">
        <f t="shared" si="247"/>
        <v>0</v>
      </c>
      <c r="P172" s="45"/>
      <c r="Q172" s="44">
        <f t="shared" si="248"/>
        <v>0</v>
      </c>
      <c r="R172" s="604">
        <f t="shared" si="294"/>
        <v>0</v>
      </c>
      <c r="S172" s="44">
        <f t="shared" si="295"/>
        <v>0</v>
      </c>
      <c r="T172" s="44">
        <f t="shared" si="296"/>
        <v>0</v>
      </c>
      <c r="U172" s="44">
        <f t="shared" si="297"/>
        <v>0</v>
      </c>
      <c r="V172" s="44">
        <f t="shared" si="298"/>
        <v>0</v>
      </c>
      <c r="W172" s="44">
        <f t="shared" si="299"/>
        <v>0</v>
      </c>
      <c r="X172" s="44">
        <f t="shared" si="249"/>
        <v>0</v>
      </c>
      <c r="Y172" s="44">
        <f t="shared" si="300"/>
        <v>0</v>
      </c>
      <c r="Z172" s="44">
        <f t="shared" si="250"/>
        <v>0</v>
      </c>
      <c r="AA172" s="44">
        <f t="shared" si="301"/>
        <v>0</v>
      </c>
      <c r="AB172" s="44">
        <f t="shared" si="251"/>
        <v>0</v>
      </c>
      <c r="AC172" s="46">
        <f t="shared" si="252"/>
        <v>0</v>
      </c>
      <c r="AD172" s="47">
        <f t="shared" si="253"/>
        <v>0</v>
      </c>
      <c r="AE172" s="604">
        <f t="shared" si="302"/>
        <v>0</v>
      </c>
      <c r="AF172" s="44">
        <f t="shared" si="303"/>
        <v>0</v>
      </c>
      <c r="AG172" s="44">
        <f t="shared" si="304"/>
        <v>0</v>
      </c>
      <c r="AH172" s="44">
        <f t="shared" si="305"/>
        <v>0</v>
      </c>
      <c r="AI172" s="44">
        <f t="shared" si="306"/>
        <v>0</v>
      </c>
      <c r="AJ172" s="44">
        <f t="shared" si="307"/>
        <v>0</v>
      </c>
      <c r="AK172" s="44">
        <f t="shared" si="254"/>
        <v>0</v>
      </c>
      <c r="AL172" s="44">
        <f t="shared" si="308"/>
        <v>0</v>
      </c>
      <c r="AM172" s="44">
        <f t="shared" si="255"/>
        <v>0</v>
      </c>
      <c r="AN172" s="44">
        <f t="shared" si="309"/>
        <v>0</v>
      </c>
      <c r="AO172" s="44">
        <f t="shared" si="256"/>
        <v>0</v>
      </c>
      <c r="AP172" s="46">
        <f t="shared" si="257"/>
        <v>0</v>
      </c>
      <c r="AQ172" s="47">
        <f t="shared" si="258"/>
        <v>0</v>
      </c>
      <c r="AR172" s="604">
        <f t="shared" si="310"/>
        <v>0</v>
      </c>
      <c r="AS172" s="44">
        <f t="shared" si="311"/>
        <v>0</v>
      </c>
      <c r="AT172" s="44">
        <f t="shared" si="312"/>
        <v>0</v>
      </c>
      <c r="AU172" s="44">
        <f t="shared" si="313"/>
        <v>0</v>
      </c>
      <c r="AV172" s="44">
        <f t="shared" si="314"/>
        <v>0</v>
      </c>
      <c r="AW172" s="44">
        <f t="shared" si="315"/>
        <v>0</v>
      </c>
      <c r="AX172" s="44">
        <f t="shared" si="259"/>
        <v>0</v>
      </c>
      <c r="AY172" s="44">
        <f t="shared" si="316"/>
        <v>0</v>
      </c>
      <c r="AZ172" s="44">
        <f t="shared" si="260"/>
        <v>0</v>
      </c>
      <c r="BA172" s="44">
        <f t="shared" si="317"/>
        <v>0</v>
      </c>
      <c r="BB172" s="44">
        <f t="shared" si="261"/>
        <v>0</v>
      </c>
      <c r="BC172" s="46">
        <f t="shared" si="262"/>
        <v>0</v>
      </c>
      <c r="BD172" s="47">
        <f t="shared" si="263"/>
        <v>0</v>
      </c>
      <c r="BE172" s="604">
        <f t="shared" si="318"/>
        <v>0</v>
      </c>
      <c r="BF172" s="44">
        <f t="shared" si="319"/>
        <v>0</v>
      </c>
      <c r="BG172" s="44">
        <f t="shared" si="320"/>
        <v>0</v>
      </c>
      <c r="BH172" s="44">
        <f t="shared" si="321"/>
        <v>0</v>
      </c>
      <c r="BI172" s="44">
        <f t="shared" si="322"/>
        <v>0</v>
      </c>
      <c r="BJ172" s="44">
        <f t="shared" si="323"/>
        <v>0</v>
      </c>
      <c r="BK172" s="44">
        <f t="shared" si="264"/>
        <v>0</v>
      </c>
      <c r="BL172" s="44">
        <f t="shared" si="324"/>
        <v>0</v>
      </c>
      <c r="BM172" s="44">
        <f t="shared" si="265"/>
        <v>0</v>
      </c>
      <c r="BN172" s="44">
        <f t="shared" si="325"/>
        <v>0</v>
      </c>
      <c r="BO172" s="44">
        <f t="shared" si="266"/>
        <v>0</v>
      </c>
      <c r="BP172" s="46">
        <f t="shared" si="267"/>
        <v>0</v>
      </c>
      <c r="BQ172" s="47">
        <f t="shared" si="268"/>
        <v>0</v>
      </c>
      <c r="BR172" s="604">
        <f t="shared" si="326"/>
        <v>0</v>
      </c>
      <c r="BS172" s="44">
        <f t="shared" si="327"/>
        <v>0</v>
      </c>
      <c r="BT172" s="44">
        <f t="shared" si="328"/>
        <v>0</v>
      </c>
      <c r="BU172" s="44">
        <f t="shared" si="329"/>
        <v>0</v>
      </c>
      <c r="BV172" s="44">
        <f t="shared" si="330"/>
        <v>0</v>
      </c>
      <c r="BW172" s="44">
        <f t="shared" si="331"/>
        <v>0</v>
      </c>
      <c r="BX172" s="44">
        <f t="shared" si="269"/>
        <v>0</v>
      </c>
      <c r="BY172" s="44">
        <f t="shared" si="332"/>
        <v>0</v>
      </c>
      <c r="BZ172" s="44">
        <f t="shared" si="270"/>
        <v>0</v>
      </c>
      <c r="CA172" s="44">
        <f t="shared" si="333"/>
        <v>0</v>
      </c>
      <c r="CB172" s="44">
        <f t="shared" si="271"/>
        <v>0</v>
      </c>
      <c r="CC172" s="46">
        <f t="shared" si="272"/>
        <v>0</v>
      </c>
      <c r="CD172" s="47">
        <f t="shared" si="273"/>
        <v>0</v>
      </c>
      <c r="CE172" s="604">
        <f t="shared" si="334"/>
        <v>0</v>
      </c>
      <c r="CF172" s="44">
        <f t="shared" si="335"/>
        <v>0</v>
      </c>
      <c r="CG172" s="44">
        <f t="shared" si="336"/>
        <v>0</v>
      </c>
      <c r="CH172" s="44">
        <f t="shared" si="337"/>
        <v>0</v>
      </c>
      <c r="CI172" s="44">
        <f t="shared" si="338"/>
        <v>0</v>
      </c>
      <c r="CJ172" s="44">
        <f t="shared" si="339"/>
        <v>0</v>
      </c>
      <c r="CK172" s="44">
        <f t="shared" si="274"/>
        <v>0</v>
      </c>
      <c r="CL172" s="44">
        <f t="shared" si="340"/>
        <v>0</v>
      </c>
      <c r="CM172" s="44">
        <f t="shared" si="275"/>
        <v>0</v>
      </c>
      <c r="CN172" s="44">
        <f t="shared" si="341"/>
        <v>0</v>
      </c>
      <c r="CO172" s="44">
        <f t="shared" si="276"/>
        <v>0</v>
      </c>
      <c r="CP172" s="46">
        <f t="shared" si="277"/>
        <v>0</v>
      </c>
      <c r="CQ172" s="47">
        <f t="shared" si="278"/>
        <v>0</v>
      </c>
      <c r="CR172" s="604">
        <f t="shared" si="342"/>
        <v>0</v>
      </c>
      <c r="CS172" s="44">
        <f t="shared" si="343"/>
        <v>0</v>
      </c>
      <c r="CT172" s="44">
        <f t="shared" si="344"/>
        <v>0</v>
      </c>
      <c r="CU172" s="44">
        <f t="shared" si="345"/>
        <v>0</v>
      </c>
      <c r="CV172" s="44">
        <f t="shared" si="346"/>
        <v>0</v>
      </c>
      <c r="CW172" s="44">
        <f t="shared" si="347"/>
        <v>0</v>
      </c>
      <c r="CX172" s="44">
        <f t="shared" si="279"/>
        <v>0</v>
      </c>
      <c r="CY172" s="44">
        <f t="shared" si="348"/>
        <v>0</v>
      </c>
      <c r="CZ172" s="44">
        <f t="shared" si="280"/>
        <v>0</v>
      </c>
      <c r="DA172" s="44">
        <f t="shared" si="349"/>
        <v>0</v>
      </c>
      <c r="DB172" s="44">
        <f t="shared" si="281"/>
        <v>0</v>
      </c>
      <c r="DC172" s="46">
        <f t="shared" si="282"/>
        <v>0</v>
      </c>
      <c r="DD172" s="47">
        <f t="shared" si="283"/>
        <v>0</v>
      </c>
      <c r="DE172" s="604">
        <f t="shared" si="350"/>
        <v>0</v>
      </c>
      <c r="DF172" s="44">
        <f t="shared" si="351"/>
        <v>0</v>
      </c>
      <c r="DG172" s="44">
        <f t="shared" si="352"/>
        <v>0</v>
      </c>
      <c r="DH172" s="44">
        <f t="shared" si="353"/>
        <v>0</v>
      </c>
      <c r="DI172" s="44">
        <f t="shared" si="354"/>
        <v>0</v>
      </c>
      <c r="DJ172" s="44">
        <f t="shared" si="355"/>
        <v>0</v>
      </c>
      <c r="DK172" s="44">
        <f t="shared" si="284"/>
        <v>0</v>
      </c>
      <c r="DL172" s="44">
        <f t="shared" si="356"/>
        <v>0</v>
      </c>
      <c r="DM172" s="44">
        <f t="shared" si="285"/>
        <v>0</v>
      </c>
      <c r="DN172" s="44">
        <f t="shared" si="357"/>
        <v>0</v>
      </c>
      <c r="DO172" s="44">
        <f t="shared" si="286"/>
        <v>0</v>
      </c>
      <c r="DP172" s="46">
        <f t="shared" si="287"/>
        <v>0</v>
      </c>
      <c r="DQ172" s="47">
        <f t="shared" si="288"/>
        <v>0</v>
      </c>
      <c r="DR172" s="604">
        <f t="shared" si="358"/>
        <v>0</v>
      </c>
      <c r="DS172" s="44">
        <f t="shared" si="359"/>
        <v>0</v>
      </c>
      <c r="DT172" s="44">
        <f t="shared" si="360"/>
        <v>0</v>
      </c>
      <c r="DU172" s="44">
        <f t="shared" si="361"/>
        <v>0</v>
      </c>
      <c r="DV172" s="44">
        <f t="shared" si="362"/>
        <v>0</v>
      </c>
      <c r="DW172" s="44">
        <f t="shared" si="363"/>
        <v>0</v>
      </c>
      <c r="DX172" s="44">
        <f t="shared" si="289"/>
        <v>0</v>
      </c>
      <c r="DY172" s="44">
        <f t="shared" si="364"/>
        <v>0</v>
      </c>
      <c r="DZ172" s="44">
        <f t="shared" si="290"/>
        <v>0</v>
      </c>
      <c r="EA172" s="44">
        <f t="shared" si="365"/>
        <v>0</v>
      </c>
      <c r="EB172" s="44">
        <f t="shared" si="291"/>
        <v>0</v>
      </c>
      <c r="EC172" s="46">
        <f t="shared" si="292"/>
        <v>0</v>
      </c>
      <c r="ED172" s="47">
        <f t="shared" si="293"/>
        <v>0</v>
      </c>
    </row>
    <row r="173" spans="1:134" x14ac:dyDescent="0.35">
      <c r="A173" s="81">
        <v>1994</v>
      </c>
      <c r="B173" s="82" t="s">
        <v>330</v>
      </c>
      <c r="C173" s="82"/>
      <c r="D173" s="83" t="s">
        <v>49</v>
      </c>
      <c r="E173" s="87">
        <v>220000</v>
      </c>
      <c r="F173" s="85">
        <v>34516</v>
      </c>
      <c r="G173" s="86">
        <v>33.299999999999997</v>
      </c>
      <c r="H173" s="179"/>
      <c r="I173" s="180"/>
      <c r="J173" s="181"/>
      <c r="K173" s="42">
        <f t="shared" si="244"/>
        <v>0.03</v>
      </c>
      <c r="L173" s="43">
        <f t="shared" si="245"/>
        <v>6600</v>
      </c>
      <c r="M173" s="44">
        <f t="shared" si="246"/>
        <v>104500</v>
      </c>
      <c r="N173" s="44"/>
      <c r="O173" s="44">
        <f t="shared" si="247"/>
        <v>115500</v>
      </c>
      <c r="P173" s="45"/>
      <c r="Q173" s="44">
        <f t="shared" si="248"/>
        <v>220000</v>
      </c>
      <c r="R173" s="604">
        <f t="shared" si="294"/>
        <v>0</v>
      </c>
      <c r="S173" s="44">
        <f t="shared" si="295"/>
        <v>0</v>
      </c>
      <c r="T173" s="44">
        <f t="shared" si="296"/>
        <v>0</v>
      </c>
      <c r="U173" s="44">
        <f t="shared" si="297"/>
        <v>0</v>
      </c>
      <c r="V173" s="44">
        <f t="shared" si="298"/>
        <v>220000</v>
      </c>
      <c r="W173" s="44">
        <f t="shared" si="299"/>
        <v>220000</v>
      </c>
      <c r="X173" s="44">
        <f t="shared" si="249"/>
        <v>6600</v>
      </c>
      <c r="Y173" s="44">
        <f t="shared" si="300"/>
        <v>6600</v>
      </c>
      <c r="Z173" s="44">
        <f t="shared" si="250"/>
        <v>97900</v>
      </c>
      <c r="AA173" s="44">
        <f t="shared" si="301"/>
        <v>97900</v>
      </c>
      <c r="AB173" s="44">
        <f t="shared" si="251"/>
        <v>122100</v>
      </c>
      <c r="AC173" s="46">
        <f t="shared" si="252"/>
        <v>0</v>
      </c>
      <c r="AD173" s="47">
        <f t="shared" si="253"/>
        <v>0</v>
      </c>
      <c r="AE173" s="604">
        <f t="shared" si="302"/>
        <v>0</v>
      </c>
      <c r="AF173" s="44">
        <f t="shared" si="303"/>
        <v>0</v>
      </c>
      <c r="AG173" s="44">
        <f t="shared" si="304"/>
        <v>0</v>
      </c>
      <c r="AH173" s="44">
        <f t="shared" si="305"/>
        <v>0</v>
      </c>
      <c r="AI173" s="44">
        <f t="shared" si="306"/>
        <v>220000</v>
      </c>
      <c r="AJ173" s="44">
        <f t="shared" si="307"/>
        <v>220000</v>
      </c>
      <c r="AK173" s="44">
        <f t="shared" si="254"/>
        <v>6600</v>
      </c>
      <c r="AL173" s="44">
        <f t="shared" si="308"/>
        <v>6600</v>
      </c>
      <c r="AM173" s="44">
        <f t="shared" si="255"/>
        <v>91300</v>
      </c>
      <c r="AN173" s="44">
        <f t="shared" si="309"/>
        <v>91300</v>
      </c>
      <c r="AO173" s="44">
        <f t="shared" si="256"/>
        <v>128700</v>
      </c>
      <c r="AP173" s="46">
        <f t="shared" si="257"/>
        <v>0</v>
      </c>
      <c r="AQ173" s="47">
        <f t="shared" si="258"/>
        <v>0</v>
      </c>
      <c r="AR173" s="604">
        <f t="shared" si="310"/>
        <v>0</v>
      </c>
      <c r="AS173" s="44">
        <f t="shared" si="311"/>
        <v>0</v>
      </c>
      <c r="AT173" s="44">
        <f t="shared" si="312"/>
        <v>0</v>
      </c>
      <c r="AU173" s="44">
        <f t="shared" si="313"/>
        <v>0</v>
      </c>
      <c r="AV173" s="44">
        <f t="shared" si="314"/>
        <v>220000</v>
      </c>
      <c r="AW173" s="44">
        <f t="shared" si="315"/>
        <v>220000</v>
      </c>
      <c r="AX173" s="44">
        <f t="shared" si="259"/>
        <v>6600</v>
      </c>
      <c r="AY173" s="44">
        <f t="shared" si="316"/>
        <v>6600</v>
      </c>
      <c r="AZ173" s="44">
        <f t="shared" si="260"/>
        <v>84700</v>
      </c>
      <c r="BA173" s="44">
        <f t="shared" si="317"/>
        <v>84700</v>
      </c>
      <c r="BB173" s="44">
        <f t="shared" si="261"/>
        <v>135300</v>
      </c>
      <c r="BC173" s="46">
        <f t="shared" si="262"/>
        <v>0</v>
      </c>
      <c r="BD173" s="47">
        <f t="shared" si="263"/>
        <v>0</v>
      </c>
      <c r="BE173" s="604">
        <f t="shared" si="318"/>
        <v>0</v>
      </c>
      <c r="BF173" s="44">
        <f t="shared" si="319"/>
        <v>0</v>
      </c>
      <c r="BG173" s="44">
        <f t="shared" si="320"/>
        <v>0</v>
      </c>
      <c r="BH173" s="44">
        <f t="shared" si="321"/>
        <v>0</v>
      </c>
      <c r="BI173" s="44">
        <f t="shared" si="322"/>
        <v>220000</v>
      </c>
      <c r="BJ173" s="44">
        <f t="shared" si="323"/>
        <v>220000</v>
      </c>
      <c r="BK173" s="44">
        <f t="shared" si="264"/>
        <v>6600</v>
      </c>
      <c r="BL173" s="44">
        <f t="shared" si="324"/>
        <v>6600</v>
      </c>
      <c r="BM173" s="44">
        <f t="shared" si="265"/>
        <v>78100</v>
      </c>
      <c r="BN173" s="44">
        <f t="shared" si="325"/>
        <v>78100</v>
      </c>
      <c r="BO173" s="44">
        <f t="shared" si="266"/>
        <v>141900</v>
      </c>
      <c r="BP173" s="46">
        <f t="shared" si="267"/>
        <v>0</v>
      </c>
      <c r="BQ173" s="47">
        <f t="shared" si="268"/>
        <v>0</v>
      </c>
      <c r="BR173" s="604">
        <f t="shared" si="326"/>
        <v>0</v>
      </c>
      <c r="BS173" s="44">
        <f t="shared" si="327"/>
        <v>0</v>
      </c>
      <c r="BT173" s="44">
        <f t="shared" si="328"/>
        <v>0</v>
      </c>
      <c r="BU173" s="44">
        <f t="shared" si="329"/>
        <v>0</v>
      </c>
      <c r="BV173" s="44">
        <f t="shared" si="330"/>
        <v>220000</v>
      </c>
      <c r="BW173" s="44">
        <f t="shared" si="331"/>
        <v>220000</v>
      </c>
      <c r="BX173" s="44">
        <f t="shared" si="269"/>
        <v>6600</v>
      </c>
      <c r="BY173" s="44">
        <f t="shared" si="332"/>
        <v>6600</v>
      </c>
      <c r="BZ173" s="44">
        <f t="shared" si="270"/>
        <v>71500</v>
      </c>
      <c r="CA173" s="44">
        <f t="shared" si="333"/>
        <v>71500</v>
      </c>
      <c r="CB173" s="44">
        <f t="shared" si="271"/>
        <v>148500</v>
      </c>
      <c r="CC173" s="46">
        <f t="shared" si="272"/>
        <v>0</v>
      </c>
      <c r="CD173" s="47">
        <f t="shared" si="273"/>
        <v>0</v>
      </c>
      <c r="CE173" s="604">
        <f t="shared" si="334"/>
        <v>0</v>
      </c>
      <c r="CF173" s="44">
        <f t="shared" si="335"/>
        <v>0</v>
      </c>
      <c r="CG173" s="44">
        <f t="shared" si="336"/>
        <v>0</v>
      </c>
      <c r="CH173" s="44">
        <f t="shared" si="337"/>
        <v>0</v>
      </c>
      <c r="CI173" s="44">
        <f t="shared" si="338"/>
        <v>220000</v>
      </c>
      <c r="CJ173" s="44">
        <f t="shared" si="339"/>
        <v>220000</v>
      </c>
      <c r="CK173" s="44">
        <f t="shared" si="274"/>
        <v>6600</v>
      </c>
      <c r="CL173" s="44">
        <f t="shared" si="340"/>
        <v>6600</v>
      </c>
      <c r="CM173" s="44">
        <f t="shared" si="275"/>
        <v>64900</v>
      </c>
      <c r="CN173" s="44">
        <f t="shared" si="341"/>
        <v>64900</v>
      </c>
      <c r="CO173" s="44">
        <f t="shared" si="276"/>
        <v>155100</v>
      </c>
      <c r="CP173" s="46">
        <f t="shared" si="277"/>
        <v>0</v>
      </c>
      <c r="CQ173" s="47">
        <f t="shared" si="278"/>
        <v>0</v>
      </c>
      <c r="CR173" s="604">
        <f t="shared" si="342"/>
        <v>0</v>
      </c>
      <c r="CS173" s="44">
        <f t="shared" si="343"/>
        <v>0</v>
      </c>
      <c r="CT173" s="44">
        <f t="shared" si="344"/>
        <v>0</v>
      </c>
      <c r="CU173" s="44">
        <f t="shared" si="345"/>
        <v>0</v>
      </c>
      <c r="CV173" s="44">
        <f t="shared" si="346"/>
        <v>220000</v>
      </c>
      <c r="CW173" s="44">
        <f t="shared" si="347"/>
        <v>220000</v>
      </c>
      <c r="CX173" s="44">
        <f t="shared" si="279"/>
        <v>6600</v>
      </c>
      <c r="CY173" s="44">
        <f t="shared" si="348"/>
        <v>6600</v>
      </c>
      <c r="CZ173" s="44">
        <f t="shared" si="280"/>
        <v>58300</v>
      </c>
      <c r="DA173" s="44">
        <f t="shared" si="349"/>
        <v>58300</v>
      </c>
      <c r="DB173" s="44">
        <f t="shared" si="281"/>
        <v>161700</v>
      </c>
      <c r="DC173" s="46">
        <f t="shared" si="282"/>
        <v>0</v>
      </c>
      <c r="DD173" s="47">
        <f t="shared" si="283"/>
        <v>0</v>
      </c>
      <c r="DE173" s="604">
        <f t="shared" si="350"/>
        <v>0</v>
      </c>
      <c r="DF173" s="44">
        <f t="shared" si="351"/>
        <v>0</v>
      </c>
      <c r="DG173" s="44">
        <f t="shared" si="352"/>
        <v>0</v>
      </c>
      <c r="DH173" s="44">
        <f t="shared" si="353"/>
        <v>0</v>
      </c>
      <c r="DI173" s="44">
        <f t="shared" si="354"/>
        <v>220000</v>
      </c>
      <c r="DJ173" s="44">
        <f t="shared" si="355"/>
        <v>220000</v>
      </c>
      <c r="DK173" s="44">
        <f t="shared" si="284"/>
        <v>6600</v>
      </c>
      <c r="DL173" s="44">
        <f t="shared" si="356"/>
        <v>6600</v>
      </c>
      <c r="DM173" s="44">
        <f t="shared" si="285"/>
        <v>51700</v>
      </c>
      <c r="DN173" s="44">
        <f t="shared" si="357"/>
        <v>51700</v>
      </c>
      <c r="DO173" s="44">
        <f t="shared" si="286"/>
        <v>168300</v>
      </c>
      <c r="DP173" s="46">
        <f t="shared" si="287"/>
        <v>0</v>
      </c>
      <c r="DQ173" s="47">
        <f t="shared" si="288"/>
        <v>0</v>
      </c>
      <c r="DR173" s="604">
        <f t="shared" si="358"/>
        <v>0</v>
      </c>
      <c r="DS173" s="44">
        <f t="shared" si="359"/>
        <v>0</v>
      </c>
      <c r="DT173" s="44">
        <f t="shared" si="360"/>
        <v>0</v>
      </c>
      <c r="DU173" s="44">
        <f t="shared" si="361"/>
        <v>0</v>
      </c>
      <c r="DV173" s="44">
        <f t="shared" si="362"/>
        <v>220000</v>
      </c>
      <c r="DW173" s="44">
        <f t="shared" si="363"/>
        <v>220000</v>
      </c>
      <c r="DX173" s="44">
        <f t="shared" si="289"/>
        <v>6600</v>
      </c>
      <c r="DY173" s="44">
        <f t="shared" si="364"/>
        <v>6600</v>
      </c>
      <c r="DZ173" s="44">
        <f t="shared" si="290"/>
        <v>45100</v>
      </c>
      <c r="EA173" s="44">
        <f t="shared" si="365"/>
        <v>45100</v>
      </c>
      <c r="EB173" s="44">
        <f t="shared" si="291"/>
        <v>174900</v>
      </c>
      <c r="EC173" s="46">
        <f t="shared" si="292"/>
        <v>0</v>
      </c>
      <c r="ED173" s="47">
        <f t="shared" si="293"/>
        <v>0</v>
      </c>
    </row>
    <row r="174" spans="1:134" x14ac:dyDescent="0.35">
      <c r="A174" s="81">
        <v>1994</v>
      </c>
      <c r="B174" s="82" t="s">
        <v>331</v>
      </c>
      <c r="C174" s="82"/>
      <c r="D174" s="83" t="s">
        <v>49</v>
      </c>
      <c r="E174" s="87">
        <v>370000</v>
      </c>
      <c r="F174" s="85">
        <v>34516</v>
      </c>
      <c r="G174" s="86">
        <v>33.299999999999997</v>
      </c>
      <c r="H174" s="179"/>
      <c r="I174" s="180"/>
      <c r="J174" s="181"/>
      <c r="K174" s="42">
        <f t="shared" si="244"/>
        <v>0.03</v>
      </c>
      <c r="L174" s="43">
        <f t="shared" si="245"/>
        <v>11100</v>
      </c>
      <c r="M174" s="44">
        <f t="shared" si="246"/>
        <v>175750</v>
      </c>
      <c r="N174" s="44"/>
      <c r="O174" s="44">
        <f t="shared" si="247"/>
        <v>194250</v>
      </c>
      <c r="P174" s="45"/>
      <c r="Q174" s="44">
        <f t="shared" si="248"/>
        <v>370000</v>
      </c>
      <c r="R174" s="604">
        <f t="shared" si="294"/>
        <v>0</v>
      </c>
      <c r="S174" s="44">
        <f t="shared" si="295"/>
        <v>0</v>
      </c>
      <c r="T174" s="44">
        <f t="shared" si="296"/>
        <v>0</v>
      </c>
      <c r="U174" s="44">
        <f t="shared" si="297"/>
        <v>0</v>
      </c>
      <c r="V174" s="44">
        <f t="shared" si="298"/>
        <v>370000</v>
      </c>
      <c r="W174" s="44">
        <f t="shared" si="299"/>
        <v>370000</v>
      </c>
      <c r="X174" s="44">
        <f t="shared" si="249"/>
        <v>11100</v>
      </c>
      <c r="Y174" s="44">
        <f t="shared" si="300"/>
        <v>11100</v>
      </c>
      <c r="Z174" s="44">
        <f t="shared" si="250"/>
        <v>164650</v>
      </c>
      <c r="AA174" s="44">
        <f t="shared" si="301"/>
        <v>164650</v>
      </c>
      <c r="AB174" s="44">
        <f t="shared" si="251"/>
        <v>205350</v>
      </c>
      <c r="AC174" s="46">
        <f t="shared" si="252"/>
        <v>0</v>
      </c>
      <c r="AD174" s="47">
        <f t="shared" si="253"/>
        <v>0</v>
      </c>
      <c r="AE174" s="604">
        <f t="shared" si="302"/>
        <v>0</v>
      </c>
      <c r="AF174" s="44">
        <f t="shared" si="303"/>
        <v>0</v>
      </c>
      <c r="AG174" s="44">
        <f t="shared" si="304"/>
        <v>0</v>
      </c>
      <c r="AH174" s="44">
        <f t="shared" si="305"/>
        <v>0</v>
      </c>
      <c r="AI174" s="44">
        <f t="shared" si="306"/>
        <v>370000</v>
      </c>
      <c r="AJ174" s="44">
        <f t="shared" si="307"/>
        <v>370000</v>
      </c>
      <c r="AK174" s="44">
        <f t="shared" si="254"/>
        <v>11100</v>
      </c>
      <c r="AL174" s="44">
        <f t="shared" si="308"/>
        <v>11100</v>
      </c>
      <c r="AM174" s="44">
        <f t="shared" si="255"/>
        <v>153550</v>
      </c>
      <c r="AN174" s="44">
        <f t="shared" si="309"/>
        <v>153550</v>
      </c>
      <c r="AO174" s="44">
        <f t="shared" si="256"/>
        <v>216450</v>
      </c>
      <c r="AP174" s="46">
        <f t="shared" si="257"/>
        <v>0</v>
      </c>
      <c r="AQ174" s="47">
        <f t="shared" si="258"/>
        <v>0</v>
      </c>
      <c r="AR174" s="604">
        <f t="shared" si="310"/>
        <v>0</v>
      </c>
      <c r="AS174" s="44">
        <f t="shared" si="311"/>
        <v>0</v>
      </c>
      <c r="AT174" s="44">
        <f t="shared" si="312"/>
        <v>0</v>
      </c>
      <c r="AU174" s="44">
        <f t="shared" si="313"/>
        <v>0</v>
      </c>
      <c r="AV174" s="44">
        <f t="shared" si="314"/>
        <v>370000</v>
      </c>
      <c r="AW174" s="44">
        <f t="shared" si="315"/>
        <v>370000</v>
      </c>
      <c r="AX174" s="44">
        <f t="shared" si="259"/>
        <v>11100</v>
      </c>
      <c r="AY174" s="44">
        <f t="shared" si="316"/>
        <v>11100</v>
      </c>
      <c r="AZ174" s="44">
        <f t="shared" si="260"/>
        <v>142450</v>
      </c>
      <c r="BA174" s="44">
        <f t="shared" si="317"/>
        <v>142450</v>
      </c>
      <c r="BB174" s="44">
        <f t="shared" si="261"/>
        <v>227550</v>
      </c>
      <c r="BC174" s="46">
        <f t="shared" si="262"/>
        <v>0</v>
      </c>
      <c r="BD174" s="47">
        <f t="shared" si="263"/>
        <v>0</v>
      </c>
      <c r="BE174" s="604">
        <f t="shared" si="318"/>
        <v>0</v>
      </c>
      <c r="BF174" s="44">
        <f t="shared" si="319"/>
        <v>0</v>
      </c>
      <c r="BG174" s="44">
        <f t="shared" si="320"/>
        <v>0</v>
      </c>
      <c r="BH174" s="44">
        <f t="shared" si="321"/>
        <v>0</v>
      </c>
      <c r="BI174" s="44">
        <f t="shared" si="322"/>
        <v>370000</v>
      </c>
      <c r="BJ174" s="44">
        <f t="shared" si="323"/>
        <v>370000</v>
      </c>
      <c r="BK174" s="44">
        <f t="shared" si="264"/>
        <v>11100</v>
      </c>
      <c r="BL174" s="44">
        <f t="shared" si="324"/>
        <v>11100</v>
      </c>
      <c r="BM174" s="44">
        <f t="shared" si="265"/>
        <v>131350</v>
      </c>
      <c r="BN174" s="44">
        <f t="shared" si="325"/>
        <v>131350</v>
      </c>
      <c r="BO174" s="44">
        <f t="shared" si="266"/>
        <v>238650</v>
      </c>
      <c r="BP174" s="46">
        <f t="shared" si="267"/>
        <v>0</v>
      </c>
      <c r="BQ174" s="47">
        <f t="shared" si="268"/>
        <v>0</v>
      </c>
      <c r="BR174" s="604">
        <f t="shared" si="326"/>
        <v>0</v>
      </c>
      <c r="BS174" s="44">
        <f t="shared" si="327"/>
        <v>0</v>
      </c>
      <c r="BT174" s="44">
        <f t="shared" si="328"/>
        <v>0</v>
      </c>
      <c r="BU174" s="44">
        <f t="shared" si="329"/>
        <v>0</v>
      </c>
      <c r="BV174" s="44">
        <f t="shared" si="330"/>
        <v>370000</v>
      </c>
      <c r="BW174" s="44">
        <f t="shared" si="331"/>
        <v>370000</v>
      </c>
      <c r="BX174" s="44">
        <f t="shared" si="269"/>
        <v>11100</v>
      </c>
      <c r="BY174" s="44">
        <f t="shared" si="332"/>
        <v>11100</v>
      </c>
      <c r="BZ174" s="44">
        <f t="shared" si="270"/>
        <v>120250</v>
      </c>
      <c r="CA174" s="44">
        <f t="shared" si="333"/>
        <v>120250</v>
      </c>
      <c r="CB174" s="44">
        <f t="shared" si="271"/>
        <v>249750</v>
      </c>
      <c r="CC174" s="46">
        <f t="shared" si="272"/>
        <v>0</v>
      </c>
      <c r="CD174" s="47">
        <f t="shared" si="273"/>
        <v>0</v>
      </c>
      <c r="CE174" s="604">
        <f t="shared" si="334"/>
        <v>0</v>
      </c>
      <c r="CF174" s="44">
        <f t="shared" si="335"/>
        <v>0</v>
      </c>
      <c r="CG174" s="44">
        <f t="shared" si="336"/>
        <v>0</v>
      </c>
      <c r="CH174" s="44">
        <f t="shared" si="337"/>
        <v>0</v>
      </c>
      <c r="CI174" s="44">
        <f t="shared" si="338"/>
        <v>370000</v>
      </c>
      <c r="CJ174" s="44">
        <f t="shared" si="339"/>
        <v>370000</v>
      </c>
      <c r="CK174" s="44">
        <f t="shared" si="274"/>
        <v>11100</v>
      </c>
      <c r="CL174" s="44">
        <f t="shared" si="340"/>
        <v>11100</v>
      </c>
      <c r="CM174" s="44">
        <f t="shared" si="275"/>
        <v>109150</v>
      </c>
      <c r="CN174" s="44">
        <f t="shared" si="341"/>
        <v>109150</v>
      </c>
      <c r="CO174" s="44">
        <f t="shared" si="276"/>
        <v>260850</v>
      </c>
      <c r="CP174" s="46">
        <f t="shared" si="277"/>
        <v>0</v>
      </c>
      <c r="CQ174" s="47">
        <f t="shared" si="278"/>
        <v>0</v>
      </c>
      <c r="CR174" s="604">
        <f t="shared" si="342"/>
        <v>0</v>
      </c>
      <c r="CS174" s="44">
        <f t="shared" si="343"/>
        <v>0</v>
      </c>
      <c r="CT174" s="44">
        <f t="shared" si="344"/>
        <v>0</v>
      </c>
      <c r="CU174" s="44">
        <f t="shared" si="345"/>
        <v>0</v>
      </c>
      <c r="CV174" s="44">
        <f t="shared" si="346"/>
        <v>370000</v>
      </c>
      <c r="CW174" s="44">
        <f t="shared" si="347"/>
        <v>370000</v>
      </c>
      <c r="CX174" s="44">
        <f t="shared" si="279"/>
        <v>11100</v>
      </c>
      <c r="CY174" s="44">
        <f t="shared" si="348"/>
        <v>11100</v>
      </c>
      <c r="CZ174" s="44">
        <f t="shared" si="280"/>
        <v>98050</v>
      </c>
      <c r="DA174" s="44">
        <f t="shared" si="349"/>
        <v>98050</v>
      </c>
      <c r="DB174" s="44">
        <f t="shared" si="281"/>
        <v>271950</v>
      </c>
      <c r="DC174" s="46">
        <f t="shared" si="282"/>
        <v>0</v>
      </c>
      <c r="DD174" s="47">
        <f t="shared" si="283"/>
        <v>0</v>
      </c>
      <c r="DE174" s="604">
        <f t="shared" si="350"/>
        <v>0</v>
      </c>
      <c r="DF174" s="44">
        <f t="shared" si="351"/>
        <v>0</v>
      </c>
      <c r="DG174" s="44">
        <f t="shared" si="352"/>
        <v>0</v>
      </c>
      <c r="DH174" s="44">
        <f t="shared" si="353"/>
        <v>0</v>
      </c>
      <c r="DI174" s="44">
        <f t="shared" si="354"/>
        <v>370000</v>
      </c>
      <c r="DJ174" s="44">
        <f t="shared" si="355"/>
        <v>370000</v>
      </c>
      <c r="DK174" s="44">
        <f t="shared" si="284"/>
        <v>11100</v>
      </c>
      <c r="DL174" s="44">
        <f t="shared" si="356"/>
        <v>11100</v>
      </c>
      <c r="DM174" s="44">
        <f t="shared" si="285"/>
        <v>86950</v>
      </c>
      <c r="DN174" s="44">
        <f t="shared" si="357"/>
        <v>86950</v>
      </c>
      <c r="DO174" s="44">
        <f t="shared" si="286"/>
        <v>283050</v>
      </c>
      <c r="DP174" s="46">
        <f t="shared" si="287"/>
        <v>0</v>
      </c>
      <c r="DQ174" s="47">
        <f t="shared" si="288"/>
        <v>0</v>
      </c>
      <c r="DR174" s="604">
        <f t="shared" si="358"/>
        <v>0</v>
      </c>
      <c r="DS174" s="44">
        <f t="shared" si="359"/>
        <v>0</v>
      </c>
      <c r="DT174" s="44">
        <f t="shared" si="360"/>
        <v>0</v>
      </c>
      <c r="DU174" s="44">
        <f t="shared" si="361"/>
        <v>0</v>
      </c>
      <c r="DV174" s="44">
        <f t="shared" si="362"/>
        <v>370000</v>
      </c>
      <c r="DW174" s="44">
        <f t="shared" si="363"/>
        <v>370000</v>
      </c>
      <c r="DX174" s="44">
        <f t="shared" si="289"/>
        <v>11100</v>
      </c>
      <c r="DY174" s="44">
        <f t="shared" si="364"/>
        <v>11100</v>
      </c>
      <c r="DZ174" s="44">
        <f t="shared" si="290"/>
        <v>75850</v>
      </c>
      <c r="EA174" s="44">
        <f t="shared" si="365"/>
        <v>75850</v>
      </c>
      <c r="EB174" s="44">
        <f t="shared" si="291"/>
        <v>294150</v>
      </c>
      <c r="EC174" s="46">
        <f t="shared" si="292"/>
        <v>0</v>
      </c>
      <c r="ED174" s="47">
        <f t="shared" si="293"/>
        <v>0</v>
      </c>
    </row>
    <row r="175" spans="1:134" x14ac:dyDescent="0.35">
      <c r="A175" s="81">
        <v>1996</v>
      </c>
      <c r="B175" s="82" t="s">
        <v>332</v>
      </c>
      <c r="C175" s="82"/>
      <c r="D175" s="83" t="s">
        <v>49</v>
      </c>
      <c r="E175" s="87">
        <v>420000</v>
      </c>
      <c r="F175" s="85">
        <v>35247</v>
      </c>
      <c r="G175" s="86">
        <v>33.299999999999997</v>
      </c>
      <c r="H175" s="179"/>
      <c r="I175" s="180"/>
      <c r="J175" s="181"/>
      <c r="K175" s="42">
        <f t="shared" si="244"/>
        <v>0.03</v>
      </c>
      <c r="L175" s="43">
        <f t="shared" si="245"/>
        <v>12600</v>
      </c>
      <c r="M175" s="44">
        <f t="shared" si="246"/>
        <v>224700</v>
      </c>
      <c r="N175" s="44"/>
      <c r="O175" s="44">
        <f t="shared" si="247"/>
        <v>195300</v>
      </c>
      <c r="P175" s="45"/>
      <c r="Q175" s="44">
        <f t="shared" si="248"/>
        <v>420000</v>
      </c>
      <c r="R175" s="604">
        <f t="shared" si="294"/>
        <v>0</v>
      </c>
      <c r="S175" s="44">
        <f t="shared" si="295"/>
        <v>0</v>
      </c>
      <c r="T175" s="44">
        <f t="shared" si="296"/>
        <v>0</v>
      </c>
      <c r="U175" s="44">
        <f t="shared" si="297"/>
        <v>0</v>
      </c>
      <c r="V175" s="44">
        <f t="shared" si="298"/>
        <v>420000</v>
      </c>
      <c r="W175" s="44">
        <f t="shared" si="299"/>
        <v>420000</v>
      </c>
      <c r="X175" s="44">
        <f t="shared" si="249"/>
        <v>12600</v>
      </c>
      <c r="Y175" s="44">
        <f t="shared" si="300"/>
        <v>12600</v>
      </c>
      <c r="Z175" s="44">
        <f t="shared" si="250"/>
        <v>212100</v>
      </c>
      <c r="AA175" s="44">
        <f t="shared" si="301"/>
        <v>212100</v>
      </c>
      <c r="AB175" s="44">
        <f t="shared" si="251"/>
        <v>207900</v>
      </c>
      <c r="AC175" s="46">
        <f t="shared" si="252"/>
        <v>0</v>
      </c>
      <c r="AD175" s="47">
        <f t="shared" si="253"/>
        <v>0</v>
      </c>
      <c r="AE175" s="604">
        <f t="shared" si="302"/>
        <v>0</v>
      </c>
      <c r="AF175" s="44">
        <f t="shared" si="303"/>
        <v>0</v>
      </c>
      <c r="AG175" s="44">
        <f t="shared" si="304"/>
        <v>0</v>
      </c>
      <c r="AH175" s="44">
        <f t="shared" si="305"/>
        <v>0</v>
      </c>
      <c r="AI175" s="44">
        <f t="shared" si="306"/>
        <v>420000</v>
      </c>
      <c r="AJ175" s="44">
        <f t="shared" si="307"/>
        <v>420000</v>
      </c>
      <c r="AK175" s="44">
        <f t="shared" si="254"/>
        <v>12600</v>
      </c>
      <c r="AL175" s="44">
        <f t="shared" si="308"/>
        <v>12600</v>
      </c>
      <c r="AM175" s="44">
        <f t="shared" si="255"/>
        <v>199500</v>
      </c>
      <c r="AN175" s="44">
        <f t="shared" si="309"/>
        <v>199500</v>
      </c>
      <c r="AO175" s="44">
        <f t="shared" si="256"/>
        <v>220500</v>
      </c>
      <c r="AP175" s="46">
        <f t="shared" si="257"/>
        <v>0</v>
      </c>
      <c r="AQ175" s="47">
        <f t="shared" si="258"/>
        <v>0</v>
      </c>
      <c r="AR175" s="604">
        <f t="shared" si="310"/>
        <v>0</v>
      </c>
      <c r="AS175" s="44">
        <f t="shared" si="311"/>
        <v>0</v>
      </c>
      <c r="AT175" s="44">
        <f t="shared" si="312"/>
        <v>0</v>
      </c>
      <c r="AU175" s="44">
        <f t="shared" si="313"/>
        <v>0</v>
      </c>
      <c r="AV175" s="44">
        <f t="shared" si="314"/>
        <v>420000</v>
      </c>
      <c r="AW175" s="44">
        <f t="shared" si="315"/>
        <v>420000</v>
      </c>
      <c r="AX175" s="44">
        <f t="shared" si="259"/>
        <v>12600</v>
      </c>
      <c r="AY175" s="44">
        <f t="shared" si="316"/>
        <v>12600</v>
      </c>
      <c r="AZ175" s="44">
        <f t="shared" si="260"/>
        <v>186900</v>
      </c>
      <c r="BA175" s="44">
        <f t="shared" si="317"/>
        <v>186900</v>
      </c>
      <c r="BB175" s="44">
        <f t="shared" si="261"/>
        <v>233100</v>
      </c>
      <c r="BC175" s="46">
        <f t="shared" si="262"/>
        <v>0</v>
      </c>
      <c r="BD175" s="47">
        <f t="shared" si="263"/>
        <v>0</v>
      </c>
      <c r="BE175" s="604">
        <f t="shared" si="318"/>
        <v>0</v>
      </c>
      <c r="BF175" s="44">
        <f t="shared" si="319"/>
        <v>0</v>
      </c>
      <c r="BG175" s="44">
        <f t="shared" si="320"/>
        <v>0</v>
      </c>
      <c r="BH175" s="44">
        <f t="shared" si="321"/>
        <v>0</v>
      </c>
      <c r="BI175" s="44">
        <f t="shared" si="322"/>
        <v>420000</v>
      </c>
      <c r="BJ175" s="44">
        <f t="shared" si="323"/>
        <v>420000</v>
      </c>
      <c r="BK175" s="44">
        <f t="shared" si="264"/>
        <v>12600</v>
      </c>
      <c r="BL175" s="44">
        <f t="shared" si="324"/>
        <v>12600</v>
      </c>
      <c r="BM175" s="44">
        <f t="shared" si="265"/>
        <v>174300</v>
      </c>
      <c r="BN175" s="44">
        <f t="shared" si="325"/>
        <v>174300</v>
      </c>
      <c r="BO175" s="44">
        <f t="shared" si="266"/>
        <v>245700</v>
      </c>
      <c r="BP175" s="46">
        <f t="shared" si="267"/>
        <v>0</v>
      </c>
      <c r="BQ175" s="47">
        <f t="shared" si="268"/>
        <v>0</v>
      </c>
      <c r="BR175" s="604">
        <f t="shared" si="326"/>
        <v>0</v>
      </c>
      <c r="BS175" s="44">
        <f t="shared" si="327"/>
        <v>0</v>
      </c>
      <c r="BT175" s="44">
        <f t="shared" si="328"/>
        <v>0</v>
      </c>
      <c r="BU175" s="44">
        <f t="shared" si="329"/>
        <v>0</v>
      </c>
      <c r="BV175" s="44">
        <f t="shared" si="330"/>
        <v>420000</v>
      </c>
      <c r="BW175" s="44">
        <f t="shared" si="331"/>
        <v>420000</v>
      </c>
      <c r="BX175" s="44">
        <f t="shared" si="269"/>
        <v>12600</v>
      </c>
      <c r="BY175" s="44">
        <f t="shared" si="332"/>
        <v>12600</v>
      </c>
      <c r="BZ175" s="44">
        <f t="shared" si="270"/>
        <v>161700</v>
      </c>
      <c r="CA175" s="44">
        <f t="shared" si="333"/>
        <v>161700</v>
      </c>
      <c r="CB175" s="44">
        <f t="shared" si="271"/>
        <v>258300</v>
      </c>
      <c r="CC175" s="46">
        <f t="shared" si="272"/>
        <v>0</v>
      </c>
      <c r="CD175" s="47">
        <f t="shared" si="273"/>
        <v>0</v>
      </c>
      <c r="CE175" s="604">
        <f t="shared" si="334"/>
        <v>0</v>
      </c>
      <c r="CF175" s="44">
        <f t="shared" si="335"/>
        <v>0</v>
      </c>
      <c r="CG175" s="44">
        <f t="shared" si="336"/>
        <v>0</v>
      </c>
      <c r="CH175" s="44">
        <f t="shared" si="337"/>
        <v>0</v>
      </c>
      <c r="CI175" s="44">
        <f t="shared" si="338"/>
        <v>420000</v>
      </c>
      <c r="CJ175" s="44">
        <f t="shared" si="339"/>
        <v>420000</v>
      </c>
      <c r="CK175" s="44">
        <f t="shared" si="274"/>
        <v>12600</v>
      </c>
      <c r="CL175" s="44">
        <f t="shared" si="340"/>
        <v>12600</v>
      </c>
      <c r="CM175" s="44">
        <f t="shared" si="275"/>
        <v>149100</v>
      </c>
      <c r="CN175" s="44">
        <f t="shared" si="341"/>
        <v>149100</v>
      </c>
      <c r="CO175" s="44">
        <f t="shared" si="276"/>
        <v>270900</v>
      </c>
      <c r="CP175" s="46">
        <f t="shared" si="277"/>
        <v>0</v>
      </c>
      <c r="CQ175" s="47">
        <f t="shared" si="278"/>
        <v>0</v>
      </c>
      <c r="CR175" s="604">
        <f t="shared" si="342"/>
        <v>0</v>
      </c>
      <c r="CS175" s="44">
        <f t="shared" si="343"/>
        <v>0</v>
      </c>
      <c r="CT175" s="44">
        <f t="shared" si="344"/>
        <v>0</v>
      </c>
      <c r="CU175" s="44">
        <f t="shared" si="345"/>
        <v>0</v>
      </c>
      <c r="CV175" s="44">
        <f t="shared" si="346"/>
        <v>420000</v>
      </c>
      <c r="CW175" s="44">
        <f t="shared" si="347"/>
        <v>420000</v>
      </c>
      <c r="CX175" s="44">
        <f t="shared" si="279"/>
        <v>12600</v>
      </c>
      <c r="CY175" s="44">
        <f t="shared" si="348"/>
        <v>12600</v>
      </c>
      <c r="CZ175" s="44">
        <f t="shared" si="280"/>
        <v>136500</v>
      </c>
      <c r="DA175" s="44">
        <f t="shared" si="349"/>
        <v>136500</v>
      </c>
      <c r="DB175" s="44">
        <f t="shared" si="281"/>
        <v>283500</v>
      </c>
      <c r="DC175" s="46">
        <f t="shared" si="282"/>
        <v>0</v>
      </c>
      <c r="DD175" s="47">
        <f t="shared" si="283"/>
        <v>0</v>
      </c>
      <c r="DE175" s="604">
        <f t="shared" si="350"/>
        <v>0</v>
      </c>
      <c r="DF175" s="44">
        <f t="shared" si="351"/>
        <v>0</v>
      </c>
      <c r="DG175" s="44">
        <f t="shared" si="352"/>
        <v>0</v>
      </c>
      <c r="DH175" s="44">
        <f t="shared" si="353"/>
        <v>0</v>
      </c>
      <c r="DI175" s="44">
        <f t="shared" si="354"/>
        <v>420000</v>
      </c>
      <c r="DJ175" s="44">
        <f t="shared" si="355"/>
        <v>420000</v>
      </c>
      <c r="DK175" s="44">
        <f t="shared" si="284"/>
        <v>12600</v>
      </c>
      <c r="DL175" s="44">
        <f t="shared" si="356"/>
        <v>12600</v>
      </c>
      <c r="DM175" s="44">
        <f t="shared" si="285"/>
        <v>123900</v>
      </c>
      <c r="DN175" s="44">
        <f t="shared" si="357"/>
        <v>123900</v>
      </c>
      <c r="DO175" s="44">
        <f t="shared" si="286"/>
        <v>296100</v>
      </c>
      <c r="DP175" s="46">
        <f t="shared" si="287"/>
        <v>0</v>
      </c>
      <c r="DQ175" s="47">
        <f t="shared" si="288"/>
        <v>0</v>
      </c>
      <c r="DR175" s="604">
        <f t="shared" si="358"/>
        <v>0</v>
      </c>
      <c r="DS175" s="44">
        <f t="shared" si="359"/>
        <v>0</v>
      </c>
      <c r="DT175" s="44">
        <f t="shared" si="360"/>
        <v>0</v>
      </c>
      <c r="DU175" s="44">
        <f t="shared" si="361"/>
        <v>0</v>
      </c>
      <c r="DV175" s="44">
        <f t="shared" si="362"/>
        <v>420000</v>
      </c>
      <c r="DW175" s="44">
        <f t="shared" si="363"/>
        <v>420000</v>
      </c>
      <c r="DX175" s="44">
        <f t="shared" si="289"/>
        <v>12600</v>
      </c>
      <c r="DY175" s="44">
        <f t="shared" si="364"/>
        <v>12600</v>
      </c>
      <c r="DZ175" s="44">
        <f t="shared" si="290"/>
        <v>111300</v>
      </c>
      <c r="EA175" s="44">
        <f t="shared" si="365"/>
        <v>111300</v>
      </c>
      <c r="EB175" s="44">
        <f t="shared" si="291"/>
        <v>308700</v>
      </c>
      <c r="EC175" s="46">
        <f t="shared" si="292"/>
        <v>0</v>
      </c>
      <c r="ED175" s="47">
        <f t="shared" si="293"/>
        <v>0</v>
      </c>
    </row>
    <row r="176" spans="1:134" x14ac:dyDescent="0.35">
      <c r="A176" s="81">
        <v>1996</v>
      </c>
      <c r="B176" s="82" t="s">
        <v>333</v>
      </c>
      <c r="C176" s="82"/>
      <c r="D176" s="83" t="s">
        <v>49</v>
      </c>
      <c r="E176" s="87">
        <v>250000</v>
      </c>
      <c r="F176" s="85">
        <v>35247</v>
      </c>
      <c r="G176" s="86">
        <v>33.299999999999997</v>
      </c>
      <c r="H176" s="179"/>
      <c r="I176" s="180"/>
      <c r="J176" s="181"/>
      <c r="K176" s="42">
        <f t="shared" si="244"/>
        <v>0.03</v>
      </c>
      <c r="L176" s="43">
        <f t="shared" si="245"/>
        <v>7500</v>
      </c>
      <c r="M176" s="44">
        <f t="shared" si="246"/>
        <v>133750</v>
      </c>
      <c r="N176" s="44"/>
      <c r="O176" s="44">
        <f t="shared" si="247"/>
        <v>116250</v>
      </c>
      <c r="P176" s="45"/>
      <c r="Q176" s="44">
        <f t="shared" si="248"/>
        <v>250000</v>
      </c>
      <c r="R176" s="604">
        <f t="shared" si="294"/>
        <v>0</v>
      </c>
      <c r="S176" s="44">
        <f t="shared" si="295"/>
        <v>0</v>
      </c>
      <c r="T176" s="44">
        <f t="shared" si="296"/>
        <v>0</v>
      </c>
      <c r="U176" s="44">
        <f t="shared" si="297"/>
        <v>0</v>
      </c>
      <c r="V176" s="44">
        <f t="shared" si="298"/>
        <v>250000</v>
      </c>
      <c r="W176" s="44">
        <f t="shared" si="299"/>
        <v>250000</v>
      </c>
      <c r="X176" s="44">
        <f t="shared" si="249"/>
        <v>7500</v>
      </c>
      <c r="Y176" s="44">
        <f t="shared" si="300"/>
        <v>7500</v>
      </c>
      <c r="Z176" s="44">
        <f t="shared" si="250"/>
        <v>126250</v>
      </c>
      <c r="AA176" s="44">
        <f t="shared" si="301"/>
        <v>126250</v>
      </c>
      <c r="AB176" s="44">
        <f t="shared" si="251"/>
        <v>123750</v>
      </c>
      <c r="AC176" s="46">
        <f t="shared" si="252"/>
        <v>0</v>
      </c>
      <c r="AD176" s="47">
        <f t="shared" si="253"/>
        <v>0</v>
      </c>
      <c r="AE176" s="604">
        <f t="shared" si="302"/>
        <v>0</v>
      </c>
      <c r="AF176" s="44">
        <f t="shared" si="303"/>
        <v>0</v>
      </c>
      <c r="AG176" s="44">
        <f t="shared" si="304"/>
        <v>0</v>
      </c>
      <c r="AH176" s="44">
        <f t="shared" si="305"/>
        <v>0</v>
      </c>
      <c r="AI176" s="44">
        <f t="shared" si="306"/>
        <v>250000</v>
      </c>
      <c r="AJ176" s="44">
        <f t="shared" si="307"/>
        <v>250000</v>
      </c>
      <c r="AK176" s="44">
        <f t="shared" si="254"/>
        <v>7500</v>
      </c>
      <c r="AL176" s="44">
        <f t="shared" si="308"/>
        <v>7500</v>
      </c>
      <c r="AM176" s="44">
        <f t="shared" si="255"/>
        <v>118750</v>
      </c>
      <c r="AN176" s="44">
        <f t="shared" si="309"/>
        <v>118750</v>
      </c>
      <c r="AO176" s="44">
        <f t="shared" si="256"/>
        <v>131250</v>
      </c>
      <c r="AP176" s="46">
        <f t="shared" si="257"/>
        <v>0</v>
      </c>
      <c r="AQ176" s="47">
        <f t="shared" si="258"/>
        <v>0</v>
      </c>
      <c r="AR176" s="604">
        <f t="shared" si="310"/>
        <v>0</v>
      </c>
      <c r="AS176" s="44">
        <f t="shared" si="311"/>
        <v>0</v>
      </c>
      <c r="AT176" s="44">
        <f t="shared" si="312"/>
        <v>0</v>
      </c>
      <c r="AU176" s="44">
        <f t="shared" si="313"/>
        <v>0</v>
      </c>
      <c r="AV176" s="44">
        <f t="shared" si="314"/>
        <v>250000</v>
      </c>
      <c r="AW176" s="44">
        <f t="shared" si="315"/>
        <v>250000</v>
      </c>
      <c r="AX176" s="44">
        <f t="shared" si="259"/>
        <v>7500</v>
      </c>
      <c r="AY176" s="44">
        <f t="shared" si="316"/>
        <v>7500</v>
      </c>
      <c r="AZ176" s="44">
        <f t="shared" si="260"/>
        <v>111250</v>
      </c>
      <c r="BA176" s="44">
        <f t="shared" si="317"/>
        <v>111250</v>
      </c>
      <c r="BB176" s="44">
        <f t="shared" si="261"/>
        <v>138750</v>
      </c>
      <c r="BC176" s="46">
        <f t="shared" si="262"/>
        <v>0</v>
      </c>
      <c r="BD176" s="47">
        <f t="shared" si="263"/>
        <v>0</v>
      </c>
      <c r="BE176" s="604">
        <f t="shared" si="318"/>
        <v>0</v>
      </c>
      <c r="BF176" s="44">
        <f t="shared" si="319"/>
        <v>0</v>
      </c>
      <c r="BG176" s="44">
        <f t="shared" si="320"/>
        <v>0</v>
      </c>
      <c r="BH176" s="44">
        <f t="shared" si="321"/>
        <v>0</v>
      </c>
      <c r="BI176" s="44">
        <f t="shared" si="322"/>
        <v>250000</v>
      </c>
      <c r="BJ176" s="44">
        <f t="shared" si="323"/>
        <v>250000</v>
      </c>
      <c r="BK176" s="44">
        <f t="shared" si="264"/>
        <v>7500</v>
      </c>
      <c r="BL176" s="44">
        <f t="shared" si="324"/>
        <v>7500</v>
      </c>
      <c r="BM176" s="44">
        <f t="shared" si="265"/>
        <v>103750</v>
      </c>
      <c r="BN176" s="44">
        <f t="shared" si="325"/>
        <v>103750</v>
      </c>
      <c r="BO176" s="44">
        <f t="shared" si="266"/>
        <v>146250</v>
      </c>
      <c r="BP176" s="46">
        <f t="shared" si="267"/>
        <v>0</v>
      </c>
      <c r="BQ176" s="47">
        <f t="shared" si="268"/>
        <v>0</v>
      </c>
      <c r="BR176" s="604">
        <f t="shared" si="326"/>
        <v>0</v>
      </c>
      <c r="BS176" s="44">
        <f t="shared" si="327"/>
        <v>0</v>
      </c>
      <c r="BT176" s="44">
        <f t="shared" si="328"/>
        <v>0</v>
      </c>
      <c r="BU176" s="44">
        <f t="shared" si="329"/>
        <v>0</v>
      </c>
      <c r="BV176" s="44">
        <f t="shared" si="330"/>
        <v>250000</v>
      </c>
      <c r="BW176" s="44">
        <f t="shared" si="331"/>
        <v>250000</v>
      </c>
      <c r="BX176" s="44">
        <f t="shared" si="269"/>
        <v>7500</v>
      </c>
      <c r="BY176" s="44">
        <f t="shared" si="332"/>
        <v>7500</v>
      </c>
      <c r="BZ176" s="44">
        <f t="shared" si="270"/>
        <v>96250</v>
      </c>
      <c r="CA176" s="44">
        <f t="shared" si="333"/>
        <v>96250</v>
      </c>
      <c r="CB176" s="44">
        <f t="shared" si="271"/>
        <v>153750</v>
      </c>
      <c r="CC176" s="46">
        <f t="shared" si="272"/>
        <v>0</v>
      </c>
      <c r="CD176" s="47">
        <f t="shared" si="273"/>
        <v>0</v>
      </c>
      <c r="CE176" s="604">
        <f t="shared" si="334"/>
        <v>0</v>
      </c>
      <c r="CF176" s="44">
        <f t="shared" si="335"/>
        <v>0</v>
      </c>
      <c r="CG176" s="44">
        <f t="shared" si="336"/>
        <v>0</v>
      </c>
      <c r="CH176" s="44">
        <f t="shared" si="337"/>
        <v>0</v>
      </c>
      <c r="CI176" s="44">
        <f t="shared" si="338"/>
        <v>250000</v>
      </c>
      <c r="CJ176" s="44">
        <f t="shared" si="339"/>
        <v>250000</v>
      </c>
      <c r="CK176" s="44">
        <f t="shared" si="274"/>
        <v>7500</v>
      </c>
      <c r="CL176" s="44">
        <f t="shared" si="340"/>
        <v>7500</v>
      </c>
      <c r="CM176" s="44">
        <f t="shared" si="275"/>
        <v>88750</v>
      </c>
      <c r="CN176" s="44">
        <f t="shared" si="341"/>
        <v>88750</v>
      </c>
      <c r="CO176" s="44">
        <f t="shared" si="276"/>
        <v>161250</v>
      </c>
      <c r="CP176" s="46">
        <f t="shared" si="277"/>
        <v>0</v>
      </c>
      <c r="CQ176" s="47">
        <f t="shared" si="278"/>
        <v>0</v>
      </c>
      <c r="CR176" s="604">
        <f t="shared" si="342"/>
        <v>0</v>
      </c>
      <c r="CS176" s="44">
        <f t="shared" si="343"/>
        <v>0</v>
      </c>
      <c r="CT176" s="44">
        <f t="shared" si="344"/>
        <v>0</v>
      </c>
      <c r="CU176" s="44">
        <f t="shared" si="345"/>
        <v>0</v>
      </c>
      <c r="CV176" s="44">
        <f t="shared" si="346"/>
        <v>250000</v>
      </c>
      <c r="CW176" s="44">
        <f t="shared" si="347"/>
        <v>250000</v>
      </c>
      <c r="CX176" s="44">
        <f t="shared" si="279"/>
        <v>7500</v>
      </c>
      <c r="CY176" s="44">
        <f t="shared" si="348"/>
        <v>7500</v>
      </c>
      <c r="CZ176" s="44">
        <f t="shared" si="280"/>
        <v>81250</v>
      </c>
      <c r="DA176" s="44">
        <f t="shared" si="349"/>
        <v>81250</v>
      </c>
      <c r="DB176" s="44">
        <f t="shared" si="281"/>
        <v>168750</v>
      </c>
      <c r="DC176" s="46">
        <f t="shared" si="282"/>
        <v>0</v>
      </c>
      <c r="DD176" s="47">
        <f t="shared" si="283"/>
        <v>0</v>
      </c>
      <c r="DE176" s="604">
        <f t="shared" si="350"/>
        <v>0</v>
      </c>
      <c r="DF176" s="44">
        <f t="shared" si="351"/>
        <v>0</v>
      </c>
      <c r="DG176" s="44">
        <f t="shared" si="352"/>
        <v>0</v>
      </c>
      <c r="DH176" s="44">
        <f t="shared" si="353"/>
        <v>0</v>
      </c>
      <c r="DI176" s="44">
        <f t="shared" si="354"/>
        <v>250000</v>
      </c>
      <c r="DJ176" s="44">
        <f t="shared" si="355"/>
        <v>250000</v>
      </c>
      <c r="DK176" s="44">
        <f t="shared" si="284"/>
        <v>7500</v>
      </c>
      <c r="DL176" s="44">
        <f t="shared" si="356"/>
        <v>7500</v>
      </c>
      <c r="DM176" s="44">
        <f t="shared" si="285"/>
        <v>73750</v>
      </c>
      <c r="DN176" s="44">
        <f t="shared" si="357"/>
        <v>73750</v>
      </c>
      <c r="DO176" s="44">
        <f t="shared" si="286"/>
        <v>176250</v>
      </c>
      <c r="DP176" s="46">
        <f t="shared" si="287"/>
        <v>0</v>
      </c>
      <c r="DQ176" s="47">
        <f t="shared" si="288"/>
        <v>0</v>
      </c>
      <c r="DR176" s="604">
        <f t="shared" si="358"/>
        <v>0</v>
      </c>
      <c r="DS176" s="44">
        <f t="shared" si="359"/>
        <v>0</v>
      </c>
      <c r="DT176" s="44">
        <f t="shared" si="360"/>
        <v>0</v>
      </c>
      <c r="DU176" s="44">
        <f t="shared" si="361"/>
        <v>0</v>
      </c>
      <c r="DV176" s="44">
        <f t="shared" si="362"/>
        <v>250000</v>
      </c>
      <c r="DW176" s="44">
        <f t="shared" si="363"/>
        <v>250000</v>
      </c>
      <c r="DX176" s="44">
        <f t="shared" si="289"/>
        <v>7500</v>
      </c>
      <c r="DY176" s="44">
        <f t="shared" si="364"/>
        <v>7500</v>
      </c>
      <c r="DZ176" s="44">
        <f t="shared" si="290"/>
        <v>66250</v>
      </c>
      <c r="EA176" s="44">
        <f t="shared" si="365"/>
        <v>66250</v>
      </c>
      <c r="EB176" s="44">
        <f t="shared" si="291"/>
        <v>183750</v>
      </c>
      <c r="EC176" s="46">
        <f t="shared" si="292"/>
        <v>0</v>
      </c>
      <c r="ED176" s="47">
        <f t="shared" si="293"/>
        <v>0</v>
      </c>
    </row>
    <row r="177" spans="1:134" x14ac:dyDescent="0.35">
      <c r="A177" s="81">
        <v>2007</v>
      </c>
      <c r="B177" s="82" t="s">
        <v>334</v>
      </c>
      <c r="C177" s="82"/>
      <c r="D177" s="83" t="s">
        <v>49</v>
      </c>
      <c r="E177" s="87">
        <v>300000</v>
      </c>
      <c r="F177" s="85">
        <v>39264</v>
      </c>
      <c r="G177" s="86">
        <v>33.299999999999997</v>
      </c>
      <c r="H177" s="179"/>
      <c r="I177" s="180"/>
      <c r="J177" s="181"/>
      <c r="K177" s="42">
        <f t="shared" si="244"/>
        <v>0.03</v>
      </c>
      <c r="L177" s="43">
        <f t="shared" si="245"/>
        <v>9000</v>
      </c>
      <c r="M177" s="44">
        <f t="shared" si="246"/>
        <v>259500</v>
      </c>
      <c r="N177" s="44"/>
      <c r="O177" s="44">
        <f t="shared" si="247"/>
        <v>40500</v>
      </c>
      <c r="P177" s="45"/>
      <c r="Q177" s="44">
        <f t="shared" si="248"/>
        <v>300000</v>
      </c>
      <c r="R177" s="604">
        <f t="shared" si="294"/>
        <v>0</v>
      </c>
      <c r="S177" s="44">
        <f t="shared" si="295"/>
        <v>0</v>
      </c>
      <c r="T177" s="44">
        <f t="shared" si="296"/>
        <v>0</v>
      </c>
      <c r="U177" s="44">
        <f t="shared" si="297"/>
        <v>0</v>
      </c>
      <c r="V177" s="44">
        <f t="shared" si="298"/>
        <v>300000</v>
      </c>
      <c r="W177" s="44">
        <f t="shared" si="299"/>
        <v>300000</v>
      </c>
      <c r="X177" s="44">
        <f t="shared" si="249"/>
        <v>9000</v>
      </c>
      <c r="Y177" s="44">
        <f t="shared" si="300"/>
        <v>9000</v>
      </c>
      <c r="Z177" s="44">
        <f t="shared" si="250"/>
        <v>250500</v>
      </c>
      <c r="AA177" s="44">
        <f t="shared" si="301"/>
        <v>250500</v>
      </c>
      <c r="AB177" s="44">
        <f t="shared" si="251"/>
        <v>49500</v>
      </c>
      <c r="AC177" s="46">
        <f t="shared" si="252"/>
        <v>0</v>
      </c>
      <c r="AD177" s="47">
        <f t="shared" si="253"/>
        <v>0</v>
      </c>
      <c r="AE177" s="604">
        <f t="shared" si="302"/>
        <v>0</v>
      </c>
      <c r="AF177" s="44">
        <f t="shared" si="303"/>
        <v>0</v>
      </c>
      <c r="AG177" s="44">
        <f t="shared" si="304"/>
        <v>0</v>
      </c>
      <c r="AH177" s="44">
        <f t="shared" si="305"/>
        <v>0</v>
      </c>
      <c r="AI177" s="44">
        <f t="shared" si="306"/>
        <v>300000</v>
      </c>
      <c r="AJ177" s="44">
        <f t="shared" si="307"/>
        <v>300000</v>
      </c>
      <c r="AK177" s="44">
        <f t="shared" si="254"/>
        <v>9000</v>
      </c>
      <c r="AL177" s="44">
        <f t="shared" si="308"/>
        <v>9000</v>
      </c>
      <c r="AM177" s="44">
        <f t="shared" si="255"/>
        <v>241500</v>
      </c>
      <c r="AN177" s="44">
        <f t="shared" si="309"/>
        <v>241500</v>
      </c>
      <c r="AO177" s="44">
        <f t="shared" si="256"/>
        <v>58500</v>
      </c>
      <c r="AP177" s="46">
        <f t="shared" si="257"/>
        <v>0</v>
      </c>
      <c r="AQ177" s="47">
        <f t="shared" si="258"/>
        <v>0</v>
      </c>
      <c r="AR177" s="604">
        <f t="shared" si="310"/>
        <v>0</v>
      </c>
      <c r="AS177" s="44">
        <f t="shared" si="311"/>
        <v>0</v>
      </c>
      <c r="AT177" s="44">
        <f t="shared" si="312"/>
        <v>0</v>
      </c>
      <c r="AU177" s="44">
        <f t="shared" si="313"/>
        <v>0</v>
      </c>
      <c r="AV177" s="44">
        <f t="shared" si="314"/>
        <v>300000</v>
      </c>
      <c r="AW177" s="44">
        <f t="shared" si="315"/>
        <v>300000</v>
      </c>
      <c r="AX177" s="44">
        <f t="shared" si="259"/>
        <v>9000</v>
      </c>
      <c r="AY177" s="44">
        <f t="shared" si="316"/>
        <v>9000</v>
      </c>
      <c r="AZ177" s="44">
        <f t="shared" si="260"/>
        <v>232500</v>
      </c>
      <c r="BA177" s="44">
        <f t="shared" si="317"/>
        <v>232500</v>
      </c>
      <c r="BB177" s="44">
        <f t="shared" si="261"/>
        <v>67500</v>
      </c>
      <c r="BC177" s="46">
        <f t="shared" si="262"/>
        <v>0</v>
      </c>
      <c r="BD177" s="47">
        <f t="shared" si="263"/>
        <v>0</v>
      </c>
      <c r="BE177" s="604">
        <f t="shared" si="318"/>
        <v>0</v>
      </c>
      <c r="BF177" s="44">
        <f t="shared" si="319"/>
        <v>0</v>
      </c>
      <c r="BG177" s="44">
        <f t="shared" si="320"/>
        <v>0</v>
      </c>
      <c r="BH177" s="44">
        <f t="shared" si="321"/>
        <v>0</v>
      </c>
      <c r="BI177" s="44">
        <f t="shared" si="322"/>
        <v>300000</v>
      </c>
      <c r="BJ177" s="44">
        <f t="shared" si="323"/>
        <v>300000</v>
      </c>
      <c r="BK177" s="44">
        <f t="shared" si="264"/>
        <v>9000</v>
      </c>
      <c r="BL177" s="44">
        <f t="shared" si="324"/>
        <v>9000</v>
      </c>
      <c r="BM177" s="44">
        <f t="shared" si="265"/>
        <v>223500</v>
      </c>
      <c r="BN177" s="44">
        <f t="shared" si="325"/>
        <v>223500</v>
      </c>
      <c r="BO177" s="44">
        <f t="shared" si="266"/>
        <v>76500</v>
      </c>
      <c r="BP177" s="46">
        <f t="shared" si="267"/>
        <v>0</v>
      </c>
      <c r="BQ177" s="47">
        <f t="shared" si="268"/>
        <v>0</v>
      </c>
      <c r="BR177" s="604">
        <f t="shared" si="326"/>
        <v>0</v>
      </c>
      <c r="BS177" s="44">
        <f t="shared" si="327"/>
        <v>0</v>
      </c>
      <c r="BT177" s="44">
        <f t="shared" si="328"/>
        <v>0</v>
      </c>
      <c r="BU177" s="44">
        <f t="shared" si="329"/>
        <v>0</v>
      </c>
      <c r="BV177" s="44">
        <f t="shared" si="330"/>
        <v>300000</v>
      </c>
      <c r="BW177" s="44">
        <f t="shared" si="331"/>
        <v>300000</v>
      </c>
      <c r="BX177" s="44">
        <f t="shared" si="269"/>
        <v>9000</v>
      </c>
      <c r="BY177" s="44">
        <f t="shared" si="332"/>
        <v>9000</v>
      </c>
      <c r="BZ177" s="44">
        <f t="shared" si="270"/>
        <v>214500</v>
      </c>
      <c r="CA177" s="44">
        <f t="shared" si="333"/>
        <v>214500</v>
      </c>
      <c r="CB177" s="44">
        <f t="shared" si="271"/>
        <v>85500</v>
      </c>
      <c r="CC177" s="46">
        <f t="shared" si="272"/>
        <v>0</v>
      </c>
      <c r="CD177" s="47">
        <f t="shared" si="273"/>
        <v>0</v>
      </c>
      <c r="CE177" s="604">
        <f t="shared" si="334"/>
        <v>0</v>
      </c>
      <c r="CF177" s="44">
        <f t="shared" si="335"/>
        <v>0</v>
      </c>
      <c r="CG177" s="44">
        <f t="shared" si="336"/>
        <v>0</v>
      </c>
      <c r="CH177" s="44">
        <f t="shared" si="337"/>
        <v>0</v>
      </c>
      <c r="CI177" s="44">
        <f t="shared" si="338"/>
        <v>300000</v>
      </c>
      <c r="CJ177" s="44">
        <f t="shared" si="339"/>
        <v>300000</v>
      </c>
      <c r="CK177" s="44">
        <f t="shared" si="274"/>
        <v>9000</v>
      </c>
      <c r="CL177" s="44">
        <f t="shared" si="340"/>
        <v>9000</v>
      </c>
      <c r="CM177" s="44">
        <f t="shared" si="275"/>
        <v>205500</v>
      </c>
      <c r="CN177" s="44">
        <f t="shared" si="341"/>
        <v>205500</v>
      </c>
      <c r="CO177" s="44">
        <f t="shared" si="276"/>
        <v>94500</v>
      </c>
      <c r="CP177" s="46">
        <f t="shared" si="277"/>
        <v>0</v>
      </c>
      <c r="CQ177" s="47">
        <f t="shared" si="278"/>
        <v>0</v>
      </c>
      <c r="CR177" s="604">
        <f t="shared" si="342"/>
        <v>0</v>
      </c>
      <c r="CS177" s="44">
        <f t="shared" si="343"/>
        <v>0</v>
      </c>
      <c r="CT177" s="44">
        <f t="shared" si="344"/>
        <v>0</v>
      </c>
      <c r="CU177" s="44">
        <f t="shared" si="345"/>
        <v>0</v>
      </c>
      <c r="CV177" s="44">
        <f t="shared" si="346"/>
        <v>300000</v>
      </c>
      <c r="CW177" s="44">
        <f t="shared" si="347"/>
        <v>300000</v>
      </c>
      <c r="CX177" s="44">
        <f t="shared" si="279"/>
        <v>9000</v>
      </c>
      <c r="CY177" s="44">
        <f t="shared" si="348"/>
        <v>9000</v>
      </c>
      <c r="CZ177" s="44">
        <f t="shared" si="280"/>
        <v>196500</v>
      </c>
      <c r="DA177" s="44">
        <f t="shared" si="349"/>
        <v>196500</v>
      </c>
      <c r="DB177" s="44">
        <f t="shared" si="281"/>
        <v>103500</v>
      </c>
      <c r="DC177" s="46">
        <f t="shared" si="282"/>
        <v>0</v>
      </c>
      <c r="DD177" s="47">
        <f t="shared" si="283"/>
        <v>0</v>
      </c>
      <c r="DE177" s="604">
        <f t="shared" si="350"/>
        <v>0</v>
      </c>
      <c r="DF177" s="44">
        <f t="shared" si="351"/>
        <v>0</v>
      </c>
      <c r="DG177" s="44">
        <f t="shared" si="352"/>
        <v>0</v>
      </c>
      <c r="DH177" s="44">
        <f t="shared" si="353"/>
        <v>0</v>
      </c>
      <c r="DI177" s="44">
        <f t="shared" si="354"/>
        <v>300000</v>
      </c>
      <c r="DJ177" s="44">
        <f t="shared" si="355"/>
        <v>300000</v>
      </c>
      <c r="DK177" s="44">
        <f t="shared" si="284"/>
        <v>9000</v>
      </c>
      <c r="DL177" s="44">
        <f t="shared" si="356"/>
        <v>9000</v>
      </c>
      <c r="DM177" s="44">
        <f t="shared" si="285"/>
        <v>187500</v>
      </c>
      <c r="DN177" s="44">
        <f t="shared" si="357"/>
        <v>187500</v>
      </c>
      <c r="DO177" s="44">
        <f t="shared" si="286"/>
        <v>112500</v>
      </c>
      <c r="DP177" s="46">
        <f t="shared" si="287"/>
        <v>0</v>
      </c>
      <c r="DQ177" s="47">
        <f t="shared" si="288"/>
        <v>0</v>
      </c>
      <c r="DR177" s="604">
        <f t="shared" si="358"/>
        <v>0</v>
      </c>
      <c r="DS177" s="44">
        <f t="shared" si="359"/>
        <v>0</v>
      </c>
      <c r="DT177" s="44">
        <f t="shared" si="360"/>
        <v>0</v>
      </c>
      <c r="DU177" s="44">
        <f t="shared" si="361"/>
        <v>0</v>
      </c>
      <c r="DV177" s="44">
        <f t="shared" si="362"/>
        <v>300000</v>
      </c>
      <c r="DW177" s="44">
        <f t="shared" si="363"/>
        <v>300000</v>
      </c>
      <c r="DX177" s="44">
        <f t="shared" si="289"/>
        <v>9000</v>
      </c>
      <c r="DY177" s="44">
        <f t="shared" si="364"/>
        <v>9000</v>
      </c>
      <c r="DZ177" s="44">
        <f t="shared" si="290"/>
        <v>178500</v>
      </c>
      <c r="EA177" s="44">
        <f t="shared" si="365"/>
        <v>178500</v>
      </c>
      <c r="EB177" s="44">
        <f t="shared" si="291"/>
        <v>121500</v>
      </c>
      <c r="EC177" s="46">
        <f t="shared" si="292"/>
        <v>0</v>
      </c>
      <c r="ED177" s="47">
        <f t="shared" si="293"/>
        <v>0</v>
      </c>
    </row>
    <row r="178" spans="1:134" x14ac:dyDescent="0.35">
      <c r="A178" s="81">
        <v>1994</v>
      </c>
      <c r="B178" s="82" t="s">
        <v>335</v>
      </c>
      <c r="C178" s="82"/>
      <c r="D178" s="83" t="s">
        <v>49</v>
      </c>
      <c r="E178" s="87">
        <v>21000</v>
      </c>
      <c r="F178" s="85">
        <v>34516</v>
      </c>
      <c r="G178" s="86">
        <v>10</v>
      </c>
      <c r="H178" s="179"/>
      <c r="I178" s="180"/>
      <c r="J178" s="181"/>
      <c r="K178" s="42">
        <f t="shared" si="244"/>
        <v>0.1</v>
      </c>
      <c r="L178" s="43">
        <f t="shared" si="245"/>
        <v>2100</v>
      </c>
      <c r="M178" s="44">
        <f t="shared" si="246"/>
        <v>0</v>
      </c>
      <c r="N178" s="44"/>
      <c r="O178" s="44">
        <f t="shared" si="247"/>
        <v>21000</v>
      </c>
      <c r="P178" s="45"/>
      <c r="Q178" s="44">
        <f t="shared" si="248"/>
        <v>21000</v>
      </c>
      <c r="R178" s="604">
        <f t="shared" si="294"/>
        <v>0</v>
      </c>
      <c r="S178" s="44">
        <f t="shared" si="295"/>
        <v>0</v>
      </c>
      <c r="T178" s="44">
        <f t="shared" si="296"/>
        <v>0</v>
      </c>
      <c r="U178" s="44">
        <f t="shared" si="297"/>
        <v>0</v>
      </c>
      <c r="V178" s="44">
        <f t="shared" si="298"/>
        <v>21000</v>
      </c>
      <c r="W178" s="44">
        <f t="shared" si="299"/>
        <v>0</v>
      </c>
      <c r="X178" s="44">
        <f t="shared" si="249"/>
        <v>0</v>
      </c>
      <c r="Y178" s="44">
        <f t="shared" si="300"/>
        <v>0</v>
      </c>
      <c r="Z178" s="44">
        <f t="shared" si="250"/>
        <v>0</v>
      </c>
      <c r="AA178" s="44">
        <f t="shared" si="301"/>
        <v>0</v>
      </c>
      <c r="AB178" s="44">
        <f t="shared" si="251"/>
        <v>21000</v>
      </c>
      <c r="AC178" s="46">
        <f t="shared" si="252"/>
        <v>0</v>
      </c>
      <c r="AD178" s="47">
        <f t="shared" si="253"/>
        <v>0</v>
      </c>
      <c r="AE178" s="604">
        <f t="shared" si="302"/>
        <v>0</v>
      </c>
      <c r="AF178" s="44">
        <f t="shared" si="303"/>
        <v>0</v>
      </c>
      <c r="AG178" s="44">
        <f t="shared" si="304"/>
        <v>0</v>
      </c>
      <c r="AH178" s="44">
        <f t="shared" si="305"/>
        <v>0</v>
      </c>
      <c r="AI178" s="44">
        <f t="shared" si="306"/>
        <v>21000</v>
      </c>
      <c r="AJ178" s="44">
        <f t="shared" si="307"/>
        <v>0</v>
      </c>
      <c r="AK178" s="44">
        <f t="shared" si="254"/>
        <v>0</v>
      </c>
      <c r="AL178" s="44">
        <f t="shared" si="308"/>
        <v>0</v>
      </c>
      <c r="AM178" s="44">
        <f t="shared" si="255"/>
        <v>0</v>
      </c>
      <c r="AN178" s="44">
        <f t="shared" si="309"/>
        <v>0</v>
      </c>
      <c r="AO178" s="44">
        <f t="shared" si="256"/>
        <v>21000</v>
      </c>
      <c r="AP178" s="46">
        <f t="shared" si="257"/>
        <v>0</v>
      </c>
      <c r="AQ178" s="47">
        <f t="shared" si="258"/>
        <v>0</v>
      </c>
      <c r="AR178" s="604">
        <f t="shared" si="310"/>
        <v>0</v>
      </c>
      <c r="AS178" s="44">
        <f t="shared" si="311"/>
        <v>0</v>
      </c>
      <c r="AT178" s="44">
        <f t="shared" si="312"/>
        <v>0</v>
      </c>
      <c r="AU178" s="44">
        <f t="shared" si="313"/>
        <v>0</v>
      </c>
      <c r="AV178" s="44">
        <f t="shared" si="314"/>
        <v>21000</v>
      </c>
      <c r="AW178" s="44">
        <f t="shared" si="315"/>
        <v>0</v>
      </c>
      <c r="AX178" s="44">
        <f t="shared" si="259"/>
        <v>0</v>
      </c>
      <c r="AY178" s="44">
        <f t="shared" si="316"/>
        <v>0</v>
      </c>
      <c r="AZ178" s="44">
        <f t="shared" si="260"/>
        <v>0</v>
      </c>
      <c r="BA178" s="44">
        <f t="shared" si="317"/>
        <v>0</v>
      </c>
      <c r="BB178" s="44">
        <f t="shared" si="261"/>
        <v>21000</v>
      </c>
      <c r="BC178" s="46">
        <f t="shared" si="262"/>
        <v>0</v>
      </c>
      <c r="BD178" s="47">
        <f t="shared" si="263"/>
        <v>0</v>
      </c>
      <c r="BE178" s="604">
        <f t="shared" si="318"/>
        <v>0</v>
      </c>
      <c r="BF178" s="44">
        <f t="shared" si="319"/>
        <v>0</v>
      </c>
      <c r="BG178" s="44">
        <f t="shared" si="320"/>
        <v>0</v>
      </c>
      <c r="BH178" s="44">
        <f t="shared" si="321"/>
        <v>0</v>
      </c>
      <c r="BI178" s="44">
        <f t="shared" si="322"/>
        <v>21000</v>
      </c>
      <c r="BJ178" s="44">
        <f t="shared" si="323"/>
        <v>0</v>
      </c>
      <c r="BK178" s="44">
        <f t="shared" si="264"/>
        <v>0</v>
      </c>
      <c r="BL178" s="44">
        <f t="shared" si="324"/>
        <v>0</v>
      </c>
      <c r="BM178" s="44">
        <f t="shared" si="265"/>
        <v>0</v>
      </c>
      <c r="BN178" s="44">
        <f t="shared" si="325"/>
        <v>0</v>
      </c>
      <c r="BO178" s="44">
        <f t="shared" si="266"/>
        <v>21000</v>
      </c>
      <c r="BP178" s="46">
        <f t="shared" si="267"/>
        <v>0</v>
      </c>
      <c r="BQ178" s="47">
        <f t="shared" si="268"/>
        <v>0</v>
      </c>
      <c r="BR178" s="604">
        <f t="shared" si="326"/>
        <v>0</v>
      </c>
      <c r="BS178" s="44">
        <f t="shared" si="327"/>
        <v>0</v>
      </c>
      <c r="BT178" s="44">
        <f t="shared" si="328"/>
        <v>0</v>
      </c>
      <c r="BU178" s="44">
        <f t="shared" si="329"/>
        <v>0</v>
      </c>
      <c r="BV178" s="44">
        <f t="shared" si="330"/>
        <v>21000</v>
      </c>
      <c r="BW178" s="44">
        <f t="shared" si="331"/>
        <v>0</v>
      </c>
      <c r="BX178" s="44">
        <f t="shared" si="269"/>
        <v>0</v>
      </c>
      <c r="BY178" s="44">
        <f t="shared" si="332"/>
        <v>0</v>
      </c>
      <c r="BZ178" s="44">
        <f t="shared" si="270"/>
        <v>0</v>
      </c>
      <c r="CA178" s="44">
        <f t="shared" si="333"/>
        <v>0</v>
      </c>
      <c r="CB178" s="44">
        <f t="shared" si="271"/>
        <v>21000</v>
      </c>
      <c r="CC178" s="46">
        <f t="shared" si="272"/>
        <v>0</v>
      </c>
      <c r="CD178" s="47">
        <f t="shared" si="273"/>
        <v>0</v>
      </c>
      <c r="CE178" s="604">
        <f t="shared" si="334"/>
        <v>0</v>
      </c>
      <c r="CF178" s="44">
        <f t="shared" si="335"/>
        <v>0</v>
      </c>
      <c r="CG178" s="44">
        <f t="shared" si="336"/>
        <v>0</v>
      </c>
      <c r="CH178" s="44">
        <f t="shared" si="337"/>
        <v>0</v>
      </c>
      <c r="CI178" s="44">
        <f t="shared" si="338"/>
        <v>21000</v>
      </c>
      <c r="CJ178" s="44">
        <f t="shared" si="339"/>
        <v>0</v>
      </c>
      <c r="CK178" s="44">
        <f t="shared" si="274"/>
        <v>0</v>
      </c>
      <c r="CL178" s="44">
        <f t="shared" si="340"/>
        <v>0</v>
      </c>
      <c r="CM178" s="44">
        <f t="shared" si="275"/>
        <v>0</v>
      </c>
      <c r="CN178" s="44">
        <f t="shared" si="341"/>
        <v>0</v>
      </c>
      <c r="CO178" s="44">
        <f t="shared" si="276"/>
        <v>21000</v>
      </c>
      <c r="CP178" s="46">
        <f t="shared" si="277"/>
        <v>0</v>
      </c>
      <c r="CQ178" s="47">
        <f t="shared" si="278"/>
        <v>0</v>
      </c>
      <c r="CR178" s="604">
        <f t="shared" si="342"/>
        <v>0</v>
      </c>
      <c r="CS178" s="44">
        <f t="shared" si="343"/>
        <v>0</v>
      </c>
      <c r="CT178" s="44">
        <f t="shared" si="344"/>
        <v>0</v>
      </c>
      <c r="CU178" s="44">
        <f t="shared" si="345"/>
        <v>0</v>
      </c>
      <c r="CV178" s="44">
        <f t="shared" si="346"/>
        <v>21000</v>
      </c>
      <c r="CW178" s="44">
        <f t="shared" si="347"/>
        <v>0</v>
      </c>
      <c r="CX178" s="44">
        <f t="shared" si="279"/>
        <v>0</v>
      </c>
      <c r="CY178" s="44">
        <f t="shared" si="348"/>
        <v>0</v>
      </c>
      <c r="CZ178" s="44">
        <f t="shared" si="280"/>
        <v>0</v>
      </c>
      <c r="DA178" s="44">
        <f t="shared" si="349"/>
        <v>0</v>
      </c>
      <c r="DB178" s="44">
        <f t="shared" si="281"/>
        <v>21000</v>
      </c>
      <c r="DC178" s="46">
        <f t="shared" si="282"/>
        <v>0</v>
      </c>
      <c r="DD178" s="47">
        <f t="shared" si="283"/>
        <v>0</v>
      </c>
      <c r="DE178" s="604">
        <f t="shared" si="350"/>
        <v>0</v>
      </c>
      <c r="DF178" s="44">
        <f t="shared" si="351"/>
        <v>0</v>
      </c>
      <c r="DG178" s="44">
        <f t="shared" si="352"/>
        <v>0</v>
      </c>
      <c r="DH178" s="44">
        <f t="shared" si="353"/>
        <v>0</v>
      </c>
      <c r="DI178" s="44">
        <f t="shared" si="354"/>
        <v>21000</v>
      </c>
      <c r="DJ178" s="44">
        <f t="shared" si="355"/>
        <v>0</v>
      </c>
      <c r="DK178" s="44">
        <f t="shared" si="284"/>
        <v>0</v>
      </c>
      <c r="DL178" s="44">
        <f t="shared" si="356"/>
        <v>0</v>
      </c>
      <c r="DM178" s="44">
        <f t="shared" si="285"/>
        <v>0</v>
      </c>
      <c r="DN178" s="44">
        <f t="shared" si="357"/>
        <v>0</v>
      </c>
      <c r="DO178" s="44">
        <f t="shared" si="286"/>
        <v>21000</v>
      </c>
      <c r="DP178" s="46">
        <f t="shared" si="287"/>
        <v>0</v>
      </c>
      <c r="DQ178" s="47">
        <f t="shared" si="288"/>
        <v>0</v>
      </c>
      <c r="DR178" s="604">
        <f t="shared" si="358"/>
        <v>0</v>
      </c>
      <c r="DS178" s="44">
        <f t="shared" si="359"/>
        <v>0</v>
      </c>
      <c r="DT178" s="44">
        <f t="shared" si="360"/>
        <v>0</v>
      </c>
      <c r="DU178" s="44">
        <f t="shared" si="361"/>
        <v>0</v>
      </c>
      <c r="DV178" s="44">
        <f t="shared" si="362"/>
        <v>21000</v>
      </c>
      <c r="DW178" s="44">
        <f t="shared" si="363"/>
        <v>0</v>
      </c>
      <c r="DX178" s="44">
        <f t="shared" si="289"/>
        <v>0</v>
      </c>
      <c r="DY178" s="44">
        <f t="shared" si="364"/>
        <v>0</v>
      </c>
      <c r="DZ178" s="44">
        <f t="shared" si="290"/>
        <v>0</v>
      </c>
      <c r="EA178" s="44">
        <f t="shared" si="365"/>
        <v>0</v>
      </c>
      <c r="EB178" s="44">
        <f t="shared" si="291"/>
        <v>21000</v>
      </c>
      <c r="EC178" s="46">
        <f t="shared" si="292"/>
        <v>0</v>
      </c>
      <c r="ED178" s="47">
        <f t="shared" si="293"/>
        <v>0</v>
      </c>
    </row>
    <row r="179" spans="1:134" x14ac:dyDescent="0.35">
      <c r="A179" s="81">
        <v>1994</v>
      </c>
      <c r="B179" s="82" t="s">
        <v>336</v>
      </c>
      <c r="C179" s="82"/>
      <c r="D179" s="83" t="s">
        <v>49</v>
      </c>
      <c r="E179" s="87">
        <v>25000</v>
      </c>
      <c r="F179" s="85">
        <v>34516</v>
      </c>
      <c r="G179" s="86">
        <v>10</v>
      </c>
      <c r="H179" s="179"/>
      <c r="I179" s="180"/>
      <c r="J179" s="181"/>
      <c r="K179" s="42">
        <f t="shared" si="244"/>
        <v>0.1</v>
      </c>
      <c r="L179" s="43">
        <f t="shared" si="245"/>
        <v>2500</v>
      </c>
      <c r="M179" s="44">
        <f t="shared" si="246"/>
        <v>0</v>
      </c>
      <c r="N179" s="44"/>
      <c r="O179" s="44">
        <f t="shared" si="247"/>
        <v>25000</v>
      </c>
      <c r="P179" s="45"/>
      <c r="Q179" s="44">
        <f t="shared" si="248"/>
        <v>25000</v>
      </c>
      <c r="R179" s="604">
        <f t="shared" si="294"/>
        <v>0</v>
      </c>
      <c r="S179" s="44">
        <f t="shared" si="295"/>
        <v>0</v>
      </c>
      <c r="T179" s="44">
        <f t="shared" si="296"/>
        <v>0</v>
      </c>
      <c r="U179" s="44">
        <f t="shared" si="297"/>
        <v>0</v>
      </c>
      <c r="V179" s="44">
        <f t="shared" si="298"/>
        <v>25000</v>
      </c>
      <c r="W179" s="44">
        <f t="shared" si="299"/>
        <v>0</v>
      </c>
      <c r="X179" s="44">
        <f t="shared" si="249"/>
        <v>0</v>
      </c>
      <c r="Y179" s="44">
        <f t="shared" si="300"/>
        <v>0</v>
      </c>
      <c r="Z179" s="44">
        <f t="shared" si="250"/>
        <v>0</v>
      </c>
      <c r="AA179" s="44">
        <f t="shared" si="301"/>
        <v>0</v>
      </c>
      <c r="AB179" s="44">
        <f t="shared" si="251"/>
        <v>25000</v>
      </c>
      <c r="AC179" s="46">
        <f t="shared" si="252"/>
        <v>0</v>
      </c>
      <c r="AD179" s="47">
        <f t="shared" si="253"/>
        <v>0</v>
      </c>
      <c r="AE179" s="604">
        <f t="shared" si="302"/>
        <v>0</v>
      </c>
      <c r="AF179" s="44">
        <f t="shared" si="303"/>
        <v>0</v>
      </c>
      <c r="AG179" s="44">
        <f t="shared" si="304"/>
        <v>0</v>
      </c>
      <c r="AH179" s="44">
        <f t="shared" si="305"/>
        <v>0</v>
      </c>
      <c r="AI179" s="44">
        <f t="shared" si="306"/>
        <v>25000</v>
      </c>
      <c r="AJ179" s="44">
        <f t="shared" si="307"/>
        <v>0</v>
      </c>
      <c r="AK179" s="44">
        <f t="shared" si="254"/>
        <v>0</v>
      </c>
      <c r="AL179" s="44">
        <f t="shared" si="308"/>
        <v>0</v>
      </c>
      <c r="AM179" s="44">
        <f t="shared" si="255"/>
        <v>0</v>
      </c>
      <c r="AN179" s="44">
        <f t="shared" si="309"/>
        <v>0</v>
      </c>
      <c r="AO179" s="44">
        <f t="shared" si="256"/>
        <v>25000</v>
      </c>
      <c r="AP179" s="46">
        <f t="shared" si="257"/>
        <v>0</v>
      </c>
      <c r="AQ179" s="47">
        <f t="shared" si="258"/>
        <v>0</v>
      </c>
      <c r="AR179" s="604">
        <f t="shared" si="310"/>
        <v>0</v>
      </c>
      <c r="AS179" s="44">
        <f t="shared" si="311"/>
        <v>0</v>
      </c>
      <c r="AT179" s="44">
        <f t="shared" si="312"/>
        <v>0</v>
      </c>
      <c r="AU179" s="44">
        <f t="shared" si="313"/>
        <v>0</v>
      </c>
      <c r="AV179" s="44">
        <f t="shared" si="314"/>
        <v>25000</v>
      </c>
      <c r="AW179" s="44">
        <f t="shared" si="315"/>
        <v>0</v>
      </c>
      <c r="AX179" s="44">
        <f t="shared" si="259"/>
        <v>0</v>
      </c>
      <c r="AY179" s="44">
        <f t="shared" si="316"/>
        <v>0</v>
      </c>
      <c r="AZ179" s="44">
        <f t="shared" si="260"/>
        <v>0</v>
      </c>
      <c r="BA179" s="44">
        <f t="shared" si="317"/>
        <v>0</v>
      </c>
      <c r="BB179" s="44">
        <f t="shared" si="261"/>
        <v>25000</v>
      </c>
      <c r="BC179" s="46">
        <f t="shared" si="262"/>
        <v>0</v>
      </c>
      <c r="BD179" s="47">
        <f t="shared" si="263"/>
        <v>0</v>
      </c>
      <c r="BE179" s="604">
        <f t="shared" si="318"/>
        <v>0</v>
      </c>
      <c r="BF179" s="44">
        <f t="shared" si="319"/>
        <v>0</v>
      </c>
      <c r="BG179" s="44">
        <f t="shared" si="320"/>
        <v>0</v>
      </c>
      <c r="BH179" s="44">
        <f t="shared" si="321"/>
        <v>0</v>
      </c>
      <c r="BI179" s="44">
        <f t="shared" si="322"/>
        <v>25000</v>
      </c>
      <c r="BJ179" s="44">
        <f t="shared" si="323"/>
        <v>0</v>
      </c>
      <c r="BK179" s="44">
        <f t="shared" si="264"/>
        <v>0</v>
      </c>
      <c r="BL179" s="44">
        <f t="shared" si="324"/>
        <v>0</v>
      </c>
      <c r="BM179" s="44">
        <f t="shared" si="265"/>
        <v>0</v>
      </c>
      <c r="BN179" s="44">
        <f t="shared" si="325"/>
        <v>0</v>
      </c>
      <c r="BO179" s="44">
        <f t="shared" si="266"/>
        <v>25000</v>
      </c>
      <c r="BP179" s="46">
        <f t="shared" si="267"/>
        <v>0</v>
      </c>
      <c r="BQ179" s="47">
        <f t="shared" si="268"/>
        <v>0</v>
      </c>
      <c r="BR179" s="604">
        <f t="shared" si="326"/>
        <v>0</v>
      </c>
      <c r="BS179" s="44">
        <f t="shared" si="327"/>
        <v>0</v>
      </c>
      <c r="BT179" s="44">
        <f t="shared" si="328"/>
        <v>0</v>
      </c>
      <c r="BU179" s="44">
        <f t="shared" si="329"/>
        <v>0</v>
      </c>
      <c r="BV179" s="44">
        <f t="shared" si="330"/>
        <v>25000</v>
      </c>
      <c r="BW179" s="44">
        <f t="shared" si="331"/>
        <v>0</v>
      </c>
      <c r="BX179" s="44">
        <f t="shared" si="269"/>
        <v>0</v>
      </c>
      <c r="BY179" s="44">
        <f t="shared" si="332"/>
        <v>0</v>
      </c>
      <c r="BZ179" s="44">
        <f t="shared" si="270"/>
        <v>0</v>
      </c>
      <c r="CA179" s="44">
        <f t="shared" si="333"/>
        <v>0</v>
      </c>
      <c r="CB179" s="44">
        <f t="shared" si="271"/>
        <v>25000</v>
      </c>
      <c r="CC179" s="46">
        <f t="shared" si="272"/>
        <v>0</v>
      </c>
      <c r="CD179" s="47">
        <f t="shared" si="273"/>
        <v>0</v>
      </c>
      <c r="CE179" s="604">
        <f t="shared" si="334"/>
        <v>0</v>
      </c>
      <c r="CF179" s="44">
        <f t="shared" si="335"/>
        <v>0</v>
      </c>
      <c r="CG179" s="44">
        <f t="shared" si="336"/>
        <v>0</v>
      </c>
      <c r="CH179" s="44">
        <f t="shared" si="337"/>
        <v>0</v>
      </c>
      <c r="CI179" s="44">
        <f t="shared" si="338"/>
        <v>25000</v>
      </c>
      <c r="CJ179" s="44">
        <f t="shared" si="339"/>
        <v>0</v>
      </c>
      <c r="CK179" s="44">
        <f t="shared" si="274"/>
        <v>0</v>
      </c>
      <c r="CL179" s="44">
        <f t="shared" si="340"/>
        <v>0</v>
      </c>
      <c r="CM179" s="44">
        <f t="shared" si="275"/>
        <v>0</v>
      </c>
      <c r="CN179" s="44">
        <f t="shared" si="341"/>
        <v>0</v>
      </c>
      <c r="CO179" s="44">
        <f t="shared" si="276"/>
        <v>25000</v>
      </c>
      <c r="CP179" s="46">
        <f t="shared" si="277"/>
        <v>0</v>
      </c>
      <c r="CQ179" s="47">
        <f t="shared" si="278"/>
        <v>0</v>
      </c>
      <c r="CR179" s="604">
        <f t="shared" si="342"/>
        <v>0</v>
      </c>
      <c r="CS179" s="44">
        <f t="shared" si="343"/>
        <v>0</v>
      </c>
      <c r="CT179" s="44">
        <f t="shared" si="344"/>
        <v>0</v>
      </c>
      <c r="CU179" s="44">
        <f t="shared" si="345"/>
        <v>0</v>
      </c>
      <c r="CV179" s="44">
        <f t="shared" si="346"/>
        <v>25000</v>
      </c>
      <c r="CW179" s="44">
        <f t="shared" si="347"/>
        <v>0</v>
      </c>
      <c r="CX179" s="44">
        <f t="shared" si="279"/>
        <v>0</v>
      </c>
      <c r="CY179" s="44">
        <f t="shared" si="348"/>
        <v>0</v>
      </c>
      <c r="CZ179" s="44">
        <f t="shared" si="280"/>
        <v>0</v>
      </c>
      <c r="DA179" s="44">
        <f t="shared" si="349"/>
        <v>0</v>
      </c>
      <c r="DB179" s="44">
        <f t="shared" si="281"/>
        <v>25000</v>
      </c>
      <c r="DC179" s="46">
        <f t="shared" si="282"/>
        <v>0</v>
      </c>
      <c r="DD179" s="47">
        <f t="shared" si="283"/>
        <v>0</v>
      </c>
      <c r="DE179" s="604">
        <f t="shared" si="350"/>
        <v>0</v>
      </c>
      <c r="DF179" s="44">
        <f t="shared" si="351"/>
        <v>0</v>
      </c>
      <c r="DG179" s="44">
        <f t="shared" si="352"/>
        <v>0</v>
      </c>
      <c r="DH179" s="44">
        <f t="shared" si="353"/>
        <v>0</v>
      </c>
      <c r="DI179" s="44">
        <f t="shared" si="354"/>
        <v>25000</v>
      </c>
      <c r="DJ179" s="44">
        <f t="shared" si="355"/>
        <v>0</v>
      </c>
      <c r="DK179" s="44">
        <f t="shared" si="284"/>
        <v>0</v>
      </c>
      <c r="DL179" s="44">
        <f t="shared" si="356"/>
        <v>0</v>
      </c>
      <c r="DM179" s="44">
        <f t="shared" si="285"/>
        <v>0</v>
      </c>
      <c r="DN179" s="44">
        <f t="shared" si="357"/>
        <v>0</v>
      </c>
      <c r="DO179" s="44">
        <f t="shared" si="286"/>
        <v>25000</v>
      </c>
      <c r="DP179" s="46">
        <f t="shared" si="287"/>
        <v>0</v>
      </c>
      <c r="DQ179" s="47">
        <f t="shared" si="288"/>
        <v>0</v>
      </c>
      <c r="DR179" s="604">
        <f t="shared" si="358"/>
        <v>0</v>
      </c>
      <c r="DS179" s="44">
        <f t="shared" si="359"/>
        <v>0</v>
      </c>
      <c r="DT179" s="44">
        <f t="shared" si="360"/>
        <v>0</v>
      </c>
      <c r="DU179" s="44">
        <f t="shared" si="361"/>
        <v>0</v>
      </c>
      <c r="DV179" s="44">
        <f t="shared" si="362"/>
        <v>25000</v>
      </c>
      <c r="DW179" s="44">
        <f t="shared" si="363"/>
        <v>0</v>
      </c>
      <c r="DX179" s="44">
        <f t="shared" si="289"/>
        <v>0</v>
      </c>
      <c r="DY179" s="44">
        <f t="shared" si="364"/>
        <v>0</v>
      </c>
      <c r="DZ179" s="44">
        <f t="shared" si="290"/>
        <v>0</v>
      </c>
      <c r="EA179" s="44">
        <f t="shared" si="365"/>
        <v>0</v>
      </c>
      <c r="EB179" s="44">
        <f t="shared" si="291"/>
        <v>25000</v>
      </c>
      <c r="EC179" s="46">
        <f t="shared" si="292"/>
        <v>0</v>
      </c>
      <c r="ED179" s="47">
        <f t="shared" si="293"/>
        <v>0</v>
      </c>
    </row>
    <row r="180" spans="1:134" x14ac:dyDescent="0.35">
      <c r="A180" s="81">
        <v>1996</v>
      </c>
      <c r="B180" s="82" t="s">
        <v>337</v>
      </c>
      <c r="C180" s="82"/>
      <c r="D180" s="83" t="s">
        <v>49</v>
      </c>
      <c r="E180" s="87">
        <v>33000</v>
      </c>
      <c r="F180" s="85">
        <v>35247</v>
      </c>
      <c r="G180" s="86">
        <v>10</v>
      </c>
      <c r="H180" s="179"/>
      <c r="I180" s="180"/>
      <c r="J180" s="181"/>
      <c r="K180" s="42">
        <f t="shared" si="244"/>
        <v>0.1</v>
      </c>
      <c r="L180" s="43">
        <f t="shared" si="245"/>
        <v>3300</v>
      </c>
      <c r="M180" s="44">
        <f t="shared" si="246"/>
        <v>0</v>
      </c>
      <c r="N180" s="44"/>
      <c r="O180" s="44">
        <f t="shared" si="247"/>
        <v>33000</v>
      </c>
      <c r="P180" s="45"/>
      <c r="Q180" s="44">
        <f t="shared" si="248"/>
        <v>33000</v>
      </c>
      <c r="R180" s="604">
        <f t="shared" si="294"/>
        <v>0</v>
      </c>
      <c r="S180" s="44">
        <f t="shared" si="295"/>
        <v>0</v>
      </c>
      <c r="T180" s="44">
        <f t="shared" si="296"/>
        <v>0</v>
      </c>
      <c r="U180" s="44">
        <f t="shared" si="297"/>
        <v>0</v>
      </c>
      <c r="V180" s="44">
        <f t="shared" si="298"/>
        <v>33000</v>
      </c>
      <c r="W180" s="44">
        <f t="shared" si="299"/>
        <v>0</v>
      </c>
      <c r="X180" s="44">
        <f t="shared" si="249"/>
        <v>0</v>
      </c>
      <c r="Y180" s="44">
        <f t="shared" si="300"/>
        <v>0</v>
      </c>
      <c r="Z180" s="44">
        <f t="shared" si="250"/>
        <v>0</v>
      </c>
      <c r="AA180" s="44">
        <f t="shared" si="301"/>
        <v>0</v>
      </c>
      <c r="AB180" s="44">
        <f t="shared" si="251"/>
        <v>33000</v>
      </c>
      <c r="AC180" s="46">
        <f t="shared" si="252"/>
        <v>0</v>
      </c>
      <c r="AD180" s="47">
        <f t="shared" si="253"/>
        <v>0</v>
      </c>
      <c r="AE180" s="604">
        <f t="shared" si="302"/>
        <v>0</v>
      </c>
      <c r="AF180" s="44">
        <f t="shared" si="303"/>
        <v>0</v>
      </c>
      <c r="AG180" s="44">
        <f t="shared" si="304"/>
        <v>0</v>
      </c>
      <c r="AH180" s="44">
        <f t="shared" si="305"/>
        <v>0</v>
      </c>
      <c r="AI180" s="44">
        <f t="shared" si="306"/>
        <v>33000</v>
      </c>
      <c r="AJ180" s="44">
        <f t="shared" si="307"/>
        <v>0</v>
      </c>
      <c r="AK180" s="44">
        <f t="shared" si="254"/>
        <v>0</v>
      </c>
      <c r="AL180" s="44">
        <f t="shared" si="308"/>
        <v>0</v>
      </c>
      <c r="AM180" s="44">
        <f t="shared" si="255"/>
        <v>0</v>
      </c>
      <c r="AN180" s="44">
        <f t="shared" si="309"/>
        <v>0</v>
      </c>
      <c r="AO180" s="44">
        <f t="shared" si="256"/>
        <v>33000</v>
      </c>
      <c r="AP180" s="46">
        <f t="shared" si="257"/>
        <v>0</v>
      </c>
      <c r="AQ180" s="47">
        <f t="shared" si="258"/>
        <v>0</v>
      </c>
      <c r="AR180" s="604">
        <f t="shared" si="310"/>
        <v>0</v>
      </c>
      <c r="AS180" s="44">
        <f t="shared" si="311"/>
        <v>0</v>
      </c>
      <c r="AT180" s="44">
        <f t="shared" si="312"/>
        <v>0</v>
      </c>
      <c r="AU180" s="44">
        <f t="shared" si="313"/>
        <v>0</v>
      </c>
      <c r="AV180" s="44">
        <f t="shared" si="314"/>
        <v>33000</v>
      </c>
      <c r="AW180" s="44">
        <f t="shared" si="315"/>
        <v>0</v>
      </c>
      <c r="AX180" s="44">
        <f t="shared" si="259"/>
        <v>0</v>
      </c>
      <c r="AY180" s="44">
        <f t="shared" si="316"/>
        <v>0</v>
      </c>
      <c r="AZ180" s="44">
        <f t="shared" si="260"/>
        <v>0</v>
      </c>
      <c r="BA180" s="44">
        <f t="shared" si="317"/>
        <v>0</v>
      </c>
      <c r="BB180" s="44">
        <f t="shared" si="261"/>
        <v>33000</v>
      </c>
      <c r="BC180" s="46">
        <f t="shared" si="262"/>
        <v>0</v>
      </c>
      <c r="BD180" s="47">
        <f t="shared" si="263"/>
        <v>0</v>
      </c>
      <c r="BE180" s="604">
        <f t="shared" si="318"/>
        <v>0</v>
      </c>
      <c r="BF180" s="44">
        <f t="shared" si="319"/>
        <v>0</v>
      </c>
      <c r="BG180" s="44">
        <f t="shared" si="320"/>
        <v>0</v>
      </c>
      <c r="BH180" s="44">
        <f t="shared" si="321"/>
        <v>0</v>
      </c>
      <c r="BI180" s="44">
        <f t="shared" si="322"/>
        <v>33000</v>
      </c>
      <c r="BJ180" s="44">
        <f t="shared" si="323"/>
        <v>0</v>
      </c>
      <c r="BK180" s="44">
        <f t="shared" si="264"/>
        <v>0</v>
      </c>
      <c r="BL180" s="44">
        <f t="shared" si="324"/>
        <v>0</v>
      </c>
      <c r="BM180" s="44">
        <f t="shared" si="265"/>
        <v>0</v>
      </c>
      <c r="BN180" s="44">
        <f t="shared" si="325"/>
        <v>0</v>
      </c>
      <c r="BO180" s="44">
        <f t="shared" si="266"/>
        <v>33000</v>
      </c>
      <c r="BP180" s="46">
        <f t="shared" si="267"/>
        <v>0</v>
      </c>
      <c r="BQ180" s="47">
        <f t="shared" si="268"/>
        <v>0</v>
      </c>
      <c r="BR180" s="604">
        <f t="shared" si="326"/>
        <v>0</v>
      </c>
      <c r="BS180" s="44">
        <f t="shared" si="327"/>
        <v>0</v>
      </c>
      <c r="BT180" s="44">
        <f t="shared" si="328"/>
        <v>0</v>
      </c>
      <c r="BU180" s="44">
        <f t="shared" si="329"/>
        <v>0</v>
      </c>
      <c r="BV180" s="44">
        <f t="shared" si="330"/>
        <v>33000</v>
      </c>
      <c r="BW180" s="44">
        <f t="shared" si="331"/>
        <v>0</v>
      </c>
      <c r="BX180" s="44">
        <f t="shared" si="269"/>
        <v>0</v>
      </c>
      <c r="BY180" s="44">
        <f t="shared" si="332"/>
        <v>0</v>
      </c>
      <c r="BZ180" s="44">
        <f t="shared" si="270"/>
        <v>0</v>
      </c>
      <c r="CA180" s="44">
        <f t="shared" si="333"/>
        <v>0</v>
      </c>
      <c r="CB180" s="44">
        <f t="shared" si="271"/>
        <v>33000</v>
      </c>
      <c r="CC180" s="46">
        <f t="shared" si="272"/>
        <v>0</v>
      </c>
      <c r="CD180" s="47">
        <f t="shared" si="273"/>
        <v>0</v>
      </c>
      <c r="CE180" s="604">
        <f t="shared" si="334"/>
        <v>0</v>
      </c>
      <c r="CF180" s="44">
        <f t="shared" si="335"/>
        <v>0</v>
      </c>
      <c r="CG180" s="44">
        <f t="shared" si="336"/>
        <v>0</v>
      </c>
      <c r="CH180" s="44">
        <f t="shared" si="337"/>
        <v>0</v>
      </c>
      <c r="CI180" s="44">
        <f t="shared" si="338"/>
        <v>33000</v>
      </c>
      <c r="CJ180" s="44">
        <f t="shared" si="339"/>
        <v>0</v>
      </c>
      <c r="CK180" s="44">
        <f t="shared" si="274"/>
        <v>0</v>
      </c>
      <c r="CL180" s="44">
        <f t="shared" si="340"/>
        <v>0</v>
      </c>
      <c r="CM180" s="44">
        <f t="shared" si="275"/>
        <v>0</v>
      </c>
      <c r="CN180" s="44">
        <f t="shared" si="341"/>
        <v>0</v>
      </c>
      <c r="CO180" s="44">
        <f t="shared" si="276"/>
        <v>33000</v>
      </c>
      <c r="CP180" s="46">
        <f t="shared" si="277"/>
        <v>0</v>
      </c>
      <c r="CQ180" s="47">
        <f t="shared" si="278"/>
        <v>0</v>
      </c>
      <c r="CR180" s="604">
        <f t="shared" si="342"/>
        <v>0</v>
      </c>
      <c r="CS180" s="44">
        <f t="shared" si="343"/>
        <v>0</v>
      </c>
      <c r="CT180" s="44">
        <f t="shared" si="344"/>
        <v>0</v>
      </c>
      <c r="CU180" s="44">
        <f t="shared" si="345"/>
        <v>0</v>
      </c>
      <c r="CV180" s="44">
        <f t="shared" si="346"/>
        <v>33000</v>
      </c>
      <c r="CW180" s="44">
        <f t="shared" si="347"/>
        <v>0</v>
      </c>
      <c r="CX180" s="44">
        <f t="shared" si="279"/>
        <v>0</v>
      </c>
      <c r="CY180" s="44">
        <f t="shared" si="348"/>
        <v>0</v>
      </c>
      <c r="CZ180" s="44">
        <f t="shared" si="280"/>
        <v>0</v>
      </c>
      <c r="DA180" s="44">
        <f t="shared" si="349"/>
        <v>0</v>
      </c>
      <c r="DB180" s="44">
        <f t="shared" si="281"/>
        <v>33000</v>
      </c>
      <c r="DC180" s="46">
        <f t="shared" si="282"/>
        <v>0</v>
      </c>
      <c r="DD180" s="47">
        <f t="shared" si="283"/>
        <v>0</v>
      </c>
      <c r="DE180" s="604">
        <f t="shared" si="350"/>
        <v>0</v>
      </c>
      <c r="DF180" s="44">
        <f t="shared" si="351"/>
        <v>0</v>
      </c>
      <c r="DG180" s="44">
        <f t="shared" si="352"/>
        <v>0</v>
      </c>
      <c r="DH180" s="44">
        <f t="shared" si="353"/>
        <v>0</v>
      </c>
      <c r="DI180" s="44">
        <f t="shared" si="354"/>
        <v>33000</v>
      </c>
      <c r="DJ180" s="44">
        <f t="shared" si="355"/>
        <v>0</v>
      </c>
      <c r="DK180" s="44">
        <f t="shared" si="284"/>
        <v>0</v>
      </c>
      <c r="DL180" s="44">
        <f t="shared" si="356"/>
        <v>0</v>
      </c>
      <c r="DM180" s="44">
        <f t="shared" si="285"/>
        <v>0</v>
      </c>
      <c r="DN180" s="44">
        <f t="shared" si="357"/>
        <v>0</v>
      </c>
      <c r="DO180" s="44">
        <f t="shared" si="286"/>
        <v>33000</v>
      </c>
      <c r="DP180" s="46">
        <f t="shared" si="287"/>
        <v>0</v>
      </c>
      <c r="DQ180" s="47">
        <f t="shared" si="288"/>
        <v>0</v>
      </c>
      <c r="DR180" s="604">
        <f t="shared" si="358"/>
        <v>0</v>
      </c>
      <c r="DS180" s="44">
        <f t="shared" si="359"/>
        <v>0</v>
      </c>
      <c r="DT180" s="44">
        <f t="shared" si="360"/>
        <v>0</v>
      </c>
      <c r="DU180" s="44">
        <f t="shared" si="361"/>
        <v>0</v>
      </c>
      <c r="DV180" s="44">
        <f t="shared" si="362"/>
        <v>33000</v>
      </c>
      <c r="DW180" s="44">
        <f t="shared" si="363"/>
        <v>0</v>
      </c>
      <c r="DX180" s="44">
        <f t="shared" si="289"/>
        <v>0</v>
      </c>
      <c r="DY180" s="44">
        <f t="shared" si="364"/>
        <v>0</v>
      </c>
      <c r="DZ180" s="44">
        <f t="shared" si="290"/>
        <v>0</v>
      </c>
      <c r="EA180" s="44">
        <f t="shared" si="365"/>
        <v>0</v>
      </c>
      <c r="EB180" s="44">
        <f t="shared" si="291"/>
        <v>33000</v>
      </c>
      <c r="EC180" s="46">
        <f t="shared" si="292"/>
        <v>0</v>
      </c>
      <c r="ED180" s="47">
        <f t="shared" si="293"/>
        <v>0</v>
      </c>
    </row>
    <row r="181" spans="1:134" x14ac:dyDescent="0.35">
      <c r="A181" s="81">
        <v>1996</v>
      </c>
      <c r="B181" s="82" t="s">
        <v>338</v>
      </c>
      <c r="C181" s="82"/>
      <c r="D181" s="83" t="s">
        <v>49</v>
      </c>
      <c r="E181" s="87">
        <v>20000</v>
      </c>
      <c r="F181" s="85">
        <v>35247</v>
      </c>
      <c r="G181" s="86">
        <v>10</v>
      </c>
      <c r="H181" s="179"/>
      <c r="I181" s="180"/>
      <c r="J181" s="181"/>
      <c r="K181" s="42">
        <f t="shared" si="244"/>
        <v>0.1</v>
      </c>
      <c r="L181" s="43">
        <f t="shared" si="245"/>
        <v>2000</v>
      </c>
      <c r="M181" s="44">
        <f t="shared" si="246"/>
        <v>0</v>
      </c>
      <c r="N181" s="44"/>
      <c r="O181" s="44">
        <f t="shared" si="247"/>
        <v>20000</v>
      </c>
      <c r="P181" s="45"/>
      <c r="Q181" s="44">
        <f t="shared" si="248"/>
        <v>20000</v>
      </c>
      <c r="R181" s="604">
        <f t="shared" si="294"/>
        <v>0</v>
      </c>
      <c r="S181" s="44">
        <f t="shared" si="295"/>
        <v>0</v>
      </c>
      <c r="T181" s="44">
        <f t="shared" si="296"/>
        <v>0</v>
      </c>
      <c r="U181" s="44">
        <f t="shared" si="297"/>
        <v>0</v>
      </c>
      <c r="V181" s="44">
        <f t="shared" si="298"/>
        <v>20000</v>
      </c>
      <c r="W181" s="44">
        <f t="shared" si="299"/>
        <v>0</v>
      </c>
      <c r="X181" s="44">
        <f t="shared" si="249"/>
        <v>0</v>
      </c>
      <c r="Y181" s="44">
        <f t="shared" si="300"/>
        <v>0</v>
      </c>
      <c r="Z181" s="44">
        <f t="shared" si="250"/>
        <v>0</v>
      </c>
      <c r="AA181" s="44">
        <f t="shared" si="301"/>
        <v>0</v>
      </c>
      <c r="AB181" s="44">
        <f t="shared" si="251"/>
        <v>20000</v>
      </c>
      <c r="AC181" s="46">
        <f t="shared" si="252"/>
        <v>0</v>
      </c>
      <c r="AD181" s="47">
        <f t="shared" si="253"/>
        <v>0</v>
      </c>
      <c r="AE181" s="604">
        <f t="shared" si="302"/>
        <v>0</v>
      </c>
      <c r="AF181" s="44">
        <f t="shared" si="303"/>
        <v>0</v>
      </c>
      <c r="AG181" s="44">
        <f t="shared" si="304"/>
        <v>0</v>
      </c>
      <c r="AH181" s="44">
        <f t="shared" si="305"/>
        <v>0</v>
      </c>
      <c r="AI181" s="44">
        <f t="shared" si="306"/>
        <v>20000</v>
      </c>
      <c r="AJ181" s="44">
        <f t="shared" si="307"/>
        <v>0</v>
      </c>
      <c r="AK181" s="44">
        <f t="shared" si="254"/>
        <v>0</v>
      </c>
      <c r="AL181" s="44">
        <f t="shared" si="308"/>
        <v>0</v>
      </c>
      <c r="AM181" s="44">
        <f t="shared" si="255"/>
        <v>0</v>
      </c>
      <c r="AN181" s="44">
        <f t="shared" si="309"/>
        <v>0</v>
      </c>
      <c r="AO181" s="44">
        <f t="shared" si="256"/>
        <v>20000</v>
      </c>
      <c r="AP181" s="46">
        <f t="shared" si="257"/>
        <v>0</v>
      </c>
      <c r="AQ181" s="47">
        <f t="shared" si="258"/>
        <v>0</v>
      </c>
      <c r="AR181" s="604">
        <f t="shared" si="310"/>
        <v>0</v>
      </c>
      <c r="AS181" s="44">
        <f t="shared" si="311"/>
        <v>0</v>
      </c>
      <c r="AT181" s="44">
        <f t="shared" si="312"/>
        <v>0</v>
      </c>
      <c r="AU181" s="44">
        <f t="shared" si="313"/>
        <v>0</v>
      </c>
      <c r="AV181" s="44">
        <f t="shared" si="314"/>
        <v>20000</v>
      </c>
      <c r="AW181" s="44">
        <f t="shared" si="315"/>
        <v>0</v>
      </c>
      <c r="AX181" s="44">
        <f t="shared" si="259"/>
        <v>0</v>
      </c>
      <c r="AY181" s="44">
        <f t="shared" si="316"/>
        <v>0</v>
      </c>
      <c r="AZ181" s="44">
        <f t="shared" si="260"/>
        <v>0</v>
      </c>
      <c r="BA181" s="44">
        <f t="shared" si="317"/>
        <v>0</v>
      </c>
      <c r="BB181" s="44">
        <f t="shared" si="261"/>
        <v>20000</v>
      </c>
      <c r="BC181" s="46">
        <f t="shared" si="262"/>
        <v>0</v>
      </c>
      <c r="BD181" s="47">
        <f t="shared" si="263"/>
        <v>0</v>
      </c>
      <c r="BE181" s="604">
        <f t="shared" si="318"/>
        <v>0</v>
      </c>
      <c r="BF181" s="44">
        <f t="shared" si="319"/>
        <v>0</v>
      </c>
      <c r="BG181" s="44">
        <f t="shared" si="320"/>
        <v>0</v>
      </c>
      <c r="BH181" s="44">
        <f t="shared" si="321"/>
        <v>0</v>
      </c>
      <c r="BI181" s="44">
        <f t="shared" si="322"/>
        <v>20000</v>
      </c>
      <c r="BJ181" s="44">
        <f t="shared" si="323"/>
        <v>0</v>
      </c>
      <c r="BK181" s="44">
        <f t="shared" si="264"/>
        <v>0</v>
      </c>
      <c r="BL181" s="44">
        <f t="shared" si="324"/>
        <v>0</v>
      </c>
      <c r="BM181" s="44">
        <f t="shared" si="265"/>
        <v>0</v>
      </c>
      <c r="BN181" s="44">
        <f t="shared" si="325"/>
        <v>0</v>
      </c>
      <c r="BO181" s="44">
        <f t="shared" si="266"/>
        <v>20000</v>
      </c>
      <c r="BP181" s="46">
        <f t="shared" si="267"/>
        <v>0</v>
      </c>
      <c r="BQ181" s="47">
        <f t="shared" si="268"/>
        <v>0</v>
      </c>
      <c r="BR181" s="604">
        <f t="shared" si="326"/>
        <v>0</v>
      </c>
      <c r="BS181" s="44">
        <f t="shared" si="327"/>
        <v>0</v>
      </c>
      <c r="BT181" s="44">
        <f t="shared" si="328"/>
        <v>0</v>
      </c>
      <c r="BU181" s="44">
        <f t="shared" si="329"/>
        <v>0</v>
      </c>
      <c r="BV181" s="44">
        <f t="shared" si="330"/>
        <v>20000</v>
      </c>
      <c r="BW181" s="44">
        <f t="shared" si="331"/>
        <v>0</v>
      </c>
      <c r="BX181" s="44">
        <f t="shared" si="269"/>
        <v>0</v>
      </c>
      <c r="BY181" s="44">
        <f t="shared" si="332"/>
        <v>0</v>
      </c>
      <c r="BZ181" s="44">
        <f t="shared" si="270"/>
        <v>0</v>
      </c>
      <c r="CA181" s="44">
        <f t="shared" si="333"/>
        <v>0</v>
      </c>
      <c r="CB181" s="44">
        <f t="shared" si="271"/>
        <v>20000</v>
      </c>
      <c r="CC181" s="46">
        <f t="shared" si="272"/>
        <v>0</v>
      </c>
      <c r="CD181" s="47">
        <f t="shared" si="273"/>
        <v>0</v>
      </c>
      <c r="CE181" s="604">
        <f t="shared" si="334"/>
        <v>0</v>
      </c>
      <c r="CF181" s="44">
        <f t="shared" si="335"/>
        <v>0</v>
      </c>
      <c r="CG181" s="44">
        <f t="shared" si="336"/>
        <v>0</v>
      </c>
      <c r="CH181" s="44">
        <f t="shared" si="337"/>
        <v>0</v>
      </c>
      <c r="CI181" s="44">
        <f t="shared" si="338"/>
        <v>20000</v>
      </c>
      <c r="CJ181" s="44">
        <f t="shared" si="339"/>
        <v>0</v>
      </c>
      <c r="CK181" s="44">
        <f t="shared" si="274"/>
        <v>0</v>
      </c>
      <c r="CL181" s="44">
        <f t="shared" si="340"/>
        <v>0</v>
      </c>
      <c r="CM181" s="44">
        <f t="shared" si="275"/>
        <v>0</v>
      </c>
      <c r="CN181" s="44">
        <f t="shared" si="341"/>
        <v>0</v>
      </c>
      <c r="CO181" s="44">
        <f t="shared" si="276"/>
        <v>20000</v>
      </c>
      <c r="CP181" s="46">
        <f t="shared" si="277"/>
        <v>0</v>
      </c>
      <c r="CQ181" s="47">
        <f t="shared" si="278"/>
        <v>0</v>
      </c>
      <c r="CR181" s="604">
        <f t="shared" si="342"/>
        <v>0</v>
      </c>
      <c r="CS181" s="44">
        <f t="shared" si="343"/>
        <v>0</v>
      </c>
      <c r="CT181" s="44">
        <f t="shared" si="344"/>
        <v>0</v>
      </c>
      <c r="CU181" s="44">
        <f t="shared" si="345"/>
        <v>0</v>
      </c>
      <c r="CV181" s="44">
        <f t="shared" si="346"/>
        <v>20000</v>
      </c>
      <c r="CW181" s="44">
        <f t="shared" si="347"/>
        <v>0</v>
      </c>
      <c r="CX181" s="44">
        <f t="shared" si="279"/>
        <v>0</v>
      </c>
      <c r="CY181" s="44">
        <f t="shared" si="348"/>
        <v>0</v>
      </c>
      <c r="CZ181" s="44">
        <f t="shared" si="280"/>
        <v>0</v>
      </c>
      <c r="DA181" s="44">
        <f t="shared" si="349"/>
        <v>0</v>
      </c>
      <c r="DB181" s="44">
        <f t="shared" si="281"/>
        <v>20000</v>
      </c>
      <c r="DC181" s="46">
        <f t="shared" si="282"/>
        <v>0</v>
      </c>
      <c r="DD181" s="47">
        <f t="shared" si="283"/>
        <v>0</v>
      </c>
      <c r="DE181" s="604">
        <f t="shared" si="350"/>
        <v>0</v>
      </c>
      <c r="DF181" s="44">
        <f t="shared" si="351"/>
        <v>0</v>
      </c>
      <c r="DG181" s="44">
        <f t="shared" si="352"/>
        <v>0</v>
      </c>
      <c r="DH181" s="44">
        <f t="shared" si="353"/>
        <v>0</v>
      </c>
      <c r="DI181" s="44">
        <f t="shared" si="354"/>
        <v>20000</v>
      </c>
      <c r="DJ181" s="44">
        <f t="shared" si="355"/>
        <v>0</v>
      </c>
      <c r="DK181" s="44">
        <f t="shared" si="284"/>
        <v>0</v>
      </c>
      <c r="DL181" s="44">
        <f t="shared" si="356"/>
        <v>0</v>
      </c>
      <c r="DM181" s="44">
        <f t="shared" si="285"/>
        <v>0</v>
      </c>
      <c r="DN181" s="44">
        <f t="shared" si="357"/>
        <v>0</v>
      </c>
      <c r="DO181" s="44">
        <f t="shared" si="286"/>
        <v>20000</v>
      </c>
      <c r="DP181" s="46">
        <f t="shared" si="287"/>
        <v>0</v>
      </c>
      <c r="DQ181" s="47">
        <f t="shared" si="288"/>
        <v>0</v>
      </c>
      <c r="DR181" s="604">
        <f t="shared" si="358"/>
        <v>0</v>
      </c>
      <c r="DS181" s="44">
        <f t="shared" si="359"/>
        <v>0</v>
      </c>
      <c r="DT181" s="44">
        <f t="shared" si="360"/>
        <v>0</v>
      </c>
      <c r="DU181" s="44">
        <f t="shared" si="361"/>
        <v>0</v>
      </c>
      <c r="DV181" s="44">
        <f t="shared" si="362"/>
        <v>20000</v>
      </c>
      <c r="DW181" s="44">
        <f t="shared" si="363"/>
        <v>0</v>
      </c>
      <c r="DX181" s="44">
        <f t="shared" si="289"/>
        <v>0</v>
      </c>
      <c r="DY181" s="44">
        <f t="shared" si="364"/>
        <v>0</v>
      </c>
      <c r="DZ181" s="44">
        <f t="shared" si="290"/>
        <v>0</v>
      </c>
      <c r="EA181" s="44">
        <f t="shared" si="365"/>
        <v>0</v>
      </c>
      <c r="EB181" s="44">
        <f t="shared" si="291"/>
        <v>20000</v>
      </c>
      <c r="EC181" s="46">
        <f t="shared" si="292"/>
        <v>0</v>
      </c>
      <c r="ED181" s="47">
        <f t="shared" si="293"/>
        <v>0</v>
      </c>
    </row>
    <row r="182" spans="1:134" x14ac:dyDescent="0.35">
      <c r="A182" s="81">
        <v>2007</v>
      </c>
      <c r="B182" s="82" t="s">
        <v>339</v>
      </c>
      <c r="C182" s="82"/>
      <c r="D182" s="83" t="s">
        <v>49</v>
      </c>
      <c r="E182" s="87">
        <v>35000</v>
      </c>
      <c r="F182" s="85">
        <v>39264</v>
      </c>
      <c r="G182" s="86">
        <v>10</v>
      </c>
      <c r="H182" s="179"/>
      <c r="I182" s="180"/>
      <c r="J182" s="181"/>
      <c r="K182" s="42">
        <f t="shared" si="244"/>
        <v>0.1</v>
      </c>
      <c r="L182" s="43">
        <f t="shared" si="245"/>
        <v>3500</v>
      </c>
      <c r="M182" s="44">
        <f t="shared" si="246"/>
        <v>19250</v>
      </c>
      <c r="N182" s="44"/>
      <c r="O182" s="44">
        <f t="shared" si="247"/>
        <v>15750</v>
      </c>
      <c r="P182" s="45"/>
      <c r="Q182" s="44">
        <f t="shared" si="248"/>
        <v>35000</v>
      </c>
      <c r="R182" s="604">
        <f t="shared" si="294"/>
        <v>0</v>
      </c>
      <c r="S182" s="44">
        <f t="shared" si="295"/>
        <v>0</v>
      </c>
      <c r="T182" s="44">
        <f t="shared" si="296"/>
        <v>0</v>
      </c>
      <c r="U182" s="44">
        <f t="shared" si="297"/>
        <v>0</v>
      </c>
      <c r="V182" s="44">
        <f t="shared" si="298"/>
        <v>35000</v>
      </c>
      <c r="W182" s="44">
        <f t="shared" si="299"/>
        <v>35000</v>
      </c>
      <c r="X182" s="44">
        <f t="shared" si="249"/>
        <v>3500</v>
      </c>
      <c r="Y182" s="44">
        <f t="shared" si="300"/>
        <v>3500</v>
      </c>
      <c r="Z182" s="44">
        <f t="shared" si="250"/>
        <v>15750</v>
      </c>
      <c r="AA182" s="44">
        <f t="shared" si="301"/>
        <v>15750</v>
      </c>
      <c r="AB182" s="44">
        <f t="shared" si="251"/>
        <v>19250</v>
      </c>
      <c r="AC182" s="46">
        <f t="shared" si="252"/>
        <v>0</v>
      </c>
      <c r="AD182" s="47">
        <f t="shared" si="253"/>
        <v>0</v>
      </c>
      <c r="AE182" s="604">
        <f t="shared" si="302"/>
        <v>0</v>
      </c>
      <c r="AF182" s="44">
        <f t="shared" si="303"/>
        <v>0</v>
      </c>
      <c r="AG182" s="44">
        <f t="shared" si="304"/>
        <v>0</v>
      </c>
      <c r="AH182" s="44">
        <f t="shared" si="305"/>
        <v>0</v>
      </c>
      <c r="AI182" s="44">
        <f t="shared" si="306"/>
        <v>35000</v>
      </c>
      <c r="AJ182" s="44">
        <f t="shared" si="307"/>
        <v>35000</v>
      </c>
      <c r="AK182" s="44">
        <f t="shared" si="254"/>
        <v>3500</v>
      </c>
      <c r="AL182" s="44">
        <f t="shared" si="308"/>
        <v>3500</v>
      </c>
      <c r="AM182" s="44">
        <f t="shared" si="255"/>
        <v>12250</v>
      </c>
      <c r="AN182" s="44">
        <f t="shared" si="309"/>
        <v>12250</v>
      </c>
      <c r="AO182" s="44">
        <f t="shared" si="256"/>
        <v>22750</v>
      </c>
      <c r="AP182" s="46">
        <f t="shared" si="257"/>
        <v>0</v>
      </c>
      <c r="AQ182" s="47">
        <f t="shared" si="258"/>
        <v>0</v>
      </c>
      <c r="AR182" s="604">
        <f t="shared" si="310"/>
        <v>0</v>
      </c>
      <c r="AS182" s="44">
        <f t="shared" si="311"/>
        <v>0</v>
      </c>
      <c r="AT182" s="44">
        <f t="shared" si="312"/>
        <v>0</v>
      </c>
      <c r="AU182" s="44">
        <f t="shared" si="313"/>
        <v>0</v>
      </c>
      <c r="AV182" s="44">
        <f t="shared" si="314"/>
        <v>35000</v>
      </c>
      <c r="AW182" s="44">
        <f t="shared" si="315"/>
        <v>35000</v>
      </c>
      <c r="AX182" s="44">
        <f t="shared" si="259"/>
        <v>3500</v>
      </c>
      <c r="AY182" s="44">
        <f t="shared" si="316"/>
        <v>3500</v>
      </c>
      <c r="AZ182" s="44">
        <f t="shared" si="260"/>
        <v>8750</v>
      </c>
      <c r="BA182" s="44">
        <f t="shared" si="317"/>
        <v>8750</v>
      </c>
      <c r="BB182" s="44">
        <f t="shared" si="261"/>
        <v>26250</v>
      </c>
      <c r="BC182" s="46">
        <f t="shared" si="262"/>
        <v>0</v>
      </c>
      <c r="BD182" s="47">
        <f t="shared" si="263"/>
        <v>0</v>
      </c>
      <c r="BE182" s="604">
        <f t="shared" si="318"/>
        <v>0</v>
      </c>
      <c r="BF182" s="44">
        <f t="shared" si="319"/>
        <v>0</v>
      </c>
      <c r="BG182" s="44">
        <f t="shared" si="320"/>
        <v>0</v>
      </c>
      <c r="BH182" s="44">
        <f t="shared" si="321"/>
        <v>0</v>
      </c>
      <c r="BI182" s="44">
        <f t="shared" si="322"/>
        <v>35000</v>
      </c>
      <c r="BJ182" s="44">
        <f t="shared" si="323"/>
        <v>35000</v>
      </c>
      <c r="BK182" s="44">
        <f t="shared" si="264"/>
        <v>3500</v>
      </c>
      <c r="BL182" s="44">
        <f t="shared" si="324"/>
        <v>3500</v>
      </c>
      <c r="BM182" s="44">
        <f t="shared" si="265"/>
        <v>5250</v>
      </c>
      <c r="BN182" s="44">
        <f t="shared" si="325"/>
        <v>5250</v>
      </c>
      <c r="BO182" s="44">
        <f t="shared" si="266"/>
        <v>29750</v>
      </c>
      <c r="BP182" s="46">
        <f t="shared" si="267"/>
        <v>0</v>
      </c>
      <c r="BQ182" s="47">
        <f t="shared" si="268"/>
        <v>0</v>
      </c>
      <c r="BR182" s="604">
        <f t="shared" si="326"/>
        <v>0</v>
      </c>
      <c r="BS182" s="44">
        <f t="shared" si="327"/>
        <v>0</v>
      </c>
      <c r="BT182" s="44">
        <f t="shared" si="328"/>
        <v>0</v>
      </c>
      <c r="BU182" s="44">
        <f t="shared" si="329"/>
        <v>0</v>
      </c>
      <c r="BV182" s="44">
        <f t="shared" si="330"/>
        <v>35000</v>
      </c>
      <c r="BW182" s="44">
        <f t="shared" si="331"/>
        <v>35000</v>
      </c>
      <c r="BX182" s="44">
        <f t="shared" si="269"/>
        <v>3500</v>
      </c>
      <c r="BY182" s="44">
        <f t="shared" si="332"/>
        <v>3500</v>
      </c>
      <c r="BZ182" s="44">
        <f t="shared" si="270"/>
        <v>1750</v>
      </c>
      <c r="CA182" s="44">
        <f t="shared" si="333"/>
        <v>1750</v>
      </c>
      <c r="CB182" s="44">
        <f t="shared" si="271"/>
        <v>33250</v>
      </c>
      <c r="CC182" s="46">
        <f t="shared" si="272"/>
        <v>0</v>
      </c>
      <c r="CD182" s="47">
        <f t="shared" si="273"/>
        <v>0</v>
      </c>
      <c r="CE182" s="604">
        <f t="shared" si="334"/>
        <v>0</v>
      </c>
      <c r="CF182" s="44">
        <f t="shared" si="335"/>
        <v>0</v>
      </c>
      <c r="CG182" s="44">
        <f t="shared" si="336"/>
        <v>0</v>
      </c>
      <c r="CH182" s="44">
        <f t="shared" si="337"/>
        <v>0</v>
      </c>
      <c r="CI182" s="44">
        <f t="shared" si="338"/>
        <v>35000</v>
      </c>
      <c r="CJ182" s="44">
        <f t="shared" si="339"/>
        <v>17500</v>
      </c>
      <c r="CK182" s="44">
        <f t="shared" si="274"/>
        <v>1750</v>
      </c>
      <c r="CL182" s="44">
        <f t="shared" si="340"/>
        <v>1750</v>
      </c>
      <c r="CM182" s="44">
        <f t="shared" si="275"/>
        <v>0</v>
      </c>
      <c r="CN182" s="44">
        <f t="shared" si="341"/>
        <v>0</v>
      </c>
      <c r="CO182" s="44">
        <f t="shared" si="276"/>
        <v>35000</v>
      </c>
      <c r="CP182" s="46">
        <f t="shared" si="277"/>
        <v>0</v>
      </c>
      <c r="CQ182" s="47">
        <f t="shared" si="278"/>
        <v>0</v>
      </c>
      <c r="CR182" s="604">
        <f t="shared" si="342"/>
        <v>0</v>
      </c>
      <c r="CS182" s="44">
        <f t="shared" si="343"/>
        <v>0</v>
      </c>
      <c r="CT182" s="44">
        <f t="shared" si="344"/>
        <v>0</v>
      </c>
      <c r="CU182" s="44">
        <f t="shared" si="345"/>
        <v>0</v>
      </c>
      <c r="CV182" s="44">
        <f t="shared" si="346"/>
        <v>35000</v>
      </c>
      <c r="CW182" s="44">
        <f t="shared" si="347"/>
        <v>0</v>
      </c>
      <c r="CX182" s="44">
        <f t="shared" si="279"/>
        <v>0</v>
      </c>
      <c r="CY182" s="44">
        <f t="shared" si="348"/>
        <v>0</v>
      </c>
      <c r="CZ182" s="44">
        <f t="shared" si="280"/>
        <v>0</v>
      </c>
      <c r="DA182" s="44">
        <f t="shared" si="349"/>
        <v>0</v>
      </c>
      <c r="DB182" s="44">
        <f t="shared" si="281"/>
        <v>35000</v>
      </c>
      <c r="DC182" s="46">
        <f t="shared" si="282"/>
        <v>0</v>
      </c>
      <c r="DD182" s="47">
        <f t="shared" si="283"/>
        <v>0</v>
      </c>
      <c r="DE182" s="604">
        <f t="shared" si="350"/>
        <v>0</v>
      </c>
      <c r="DF182" s="44">
        <f t="shared" si="351"/>
        <v>0</v>
      </c>
      <c r="DG182" s="44">
        <f t="shared" si="352"/>
        <v>0</v>
      </c>
      <c r="DH182" s="44">
        <f t="shared" si="353"/>
        <v>0</v>
      </c>
      <c r="DI182" s="44">
        <f t="shared" si="354"/>
        <v>35000</v>
      </c>
      <c r="DJ182" s="44">
        <f t="shared" si="355"/>
        <v>0</v>
      </c>
      <c r="DK182" s="44">
        <f t="shared" si="284"/>
        <v>0</v>
      </c>
      <c r="DL182" s="44">
        <f t="shared" si="356"/>
        <v>0</v>
      </c>
      <c r="DM182" s="44">
        <f t="shared" si="285"/>
        <v>0</v>
      </c>
      <c r="DN182" s="44">
        <f t="shared" si="357"/>
        <v>0</v>
      </c>
      <c r="DO182" s="44">
        <f t="shared" si="286"/>
        <v>35000</v>
      </c>
      <c r="DP182" s="46">
        <f t="shared" si="287"/>
        <v>0</v>
      </c>
      <c r="DQ182" s="47">
        <f t="shared" si="288"/>
        <v>0</v>
      </c>
      <c r="DR182" s="604">
        <f t="shared" si="358"/>
        <v>0</v>
      </c>
      <c r="DS182" s="44">
        <f t="shared" si="359"/>
        <v>0</v>
      </c>
      <c r="DT182" s="44">
        <f t="shared" si="360"/>
        <v>0</v>
      </c>
      <c r="DU182" s="44">
        <f t="shared" si="361"/>
        <v>0</v>
      </c>
      <c r="DV182" s="44">
        <f t="shared" si="362"/>
        <v>35000</v>
      </c>
      <c r="DW182" s="44">
        <f t="shared" si="363"/>
        <v>0</v>
      </c>
      <c r="DX182" s="44">
        <f t="shared" si="289"/>
        <v>0</v>
      </c>
      <c r="DY182" s="44">
        <f t="shared" si="364"/>
        <v>0</v>
      </c>
      <c r="DZ182" s="44">
        <f t="shared" si="290"/>
        <v>0</v>
      </c>
      <c r="EA182" s="44">
        <f t="shared" si="365"/>
        <v>0</v>
      </c>
      <c r="EB182" s="44">
        <f t="shared" si="291"/>
        <v>35000</v>
      </c>
      <c r="EC182" s="46">
        <f t="shared" si="292"/>
        <v>0</v>
      </c>
      <c r="ED182" s="47">
        <f t="shared" si="293"/>
        <v>0</v>
      </c>
    </row>
    <row r="183" spans="1:134" x14ac:dyDescent="0.35">
      <c r="A183" s="81">
        <v>1994</v>
      </c>
      <c r="B183" s="82" t="s">
        <v>340</v>
      </c>
      <c r="C183" s="82"/>
      <c r="D183" s="83" t="s">
        <v>49</v>
      </c>
      <c r="E183" s="87">
        <v>55000</v>
      </c>
      <c r="F183" s="85">
        <v>34516</v>
      </c>
      <c r="G183" s="86">
        <v>20</v>
      </c>
      <c r="H183" s="179"/>
      <c r="I183" s="180"/>
      <c r="J183" s="181"/>
      <c r="K183" s="42">
        <f t="shared" si="244"/>
        <v>0.05</v>
      </c>
      <c r="L183" s="43">
        <f t="shared" si="245"/>
        <v>2750</v>
      </c>
      <c r="M183" s="44">
        <f t="shared" si="246"/>
        <v>6875</v>
      </c>
      <c r="N183" s="44"/>
      <c r="O183" s="44">
        <f t="shared" si="247"/>
        <v>48125</v>
      </c>
      <c r="P183" s="45"/>
      <c r="Q183" s="44">
        <f t="shared" si="248"/>
        <v>55000</v>
      </c>
      <c r="R183" s="604">
        <f t="shared" si="294"/>
        <v>0</v>
      </c>
      <c r="S183" s="44">
        <f t="shared" si="295"/>
        <v>0</v>
      </c>
      <c r="T183" s="44">
        <f t="shared" si="296"/>
        <v>0</v>
      </c>
      <c r="U183" s="44">
        <f t="shared" si="297"/>
        <v>0</v>
      </c>
      <c r="V183" s="44">
        <f t="shared" si="298"/>
        <v>55000</v>
      </c>
      <c r="W183" s="44">
        <f t="shared" si="299"/>
        <v>55000</v>
      </c>
      <c r="X183" s="44">
        <f t="shared" si="249"/>
        <v>2750</v>
      </c>
      <c r="Y183" s="44">
        <f t="shared" si="300"/>
        <v>2750</v>
      </c>
      <c r="Z183" s="44">
        <f t="shared" si="250"/>
        <v>4125</v>
      </c>
      <c r="AA183" s="44">
        <f t="shared" si="301"/>
        <v>4125</v>
      </c>
      <c r="AB183" s="44">
        <f t="shared" si="251"/>
        <v>50875</v>
      </c>
      <c r="AC183" s="46">
        <f t="shared" si="252"/>
        <v>0</v>
      </c>
      <c r="AD183" s="47">
        <f t="shared" si="253"/>
        <v>0</v>
      </c>
      <c r="AE183" s="604">
        <f t="shared" si="302"/>
        <v>0</v>
      </c>
      <c r="AF183" s="44">
        <f t="shared" si="303"/>
        <v>0</v>
      </c>
      <c r="AG183" s="44">
        <f t="shared" si="304"/>
        <v>0</v>
      </c>
      <c r="AH183" s="44">
        <f t="shared" si="305"/>
        <v>0</v>
      </c>
      <c r="AI183" s="44">
        <f t="shared" si="306"/>
        <v>55000</v>
      </c>
      <c r="AJ183" s="44">
        <f t="shared" si="307"/>
        <v>55000</v>
      </c>
      <c r="AK183" s="44">
        <f t="shared" si="254"/>
        <v>2750</v>
      </c>
      <c r="AL183" s="44">
        <f t="shared" si="308"/>
        <v>2750</v>
      </c>
      <c r="AM183" s="44">
        <f t="shared" si="255"/>
        <v>1375</v>
      </c>
      <c r="AN183" s="44">
        <f t="shared" si="309"/>
        <v>1375</v>
      </c>
      <c r="AO183" s="44">
        <f t="shared" si="256"/>
        <v>53625</v>
      </c>
      <c r="AP183" s="46">
        <f t="shared" si="257"/>
        <v>0</v>
      </c>
      <c r="AQ183" s="47">
        <f t="shared" si="258"/>
        <v>0</v>
      </c>
      <c r="AR183" s="604">
        <f t="shared" si="310"/>
        <v>0</v>
      </c>
      <c r="AS183" s="44">
        <f t="shared" si="311"/>
        <v>0</v>
      </c>
      <c r="AT183" s="44">
        <f t="shared" si="312"/>
        <v>0</v>
      </c>
      <c r="AU183" s="44">
        <f t="shared" si="313"/>
        <v>0</v>
      </c>
      <c r="AV183" s="44">
        <f t="shared" si="314"/>
        <v>55000</v>
      </c>
      <c r="AW183" s="44">
        <f t="shared" si="315"/>
        <v>27500</v>
      </c>
      <c r="AX183" s="44">
        <f t="shared" si="259"/>
        <v>1375</v>
      </c>
      <c r="AY183" s="44">
        <f t="shared" si="316"/>
        <v>1375</v>
      </c>
      <c r="AZ183" s="44">
        <f t="shared" si="260"/>
        <v>0</v>
      </c>
      <c r="BA183" s="44">
        <f t="shared" si="317"/>
        <v>0</v>
      </c>
      <c r="BB183" s="44">
        <f t="shared" si="261"/>
        <v>55000</v>
      </c>
      <c r="BC183" s="46">
        <f t="shared" si="262"/>
        <v>0</v>
      </c>
      <c r="BD183" s="47">
        <f t="shared" si="263"/>
        <v>0</v>
      </c>
      <c r="BE183" s="604">
        <f t="shared" si="318"/>
        <v>0</v>
      </c>
      <c r="BF183" s="44">
        <f t="shared" si="319"/>
        <v>0</v>
      </c>
      <c r="BG183" s="44">
        <f t="shared" si="320"/>
        <v>0</v>
      </c>
      <c r="BH183" s="44">
        <f t="shared" si="321"/>
        <v>0</v>
      </c>
      <c r="BI183" s="44">
        <f t="shared" si="322"/>
        <v>55000</v>
      </c>
      <c r="BJ183" s="44">
        <f t="shared" si="323"/>
        <v>0</v>
      </c>
      <c r="BK183" s="44">
        <f t="shared" si="264"/>
        <v>0</v>
      </c>
      <c r="BL183" s="44">
        <f t="shared" si="324"/>
        <v>0</v>
      </c>
      <c r="BM183" s="44">
        <f t="shared" si="265"/>
        <v>0</v>
      </c>
      <c r="BN183" s="44">
        <f t="shared" si="325"/>
        <v>0</v>
      </c>
      <c r="BO183" s="44">
        <f t="shared" si="266"/>
        <v>55000</v>
      </c>
      <c r="BP183" s="46">
        <f t="shared" si="267"/>
        <v>0</v>
      </c>
      <c r="BQ183" s="47">
        <f t="shared" si="268"/>
        <v>0</v>
      </c>
      <c r="BR183" s="604">
        <f t="shared" si="326"/>
        <v>0</v>
      </c>
      <c r="BS183" s="44">
        <f t="shared" si="327"/>
        <v>0</v>
      </c>
      <c r="BT183" s="44">
        <f t="shared" si="328"/>
        <v>0</v>
      </c>
      <c r="BU183" s="44">
        <f t="shared" si="329"/>
        <v>0</v>
      </c>
      <c r="BV183" s="44">
        <f t="shared" si="330"/>
        <v>55000</v>
      </c>
      <c r="BW183" s="44">
        <f t="shared" si="331"/>
        <v>0</v>
      </c>
      <c r="BX183" s="44">
        <f t="shared" si="269"/>
        <v>0</v>
      </c>
      <c r="BY183" s="44">
        <f t="shared" si="332"/>
        <v>0</v>
      </c>
      <c r="BZ183" s="44">
        <f t="shared" si="270"/>
        <v>0</v>
      </c>
      <c r="CA183" s="44">
        <f t="shared" si="333"/>
        <v>0</v>
      </c>
      <c r="CB183" s="44">
        <f t="shared" si="271"/>
        <v>55000</v>
      </c>
      <c r="CC183" s="46">
        <f t="shared" si="272"/>
        <v>0</v>
      </c>
      <c r="CD183" s="47">
        <f t="shared" si="273"/>
        <v>0</v>
      </c>
      <c r="CE183" s="604">
        <f t="shared" si="334"/>
        <v>0</v>
      </c>
      <c r="CF183" s="44">
        <f t="shared" si="335"/>
        <v>0</v>
      </c>
      <c r="CG183" s="44">
        <f t="shared" si="336"/>
        <v>0</v>
      </c>
      <c r="CH183" s="44">
        <f t="shared" si="337"/>
        <v>0</v>
      </c>
      <c r="CI183" s="44">
        <f t="shared" si="338"/>
        <v>55000</v>
      </c>
      <c r="CJ183" s="44">
        <f t="shared" si="339"/>
        <v>0</v>
      </c>
      <c r="CK183" s="44">
        <f t="shared" si="274"/>
        <v>0</v>
      </c>
      <c r="CL183" s="44">
        <f t="shared" si="340"/>
        <v>0</v>
      </c>
      <c r="CM183" s="44">
        <f t="shared" si="275"/>
        <v>0</v>
      </c>
      <c r="CN183" s="44">
        <f t="shared" si="341"/>
        <v>0</v>
      </c>
      <c r="CO183" s="44">
        <f t="shared" si="276"/>
        <v>55000</v>
      </c>
      <c r="CP183" s="46">
        <f t="shared" si="277"/>
        <v>0</v>
      </c>
      <c r="CQ183" s="47">
        <f t="shared" si="278"/>
        <v>0</v>
      </c>
      <c r="CR183" s="604">
        <f t="shared" si="342"/>
        <v>0</v>
      </c>
      <c r="CS183" s="44">
        <f t="shared" si="343"/>
        <v>0</v>
      </c>
      <c r="CT183" s="44">
        <f t="shared" si="344"/>
        <v>0</v>
      </c>
      <c r="CU183" s="44">
        <f t="shared" si="345"/>
        <v>0</v>
      </c>
      <c r="CV183" s="44">
        <f t="shared" si="346"/>
        <v>55000</v>
      </c>
      <c r="CW183" s="44">
        <f t="shared" si="347"/>
        <v>0</v>
      </c>
      <c r="CX183" s="44">
        <f t="shared" si="279"/>
        <v>0</v>
      </c>
      <c r="CY183" s="44">
        <f t="shared" si="348"/>
        <v>0</v>
      </c>
      <c r="CZ183" s="44">
        <f t="shared" si="280"/>
        <v>0</v>
      </c>
      <c r="DA183" s="44">
        <f t="shared" si="349"/>
        <v>0</v>
      </c>
      <c r="DB183" s="44">
        <f t="shared" si="281"/>
        <v>55000</v>
      </c>
      <c r="DC183" s="46">
        <f t="shared" si="282"/>
        <v>0</v>
      </c>
      <c r="DD183" s="47">
        <f t="shared" si="283"/>
        <v>0</v>
      </c>
      <c r="DE183" s="604">
        <f t="shared" si="350"/>
        <v>0</v>
      </c>
      <c r="DF183" s="44">
        <f t="shared" si="351"/>
        <v>0</v>
      </c>
      <c r="DG183" s="44">
        <f t="shared" si="352"/>
        <v>0</v>
      </c>
      <c r="DH183" s="44">
        <f t="shared" si="353"/>
        <v>0</v>
      </c>
      <c r="DI183" s="44">
        <f t="shared" si="354"/>
        <v>55000</v>
      </c>
      <c r="DJ183" s="44">
        <f t="shared" si="355"/>
        <v>0</v>
      </c>
      <c r="DK183" s="44">
        <f t="shared" si="284"/>
        <v>0</v>
      </c>
      <c r="DL183" s="44">
        <f t="shared" si="356"/>
        <v>0</v>
      </c>
      <c r="DM183" s="44">
        <f t="shared" si="285"/>
        <v>0</v>
      </c>
      <c r="DN183" s="44">
        <f t="shared" si="357"/>
        <v>0</v>
      </c>
      <c r="DO183" s="44">
        <f t="shared" si="286"/>
        <v>55000</v>
      </c>
      <c r="DP183" s="46">
        <f t="shared" si="287"/>
        <v>0</v>
      </c>
      <c r="DQ183" s="47">
        <f t="shared" si="288"/>
        <v>0</v>
      </c>
      <c r="DR183" s="604">
        <f t="shared" si="358"/>
        <v>0</v>
      </c>
      <c r="DS183" s="44">
        <f t="shared" si="359"/>
        <v>0</v>
      </c>
      <c r="DT183" s="44">
        <f t="shared" si="360"/>
        <v>0</v>
      </c>
      <c r="DU183" s="44">
        <f t="shared" si="361"/>
        <v>0</v>
      </c>
      <c r="DV183" s="44">
        <f t="shared" si="362"/>
        <v>55000</v>
      </c>
      <c r="DW183" s="44">
        <f t="shared" si="363"/>
        <v>0</v>
      </c>
      <c r="DX183" s="44">
        <f t="shared" si="289"/>
        <v>0</v>
      </c>
      <c r="DY183" s="44">
        <f t="shared" si="364"/>
        <v>0</v>
      </c>
      <c r="DZ183" s="44">
        <f t="shared" si="290"/>
        <v>0</v>
      </c>
      <c r="EA183" s="44">
        <f t="shared" si="365"/>
        <v>0</v>
      </c>
      <c r="EB183" s="44">
        <f t="shared" si="291"/>
        <v>55000</v>
      </c>
      <c r="EC183" s="46">
        <f t="shared" si="292"/>
        <v>0</v>
      </c>
      <c r="ED183" s="47">
        <f t="shared" si="293"/>
        <v>0</v>
      </c>
    </row>
    <row r="184" spans="1:134" x14ac:dyDescent="0.35">
      <c r="A184" s="81">
        <v>1994</v>
      </c>
      <c r="B184" s="82" t="s">
        <v>341</v>
      </c>
      <c r="C184" s="82"/>
      <c r="D184" s="83" t="s">
        <v>49</v>
      </c>
      <c r="E184" s="87">
        <v>50000</v>
      </c>
      <c r="F184" s="85">
        <v>34516</v>
      </c>
      <c r="G184" s="86">
        <v>20</v>
      </c>
      <c r="H184" s="179"/>
      <c r="I184" s="180"/>
      <c r="J184" s="181"/>
      <c r="K184" s="42">
        <f t="shared" si="244"/>
        <v>0.05</v>
      </c>
      <c r="L184" s="43">
        <f t="shared" si="245"/>
        <v>2500</v>
      </c>
      <c r="M184" s="44">
        <f t="shared" si="246"/>
        <v>6250</v>
      </c>
      <c r="N184" s="44"/>
      <c r="O184" s="44">
        <f t="shared" si="247"/>
        <v>43750</v>
      </c>
      <c r="P184" s="45"/>
      <c r="Q184" s="44">
        <f t="shared" si="248"/>
        <v>50000</v>
      </c>
      <c r="R184" s="604">
        <f t="shared" si="294"/>
        <v>0</v>
      </c>
      <c r="S184" s="44">
        <f t="shared" si="295"/>
        <v>0</v>
      </c>
      <c r="T184" s="44">
        <f t="shared" si="296"/>
        <v>0</v>
      </c>
      <c r="U184" s="44">
        <f t="shared" si="297"/>
        <v>0</v>
      </c>
      <c r="V184" s="44">
        <f t="shared" si="298"/>
        <v>50000</v>
      </c>
      <c r="W184" s="44">
        <f t="shared" si="299"/>
        <v>50000</v>
      </c>
      <c r="X184" s="44">
        <f t="shared" si="249"/>
        <v>2500</v>
      </c>
      <c r="Y184" s="44">
        <f t="shared" si="300"/>
        <v>2500</v>
      </c>
      <c r="Z184" s="44">
        <f t="shared" si="250"/>
        <v>3750</v>
      </c>
      <c r="AA184" s="44">
        <f t="shared" si="301"/>
        <v>3750</v>
      </c>
      <c r="AB184" s="44">
        <f t="shared" si="251"/>
        <v>46250</v>
      </c>
      <c r="AC184" s="46">
        <f t="shared" si="252"/>
        <v>0</v>
      </c>
      <c r="AD184" s="47">
        <f t="shared" si="253"/>
        <v>0</v>
      </c>
      <c r="AE184" s="604">
        <f t="shared" si="302"/>
        <v>0</v>
      </c>
      <c r="AF184" s="44">
        <f t="shared" si="303"/>
        <v>0</v>
      </c>
      <c r="AG184" s="44">
        <f t="shared" si="304"/>
        <v>0</v>
      </c>
      <c r="AH184" s="44">
        <f t="shared" si="305"/>
        <v>0</v>
      </c>
      <c r="AI184" s="44">
        <f t="shared" si="306"/>
        <v>50000</v>
      </c>
      <c r="AJ184" s="44">
        <f t="shared" si="307"/>
        <v>50000</v>
      </c>
      <c r="AK184" s="44">
        <f t="shared" si="254"/>
        <v>2500</v>
      </c>
      <c r="AL184" s="44">
        <f t="shared" si="308"/>
        <v>2500</v>
      </c>
      <c r="AM184" s="44">
        <f t="shared" si="255"/>
        <v>1250</v>
      </c>
      <c r="AN184" s="44">
        <f t="shared" si="309"/>
        <v>1250</v>
      </c>
      <c r="AO184" s="44">
        <f t="shared" si="256"/>
        <v>48750</v>
      </c>
      <c r="AP184" s="46">
        <f t="shared" si="257"/>
        <v>0</v>
      </c>
      <c r="AQ184" s="47">
        <f t="shared" si="258"/>
        <v>0</v>
      </c>
      <c r="AR184" s="604">
        <f t="shared" si="310"/>
        <v>0</v>
      </c>
      <c r="AS184" s="44">
        <f t="shared" si="311"/>
        <v>0</v>
      </c>
      <c r="AT184" s="44">
        <f t="shared" si="312"/>
        <v>0</v>
      </c>
      <c r="AU184" s="44">
        <f t="shared" si="313"/>
        <v>0</v>
      </c>
      <c r="AV184" s="44">
        <f t="shared" si="314"/>
        <v>50000</v>
      </c>
      <c r="AW184" s="44">
        <f t="shared" si="315"/>
        <v>25000</v>
      </c>
      <c r="AX184" s="44">
        <f t="shared" si="259"/>
        <v>1250</v>
      </c>
      <c r="AY184" s="44">
        <f t="shared" si="316"/>
        <v>1250</v>
      </c>
      <c r="AZ184" s="44">
        <f t="shared" si="260"/>
        <v>0</v>
      </c>
      <c r="BA184" s="44">
        <f t="shared" si="317"/>
        <v>0</v>
      </c>
      <c r="BB184" s="44">
        <f t="shared" si="261"/>
        <v>50000</v>
      </c>
      <c r="BC184" s="46">
        <f t="shared" si="262"/>
        <v>0</v>
      </c>
      <c r="BD184" s="47">
        <f t="shared" si="263"/>
        <v>0</v>
      </c>
      <c r="BE184" s="604">
        <f t="shared" si="318"/>
        <v>0</v>
      </c>
      <c r="BF184" s="44">
        <f t="shared" si="319"/>
        <v>0</v>
      </c>
      <c r="BG184" s="44">
        <f t="shared" si="320"/>
        <v>0</v>
      </c>
      <c r="BH184" s="44">
        <f t="shared" si="321"/>
        <v>0</v>
      </c>
      <c r="BI184" s="44">
        <f t="shared" si="322"/>
        <v>50000</v>
      </c>
      <c r="BJ184" s="44">
        <f t="shared" si="323"/>
        <v>0</v>
      </c>
      <c r="BK184" s="44">
        <f t="shared" si="264"/>
        <v>0</v>
      </c>
      <c r="BL184" s="44">
        <f t="shared" si="324"/>
        <v>0</v>
      </c>
      <c r="BM184" s="44">
        <f t="shared" si="265"/>
        <v>0</v>
      </c>
      <c r="BN184" s="44">
        <f t="shared" si="325"/>
        <v>0</v>
      </c>
      <c r="BO184" s="44">
        <f t="shared" si="266"/>
        <v>50000</v>
      </c>
      <c r="BP184" s="46">
        <f t="shared" si="267"/>
        <v>0</v>
      </c>
      <c r="BQ184" s="47">
        <f t="shared" si="268"/>
        <v>0</v>
      </c>
      <c r="BR184" s="604">
        <f t="shared" si="326"/>
        <v>0</v>
      </c>
      <c r="BS184" s="44">
        <f t="shared" si="327"/>
        <v>0</v>
      </c>
      <c r="BT184" s="44">
        <f t="shared" si="328"/>
        <v>0</v>
      </c>
      <c r="BU184" s="44">
        <f t="shared" si="329"/>
        <v>0</v>
      </c>
      <c r="BV184" s="44">
        <f t="shared" si="330"/>
        <v>50000</v>
      </c>
      <c r="BW184" s="44">
        <f t="shared" si="331"/>
        <v>0</v>
      </c>
      <c r="BX184" s="44">
        <f t="shared" si="269"/>
        <v>0</v>
      </c>
      <c r="BY184" s="44">
        <f t="shared" si="332"/>
        <v>0</v>
      </c>
      <c r="BZ184" s="44">
        <f t="shared" si="270"/>
        <v>0</v>
      </c>
      <c r="CA184" s="44">
        <f t="shared" si="333"/>
        <v>0</v>
      </c>
      <c r="CB184" s="44">
        <f t="shared" si="271"/>
        <v>50000</v>
      </c>
      <c r="CC184" s="46">
        <f t="shared" si="272"/>
        <v>0</v>
      </c>
      <c r="CD184" s="47">
        <f t="shared" si="273"/>
        <v>0</v>
      </c>
      <c r="CE184" s="604">
        <f t="shared" si="334"/>
        <v>0</v>
      </c>
      <c r="CF184" s="44">
        <f t="shared" si="335"/>
        <v>0</v>
      </c>
      <c r="CG184" s="44">
        <f t="shared" si="336"/>
        <v>0</v>
      </c>
      <c r="CH184" s="44">
        <f t="shared" si="337"/>
        <v>0</v>
      </c>
      <c r="CI184" s="44">
        <f t="shared" si="338"/>
        <v>50000</v>
      </c>
      <c r="CJ184" s="44">
        <f t="shared" si="339"/>
        <v>0</v>
      </c>
      <c r="CK184" s="44">
        <f t="shared" si="274"/>
        <v>0</v>
      </c>
      <c r="CL184" s="44">
        <f t="shared" si="340"/>
        <v>0</v>
      </c>
      <c r="CM184" s="44">
        <f t="shared" si="275"/>
        <v>0</v>
      </c>
      <c r="CN184" s="44">
        <f t="shared" si="341"/>
        <v>0</v>
      </c>
      <c r="CO184" s="44">
        <f t="shared" si="276"/>
        <v>50000</v>
      </c>
      <c r="CP184" s="46">
        <f t="shared" si="277"/>
        <v>0</v>
      </c>
      <c r="CQ184" s="47">
        <f t="shared" si="278"/>
        <v>0</v>
      </c>
      <c r="CR184" s="604">
        <f t="shared" si="342"/>
        <v>0</v>
      </c>
      <c r="CS184" s="44">
        <f t="shared" si="343"/>
        <v>0</v>
      </c>
      <c r="CT184" s="44">
        <f t="shared" si="344"/>
        <v>0</v>
      </c>
      <c r="CU184" s="44">
        <f t="shared" si="345"/>
        <v>0</v>
      </c>
      <c r="CV184" s="44">
        <f t="shared" si="346"/>
        <v>50000</v>
      </c>
      <c r="CW184" s="44">
        <f t="shared" si="347"/>
        <v>0</v>
      </c>
      <c r="CX184" s="44">
        <f t="shared" si="279"/>
        <v>0</v>
      </c>
      <c r="CY184" s="44">
        <f t="shared" si="348"/>
        <v>0</v>
      </c>
      <c r="CZ184" s="44">
        <f t="shared" si="280"/>
        <v>0</v>
      </c>
      <c r="DA184" s="44">
        <f t="shared" si="349"/>
        <v>0</v>
      </c>
      <c r="DB184" s="44">
        <f t="shared" si="281"/>
        <v>50000</v>
      </c>
      <c r="DC184" s="46">
        <f t="shared" si="282"/>
        <v>0</v>
      </c>
      <c r="DD184" s="47">
        <f t="shared" si="283"/>
        <v>0</v>
      </c>
      <c r="DE184" s="604">
        <f t="shared" si="350"/>
        <v>0</v>
      </c>
      <c r="DF184" s="44">
        <f t="shared" si="351"/>
        <v>0</v>
      </c>
      <c r="DG184" s="44">
        <f t="shared" si="352"/>
        <v>0</v>
      </c>
      <c r="DH184" s="44">
        <f t="shared" si="353"/>
        <v>0</v>
      </c>
      <c r="DI184" s="44">
        <f t="shared" si="354"/>
        <v>50000</v>
      </c>
      <c r="DJ184" s="44">
        <f t="shared" si="355"/>
        <v>0</v>
      </c>
      <c r="DK184" s="44">
        <f t="shared" si="284"/>
        <v>0</v>
      </c>
      <c r="DL184" s="44">
        <f t="shared" si="356"/>
        <v>0</v>
      </c>
      <c r="DM184" s="44">
        <f t="shared" si="285"/>
        <v>0</v>
      </c>
      <c r="DN184" s="44">
        <f t="shared" si="357"/>
        <v>0</v>
      </c>
      <c r="DO184" s="44">
        <f t="shared" si="286"/>
        <v>50000</v>
      </c>
      <c r="DP184" s="46">
        <f t="shared" si="287"/>
        <v>0</v>
      </c>
      <c r="DQ184" s="47">
        <f t="shared" si="288"/>
        <v>0</v>
      </c>
      <c r="DR184" s="604">
        <f t="shared" si="358"/>
        <v>0</v>
      </c>
      <c r="DS184" s="44">
        <f t="shared" si="359"/>
        <v>0</v>
      </c>
      <c r="DT184" s="44">
        <f t="shared" si="360"/>
        <v>0</v>
      </c>
      <c r="DU184" s="44">
        <f t="shared" si="361"/>
        <v>0</v>
      </c>
      <c r="DV184" s="44">
        <f t="shared" si="362"/>
        <v>50000</v>
      </c>
      <c r="DW184" s="44">
        <f t="shared" si="363"/>
        <v>0</v>
      </c>
      <c r="DX184" s="44">
        <f t="shared" si="289"/>
        <v>0</v>
      </c>
      <c r="DY184" s="44">
        <f t="shared" si="364"/>
        <v>0</v>
      </c>
      <c r="DZ184" s="44">
        <f t="shared" si="290"/>
        <v>0</v>
      </c>
      <c r="EA184" s="44">
        <f t="shared" si="365"/>
        <v>0</v>
      </c>
      <c r="EB184" s="44">
        <f t="shared" si="291"/>
        <v>50000</v>
      </c>
      <c r="EC184" s="46">
        <f t="shared" si="292"/>
        <v>0</v>
      </c>
      <c r="ED184" s="47">
        <f t="shared" si="293"/>
        <v>0</v>
      </c>
    </row>
    <row r="185" spans="1:134" x14ac:dyDescent="0.35">
      <c r="A185" s="81">
        <v>1996</v>
      </c>
      <c r="B185" s="82" t="s">
        <v>342</v>
      </c>
      <c r="C185" s="82"/>
      <c r="D185" s="83" t="s">
        <v>49</v>
      </c>
      <c r="E185" s="87">
        <v>60000</v>
      </c>
      <c r="F185" s="85">
        <v>35247</v>
      </c>
      <c r="G185" s="86">
        <v>20</v>
      </c>
      <c r="H185" s="179"/>
      <c r="I185" s="180"/>
      <c r="J185" s="181"/>
      <c r="K185" s="42">
        <f t="shared" si="244"/>
        <v>0.05</v>
      </c>
      <c r="L185" s="43">
        <f t="shared" si="245"/>
        <v>3000</v>
      </c>
      <c r="M185" s="44">
        <f t="shared" si="246"/>
        <v>13500</v>
      </c>
      <c r="N185" s="44"/>
      <c r="O185" s="44">
        <f t="shared" si="247"/>
        <v>46500</v>
      </c>
      <c r="P185" s="45"/>
      <c r="Q185" s="44">
        <f t="shared" si="248"/>
        <v>60000</v>
      </c>
      <c r="R185" s="604">
        <f t="shared" si="294"/>
        <v>0</v>
      </c>
      <c r="S185" s="44">
        <f t="shared" si="295"/>
        <v>0</v>
      </c>
      <c r="T185" s="44">
        <f t="shared" si="296"/>
        <v>0</v>
      </c>
      <c r="U185" s="44">
        <f t="shared" si="297"/>
        <v>0</v>
      </c>
      <c r="V185" s="44">
        <f t="shared" si="298"/>
        <v>60000</v>
      </c>
      <c r="W185" s="44">
        <f t="shared" si="299"/>
        <v>60000</v>
      </c>
      <c r="X185" s="44">
        <f t="shared" si="249"/>
        <v>3000</v>
      </c>
      <c r="Y185" s="44">
        <f t="shared" si="300"/>
        <v>3000</v>
      </c>
      <c r="Z185" s="44">
        <f t="shared" si="250"/>
        <v>10500</v>
      </c>
      <c r="AA185" s="44">
        <f t="shared" si="301"/>
        <v>10500</v>
      </c>
      <c r="AB185" s="44">
        <f t="shared" si="251"/>
        <v>49500</v>
      </c>
      <c r="AC185" s="46">
        <f t="shared" si="252"/>
        <v>0</v>
      </c>
      <c r="AD185" s="47">
        <f t="shared" si="253"/>
        <v>0</v>
      </c>
      <c r="AE185" s="604">
        <f t="shared" si="302"/>
        <v>0</v>
      </c>
      <c r="AF185" s="44">
        <f t="shared" si="303"/>
        <v>0</v>
      </c>
      <c r="AG185" s="44">
        <f t="shared" si="304"/>
        <v>0</v>
      </c>
      <c r="AH185" s="44">
        <f t="shared" si="305"/>
        <v>0</v>
      </c>
      <c r="AI185" s="44">
        <f t="shared" si="306"/>
        <v>60000</v>
      </c>
      <c r="AJ185" s="44">
        <f t="shared" si="307"/>
        <v>60000</v>
      </c>
      <c r="AK185" s="44">
        <f t="shared" si="254"/>
        <v>3000</v>
      </c>
      <c r="AL185" s="44">
        <f t="shared" si="308"/>
        <v>3000</v>
      </c>
      <c r="AM185" s="44">
        <f t="shared" si="255"/>
        <v>7500</v>
      </c>
      <c r="AN185" s="44">
        <f t="shared" si="309"/>
        <v>7500</v>
      </c>
      <c r="AO185" s="44">
        <f t="shared" si="256"/>
        <v>52500</v>
      </c>
      <c r="AP185" s="46">
        <f t="shared" si="257"/>
        <v>0</v>
      </c>
      <c r="AQ185" s="47">
        <f t="shared" si="258"/>
        <v>0</v>
      </c>
      <c r="AR185" s="604">
        <f t="shared" si="310"/>
        <v>0</v>
      </c>
      <c r="AS185" s="44">
        <f t="shared" si="311"/>
        <v>0</v>
      </c>
      <c r="AT185" s="44">
        <f t="shared" si="312"/>
        <v>0</v>
      </c>
      <c r="AU185" s="44">
        <f t="shared" si="313"/>
        <v>0</v>
      </c>
      <c r="AV185" s="44">
        <f t="shared" si="314"/>
        <v>60000</v>
      </c>
      <c r="AW185" s="44">
        <f t="shared" si="315"/>
        <v>60000</v>
      </c>
      <c r="AX185" s="44">
        <f t="shared" si="259"/>
        <v>3000</v>
      </c>
      <c r="AY185" s="44">
        <f t="shared" si="316"/>
        <v>3000</v>
      </c>
      <c r="AZ185" s="44">
        <f t="shared" si="260"/>
        <v>4500</v>
      </c>
      <c r="BA185" s="44">
        <f t="shared" si="317"/>
        <v>4500</v>
      </c>
      <c r="BB185" s="44">
        <f t="shared" si="261"/>
        <v>55500</v>
      </c>
      <c r="BC185" s="46">
        <f t="shared" si="262"/>
        <v>0</v>
      </c>
      <c r="BD185" s="47">
        <f t="shared" si="263"/>
        <v>0</v>
      </c>
      <c r="BE185" s="604">
        <f t="shared" si="318"/>
        <v>0</v>
      </c>
      <c r="BF185" s="44">
        <f t="shared" si="319"/>
        <v>0</v>
      </c>
      <c r="BG185" s="44">
        <f t="shared" si="320"/>
        <v>0</v>
      </c>
      <c r="BH185" s="44">
        <f t="shared" si="321"/>
        <v>0</v>
      </c>
      <c r="BI185" s="44">
        <f t="shared" si="322"/>
        <v>60000</v>
      </c>
      <c r="BJ185" s="44">
        <f t="shared" si="323"/>
        <v>60000</v>
      </c>
      <c r="BK185" s="44">
        <f t="shared" si="264"/>
        <v>3000</v>
      </c>
      <c r="BL185" s="44">
        <f t="shared" si="324"/>
        <v>3000</v>
      </c>
      <c r="BM185" s="44">
        <f t="shared" si="265"/>
        <v>1500</v>
      </c>
      <c r="BN185" s="44">
        <f t="shared" si="325"/>
        <v>1500</v>
      </c>
      <c r="BO185" s="44">
        <f t="shared" si="266"/>
        <v>58500</v>
      </c>
      <c r="BP185" s="46">
        <f t="shared" si="267"/>
        <v>0</v>
      </c>
      <c r="BQ185" s="47">
        <f t="shared" si="268"/>
        <v>0</v>
      </c>
      <c r="BR185" s="604">
        <f t="shared" si="326"/>
        <v>0</v>
      </c>
      <c r="BS185" s="44">
        <f t="shared" si="327"/>
        <v>0</v>
      </c>
      <c r="BT185" s="44">
        <f t="shared" si="328"/>
        <v>0</v>
      </c>
      <c r="BU185" s="44">
        <f t="shared" si="329"/>
        <v>0</v>
      </c>
      <c r="BV185" s="44">
        <f t="shared" si="330"/>
        <v>60000</v>
      </c>
      <c r="BW185" s="44">
        <f t="shared" si="331"/>
        <v>30000</v>
      </c>
      <c r="BX185" s="44">
        <f t="shared" si="269"/>
        <v>1500</v>
      </c>
      <c r="BY185" s="44">
        <f t="shared" si="332"/>
        <v>1500</v>
      </c>
      <c r="BZ185" s="44">
        <f t="shared" si="270"/>
        <v>0</v>
      </c>
      <c r="CA185" s="44">
        <f t="shared" si="333"/>
        <v>0</v>
      </c>
      <c r="CB185" s="44">
        <f t="shared" si="271"/>
        <v>60000</v>
      </c>
      <c r="CC185" s="46">
        <f t="shared" si="272"/>
        <v>0</v>
      </c>
      <c r="CD185" s="47">
        <f t="shared" si="273"/>
        <v>0</v>
      </c>
      <c r="CE185" s="604">
        <f t="shared" si="334"/>
        <v>0</v>
      </c>
      <c r="CF185" s="44">
        <f t="shared" si="335"/>
        <v>0</v>
      </c>
      <c r="CG185" s="44">
        <f t="shared" si="336"/>
        <v>0</v>
      </c>
      <c r="CH185" s="44">
        <f t="shared" si="337"/>
        <v>0</v>
      </c>
      <c r="CI185" s="44">
        <f t="shared" si="338"/>
        <v>60000</v>
      </c>
      <c r="CJ185" s="44">
        <f t="shared" si="339"/>
        <v>0</v>
      </c>
      <c r="CK185" s="44">
        <f t="shared" si="274"/>
        <v>0</v>
      </c>
      <c r="CL185" s="44">
        <f t="shared" si="340"/>
        <v>0</v>
      </c>
      <c r="CM185" s="44">
        <f t="shared" si="275"/>
        <v>0</v>
      </c>
      <c r="CN185" s="44">
        <f t="shared" si="341"/>
        <v>0</v>
      </c>
      <c r="CO185" s="44">
        <f t="shared" si="276"/>
        <v>60000</v>
      </c>
      <c r="CP185" s="46">
        <f t="shared" si="277"/>
        <v>0</v>
      </c>
      <c r="CQ185" s="47">
        <f t="shared" si="278"/>
        <v>0</v>
      </c>
      <c r="CR185" s="604">
        <f t="shared" si="342"/>
        <v>0</v>
      </c>
      <c r="CS185" s="44">
        <f t="shared" si="343"/>
        <v>0</v>
      </c>
      <c r="CT185" s="44">
        <f t="shared" si="344"/>
        <v>0</v>
      </c>
      <c r="CU185" s="44">
        <f t="shared" si="345"/>
        <v>0</v>
      </c>
      <c r="CV185" s="44">
        <f t="shared" si="346"/>
        <v>60000</v>
      </c>
      <c r="CW185" s="44">
        <f t="shared" si="347"/>
        <v>0</v>
      </c>
      <c r="CX185" s="44">
        <f t="shared" si="279"/>
        <v>0</v>
      </c>
      <c r="CY185" s="44">
        <f t="shared" si="348"/>
        <v>0</v>
      </c>
      <c r="CZ185" s="44">
        <f t="shared" si="280"/>
        <v>0</v>
      </c>
      <c r="DA185" s="44">
        <f t="shared" si="349"/>
        <v>0</v>
      </c>
      <c r="DB185" s="44">
        <f t="shared" si="281"/>
        <v>60000</v>
      </c>
      <c r="DC185" s="46">
        <f t="shared" si="282"/>
        <v>0</v>
      </c>
      <c r="DD185" s="47">
        <f t="shared" si="283"/>
        <v>0</v>
      </c>
      <c r="DE185" s="604">
        <f t="shared" si="350"/>
        <v>0</v>
      </c>
      <c r="DF185" s="44">
        <f t="shared" si="351"/>
        <v>0</v>
      </c>
      <c r="DG185" s="44">
        <f t="shared" si="352"/>
        <v>0</v>
      </c>
      <c r="DH185" s="44">
        <f t="shared" si="353"/>
        <v>0</v>
      </c>
      <c r="DI185" s="44">
        <f t="shared" si="354"/>
        <v>60000</v>
      </c>
      <c r="DJ185" s="44">
        <f t="shared" si="355"/>
        <v>0</v>
      </c>
      <c r="DK185" s="44">
        <f t="shared" si="284"/>
        <v>0</v>
      </c>
      <c r="DL185" s="44">
        <f t="shared" si="356"/>
        <v>0</v>
      </c>
      <c r="DM185" s="44">
        <f t="shared" si="285"/>
        <v>0</v>
      </c>
      <c r="DN185" s="44">
        <f t="shared" si="357"/>
        <v>0</v>
      </c>
      <c r="DO185" s="44">
        <f t="shared" si="286"/>
        <v>60000</v>
      </c>
      <c r="DP185" s="46">
        <f t="shared" si="287"/>
        <v>0</v>
      </c>
      <c r="DQ185" s="47">
        <f t="shared" si="288"/>
        <v>0</v>
      </c>
      <c r="DR185" s="604">
        <f t="shared" si="358"/>
        <v>0</v>
      </c>
      <c r="DS185" s="44">
        <f t="shared" si="359"/>
        <v>0</v>
      </c>
      <c r="DT185" s="44">
        <f t="shared" si="360"/>
        <v>0</v>
      </c>
      <c r="DU185" s="44">
        <f t="shared" si="361"/>
        <v>0</v>
      </c>
      <c r="DV185" s="44">
        <f t="shared" si="362"/>
        <v>60000</v>
      </c>
      <c r="DW185" s="44">
        <f t="shared" si="363"/>
        <v>0</v>
      </c>
      <c r="DX185" s="44">
        <f t="shared" si="289"/>
        <v>0</v>
      </c>
      <c r="DY185" s="44">
        <f t="shared" si="364"/>
        <v>0</v>
      </c>
      <c r="DZ185" s="44">
        <f t="shared" si="290"/>
        <v>0</v>
      </c>
      <c r="EA185" s="44">
        <f t="shared" si="365"/>
        <v>0</v>
      </c>
      <c r="EB185" s="44">
        <f t="shared" si="291"/>
        <v>60000</v>
      </c>
      <c r="EC185" s="46">
        <f t="shared" si="292"/>
        <v>0</v>
      </c>
      <c r="ED185" s="47">
        <f t="shared" si="293"/>
        <v>0</v>
      </c>
    </row>
    <row r="186" spans="1:134" x14ac:dyDescent="0.35">
      <c r="A186" s="81">
        <v>1996</v>
      </c>
      <c r="B186" s="82" t="s">
        <v>343</v>
      </c>
      <c r="C186" s="82"/>
      <c r="D186" s="83" t="s">
        <v>49</v>
      </c>
      <c r="E186" s="87">
        <v>53000</v>
      </c>
      <c r="F186" s="85">
        <v>35247</v>
      </c>
      <c r="G186" s="86">
        <v>20</v>
      </c>
      <c r="H186" s="179"/>
      <c r="I186" s="180"/>
      <c r="J186" s="181"/>
      <c r="K186" s="42">
        <f t="shared" si="244"/>
        <v>0.05</v>
      </c>
      <c r="L186" s="43">
        <f t="shared" si="245"/>
        <v>2650</v>
      </c>
      <c r="M186" s="44">
        <f t="shared" si="246"/>
        <v>11925</v>
      </c>
      <c r="N186" s="44"/>
      <c r="O186" s="44">
        <f t="shared" si="247"/>
        <v>41075</v>
      </c>
      <c r="P186" s="45"/>
      <c r="Q186" s="44">
        <f t="shared" si="248"/>
        <v>53000</v>
      </c>
      <c r="R186" s="604">
        <f t="shared" si="294"/>
        <v>0</v>
      </c>
      <c r="S186" s="44">
        <f t="shared" si="295"/>
        <v>0</v>
      </c>
      <c r="T186" s="44">
        <f t="shared" si="296"/>
        <v>0</v>
      </c>
      <c r="U186" s="44">
        <f t="shared" si="297"/>
        <v>0</v>
      </c>
      <c r="V186" s="44">
        <f t="shared" si="298"/>
        <v>53000</v>
      </c>
      <c r="W186" s="44">
        <f t="shared" si="299"/>
        <v>53000</v>
      </c>
      <c r="X186" s="44">
        <f t="shared" si="249"/>
        <v>2650</v>
      </c>
      <c r="Y186" s="44">
        <f t="shared" si="300"/>
        <v>2650</v>
      </c>
      <c r="Z186" s="44">
        <f t="shared" si="250"/>
        <v>9275</v>
      </c>
      <c r="AA186" s="44">
        <f t="shared" si="301"/>
        <v>9275</v>
      </c>
      <c r="AB186" s="44">
        <f t="shared" si="251"/>
        <v>43725</v>
      </c>
      <c r="AC186" s="46">
        <f t="shared" si="252"/>
        <v>0</v>
      </c>
      <c r="AD186" s="47">
        <f t="shared" si="253"/>
        <v>0</v>
      </c>
      <c r="AE186" s="604">
        <f t="shared" si="302"/>
        <v>0</v>
      </c>
      <c r="AF186" s="44">
        <f t="shared" si="303"/>
        <v>0</v>
      </c>
      <c r="AG186" s="44">
        <f t="shared" si="304"/>
        <v>0</v>
      </c>
      <c r="AH186" s="44">
        <f t="shared" si="305"/>
        <v>0</v>
      </c>
      <c r="AI186" s="44">
        <f t="shared" si="306"/>
        <v>53000</v>
      </c>
      <c r="AJ186" s="44">
        <f t="shared" si="307"/>
        <v>53000</v>
      </c>
      <c r="AK186" s="44">
        <f t="shared" si="254"/>
        <v>2650</v>
      </c>
      <c r="AL186" s="44">
        <f t="shared" si="308"/>
        <v>2650</v>
      </c>
      <c r="AM186" s="44">
        <f t="shared" si="255"/>
        <v>6625</v>
      </c>
      <c r="AN186" s="44">
        <f t="shared" si="309"/>
        <v>6625</v>
      </c>
      <c r="AO186" s="44">
        <f t="shared" si="256"/>
        <v>46375</v>
      </c>
      <c r="AP186" s="46">
        <f t="shared" si="257"/>
        <v>0</v>
      </c>
      <c r="AQ186" s="47">
        <f t="shared" si="258"/>
        <v>0</v>
      </c>
      <c r="AR186" s="604">
        <f t="shared" si="310"/>
        <v>0</v>
      </c>
      <c r="AS186" s="44">
        <f t="shared" si="311"/>
        <v>0</v>
      </c>
      <c r="AT186" s="44">
        <f t="shared" si="312"/>
        <v>0</v>
      </c>
      <c r="AU186" s="44">
        <f t="shared" si="313"/>
        <v>0</v>
      </c>
      <c r="AV186" s="44">
        <f t="shared" si="314"/>
        <v>53000</v>
      </c>
      <c r="AW186" s="44">
        <f t="shared" si="315"/>
        <v>53000</v>
      </c>
      <c r="AX186" s="44">
        <f t="shared" si="259"/>
        <v>2650</v>
      </c>
      <c r="AY186" s="44">
        <f t="shared" si="316"/>
        <v>2650</v>
      </c>
      <c r="AZ186" s="44">
        <f t="shared" si="260"/>
        <v>3975</v>
      </c>
      <c r="BA186" s="44">
        <f t="shared" si="317"/>
        <v>3975</v>
      </c>
      <c r="BB186" s="44">
        <f t="shared" si="261"/>
        <v>49025</v>
      </c>
      <c r="BC186" s="46">
        <f t="shared" si="262"/>
        <v>0</v>
      </c>
      <c r="BD186" s="47">
        <f t="shared" si="263"/>
        <v>0</v>
      </c>
      <c r="BE186" s="604">
        <f t="shared" si="318"/>
        <v>0</v>
      </c>
      <c r="BF186" s="44">
        <f t="shared" si="319"/>
        <v>0</v>
      </c>
      <c r="BG186" s="44">
        <f t="shared" si="320"/>
        <v>0</v>
      </c>
      <c r="BH186" s="44">
        <f t="shared" si="321"/>
        <v>0</v>
      </c>
      <c r="BI186" s="44">
        <f t="shared" si="322"/>
        <v>53000</v>
      </c>
      <c r="BJ186" s="44">
        <f t="shared" si="323"/>
        <v>53000</v>
      </c>
      <c r="BK186" s="44">
        <f t="shared" si="264"/>
        <v>2650</v>
      </c>
      <c r="BL186" s="44">
        <f t="shared" si="324"/>
        <v>2650</v>
      </c>
      <c r="BM186" s="44">
        <f t="shared" si="265"/>
        <v>1325</v>
      </c>
      <c r="BN186" s="44">
        <f t="shared" si="325"/>
        <v>1325</v>
      </c>
      <c r="BO186" s="44">
        <f t="shared" si="266"/>
        <v>51675</v>
      </c>
      <c r="BP186" s="46">
        <f t="shared" si="267"/>
        <v>0</v>
      </c>
      <c r="BQ186" s="47">
        <f t="shared" si="268"/>
        <v>0</v>
      </c>
      <c r="BR186" s="604">
        <f t="shared" si="326"/>
        <v>0</v>
      </c>
      <c r="BS186" s="44">
        <f t="shared" si="327"/>
        <v>0</v>
      </c>
      <c r="BT186" s="44">
        <f t="shared" si="328"/>
        <v>0</v>
      </c>
      <c r="BU186" s="44">
        <f t="shared" si="329"/>
        <v>0</v>
      </c>
      <c r="BV186" s="44">
        <f t="shared" si="330"/>
        <v>53000</v>
      </c>
      <c r="BW186" s="44">
        <f t="shared" si="331"/>
        <v>26500</v>
      </c>
      <c r="BX186" s="44">
        <f t="shared" si="269"/>
        <v>1325</v>
      </c>
      <c r="BY186" s="44">
        <f t="shared" si="332"/>
        <v>1325</v>
      </c>
      <c r="BZ186" s="44">
        <f t="shared" si="270"/>
        <v>0</v>
      </c>
      <c r="CA186" s="44">
        <f t="shared" si="333"/>
        <v>0</v>
      </c>
      <c r="CB186" s="44">
        <f t="shared" si="271"/>
        <v>53000</v>
      </c>
      <c r="CC186" s="46">
        <f t="shared" si="272"/>
        <v>0</v>
      </c>
      <c r="CD186" s="47">
        <f t="shared" si="273"/>
        <v>0</v>
      </c>
      <c r="CE186" s="604">
        <f t="shared" si="334"/>
        <v>0</v>
      </c>
      <c r="CF186" s="44">
        <f t="shared" si="335"/>
        <v>0</v>
      </c>
      <c r="CG186" s="44">
        <f t="shared" si="336"/>
        <v>0</v>
      </c>
      <c r="CH186" s="44">
        <f t="shared" si="337"/>
        <v>0</v>
      </c>
      <c r="CI186" s="44">
        <f t="shared" si="338"/>
        <v>53000</v>
      </c>
      <c r="CJ186" s="44">
        <f t="shared" si="339"/>
        <v>0</v>
      </c>
      <c r="CK186" s="44">
        <f t="shared" si="274"/>
        <v>0</v>
      </c>
      <c r="CL186" s="44">
        <f t="shared" si="340"/>
        <v>0</v>
      </c>
      <c r="CM186" s="44">
        <f t="shared" si="275"/>
        <v>0</v>
      </c>
      <c r="CN186" s="44">
        <f t="shared" si="341"/>
        <v>0</v>
      </c>
      <c r="CO186" s="44">
        <f t="shared" si="276"/>
        <v>53000</v>
      </c>
      <c r="CP186" s="46">
        <f t="shared" si="277"/>
        <v>0</v>
      </c>
      <c r="CQ186" s="47">
        <f t="shared" si="278"/>
        <v>0</v>
      </c>
      <c r="CR186" s="604">
        <f t="shared" si="342"/>
        <v>0</v>
      </c>
      <c r="CS186" s="44">
        <f t="shared" si="343"/>
        <v>0</v>
      </c>
      <c r="CT186" s="44">
        <f t="shared" si="344"/>
        <v>0</v>
      </c>
      <c r="CU186" s="44">
        <f t="shared" si="345"/>
        <v>0</v>
      </c>
      <c r="CV186" s="44">
        <f t="shared" si="346"/>
        <v>53000</v>
      </c>
      <c r="CW186" s="44">
        <f t="shared" si="347"/>
        <v>0</v>
      </c>
      <c r="CX186" s="44">
        <f t="shared" si="279"/>
        <v>0</v>
      </c>
      <c r="CY186" s="44">
        <f t="shared" si="348"/>
        <v>0</v>
      </c>
      <c r="CZ186" s="44">
        <f t="shared" si="280"/>
        <v>0</v>
      </c>
      <c r="DA186" s="44">
        <f t="shared" si="349"/>
        <v>0</v>
      </c>
      <c r="DB186" s="44">
        <f t="shared" si="281"/>
        <v>53000</v>
      </c>
      <c r="DC186" s="46">
        <f t="shared" si="282"/>
        <v>0</v>
      </c>
      <c r="DD186" s="47">
        <f t="shared" si="283"/>
        <v>0</v>
      </c>
      <c r="DE186" s="604">
        <f t="shared" si="350"/>
        <v>0</v>
      </c>
      <c r="DF186" s="44">
        <f t="shared" si="351"/>
        <v>0</v>
      </c>
      <c r="DG186" s="44">
        <f t="shared" si="352"/>
        <v>0</v>
      </c>
      <c r="DH186" s="44">
        <f t="shared" si="353"/>
        <v>0</v>
      </c>
      <c r="DI186" s="44">
        <f t="shared" si="354"/>
        <v>53000</v>
      </c>
      <c r="DJ186" s="44">
        <f t="shared" si="355"/>
        <v>0</v>
      </c>
      <c r="DK186" s="44">
        <f t="shared" si="284"/>
        <v>0</v>
      </c>
      <c r="DL186" s="44">
        <f t="shared" si="356"/>
        <v>0</v>
      </c>
      <c r="DM186" s="44">
        <f t="shared" si="285"/>
        <v>0</v>
      </c>
      <c r="DN186" s="44">
        <f t="shared" si="357"/>
        <v>0</v>
      </c>
      <c r="DO186" s="44">
        <f t="shared" si="286"/>
        <v>53000</v>
      </c>
      <c r="DP186" s="46">
        <f t="shared" si="287"/>
        <v>0</v>
      </c>
      <c r="DQ186" s="47">
        <f t="shared" si="288"/>
        <v>0</v>
      </c>
      <c r="DR186" s="604">
        <f t="shared" si="358"/>
        <v>0</v>
      </c>
      <c r="DS186" s="44">
        <f t="shared" si="359"/>
        <v>0</v>
      </c>
      <c r="DT186" s="44">
        <f t="shared" si="360"/>
        <v>0</v>
      </c>
      <c r="DU186" s="44">
        <f t="shared" si="361"/>
        <v>0</v>
      </c>
      <c r="DV186" s="44">
        <f t="shared" si="362"/>
        <v>53000</v>
      </c>
      <c r="DW186" s="44">
        <f t="shared" si="363"/>
        <v>0</v>
      </c>
      <c r="DX186" s="44">
        <f t="shared" si="289"/>
        <v>0</v>
      </c>
      <c r="DY186" s="44">
        <f t="shared" si="364"/>
        <v>0</v>
      </c>
      <c r="DZ186" s="44">
        <f t="shared" si="290"/>
        <v>0</v>
      </c>
      <c r="EA186" s="44">
        <f t="shared" si="365"/>
        <v>0</v>
      </c>
      <c r="EB186" s="44">
        <f t="shared" si="291"/>
        <v>53000</v>
      </c>
      <c r="EC186" s="46">
        <f t="shared" si="292"/>
        <v>0</v>
      </c>
      <c r="ED186" s="47">
        <f t="shared" si="293"/>
        <v>0</v>
      </c>
    </row>
    <row r="187" spans="1:134" x14ac:dyDescent="0.35">
      <c r="A187" s="81">
        <v>2007</v>
      </c>
      <c r="B187" s="82" t="s">
        <v>344</v>
      </c>
      <c r="C187" s="82"/>
      <c r="D187" s="83" t="s">
        <v>49</v>
      </c>
      <c r="E187" s="87">
        <v>85000</v>
      </c>
      <c r="F187" s="85">
        <v>39264</v>
      </c>
      <c r="G187" s="86">
        <v>20</v>
      </c>
      <c r="H187" s="179"/>
      <c r="I187" s="180"/>
      <c r="J187" s="181"/>
      <c r="K187" s="42">
        <f t="shared" si="244"/>
        <v>0.05</v>
      </c>
      <c r="L187" s="43">
        <f t="shared" si="245"/>
        <v>4250</v>
      </c>
      <c r="M187" s="44">
        <f t="shared" si="246"/>
        <v>65875</v>
      </c>
      <c r="N187" s="44"/>
      <c r="O187" s="44">
        <f t="shared" si="247"/>
        <v>19125</v>
      </c>
      <c r="P187" s="45"/>
      <c r="Q187" s="44">
        <f t="shared" si="248"/>
        <v>85000</v>
      </c>
      <c r="R187" s="604">
        <f t="shared" si="294"/>
        <v>0</v>
      </c>
      <c r="S187" s="44">
        <f t="shared" si="295"/>
        <v>0</v>
      </c>
      <c r="T187" s="44">
        <f t="shared" si="296"/>
        <v>0</v>
      </c>
      <c r="U187" s="44">
        <f t="shared" si="297"/>
        <v>0</v>
      </c>
      <c r="V187" s="44">
        <f t="shared" si="298"/>
        <v>85000</v>
      </c>
      <c r="W187" s="44">
        <f t="shared" si="299"/>
        <v>85000</v>
      </c>
      <c r="X187" s="44">
        <f t="shared" si="249"/>
        <v>4250</v>
      </c>
      <c r="Y187" s="44">
        <f t="shared" si="300"/>
        <v>4250</v>
      </c>
      <c r="Z187" s="44">
        <f t="shared" si="250"/>
        <v>61625</v>
      </c>
      <c r="AA187" s="44">
        <f t="shared" si="301"/>
        <v>61625</v>
      </c>
      <c r="AB187" s="44">
        <f t="shared" si="251"/>
        <v>23375</v>
      </c>
      <c r="AC187" s="46">
        <f t="shared" si="252"/>
        <v>0</v>
      </c>
      <c r="AD187" s="47">
        <f t="shared" si="253"/>
        <v>0</v>
      </c>
      <c r="AE187" s="604">
        <f t="shared" si="302"/>
        <v>0</v>
      </c>
      <c r="AF187" s="44">
        <f t="shared" si="303"/>
        <v>0</v>
      </c>
      <c r="AG187" s="44">
        <f t="shared" si="304"/>
        <v>0</v>
      </c>
      <c r="AH187" s="44">
        <f t="shared" si="305"/>
        <v>0</v>
      </c>
      <c r="AI187" s="44">
        <f t="shared" si="306"/>
        <v>85000</v>
      </c>
      <c r="AJ187" s="44">
        <f t="shared" si="307"/>
        <v>85000</v>
      </c>
      <c r="AK187" s="44">
        <f t="shared" si="254"/>
        <v>4250</v>
      </c>
      <c r="AL187" s="44">
        <f t="shared" si="308"/>
        <v>4250</v>
      </c>
      <c r="AM187" s="44">
        <f t="shared" si="255"/>
        <v>57375</v>
      </c>
      <c r="AN187" s="44">
        <f t="shared" si="309"/>
        <v>57375</v>
      </c>
      <c r="AO187" s="44">
        <f t="shared" si="256"/>
        <v>27625</v>
      </c>
      <c r="AP187" s="46">
        <f t="shared" si="257"/>
        <v>0</v>
      </c>
      <c r="AQ187" s="47">
        <f t="shared" si="258"/>
        <v>0</v>
      </c>
      <c r="AR187" s="604">
        <f t="shared" si="310"/>
        <v>0</v>
      </c>
      <c r="AS187" s="44">
        <f t="shared" si="311"/>
        <v>0</v>
      </c>
      <c r="AT187" s="44">
        <f t="shared" si="312"/>
        <v>0</v>
      </c>
      <c r="AU187" s="44">
        <f t="shared" si="313"/>
        <v>0</v>
      </c>
      <c r="AV187" s="44">
        <f t="shared" si="314"/>
        <v>85000</v>
      </c>
      <c r="AW187" s="44">
        <f t="shared" si="315"/>
        <v>85000</v>
      </c>
      <c r="AX187" s="44">
        <f t="shared" si="259"/>
        <v>4250</v>
      </c>
      <c r="AY187" s="44">
        <f t="shared" si="316"/>
        <v>4250</v>
      </c>
      <c r="AZ187" s="44">
        <f t="shared" si="260"/>
        <v>53125</v>
      </c>
      <c r="BA187" s="44">
        <f t="shared" si="317"/>
        <v>53125</v>
      </c>
      <c r="BB187" s="44">
        <f t="shared" si="261"/>
        <v>31875</v>
      </c>
      <c r="BC187" s="46">
        <f t="shared" si="262"/>
        <v>0</v>
      </c>
      <c r="BD187" s="47">
        <f t="shared" si="263"/>
        <v>0</v>
      </c>
      <c r="BE187" s="604">
        <f t="shared" si="318"/>
        <v>0</v>
      </c>
      <c r="BF187" s="44">
        <f t="shared" si="319"/>
        <v>0</v>
      </c>
      <c r="BG187" s="44">
        <f t="shared" si="320"/>
        <v>0</v>
      </c>
      <c r="BH187" s="44">
        <f t="shared" si="321"/>
        <v>0</v>
      </c>
      <c r="BI187" s="44">
        <f t="shared" si="322"/>
        <v>85000</v>
      </c>
      <c r="BJ187" s="44">
        <f t="shared" si="323"/>
        <v>85000</v>
      </c>
      <c r="BK187" s="44">
        <f t="shared" si="264"/>
        <v>4250</v>
      </c>
      <c r="BL187" s="44">
        <f t="shared" si="324"/>
        <v>4250</v>
      </c>
      <c r="BM187" s="44">
        <f t="shared" si="265"/>
        <v>48875</v>
      </c>
      <c r="BN187" s="44">
        <f t="shared" si="325"/>
        <v>48875</v>
      </c>
      <c r="BO187" s="44">
        <f t="shared" si="266"/>
        <v>36125</v>
      </c>
      <c r="BP187" s="46">
        <f t="shared" si="267"/>
        <v>0</v>
      </c>
      <c r="BQ187" s="47">
        <f t="shared" si="268"/>
        <v>0</v>
      </c>
      <c r="BR187" s="604">
        <f t="shared" si="326"/>
        <v>0</v>
      </c>
      <c r="BS187" s="44">
        <f t="shared" si="327"/>
        <v>0</v>
      </c>
      <c r="BT187" s="44">
        <f t="shared" si="328"/>
        <v>0</v>
      </c>
      <c r="BU187" s="44">
        <f t="shared" si="329"/>
        <v>0</v>
      </c>
      <c r="BV187" s="44">
        <f t="shared" si="330"/>
        <v>85000</v>
      </c>
      <c r="BW187" s="44">
        <f t="shared" si="331"/>
        <v>85000</v>
      </c>
      <c r="BX187" s="44">
        <f t="shared" si="269"/>
        <v>4250</v>
      </c>
      <c r="BY187" s="44">
        <f t="shared" si="332"/>
        <v>4250</v>
      </c>
      <c r="BZ187" s="44">
        <f t="shared" si="270"/>
        <v>44625</v>
      </c>
      <c r="CA187" s="44">
        <f t="shared" si="333"/>
        <v>44625</v>
      </c>
      <c r="CB187" s="44">
        <f t="shared" si="271"/>
        <v>40375</v>
      </c>
      <c r="CC187" s="46">
        <f t="shared" si="272"/>
        <v>0</v>
      </c>
      <c r="CD187" s="47">
        <f t="shared" si="273"/>
        <v>0</v>
      </c>
      <c r="CE187" s="604">
        <f t="shared" si="334"/>
        <v>0</v>
      </c>
      <c r="CF187" s="44">
        <f t="shared" si="335"/>
        <v>0</v>
      </c>
      <c r="CG187" s="44">
        <f t="shared" si="336"/>
        <v>0</v>
      </c>
      <c r="CH187" s="44">
        <f t="shared" si="337"/>
        <v>0</v>
      </c>
      <c r="CI187" s="44">
        <f t="shared" si="338"/>
        <v>85000</v>
      </c>
      <c r="CJ187" s="44">
        <f t="shared" si="339"/>
        <v>85000</v>
      </c>
      <c r="CK187" s="44">
        <f t="shared" si="274"/>
        <v>4250</v>
      </c>
      <c r="CL187" s="44">
        <f t="shared" si="340"/>
        <v>4250</v>
      </c>
      <c r="CM187" s="44">
        <f t="shared" si="275"/>
        <v>40375</v>
      </c>
      <c r="CN187" s="44">
        <f t="shared" si="341"/>
        <v>40375</v>
      </c>
      <c r="CO187" s="44">
        <f t="shared" si="276"/>
        <v>44625</v>
      </c>
      <c r="CP187" s="46">
        <f t="shared" si="277"/>
        <v>0</v>
      </c>
      <c r="CQ187" s="47">
        <f t="shared" si="278"/>
        <v>0</v>
      </c>
      <c r="CR187" s="604">
        <f t="shared" si="342"/>
        <v>0</v>
      </c>
      <c r="CS187" s="44">
        <f t="shared" si="343"/>
        <v>0</v>
      </c>
      <c r="CT187" s="44">
        <f t="shared" si="344"/>
        <v>0</v>
      </c>
      <c r="CU187" s="44">
        <f t="shared" si="345"/>
        <v>0</v>
      </c>
      <c r="CV187" s="44">
        <f t="shared" si="346"/>
        <v>85000</v>
      </c>
      <c r="CW187" s="44">
        <f t="shared" si="347"/>
        <v>85000</v>
      </c>
      <c r="CX187" s="44">
        <f t="shared" si="279"/>
        <v>4250</v>
      </c>
      <c r="CY187" s="44">
        <f t="shared" si="348"/>
        <v>4250</v>
      </c>
      <c r="CZ187" s="44">
        <f t="shared" si="280"/>
        <v>36125</v>
      </c>
      <c r="DA187" s="44">
        <f t="shared" si="349"/>
        <v>36125</v>
      </c>
      <c r="DB187" s="44">
        <f t="shared" si="281"/>
        <v>48875</v>
      </c>
      <c r="DC187" s="46">
        <f t="shared" si="282"/>
        <v>0</v>
      </c>
      <c r="DD187" s="47">
        <f t="shared" si="283"/>
        <v>0</v>
      </c>
      <c r="DE187" s="604">
        <f t="shared" si="350"/>
        <v>0</v>
      </c>
      <c r="DF187" s="44">
        <f t="shared" si="351"/>
        <v>0</v>
      </c>
      <c r="DG187" s="44">
        <f t="shared" si="352"/>
        <v>0</v>
      </c>
      <c r="DH187" s="44">
        <f t="shared" si="353"/>
        <v>0</v>
      </c>
      <c r="DI187" s="44">
        <f t="shared" si="354"/>
        <v>85000</v>
      </c>
      <c r="DJ187" s="44">
        <f t="shared" si="355"/>
        <v>85000</v>
      </c>
      <c r="DK187" s="44">
        <f t="shared" si="284"/>
        <v>4250</v>
      </c>
      <c r="DL187" s="44">
        <f t="shared" si="356"/>
        <v>4250</v>
      </c>
      <c r="DM187" s="44">
        <f t="shared" si="285"/>
        <v>31875</v>
      </c>
      <c r="DN187" s="44">
        <f t="shared" si="357"/>
        <v>31875</v>
      </c>
      <c r="DO187" s="44">
        <f t="shared" si="286"/>
        <v>53125</v>
      </c>
      <c r="DP187" s="46">
        <f t="shared" si="287"/>
        <v>0</v>
      </c>
      <c r="DQ187" s="47">
        <f t="shared" si="288"/>
        <v>0</v>
      </c>
      <c r="DR187" s="604">
        <f t="shared" si="358"/>
        <v>0</v>
      </c>
      <c r="DS187" s="44">
        <f t="shared" si="359"/>
        <v>0</v>
      </c>
      <c r="DT187" s="44">
        <f t="shared" si="360"/>
        <v>0</v>
      </c>
      <c r="DU187" s="44">
        <f t="shared" si="361"/>
        <v>0</v>
      </c>
      <c r="DV187" s="44">
        <f t="shared" si="362"/>
        <v>85000</v>
      </c>
      <c r="DW187" s="44">
        <f t="shared" si="363"/>
        <v>85000</v>
      </c>
      <c r="DX187" s="44">
        <f t="shared" si="289"/>
        <v>4250</v>
      </c>
      <c r="DY187" s="44">
        <f t="shared" si="364"/>
        <v>4250</v>
      </c>
      <c r="DZ187" s="44">
        <f t="shared" si="290"/>
        <v>27625</v>
      </c>
      <c r="EA187" s="44">
        <f t="shared" si="365"/>
        <v>27625</v>
      </c>
      <c r="EB187" s="44">
        <f t="shared" si="291"/>
        <v>57375</v>
      </c>
      <c r="EC187" s="46">
        <f t="shared" si="292"/>
        <v>0</v>
      </c>
      <c r="ED187" s="47">
        <f t="shared" si="293"/>
        <v>0</v>
      </c>
    </row>
    <row r="188" spans="1:134" x14ac:dyDescent="0.35">
      <c r="A188" s="81"/>
      <c r="B188" s="82"/>
      <c r="C188" s="82"/>
      <c r="D188" s="83"/>
      <c r="E188" s="87"/>
      <c r="F188" s="85"/>
      <c r="G188" s="86"/>
      <c r="H188" s="179"/>
      <c r="I188" s="180"/>
      <c r="J188" s="181"/>
      <c r="K188" s="42">
        <f t="shared" si="244"/>
        <v>0</v>
      </c>
      <c r="L188" s="43">
        <f t="shared" si="245"/>
        <v>0</v>
      </c>
      <c r="M188" s="44">
        <f t="shared" si="246"/>
        <v>0</v>
      </c>
      <c r="N188" s="44"/>
      <c r="O188" s="44">
        <f t="shared" si="247"/>
        <v>0</v>
      </c>
      <c r="P188" s="45"/>
      <c r="Q188" s="44">
        <f t="shared" si="248"/>
        <v>0</v>
      </c>
      <c r="R188" s="604">
        <f t="shared" si="294"/>
        <v>0</v>
      </c>
      <c r="S188" s="44">
        <f t="shared" si="295"/>
        <v>0</v>
      </c>
      <c r="T188" s="44">
        <f t="shared" si="296"/>
        <v>0</v>
      </c>
      <c r="U188" s="44">
        <f t="shared" si="297"/>
        <v>0</v>
      </c>
      <c r="V188" s="44">
        <f t="shared" si="298"/>
        <v>0</v>
      </c>
      <c r="W188" s="44">
        <f t="shared" si="299"/>
        <v>0</v>
      </c>
      <c r="X188" s="44">
        <f t="shared" si="249"/>
        <v>0</v>
      </c>
      <c r="Y188" s="44">
        <f t="shared" si="300"/>
        <v>0</v>
      </c>
      <c r="Z188" s="44">
        <f t="shared" si="250"/>
        <v>0</v>
      </c>
      <c r="AA188" s="44">
        <f t="shared" si="301"/>
        <v>0</v>
      </c>
      <c r="AB188" s="44">
        <f t="shared" si="251"/>
        <v>0</v>
      </c>
      <c r="AC188" s="46">
        <f t="shared" si="252"/>
        <v>0</v>
      </c>
      <c r="AD188" s="47">
        <f t="shared" si="253"/>
        <v>0</v>
      </c>
      <c r="AE188" s="604">
        <f t="shared" si="302"/>
        <v>0</v>
      </c>
      <c r="AF188" s="44">
        <f t="shared" si="303"/>
        <v>0</v>
      </c>
      <c r="AG188" s="44">
        <f t="shared" si="304"/>
        <v>0</v>
      </c>
      <c r="AH188" s="44">
        <f t="shared" si="305"/>
        <v>0</v>
      </c>
      <c r="AI188" s="44">
        <f t="shared" si="306"/>
        <v>0</v>
      </c>
      <c r="AJ188" s="44">
        <f t="shared" si="307"/>
        <v>0</v>
      </c>
      <c r="AK188" s="44">
        <f t="shared" si="254"/>
        <v>0</v>
      </c>
      <c r="AL188" s="44">
        <f t="shared" si="308"/>
        <v>0</v>
      </c>
      <c r="AM188" s="44">
        <f t="shared" si="255"/>
        <v>0</v>
      </c>
      <c r="AN188" s="44">
        <f t="shared" si="309"/>
        <v>0</v>
      </c>
      <c r="AO188" s="44">
        <f t="shared" si="256"/>
        <v>0</v>
      </c>
      <c r="AP188" s="46">
        <f t="shared" si="257"/>
        <v>0</v>
      </c>
      <c r="AQ188" s="47">
        <f t="shared" si="258"/>
        <v>0</v>
      </c>
      <c r="AR188" s="604">
        <f t="shared" si="310"/>
        <v>0</v>
      </c>
      <c r="AS188" s="44">
        <f t="shared" si="311"/>
        <v>0</v>
      </c>
      <c r="AT188" s="44">
        <f t="shared" si="312"/>
        <v>0</v>
      </c>
      <c r="AU188" s="44">
        <f t="shared" si="313"/>
        <v>0</v>
      </c>
      <c r="AV188" s="44">
        <f t="shared" si="314"/>
        <v>0</v>
      </c>
      <c r="AW188" s="44">
        <f t="shared" si="315"/>
        <v>0</v>
      </c>
      <c r="AX188" s="44">
        <f t="shared" si="259"/>
        <v>0</v>
      </c>
      <c r="AY188" s="44">
        <f t="shared" si="316"/>
        <v>0</v>
      </c>
      <c r="AZ188" s="44">
        <f t="shared" si="260"/>
        <v>0</v>
      </c>
      <c r="BA188" s="44">
        <f t="shared" si="317"/>
        <v>0</v>
      </c>
      <c r="BB188" s="44">
        <f t="shared" si="261"/>
        <v>0</v>
      </c>
      <c r="BC188" s="46">
        <f t="shared" si="262"/>
        <v>0</v>
      </c>
      <c r="BD188" s="47">
        <f t="shared" si="263"/>
        <v>0</v>
      </c>
      <c r="BE188" s="604">
        <f t="shared" si="318"/>
        <v>0</v>
      </c>
      <c r="BF188" s="44">
        <f t="shared" si="319"/>
        <v>0</v>
      </c>
      <c r="BG188" s="44">
        <f t="shared" si="320"/>
        <v>0</v>
      </c>
      <c r="BH188" s="44">
        <f t="shared" si="321"/>
        <v>0</v>
      </c>
      <c r="BI188" s="44">
        <f t="shared" si="322"/>
        <v>0</v>
      </c>
      <c r="BJ188" s="44">
        <f t="shared" si="323"/>
        <v>0</v>
      </c>
      <c r="BK188" s="44">
        <f t="shared" si="264"/>
        <v>0</v>
      </c>
      <c r="BL188" s="44">
        <f t="shared" si="324"/>
        <v>0</v>
      </c>
      <c r="BM188" s="44">
        <f t="shared" si="265"/>
        <v>0</v>
      </c>
      <c r="BN188" s="44">
        <f t="shared" si="325"/>
        <v>0</v>
      </c>
      <c r="BO188" s="44">
        <f t="shared" si="266"/>
        <v>0</v>
      </c>
      <c r="BP188" s="46">
        <f t="shared" si="267"/>
        <v>0</v>
      </c>
      <c r="BQ188" s="47">
        <f t="shared" si="268"/>
        <v>0</v>
      </c>
      <c r="BR188" s="604">
        <f t="shared" si="326"/>
        <v>0</v>
      </c>
      <c r="BS188" s="44">
        <f t="shared" si="327"/>
        <v>0</v>
      </c>
      <c r="BT188" s="44">
        <f t="shared" si="328"/>
        <v>0</v>
      </c>
      <c r="BU188" s="44">
        <f t="shared" si="329"/>
        <v>0</v>
      </c>
      <c r="BV188" s="44">
        <f t="shared" si="330"/>
        <v>0</v>
      </c>
      <c r="BW188" s="44">
        <f t="shared" si="331"/>
        <v>0</v>
      </c>
      <c r="BX188" s="44">
        <f t="shared" si="269"/>
        <v>0</v>
      </c>
      <c r="BY188" s="44">
        <f t="shared" si="332"/>
        <v>0</v>
      </c>
      <c r="BZ188" s="44">
        <f t="shared" si="270"/>
        <v>0</v>
      </c>
      <c r="CA188" s="44">
        <f t="shared" si="333"/>
        <v>0</v>
      </c>
      <c r="CB188" s="44">
        <f t="shared" si="271"/>
        <v>0</v>
      </c>
      <c r="CC188" s="46">
        <f t="shared" si="272"/>
        <v>0</v>
      </c>
      <c r="CD188" s="47">
        <f t="shared" si="273"/>
        <v>0</v>
      </c>
      <c r="CE188" s="604">
        <f t="shared" si="334"/>
        <v>0</v>
      </c>
      <c r="CF188" s="44">
        <f t="shared" si="335"/>
        <v>0</v>
      </c>
      <c r="CG188" s="44">
        <f t="shared" si="336"/>
        <v>0</v>
      </c>
      <c r="CH188" s="44">
        <f t="shared" si="337"/>
        <v>0</v>
      </c>
      <c r="CI188" s="44">
        <f t="shared" si="338"/>
        <v>0</v>
      </c>
      <c r="CJ188" s="44">
        <f t="shared" si="339"/>
        <v>0</v>
      </c>
      <c r="CK188" s="44">
        <f t="shared" si="274"/>
        <v>0</v>
      </c>
      <c r="CL188" s="44">
        <f t="shared" si="340"/>
        <v>0</v>
      </c>
      <c r="CM188" s="44">
        <f t="shared" si="275"/>
        <v>0</v>
      </c>
      <c r="CN188" s="44">
        <f t="shared" si="341"/>
        <v>0</v>
      </c>
      <c r="CO188" s="44">
        <f t="shared" si="276"/>
        <v>0</v>
      </c>
      <c r="CP188" s="46">
        <f t="shared" si="277"/>
        <v>0</v>
      </c>
      <c r="CQ188" s="47">
        <f t="shared" si="278"/>
        <v>0</v>
      </c>
      <c r="CR188" s="604">
        <f t="shared" si="342"/>
        <v>0</v>
      </c>
      <c r="CS188" s="44">
        <f t="shared" si="343"/>
        <v>0</v>
      </c>
      <c r="CT188" s="44">
        <f t="shared" si="344"/>
        <v>0</v>
      </c>
      <c r="CU188" s="44">
        <f t="shared" si="345"/>
        <v>0</v>
      </c>
      <c r="CV188" s="44">
        <f t="shared" si="346"/>
        <v>0</v>
      </c>
      <c r="CW188" s="44">
        <f t="shared" si="347"/>
        <v>0</v>
      </c>
      <c r="CX188" s="44">
        <f t="shared" si="279"/>
        <v>0</v>
      </c>
      <c r="CY188" s="44">
        <f t="shared" si="348"/>
        <v>0</v>
      </c>
      <c r="CZ188" s="44">
        <f t="shared" si="280"/>
        <v>0</v>
      </c>
      <c r="DA188" s="44">
        <f t="shared" si="349"/>
        <v>0</v>
      </c>
      <c r="DB188" s="44">
        <f t="shared" si="281"/>
        <v>0</v>
      </c>
      <c r="DC188" s="46">
        <f t="shared" si="282"/>
        <v>0</v>
      </c>
      <c r="DD188" s="47">
        <f t="shared" si="283"/>
        <v>0</v>
      </c>
      <c r="DE188" s="604">
        <f t="shared" si="350"/>
        <v>0</v>
      </c>
      <c r="DF188" s="44">
        <f t="shared" si="351"/>
        <v>0</v>
      </c>
      <c r="DG188" s="44">
        <f t="shared" si="352"/>
        <v>0</v>
      </c>
      <c r="DH188" s="44">
        <f t="shared" si="353"/>
        <v>0</v>
      </c>
      <c r="DI188" s="44">
        <f t="shared" si="354"/>
        <v>0</v>
      </c>
      <c r="DJ188" s="44">
        <f t="shared" si="355"/>
        <v>0</v>
      </c>
      <c r="DK188" s="44">
        <f t="shared" si="284"/>
        <v>0</v>
      </c>
      <c r="DL188" s="44">
        <f t="shared" si="356"/>
        <v>0</v>
      </c>
      <c r="DM188" s="44">
        <f t="shared" si="285"/>
        <v>0</v>
      </c>
      <c r="DN188" s="44">
        <f t="shared" si="357"/>
        <v>0</v>
      </c>
      <c r="DO188" s="44">
        <f t="shared" si="286"/>
        <v>0</v>
      </c>
      <c r="DP188" s="46">
        <f t="shared" si="287"/>
        <v>0</v>
      </c>
      <c r="DQ188" s="47">
        <f t="shared" si="288"/>
        <v>0</v>
      </c>
      <c r="DR188" s="604">
        <f t="shared" si="358"/>
        <v>0</v>
      </c>
      <c r="DS188" s="44">
        <f t="shared" si="359"/>
        <v>0</v>
      </c>
      <c r="DT188" s="44">
        <f t="shared" si="360"/>
        <v>0</v>
      </c>
      <c r="DU188" s="44">
        <f t="shared" si="361"/>
        <v>0</v>
      </c>
      <c r="DV188" s="44">
        <f t="shared" si="362"/>
        <v>0</v>
      </c>
      <c r="DW188" s="44">
        <f t="shared" si="363"/>
        <v>0</v>
      </c>
      <c r="DX188" s="44">
        <f t="shared" si="289"/>
        <v>0</v>
      </c>
      <c r="DY188" s="44">
        <f t="shared" si="364"/>
        <v>0</v>
      </c>
      <c r="DZ188" s="44">
        <f t="shared" si="290"/>
        <v>0</v>
      </c>
      <c r="EA188" s="44">
        <f t="shared" si="365"/>
        <v>0</v>
      </c>
      <c r="EB188" s="44">
        <f t="shared" si="291"/>
        <v>0</v>
      </c>
      <c r="EC188" s="46">
        <f t="shared" si="292"/>
        <v>0</v>
      </c>
      <c r="ED188" s="47">
        <f t="shared" si="293"/>
        <v>0</v>
      </c>
    </row>
    <row r="189" spans="1:134" x14ac:dyDescent="0.35">
      <c r="A189" s="81"/>
      <c r="B189" s="82" t="s">
        <v>345</v>
      </c>
      <c r="C189" s="82"/>
      <c r="D189" s="83"/>
      <c r="E189" s="87"/>
      <c r="F189" s="85"/>
      <c r="G189" s="86"/>
      <c r="H189" s="179"/>
      <c r="I189" s="180"/>
      <c r="J189" s="181"/>
      <c r="K189" s="42">
        <f t="shared" si="244"/>
        <v>0</v>
      </c>
      <c r="L189" s="43">
        <f t="shared" si="245"/>
        <v>0</v>
      </c>
      <c r="M189" s="44">
        <f t="shared" si="246"/>
        <v>0</v>
      </c>
      <c r="N189" s="44"/>
      <c r="O189" s="44">
        <f t="shared" si="247"/>
        <v>0</v>
      </c>
      <c r="P189" s="45"/>
      <c r="Q189" s="44">
        <f t="shared" si="248"/>
        <v>0</v>
      </c>
      <c r="R189" s="604">
        <f t="shared" si="294"/>
        <v>0</v>
      </c>
      <c r="S189" s="44">
        <f t="shared" si="295"/>
        <v>0</v>
      </c>
      <c r="T189" s="44">
        <f t="shared" si="296"/>
        <v>0</v>
      </c>
      <c r="U189" s="44">
        <f t="shared" si="297"/>
        <v>0</v>
      </c>
      <c r="V189" s="44">
        <f t="shared" si="298"/>
        <v>0</v>
      </c>
      <c r="W189" s="44">
        <f t="shared" si="299"/>
        <v>0</v>
      </c>
      <c r="X189" s="44">
        <f t="shared" si="249"/>
        <v>0</v>
      </c>
      <c r="Y189" s="44">
        <f t="shared" si="300"/>
        <v>0</v>
      </c>
      <c r="Z189" s="44">
        <f t="shared" si="250"/>
        <v>0</v>
      </c>
      <c r="AA189" s="44">
        <f t="shared" si="301"/>
        <v>0</v>
      </c>
      <c r="AB189" s="44">
        <f t="shared" si="251"/>
        <v>0</v>
      </c>
      <c r="AC189" s="46">
        <f t="shared" si="252"/>
        <v>0</v>
      </c>
      <c r="AD189" s="47">
        <f t="shared" si="253"/>
        <v>0</v>
      </c>
      <c r="AE189" s="604">
        <f t="shared" si="302"/>
        <v>0</v>
      </c>
      <c r="AF189" s="44">
        <f t="shared" si="303"/>
        <v>0</v>
      </c>
      <c r="AG189" s="44">
        <f t="shared" si="304"/>
        <v>0</v>
      </c>
      <c r="AH189" s="44">
        <f t="shared" si="305"/>
        <v>0</v>
      </c>
      <c r="AI189" s="44">
        <f t="shared" si="306"/>
        <v>0</v>
      </c>
      <c r="AJ189" s="44">
        <f t="shared" si="307"/>
        <v>0</v>
      </c>
      <c r="AK189" s="44">
        <f t="shared" si="254"/>
        <v>0</v>
      </c>
      <c r="AL189" s="44">
        <f t="shared" si="308"/>
        <v>0</v>
      </c>
      <c r="AM189" s="44">
        <f t="shared" si="255"/>
        <v>0</v>
      </c>
      <c r="AN189" s="44">
        <f t="shared" si="309"/>
        <v>0</v>
      </c>
      <c r="AO189" s="44">
        <f t="shared" si="256"/>
        <v>0</v>
      </c>
      <c r="AP189" s="46">
        <f t="shared" si="257"/>
        <v>0</v>
      </c>
      <c r="AQ189" s="47">
        <f t="shared" si="258"/>
        <v>0</v>
      </c>
      <c r="AR189" s="604">
        <f t="shared" si="310"/>
        <v>0</v>
      </c>
      <c r="AS189" s="44">
        <f t="shared" si="311"/>
        <v>0</v>
      </c>
      <c r="AT189" s="44">
        <f t="shared" si="312"/>
        <v>0</v>
      </c>
      <c r="AU189" s="44">
        <f t="shared" si="313"/>
        <v>0</v>
      </c>
      <c r="AV189" s="44">
        <f t="shared" si="314"/>
        <v>0</v>
      </c>
      <c r="AW189" s="44">
        <f t="shared" si="315"/>
        <v>0</v>
      </c>
      <c r="AX189" s="44">
        <f t="shared" si="259"/>
        <v>0</v>
      </c>
      <c r="AY189" s="44">
        <f t="shared" si="316"/>
        <v>0</v>
      </c>
      <c r="AZ189" s="44">
        <f t="shared" si="260"/>
        <v>0</v>
      </c>
      <c r="BA189" s="44">
        <f t="shared" si="317"/>
        <v>0</v>
      </c>
      <c r="BB189" s="44">
        <f t="shared" si="261"/>
        <v>0</v>
      </c>
      <c r="BC189" s="46">
        <f t="shared" si="262"/>
        <v>0</v>
      </c>
      <c r="BD189" s="47">
        <f t="shared" si="263"/>
        <v>0</v>
      </c>
      <c r="BE189" s="604">
        <f t="shared" si="318"/>
        <v>0</v>
      </c>
      <c r="BF189" s="44">
        <f t="shared" si="319"/>
        <v>0</v>
      </c>
      <c r="BG189" s="44">
        <f t="shared" si="320"/>
        <v>0</v>
      </c>
      <c r="BH189" s="44">
        <f t="shared" si="321"/>
        <v>0</v>
      </c>
      <c r="BI189" s="44">
        <f t="shared" si="322"/>
        <v>0</v>
      </c>
      <c r="BJ189" s="44">
        <f t="shared" si="323"/>
        <v>0</v>
      </c>
      <c r="BK189" s="44">
        <f t="shared" si="264"/>
        <v>0</v>
      </c>
      <c r="BL189" s="44">
        <f t="shared" si="324"/>
        <v>0</v>
      </c>
      <c r="BM189" s="44">
        <f t="shared" si="265"/>
        <v>0</v>
      </c>
      <c r="BN189" s="44">
        <f t="shared" si="325"/>
        <v>0</v>
      </c>
      <c r="BO189" s="44">
        <f t="shared" si="266"/>
        <v>0</v>
      </c>
      <c r="BP189" s="46">
        <f t="shared" si="267"/>
        <v>0</v>
      </c>
      <c r="BQ189" s="47">
        <f t="shared" si="268"/>
        <v>0</v>
      </c>
      <c r="BR189" s="604">
        <f t="shared" si="326"/>
        <v>0</v>
      </c>
      <c r="BS189" s="44">
        <f t="shared" si="327"/>
        <v>0</v>
      </c>
      <c r="BT189" s="44">
        <f t="shared" si="328"/>
        <v>0</v>
      </c>
      <c r="BU189" s="44">
        <f t="shared" si="329"/>
        <v>0</v>
      </c>
      <c r="BV189" s="44">
        <f t="shared" si="330"/>
        <v>0</v>
      </c>
      <c r="BW189" s="44">
        <f t="shared" si="331"/>
        <v>0</v>
      </c>
      <c r="BX189" s="44">
        <f t="shared" si="269"/>
        <v>0</v>
      </c>
      <c r="BY189" s="44">
        <f t="shared" si="332"/>
        <v>0</v>
      </c>
      <c r="BZ189" s="44">
        <f t="shared" si="270"/>
        <v>0</v>
      </c>
      <c r="CA189" s="44">
        <f t="shared" si="333"/>
        <v>0</v>
      </c>
      <c r="CB189" s="44">
        <f t="shared" si="271"/>
        <v>0</v>
      </c>
      <c r="CC189" s="46">
        <f t="shared" si="272"/>
        <v>0</v>
      </c>
      <c r="CD189" s="47">
        <f t="shared" si="273"/>
        <v>0</v>
      </c>
      <c r="CE189" s="604">
        <f t="shared" si="334"/>
        <v>0</v>
      </c>
      <c r="CF189" s="44">
        <f t="shared" si="335"/>
        <v>0</v>
      </c>
      <c r="CG189" s="44">
        <f t="shared" si="336"/>
        <v>0</v>
      </c>
      <c r="CH189" s="44">
        <f t="shared" si="337"/>
        <v>0</v>
      </c>
      <c r="CI189" s="44">
        <f t="shared" si="338"/>
        <v>0</v>
      </c>
      <c r="CJ189" s="44">
        <f t="shared" si="339"/>
        <v>0</v>
      </c>
      <c r="CK189" s="44">
        <f t="shared" si="274"/>
        <v>0</v>
      </c>
      <c r="CL189" s="44">
        <f t="shared" si="340"/>
        <v>0</v>
      </c>
      <c r="CM189" s="44">
        <f t="shared" si="275"/>
        <v>0</v>
      </c>
      <c r="CN189" s="44">
        <f t="shared" si="341"/>
        <v>0</v>
      </c>
      <c r="CO189" s="44">
        <f t="shared" si="276"/>
        <v>0</v>
      </c>
      <c r="CP189" s="46">
        <f t="shared" si="277"/>
        <v>0</v>
      </c>
      <c r="CQ189" s="47">
        <f t="shared" si="278"/>
        <v>0</v>
      </c>
      <c r="CR189" s="604">
        <f t="shared" si="342"/>
        <v>0</v>
      </c>
      <c r="CS189" s="44">
        <f t="shared" si="343"/>
        <v>0</v>
      </c>
      <c r="CT189" s="44">
        <f t="shared" si="344"/>
        <v>0</v>
      </c>
      <c r="CU189" s="44">
        <f t="shared" si="345"/>
        <v>0</v>
      </c>
      <c r="CV189" s="44">
        <f t="shared" si="346"/>
        <v>0</v>
      </c>
      <c r="CW189" s="44">
        <f t="shared" si="347"/>
        <v>0</v>
      </c>
      <c r="CX189" s="44">
        <f t="shared" si="279"/>
        <v>0</v>
      </c>
      <c r="CY189" s="44">
        <f t="shared" si="348"/>
        <v>0</v>
      </c>
      <c r="CZ189" s="44">
        <f t="shared" si="280"/>
        <v>0</v>
      </c>
      <c r="DA189" s="44">
        <f t="shared" si="349"/>
        <v>0</v>
      </c>
      <c r="DB189" s="44">
        <f t="shared" si="281"/>
        <v>0</v>
      </c>
      <c r="DC189" s="46">
        <f t="shared" si="282"/>
        <v>0</v>
      </c>
      <c r="DD189" s="47">
        <f t="shared" si="283"/>
        <v>0</v>
      </c>
      <c r="DE189" s="604">
        <f t="shared" si="350"/>
        <v>0</v>
      </c>
      <c r="DF189" s="44">
        <f t="shared" si="351"/>
        <v>0</v>
      </c>
      <c r="DG189" s="44">
        <f t="shared" si="352"/>
        <v>0</v>
      </c>
      <c r="DH189" s="44">
        <f t="shared" si="353"/>
        <v>0</v>
      </c>
      <c r="DI189" s="44">
        <f t="shared" si="354"/>
        <v>0</v>
      </c>
      <c r="DJ189" s="44">
        <f t="shared" si="355"/>
        <v>0</v>
      </c>
      <c r="DK189" s="44">
        <f t="shared" si="284"/>
        <v>0</v>
      </c>
      <c r="DL189" s="44">
        <f t="shared" si="356"/>
        <v>0</v>
      </c>
      <c r="DM189" s="44">
        <f t="shared" si="285"/>
        <v>0</v>
      </c>
      <c r="DN189" s="44">
        <f t="shared" si="357"/>
        <v>0</v>
      </c>
      <c r="DO189" s="44">
        <f t="shared" si="286"/>
        <v>0</v>
      </c>
      <c r="DP189" s="46">
        <f t="shared" si="287"/>
        <v>0</v>
      </c>
      <c r="DQ189" s="47">
        <f t="shared" si="288"/>
        <v>0</v>
      </c>
      <c r="DR189" s="604">
        <f t="shared" si="358"/>
        <v>0</v>
      </c>
      <c r="DS189" s="44">
        <f t="shared" si="359"/>
        <v>0</v>
      </c>
      <c r="DT189" s="44">
        <f t="shared" si="360"/>
        <v>0</v>
      </c>
      <c r="DU189" s="44">
        <f t="shared" si="361"/>
        <v>0</v>
      </c>
      <c r="DV189" s="44">
        <f t="shared" si="362"/>
        <v>0</v>
      </c>
      <c r="DW189" s="44">
        <f t="shared" si="363"/>
        <v>0</v>
      </c>
      <c r="DX189" s="44">
        <f t="shared" si="289"/>
        <v>0</v>
      </c>
      <c r="DY189" s="44">
        <f t="shared" si="364"/>
        <v>0</v>
      </c>
      <c r="DZ189" s="44">
        <f t="shared" si="290"/>
        <v>0</v>
      </c>
      <c r="EA189" s="44">
        <f t="shared" si="365"/>
        <v>0</v>
      </c>
      <c r="EB189" s="44">
        <f t="shared" si="291"/>
        <v>0</v>
      </c>
      <c r="EC189" s="46">
        <f t="shared" si="292"/>
        <v>0</v>
      </c>
      <c r="ED189" s="47">
        <f t="shared" si="293"/>
        <v>0</v>
      </c>
    </row>
    <row r="190" spans="1:134" x14ac:dyDescent="0.35">
      <c r="A190" s="81">
        <v>1960</v>
      </c>
      <c r="B190" s="82" t="s">
        <v>346</v>
      </c>
      <c r="C190" s="82"/>
      <c r="D190" s="83" t="s">
        <v>63</v>
      </c>
      <c r="E190" s="87">
        <v>945000</v>
      </c>
      <c r="F190" s="85">
        <v>22098</v>
      </c>
      <c r="G190" s="86">
        <v>50</v>
      </c>
      <c r="H190" s="179"/>
      <c r="I190" s="180"/>
      <c r="J190" s="181"/>
      <c r="K190" s="42">
        <f t="shared" si="244"/>
        <v>0.02</v>
      </c>
      <c r="L190" s="43">
        <f t="shared" si="245"/>
        <v>18900</v>
      </c>
      <c r="M190" s="44">
        <f t="shared" si="246"/>
        <v>0</v>
      </c>
      <c r="N190" s="44"/>
      <c r="O190" s="44">
        <f t="shared" si="247"/>
        <v>945000</v>
      </c>
      <c r="P190" s="45"/>
      <c r="Q190" s="44">
        <f t="shared" si="248"/>
        <v>945000</v>
      </c>
      <c r="R190" s="604">
        <f t="shared" si="294"/>
        <v>0</v>
      </c>
      <c r="S190" s="44">
        <f t="shared" si="295"/>
        <v>0</v>
      </c>
      <c r="T190" s="44">
        <f t="shared" si="296"/>
        <v>0</v>
      </c>
      <c r="U190" s="44">
        <f t="shared" si="297"/>
        <v>0</v>
      </c>
      <c r="V190" s="44">
        <f t="shared" si="298"/>
        <v>945000</v>
      </c>
      <c r="W190" s="44">
        <f t="shared" si="299"/>
        <v>0</v>
      </c>
      <c r="X190" s="44">
        <f t="shared" si="249"/>
        <v>0</v>
      </c>
      <c r="Y190" s="44">
        <f t="shared" si="300"/>
        <v>0</v>
      </c>
      <c r="Z190" s="44">
        <f t="shared" si="250"/>
        <v>0</v>
      </c>
      <c r="AA190" s="44">
        <f t="shared" si="301"/>
        <v>0</v>
      </c>
      <c r="AB190" s="44">
        <f t="shared" si="251"/>
        <v>945000</v>
      </c>
      <c r="AC190" s="46">
        <f t="shared" si="252"/>
        <v>0</v>
      </c>
      <c r="AD190" s="47">
        <f t="shared" si="253"/>
        <v>0</v>
      </c>
      <c r="AE190" s="604">
        <f t="shared" si="302"/>
        <v>0</v>
      </c>
      <c r="AF190" s="44">
        <f t="shared" si="303"/>
        <v>0</v>
      </c>
      <c r="AG190" s="44">
        <f t="shared" si="304"/>
        <v>0</v>
      </c>
      <c r="AH190" s="44">
        <f t="shared" si="305"/>
        <v>0</v>
      </c>
      <c r="AI190" s="44">
        <f t="shared" si="306"/>
        <v>945000</v>
      </c>
      <c r="AJ190" s="44">
        <f t="shared" si="307"/>
        <v>0</v>
      </c>
      <c r="AK190" s="44">
        <f t="shared" si="254"/>
        <v>0</v>
      </c>
      <c r="AL190" s="44">
        <f t="shared" si="308"/>
        <v>0</v>
      </c>
      <c r="AM190" s="44">
        <f t="shared" si="255"/>
        <v>0</v>
      </c>
      <c r="AN190" s="44">
        <f t="shared" si="309"/>
        <v>0</v>
      </c>
      <c r="AO190" s="44">
        <f t="shared" si="256"/>
        <v>945000</v>
      </c>
      <c r="AP190" s="46">
        <f t="shared" si="257"/>
        <v>0</v>
      </c>
      <c r="AQ190" s="47">
        <f t="shared" si="258"/>
        <v>0</v>
      </c>
      <c r="AR190" s="604">
        <f t="shared" si="310"/>
        <v>0</v>
      </c>
      <c r="AS190" s="44">
        <f t="shared" si="311"/>
        <v>0</v>
      </c>
      <c r="AT190" s="44">
        <f t="shared" si="312"/>
        <v>0</v>
      </c>
      <c r="AU190" s="44">
        <f t="shared" si="313"/>
        <v>0</v>
      </c>
      <c r="AV190" s="44">
        <f t="shared" si="314"/>
        <v>945000</v>
      </c>
      <c r="AW190" s="44">
        <f t="shared" si="315"/>
        <v>0</v>
      </c>
      <c r="AX190" s="44">
        <f t="shared" si="259"/>
        <v>0</v>
      </c>
      <c r="AY190" s="44">
        <f t="shared" si="316"/>
        <v>0</v>
      </c>
      <c r="AZ190" s="44">
        <f t="shared" si="260"/>
        <v>0</v>
      </c>
      <c r="BA190" s="44">
        <f t="shared" si="317"/>
        <v>0</v>
      </c>
      <c r="BB190" s="44">
        <f t="shared" si="261"/>
        <v>945000</v>
      </c>
      <c r="BC190" s="46">
        <f t="shared" si="262"/>
        <v>0</v>
      </c>
      <c r="BD190" s="47">
        <f t="shared" si="263"/>
        <v>0</v>
      </c>
      <c r="BE190" s="604">
        <f t="shared" si="318"/>
        <v>0</v>
      </c>
      <c r="BF190" s="44">
        <f t="shared" si="319"/>
        <v>0</v>
      </c>
      <c r="BG190" s="44">
        <f t="shared" si="320"/>
        <v>0</v>
      </c>
      <c r="BH190" s="44">
        <f t="shared" si="321"/>
        <v>0</v>
      </c>
      <c r="BI190" s="44">
        <f t="shared" si="322"/>
        <v>945000</v>
      </c>
      <c r="BJ190" s="44">
        <f t="shared" si="323"/>
        <v>0</v>
      </c>
      <c r="BK190" s="44">
        <f t="shared" si="264"/>
        <v>0</v>
      </c>
      <c r="BL190" s="44">
        <f t="shared" si="324"/>
        <v>0</v>
      </c>
      <c r="BM190" s="44">
        <f t="shared" si="265"/>
        <v>0</v>
      </c>
      <c r="BN190" s="44">
        <f t="shared" si="325"/>
        <v>0</v>
      </c>
      <c r="BO190" s="44">
        <f t="shared" si="266"/>
        <v>945000</v>
      </c>
      <c r="BP190" s="46">
        <f t="shared" si="267"/>
        <v>0</v>
      </c>
      <c r="BQ190" s="47">
        <f t="shared" si="268"/>
        <v>0</v>
      </c>
      <c r="BR190" s="604">
        <f t="shared" si="326"/>
        <v>0</v>
      </c>
      <c r="BS190" s="44">
        <f t="shared" si="327"/>
        <v>0</v>
      </c>
      <c r="BT190" s="44">
        <f t="shared" si="328"/>
        <v>0</v>
      </c>
      <c r="BU190" s="44">
        <f t="shared" si="329"/>
        <v>0</v>
      </c>
      <c r="BV190" s="44">
        <f t="shared" si="330"/>
        <v>945000</v>
      </c>
      <c r="BW190" s="44">
        <f t="shared" si="331"/>
        <v>0</v>
      </c>
      <c r="BX190" s="44">
        <f t="shared" si="269"/>
        <v>0</v>
      </c>
      <c r="BY190" s="44">
        <f t="shared" si="332"/>
        <v>0</v>
      </c>
      <c r="BZ190" s="44">
        <f t="shared" si="270"/>
        <v>0</v>
      </c>
      <c r="CA190" s="44">
        <f t="shared" si="333"/>
        <v>0</v>
      </c>
      <c r="CB190" s="44">
        <f t="shared" si="271"/>
        <v>945000</v>
      </c>
      <c r="CC190" s="46">
        <f t="shared" si="272"/>
        <v>0</v>
      </c>
      <c r="CD190" s="47">
        <f t="shared" si="273"/>
        <v>0</v>
      </c>
      <c r="CE190" s="604">
        <f t="shared" si="334"/>
        <v>0</v>
      </c>
      <c r="CF190" s="44">
        <f t="shared" si="335"/>
        <v>0</v>
      </c>
      <c r="CG190" s="44">
        <f t="shared" si="336"/>
        <v>0</v>
      </c>
      <c r="CH190" s="44">
        <f t="shared" si="337"/>
        <v>0</v>
      </c>
      <c r="CI190" s="44">
        <f t="shared" si="338"/>
        <v>945000</v>
      </c>
      <c r="CJ190" s="44">
        <f t="shared" si="339"/>
        <v>0</v>
      </c>
      <c r="CK190" s="44">
        <f t="shared" si="274"/>
        <v>0</v>
      </c>
      <c r="CL190" s="44">
        <f t="shared" si="340"/>
        <v>0</v>
      </c>
      <c r="CM190" s="44">
        <f t="shared" si="275"/>
        <v>0</v>
      </c>
      <c r="CN190" s="44">
        <f t="shared" si="341"/>
        <v>0</v>
      </c>
      <c r="CO190" s="44">
        <f t="shared" si="276"/>
        <v>945000</v>
      </c>
      <c r="CP190" s="46">
        <f t="shared" si="277"/>
        <v>0</v>
      </c>
      <c r="CQ190" s="47">
        <f t="shared" si="278"/>
        <v>0</v>
      </c>
      <c r="CR190" s="604">
        <f t="shared" si="342"/>
        <v>0</v>
      </c>
      <c r="CS190" s="44">
        <f t="shared" si="343"/>
        <v>0</v>
      </c>
      <c r="CT190" s="44">
        <f t="shared" si="344"/>
        <v>0</v>
      </c>
      <c r="CU190" s="44">
        <f t="shared" si="345"/>
        <v>0</v>
      </c>
      <c r="CV190" s="44">
        <f t="shared" si="346"/>
        <v>945000</v>
      </c>
      <c r="CW190" s="44">
        <f t="shared" si="347"/>
        <v>0</v>
      </c>
      <c r="CX190" s="44">
        <f t="shared" si="279"/>
        <v>0</v>
      </c>
      <c r="CY190" s="44">
        <f t="shared" si="348"/>
        <v>0</v>
      </c>
      <c r="CZ190" s="44">
        <f t="shared" si="280"/>
        <v>0</v>
      </c>
      <c r="DA190" s="44">
        <f t="shared" si="349"/>
        <v>0</v>
      </c>
      <c r="DB190" s="44">
        <f t="shared" si="281"/>
        <v>945000</v>
      </c>
      <c r="DC190" s="46">
        <f t="shared" si="282"/>
        <v>0</v>
      </c>
      <c r="DD190" s="47">
        <f t="shared" si="283"/>
        <v>0</v>
      </c>
      <c r="DE190" s="604">
        <f t="shared" si="350"/>
        <v>0</v>
      </c>
      <c r="DF190" s="44">
        <f t="shared" si="351"/>
        <v>0</v>
      </c>
      <c r="DG190" s="44">
        <f t="shared" si="352"/>
        <v>0</v>
      </c>
      <c r="DH190" s="44">
        <f t="shared" si="353"/>
        <v>0</v>
      </c>
      <c r="DI190" s="44">
        <f t="shared" si="354"/>
        <v>945000</v>
      </c>
      <c r="DJ190" s="44">
        <f t="shared" si="355"/>
        <v>0</v>
      </c>
      <c r="DK190" s="44">
        <f t="shared" si="284"/>
        <v>0</v>
      </c>
      <c r="DL190" s="44">
        <f t="shared" si="356"/>
        <v>0</v>
      </c>
      <c r="DM190" s="44">
        <f t="shared" si="285"/>
        <v>0</v>
      </c>
      <c r="DN190" s="44">
        <f t="shared" si="357"/>
        <v>0</v>
      </c>
      <c r="DO190" s="44">
        <f t="shared" si="286"/>
        <v>945000</v>
      </c>
      <c r="DP190" s="46">
        <f t="shared" si="287"/>
        <v>0</v>
      </c>
      <c r="DQ190" s="47">
        <f t="shared" si="288"/>
        <v>0</v>
      </c>
      <c r="DR190" s="604">
        <f t="shared" si="358"/>
        <v>0</v>
      </c>
      <c r="DS190" s="44">
        <f t="shared" si="359"/>
        <v>0</v>
      </c>
      <c r="DT190" s="44">
        <f t="shared" si="360"/>
        <v>0</v>
      </c>
      <c r="DU190" s="44">
        <f t="shared" si="361"/>
        <v>0</v>
      </c>
      <c r="DV190" s="44">
        <f t="shared" si="362"/>
        <v>945000</v>
      </c>
      <c r="DW190" s="44">
        <f t="shared" si="363"/>
        <v>0</v>
      </c>
      <c r="DX190" s="44">
        <f t="shared" si="289"/>
        <v>0</v>
      </c>
      <c r="DY190" s="44">
        <f t="shared" si="364"/>
        <v>0</v>
      </c>
      <c r="DZ190" s="44">
        <f t="shared" si="290"/>
        <v>0</v>
      </c>
      <c r="EA190" s="44">
        <f t="shared" si="365"/>
        <v>0</v>
      </c>
      <c r="EB190" s="44">
        <f t="shared" si="291"/>
        <v>945000</v>
      </c>
      <c r="EC190" s="46">
        <f t="shared" si="292"/>
        <v>0</v>
      </c>
      <c r="ED190" s="47">
        <f t="shared" si="293"/>
        <v>0</v>
      </c>
    </row>
    <row r="191" spans="1:134" x14ac:dyDescent="0.35">
      <c r="A191" s="81">
        <v>1978</v>
      </c>
      <c r="B191" s="82" t="s">
        <v>347</v>
      </c>
      <c r="C191" s="82"/>
      <c r="D191" s="83" t="s">
        <v>63</v>
      </c>
      <c r="E191" s="87">
        <v>37500</v>
      </c>
      <c r="F191" s="85">
        <v>28672</v>
      </c>
      <c r="G191" s="86">
        <v>50</v>
      </c>
      <c r="H191" s="179"/>
      <c r="I191" s="180"/>
      <c r="J191" s="181"/>
      <c r="K191" s="42">
        <f t="shared" si="244"/>
        <v>0.02</v>
      </c>
      <c r="L191" s="43">
        <f t="shared" si="245"/>
        <v>750</v>
      </c>
      <c r="M191" s="44">
        <f t="shared" si="246"/>
        <v>12375</v>
      </c>
      <c r="N191" s="44"/>
      <c r="O191" s="44">
        <f t="shared" si="247"/>
        <v>25125</v>
      </c>
      <c r="P191" s="45"/>
      <c r="Q191" s="44">
        <f t="shared" si="248"/>
        <v>37500</v>
      </c>
      <c r="R191" s="604">
        <f t="shared" si="294"/>
        <v>0</v>
      </c>
      <c r="S191" s="44">
        <f t="shared" si="295"/>
        <v>0</v>
      </c>
      <c r="T191" s="44">
        <f t="shared" si="296"/>
        <v>0</v>
      </c>
      <c r="U191" s="44">
        <f t="shared" si="297"/>
        <v>0</v>
      </c>
      <c r="V191" s="44">
        <f t="shared" si="298"/>
        <v>37500</v>
      </c>
      <c r="W191" s="44">
        <f t="shared" si="299"/>
        <v>37500</v>
      </c>
      <c r="X191" s="44">
        <f t="shared" si="249"/>
        <v>750</v>
      </c>
      <c r="Y191" s="44">
        <f t="shared" si="300"/>
        <v>750</v>
      </c>
      <c r="Z191" s="44">
        <f t="shared" si="250"/>
        <v>11625</v>
      </c>
      <c r="AA191" s="44">
        <f t="shared" si="301"/>
        <v>11625</v>
      </c>
      <c r="AB191" s="44">
        <f t="shared" si="251"/>
        <v>25875</v>
      </c>
      <c r="AC191" s="46">
        <f t="shared" si="252"/>
        <v>0</v>
      </c>
      <c r="AD191" s="47">
        <f t="shared" si="253"/>
        <v>0</v>
      </c>
      <c r="AE191" s="604">
        <f t="shared" si="302"/>
        <v>0</v>
      </c>
      <c r="AF191" s="44">
        <f t="shared" si="303"/>
        <v>0</v>
      </c>
      <c r="AG191" s="44">
        <f t="shared" si="304"/>
        <v>0</v>
      </c>
      <c r="AH191" s="44">
        <f t="shared" si="305"/>
        <v>0</v>
      </c>
      <c r="AI191" s="44">
        <f t="shared" si="306"/>
        <v>37500</v>
      </c>
      <c r="AJ191" s="44">
        <f t="shared" si="307"/>
        <v>37500</v>
      </c>
      <c r="AK191" s="44">
        <f t="shared" si="254"/>
        <v>750</v>
      </c>
      <c r="AL191" s="44">
        <f t="shared" si="308"/>
        <v>750</v>
      </c>
      <c r="AM191" s="44">
        <f t="shared" si="255"/>
        <v>10875</v>
      </c>
      <c r="AN191" s="44">
        <f t="shared" si="309"/>
        <v>10875</v>
      </c>
      <c r="AO191" s="44">
        <f t="shared" si="256"/>
        <v>26625</v>
      </c>
      <c r="AP191" s="46">
        <f t="shared" si="257"/>
        <v>0</v>
      </c>
      <c r="AQ191" s="47">
        <f t="shared" si="258"/>
        <v>0</v>
      </c>
      <c r="AR191" s="604">
        <f t="shared" si="310"/>
        <v>0</v>
      </c>
      <c r="AS191" s="44">
        <f t="shared" si="311"/>
        <v>0</v>
      </c>
      <c r="AT191" s="44">
        <f t="shared" si="312"/>
        <v>0</v>
      </c>
      <c r="AU191" s="44">
        <f t="shared" si="313"/>
        <v>0</v>
      </c>
      <c r="AV191" s="44">
        <f t="shared" si="314"/>
        <v>37500</v>
      </c>
      <c r="AW191" s="44">
        <f t="shared" si="315"/>
        <v>37500</v>
      </c>
      <c r="AX191" s="44">
        <f t="shared" si="259"/>
        <v>750</v>
      </c>
      <c r="AY191" s="44">
        <f t="shared" si="316"/>
        <v>750</v>
      </c>
      <c r="AZ191" s="44">
        <f t="shared" si="260"/>
        <v>10125</v>
      </c>
      <c r="BA191" s="44">
        <f t="shared" si="317"/>
        <v>10125</v>
      </c>
      <c r="BB191" s="44">
        <f t="shared" si="261"/>
        <v>27375</v>
      </c>
      <c r="BC191" s="46">
        <f t="shared" si="262"/>
        <v>0</v>
      </c>
      <c r="BD191" s="47">
        <f t="shared" si="263"/>
        <v>0</v>
      </c>
      <c r="BE191" s="604">
        <f t="shared" si="318"/>
        <v>0</v>
      </c>
      <c r="BF191" s="44">
        <f t="shared" si="319"/>
        <v>0</v>
      </c>
      <c r="BG191" s="44">
        <f t="shared" si="320"/>
        <v>0</v>
      </c>
      <c r="BH191" s="44">
        <f t="shared" si="321"/>
        <v>0</v>
      </c>
      <c r="BI191" s="44">
        <f t="shared" si="322"/>
        <v>37500</v>
      </c>
      <c r="BJ191" s="44">
        <f t="shared" si="323"/>
        <v>37500</v>
      </c>
      <c r="BK191" s="44">
        <f t="shared" si="264"/>
        <v>750</v>
      </c>
      <c r="BL191" s="44">
        <f t="shared" si="324"/>
        <v>750</v>
      </c>
      <c r="BM191" s="44">
        <f t="shared" si="265"/>
        <v>9375</v>
      </c>
      <c r="BN191" s="44">
        <f t="shared" si="325"/>
        <v>9375</v>
      </c>
      <c r="BO191" s="44">
        <f t="shared" si="266"/>
        <v>28125</v>
      </c>
      <c r="BP191" s="46">
        <f t="shared" si="267"/>
        <v>0</v>
      </c>
      <c r="BQ191" s="47">
        <f t="shared" si="268"/>
        <v>0</v>
      </c>
      <c r="BR191" s="604">
        <f t="shared" si="326"/>
        <v>0</v>
      </c>
      <c r="BS191" s="44">
        <f t="shared" si="327"/>
        <v>0</v>
      </c>
      <c r="BT191" s="44">
        <f t="shared" si="328"/>
        <v>0</v>
      </c>
      <c r="BU191" s="44">
        <f t="shared" si="329"/>
        <v>0</v>
      </c>
      <c r="BV191" s="44">
        <f t="shared" si="330"/>
        <v>37500</v>
      </c>
      <c r="BW191" s="44">
        <f t="shared" si="331"/>
        <v>37500</v>
      </c>
      <c r="BX191" s="44">
        <f t="shared" si="269"/>
        <v>750</v>
      </c>
      <c r="BY191" s="44">
        <f t="shared" si="332"/>
        <v>750</v>
      </c>
      <c r="BZ191" s="44">
        <f t="shared" si="270"/>
        <v>8625</v>
      </c>
      <c r="CA191" s="44">
        <f t="shared" si="333"/>
        <v>8625</v>
      </c>
      <c r="CB191" s="44">
        <f t="shared" si="271"/>
        <v>28875</v>
      </c>
      <c r="CC191" s="46">
        <f t="shared" si="272"/>
        <v>0</v>
      </c>
      <c r="CD191" s="47">
        <f t="shared" si="273"/>
        <v>0</v>
      </c>
      <c r="CE191" s="604">
        <f t="shared" si="334"/>
        <v>0</v>
      </c>
      <c r="CF191" s="44">
        <f t="shared" si="335"/>
        <v>0</v>
      </c>
      <c r="CG191" s="44">
        <f t="shared" si="336"/>
        <v>0</v>
      </c>
      <c r="CH191" s="44">
        <f t="shared" si="337"/>
        <v>0</v>
      </c>
      <c r="CI191" s="44">
        <f t="shared" si="338"/>
        <v>37500</v>
      </c>
      <c r="CJ191" s="44">
        <f t="shared" si="339"/>
        <v>37500</v>
      </c>
      <c r="CK191" s="44">
        <f t="shared" si="274"/>
        <v>750</v>
      </c>
      <c r="CL191" s="44">
        <f t="shared" si="340"/>
        <v>750</v>
      </c>
      <c r="CM191" s="44">
        <f t="shared" si="275"/>
        <v>7875</v>
      </c>
      <c r="CN191" s="44">
        <f t="shared" si="341"/>
        <v>7875</v>
      </c>
      <c r="CO191" s="44">
        <f t="shared" si="276"/>
        <v>29625</v>
      </c>
      <c r="CP191" s="46">
        <f t="shared" si="277"/>
        <v>0</v>
      </c>
      <c r="CQ191" s="47">
        <f t="shared" si="278"/>
        <v>0</v>
      </c>
      <c r="CR191" s="604">
        <f t="shared" si="342"/>
        <v>0</v>
      </c>
      <c r="CS191" s="44">
        <f t="shared" si="343"/>
        <v>0</v>
      </c>
      <c r="CT191" s="44">
        <f t="shared" si="344"/>
        <v>0</v>
      </c>
      <c r="CU191" s="44">
        <f t="shared" si="345"/>
        <v>0</v>
      </c>
      <c r="CV191" s="44">
        <f t="shared" si="346"/>
        <v>37500</v>
      </c>
      <c r="CW191" s="44">
        <f t="shared" si="347"/>
        <v>37500</v>
      </c>
      <c r="CX191" s="44">
        <f t="shared" si="279"/>
        <v>750</v>
      </c>
      <c r="CY191" s="44">
        <f t="shared" si="348"/>
        <v>750</v>
      </c>
      <c r="CZ191" s="44">
        <f t="shared" si="280"/>
        <v>7125</v>
      </c>
      <c r="DA191" s="44">
        <f t="shared" si="349"/>
        <v>7125</v>
      </c>
      <c r="DB191" s="44">
        <f t="shared" si="281"/>
        <v>30375</v>
      </c>
      <c r="DC191" s="46">
        <f t="shared" si="282"/>
        <v>0</v>
      </c>
      <c r="DD191" s="47">
        <f t="shared" si="283"/>
        <v>0</v>
      </c>
      <c r="DE191" s="604">
        <f t="shared" si="350"/>
        <v>0</v>
      </c>
      <c r="DF191" s="44">
        <f t="shared" si="351"/>
        <v>0</v>
      </c>
      <c r="DG191" s="44">
        <f t="shared" si="352"/>
        <v>0</v>
      </c>
      <c r="DH191" s="44">
        <f t="shared" si="353"/>
        <v>0</v>
      </c>
      <c r="DI191" s="44">
        <f t="shared" si="354"/>
        <v>37500</v>
      </c>
      <c r="DJ191" s="44">
        <f t="shared" si="355"/>
        <v>37500</v>
      </c>
      <c r="DK191" s="44">
        <f t="shared" si="284"/>
        <v>750</v>
      </c>
      <c r="DL191" s="44">
        <f t="shared" si="356"/>
        <v>750</v>
      </c>
      <c r="DM191" s="44">
        <f t="shared" si="285"/>
        <v>6375</v>
      </c>
      <c r="DN191" s="44">
        <f t="shared" si="357"/>
        <v>6375</v>
      </c>
      <c r="DO191" s="44">
        <f t="shared" si="286"/>
        <v>31125</v>
      </c>
      <c r="DP191" s="46">
        <f t="shared" si="287"/>
        <v>0</v>
      </c>
      <c r="DQ191" s="47">
        <f t="shared" si="288"/>
        <v>0</v>
      </c>
      <c r="DR191" s="604">
        <f t="shared" si="358"/>
        <v>0</v>
      </c>
      <c r="DS191" s="44">
        <f t="shared" si="359"/>
        <v>0</v>
      </c>
      <c r="DT191" s="44">
        <f t="shared" si="360"/>
        <v>0</v>
      </c>
      <c r="DU191" s="44">
        <f t="shared" si="361"/>
        <v>0</v>
      </c>
      <c r="DV191" s="44">
        <f t="shared" si="362"/>
        <v>37500</v>
      </c>
      <c r="DW191" s="44">
        <f t="shared" si="363"/>
        <v>37500</v>
      </c>
      <c r="DX191" s="44">
        <f t="shared" si="289"/>
        <v>750</v>
      </c>
      <c r="DY191" s="44">
        <f t="shared" si="364"/>
        <v>750</v>
      </c>
      <c r="DZ191" s="44">
        <f t="shared" si="290"/>
        <v>5625</v>
      </c>
      <c r="EA191" s="44">
        <f t="shared" si="365"/>
        <v>5625</v>
      </c>
      <c r="EB191" s="44">
        <f t="shared" si="291"/>
        <v>31875</v>
      </c>
      <c r="EC191" s="46">
        <f t="shared" si="292"/>
        <v>0</v>
      </c>
      <c r="ED191" s="47">
        <f t="shared" si="293"/>
        <v>0</v>
      </c>
    </row>
    <row r="192" spans="1:134" x14ac:dyDescent="0.35">
      <c r="A192" s="81">
        <v>1980</v>
      </c>
      <c r="B192" s="82" t="s">
        <v>348</v>
      </c>
      <c r="C192" s="82"/>
      <c r="D192" s="83" t="s">
        <v>63</v>
      </c>
      <c r="E192" s="87">
        <v>60000</v>
      </c>
      <c r="F192" s="85">
        <v>29403</v>
      </c>
      <c r="G192" s="86">
        <v>50</v>
      </c>
      <c r="H192" s="179"/>
      <c r="I192" s="180"/>
      <c r="J192" s="181"/>
      <c r="K192" s="42">
        <f t="shared" si="244"/>
        <v>0.02</v>
      </c>
      <c r="L192" s="43">
        <f t="shared" si="245"/>
        <v>1200</v>
      </c>
      <c r="M192" s="44">
        <f t="shared" si="246"/>
        <v>22200</v>
      </c>
      <c r="N192" s="44"/>
      <c r="O192" s="44">
        <f t="shared" si="247"/>
        <v>37800</v>
      </c>
      <c r="P192" s="45"/>
      <c r="Q192" s="44">
        <f t="shared" si="248"/>
        <v>60000</v>
      </c>
      <c r="R192" s="604">
        <f t="shared" si="294"/>
        <v>0</v>
      </c>
      <c r="S192" s="44">
        <f t="shared" si="295"/>
        <v>0</v>
      </c>
      <c r="T192" s="44">
        <f t="shared" si="296"/>
        <v>0</v>
      </c>
      <c r="U192" s="44">
        <f t="shared" si="297"/>
        <v>0</v>
      </c>
      <c r="V192" s="44">
        <f t="shared" si="298"/>
        <v>60000</v>
      </c>
      <c r="W192" s="44">
        <f t="shared" si="299"/>
        <v>60000</v>
      </c>
      <c r="X192" s="44">
        <f t="shared" si="249"/>
        <v>1200</v>
      </c>
      <c r="Y192" s="44">
        <f t="shared" si="300"/>
        <v>1200</v>
      </c>
      <c r="Z192" s="44">
        <f t="shared" si="250"/>
        <v>21000</v>
      </c>
      <c r="AA192" s="44">
        <f t="shared" si="301"/>
        <v>21000</v>
      </c>
      <c r="AB192" s="44">
        <f t="shared" si="251"/>
        <v>39000</v>
      </c>
      <c r="AC192" s="46">
        <f t="shared" si="252"/>
        <v>0</v>
      </c>
      <c r="AD192" s="47">
        <f t="shared" si="253"/>
        <v>0</v>
      </c>
      <c r="AE192" s="604">
        <f t="shared" si="302"/>
        <v>0</v>
      </c>
      <c r="AF192" s="44">
        <f t="shared" si="303"/>
        <v>0</v>
      </c>
      <c r="AG192" s="44">
        <f t="shared" si="304"/>
        <v>0</v>
      </c>
      <c r="AH192" s="44">
        <f t="shared" si="305"/>
        <v>0</v>
      </c>
      <c r="AI192" s="44">
        <f t="shared" si="306"/>
        <v>60000</v>
      </c>
      <c r="AJ192" s="44">
        <f t="shared" si="307"/>
        <v>60000</v>
      </c>
      <c r="AK192" s="44">
        <f t="shared" si="254"/>
        <v>1200</v>
      </c>
      <c r="AL192" s="44">
        <f t="shared" si="308"/>
        <v>1200</v>
      </c>
      <c r="AM192" s="44">
        <f t="shared" si="255"/>
        <v>19800</v>
      </c>
      <c r="AN192" s="44">
        <f t="shared" si="309"/>
        <v>19800</v>
      </c>
      <c r="AO192" s="44">
        <f t="shared" si="256"/>
        <v>40200</v>
      </c>
      <c r="AP192" s="46">
        <f t="shared" si="257"/>
        <v>0</v>
      </c>
      <c r="AQ192" s="47">
        <f t="shared" si="258"/>
        <v>0</v>
      </c>
      <c r="AR192" s="604">
        <f t="shared" si="310"/>
        <v>0</v>
      </c>
      <c r="AS192" s="44">
        <f t="shared" si="311"/>
        <v>0</v>
      </c>
      <c r="AT192" s="44">
        <f t="shared" si="312"/>
        <v>0</v>
      </c>
      <c r="AU192" s="44">
        <f t="shared" si="313"/>
        <v>0</v>
      </c>
      <c r="AV192" s="44">
        <f t="shared" si="314"/>
        <v>60000</v>
      </c>
      <c r="AW192" s="44">
        <f t="shared" si="315"/>
        <v>60000</v>
      </c>
      <c r="AX192" s="44">
        <f t="shared" si="259"/>
        <v>1200</v>
      </c>
      <c r="AY192" s="44">
        <f t="shared" si="316"/>
        <v>1200</v>
      </c>
      <c r="AZ192" s="44">
        <f t="shared" si="260"/>
        <v>18600</v>
      </c>
      <c r="BA192" s="44">
        <f t="shared" si="317"/>
        <v>18600</v>
      </c>
      <c r="BB192" s="44">
        <f t="shared" si="261"/>
        <v>41400</v>
      </c>
      <c r="BC192" s="46">
        <f t="shared" si="262"/>
        <v>0</v>
      </c>
      <c r="BD192" s="47">
        <f t="shared" si="263"/>
        <v>0</v>
      </c>
      <c r="BE192" s="604">
        <f t="shared" si="318"/>
        <v>0</v>
      </c>
      <c r="BF192" s="44">
        <f t="shared" si="319"/>
        <v>0</v>
      </c>
      <c r="BG192" s="44">
        <f t="shared" si="320"/>
        <v>0</v>
      </c>
      <c r="BH192" s="44">
        <f t="shared" si="321"/>
        <v>0</v>
      </c>
      <c r="BI192" s="44">
        <f t="shared" si="322"/>
        <v>60000</v>
      </c>
      <c r="BJ192" s="44">
        <f t="shared" si="323"/>
        <v>60000</v>
      </c>
      <c r="BK192" s="44">
        <f t="shared" si="264"/>
        <v>1200</v>
      </c>
      <c r="BL192" s="44">
        <f t="shared" si="324"/>
        <v>1200</v>
      </c>
      <c r="BM192" s="44">
        <f t="shared" si="265"/>
        <v>17400</v>
      </c>
      <c r="BN192" s="44">
        <f t="shared" si="325"/>
        <v>17400</v>
      </c>
      <c r="BO192" s="44">
        <f t="shared" si="266"/>
        <v>42600</v>
      </c>
      <c r="BP192" s="46">
        <f t="shared" si="267"/>
        <v>0</v>
      </c>
      <c r="BQ192" s="47">
        <f t="shared" si="268"/>
        <v>0</v>
      </c>
      <c r="BR192" s="604">
        <f t="shared" si="326"/>
        <v>0</v>
      </c>
      <c r="BS192" s="44">
        <f t="shared" si="327"/>
        <v>0</v>
      </c>
      <c r="BT192" s="44">
        <f t="shared" si="328"/>
        <v>0</v>
      </c>
      <c r="BU192" s="44">
        <f t="shared" si="329"/>
        <v>0</v>
      </c>
      <c r="BV192" s="44">
        <f t="shared" si="330"/>
        <v>60000</v>
      </c>
      <c r="BW192" s="44">
        <f t="shared" si="331"/>
        <v>60000</v>
      </c>
      <c r="BX192" s="44">
        <f t="shared" si="269"/>
        <v>1200</v>
      </c>
      <c r="BY192" s="44">
        <f t="shared" si="332"/>
        <v>1200</v>
      </c>
      <c r="BZ192" s="44">
        <f t="shared" si="270"/>
        <v>16200</v>
      </c>
      <c r="CA192" s="44">
        <f t="shared" si="333"/>
        <v>16200</v>
      </c>
      <c r="CB192" s="44">
        <f t="shared" si="271"/>
        <v>43800</v>
      </c>
      <c r="CC192" s="46">
        <f t="shared" si="272"/>
        <v>0</v>
      </c>
      <c r="CD192" s="47">
        <f t="shared" si="273"/>
        <v>0</v>
      </c>
      <c r="CE192" s="604">
        <f t="shared" si="334"/>
        <v>0</v>
      </c>
      <c r="CF192" s="44">
        <f t="shared" si="335"/>
        <v>0</v>
      </c>
      <c r="CG192" s="44">
        <f t="shared" si="336"/>
        <v>0</v>
      </c>
      <c r="CH192" s="44">
        <f t="shared" si="337"/>
        <v>0</v>
      </c>
      <c r="CI192" s="44">
        <f t="shared" si="338"/>
        <v>60000</v>
      </c>
      <c r="CJ192" s="44">
        <f t="shared" si="339"/>
        <v>60000</v>
      </c>
      <c r="CK192" s="44">
        <f t="shared" si="274"/>
        <v>1200</v>
      </c>
      <c r="CL192" s="44">
        <f t="shared" si="340"/>
        <v>1200</v>
      </c>
      <c r="CM192" s="44">
        <f t="shared" si="275"/>
        <v>15000</v>
      </c>
      <c r="CN192" s="44">
        <f t="shared" si="341"/>
        <v>15000</v>
      </c>
      <c r="CO192" s="44">
        <f t="shared" si="276"/>
        <v>45000</v>
      </c>
      <c r="CP192" s="46">
        <f t="shared" si="277"/>
        <v>0</v>
      </c>
      <c r="CQ192" s="47">
        <f t="shared" si="278"/>
        <v>0</v>
      </c>
      <c r="CR192" s="604">
        <f t="shared" si="342"/>
        <v>0</v>
      </c>
      <c r="CS192" s="44">
        <f t="shared" si="343"/>
        <v>0</v>
      </c>
      <c r="CT192" s="44">
        <f t="shared" si="344"/>
        <v>0</v>
      </c>
      <c r="CU192" s="44">
        <f t="shared" si="345"/>
        <v>0</v>
      </c>
      <c r="CV192" s="44">
        <f t="shared" si="346"/>
        <v>60000</v>
      </c>
      <c r="CW192" s="44">
        <f t="shared" si="347"/>
        <v>60000</v>
      </c>
      <c r="CX192" s="44">
        <f t="shared" si="279"/>
        <v>1200</v>
      </c>
      <c r="CY192" s="44">
        <f t="shared" si="348"/>
        <v>1200</v>
      </c>
      <c r="CZ192" s="44">
        <f t="shared" si="280"/>
        <v>13800</v>
      </c>
      <c r="DA192" s="44">
        <f t="shared" si="349"/>
        <v>13800</v>
      </c>
      <c r="DB192" s="44">
        <f t="shared" si="281"/>
        <v>46200</v>
      </c>
      <c r="DC192" s="46">
        <f t="shared" si="282"/>
        <v>0</v>
      </c>
      <c r="DD192" s="47">
        <f t="shared" si="283"/>
        <v>0</v>
      </c>
      <c r="DE192" s="604">
        <f t="shared" si="350"/>
        <v>0</v>
      </c>
      <c r="DF192" s="44">
        <f t="shared" si="351"/>
        <v>0</v>
      </c>
      <c r="DG192" s="44">
        <f t="shared" si="352"/>
        <v>0</v>
      </c>
      <c r="DH192" s="44">
        <f t="shared" si="353"/>
        <v>0</v>
      </c>
      <c r="DI192" s="44">
        <f t="shared" si="354"/>
        <v>60000</v>
      </c>
      <c r="DJ192" s="44">
        <f t="shared" si="355"/>
        <v>60000</v>
      </c>
      <c r="DK192" s="44">
        <f t="shared" si="284"/>
        <v>1200</v>
      </c>
      <c r="DL192" s="44">
        <f t="shared" si="356"/>
        <v>1200</v>
      </c>
      <c r="DM192" s="44">
        <f t="shared" si="285"/>
        <v>12600</v>
      </c>
      <c r="DN192" s="44">
        <f t="shared" si="357"/>
        <v>12600</v>
      </c>
      <c r="DO192" s="44">
        <f t="shared" si="286"/>
        <v>47400</v>
      </c>
      <c r="DP192" s="46">
        <f t="shared" si="287"/>
        <v>0</v>
      </c>
      <c r="DQ192" s="47">
        <f t="shared" si="288"/>
        <v>0</v>
      </c>
      <c r="DR192" s="604">
        <f t="shared" si="358"/>
        <v>0</v>
      </c>
      <c r="DS192" s="44">
        <f t="shared" si="359"/>
        <v>0</v>
      </c>
      <c r="DT192" s="44">
        <f t="shared" si="360"/>
        <v>0</v>
      </c>
      <c r="DU192" s="44">
        <f t="shared" si="361"/>
        <v>0</v>
      </c>
      <c r="DV192" s="44">
        <f t="shared" si="362"/>
        <v>60000</v>
      </c>
      <c r="DW192" s="44">
        <f t="shared" si="363"/>
        <v>60000</v>
      </c>
      <c r="DX192" s="44">
        <f t="shared" si="289"/>
        <v>1200</v>
      </c>
      <c r="DY192" s="44">
        <f t="shared" si="364"/>
        <v>1200</v>
      </c>
      <c r="DZ192" s="44">
        <f t="shared" si="290"/>
        <v>11400</v>
      </c>
      <c r="EA192" s="44">
        <f t="shared" si="365"/>
        <v>11400</v>
      </c>
      <c r="EB192" s="44">
        <f t="shared" si="291"/>
        <v>48600</v>
      </c>
      <c r="EC192" s="46">
        <f t="shared" si="292"/>
        <v>0</v>
      </c>
      <c r="ED192" s="47">
        <f t="shared" si="293"/>
        <v>0</v>
      </c>
    </row>
    <row r="193" spans="1:134" x14ac:dyDescent="0.35">
      <c r="A193" s="81">
        <v>1985</v>
      </c>
      <c r="B193" s="82" t="s">
        <v>349</v>
      </c>
      <c r="C193" s="82"/>
      <c r="D193" s="83" t="s">
        <v>63</v>
      </c>
      <c r="E193" s="87">
        <v>30000</v>
      </c>
      <c r="F193" s="85">
        <v>31229</v>
      </c>
      <c r="G193" s="86">
        <v>50</v>
      </c>
      <c r="H193" s="179"/>
      <c r="I193" s="180"/>
      <c r="J193" s="181"/>
      <c r="K193" s="42">
        <f t="shared" si="244"/>
        <v>0.02</v>
      </c>
      <c r="L193" s="43">
        <f t="shared" si="245"/>
        <v>600</v>
      </c>
      <c r="M193" s="44">
        <f t="shared" si="246"/>
        <v>14100</v>
      </c>
      <c r="N193" s="44"/>
      <c r="O193" s="44">
        <f t="shared" si="247"/>
        <v>15900</v>
      </c>
      <c r="P193" s="45"/>
      <c r="Q193" s="44">
        <f t="shared" si="248"/>
        <v>30000</v>
      </c>
      <c r="R193" s="604">
        <f t="shared" si="294"/>
        <v>0</v>
      </c>
      <c r="S193" s="44">
        <f t="shared" si="295"/>
        <v>0</v>
      </c>
      <c r="T193" s="44">
        <f t="shared" si="296"/>
        <v>0</v>
      </c>
      <c r="U193" s="44">
        <f t="shared" si="297"/>
        <v>0</v>
      </c>
      <c r="V193" s="44">
        <f t="shared" si="298"/>
        <v>30000</v>
      </c>
      <c r="W193" s="44">
        <f t="shared" si="299"/>
        <v>30000</v>
      </c>
      <c r="X193" s="44">
        <f t="shared" si="249"/>
        <v>600</v>
      </c>
      <c r="Y193" s="44">
        <f t="shared" si="300"/>
        <v>600</v>
      </c>
      <c r="Z193" s="44">
        <f t="shared" si="250"/>
        <v>13500</v>
      </c>
      <c r="AA193" s="44">
        <f t="shared" si="301"/>
        <v>13500</v>
      </c>
      <c r="AB193" s="44">
        <f t="shared" si="251"/>
        <v>16500</v>
      </c>
      <c r="AC193" s="46">
        <f t="shared" si="252"/>
        <v>0</v>
      </c>
      <c r="AD193" s="47">
        <f t="shared" si="253"/>
        <v>0</v>
      </c>
      <c r="AE193" s="604">
        <f t="shared" si="302"/>
        <v>0</v>
      </c>
      <c r="AF193" s="44">
        <f t="shared" si="303"/>
        <v>0</v>
      </c>
      <c r="AG193" s="44">
        <f t="shared" si="304"/>
        <v>0</v>
      </c>
      <c r="AH193" s="44">
        <f t="shared" si="305"/>
        <v>0</v>
      </c>
      <c r="AI193" s="44">
        <f t="shared" si="306"/>
        <v>30000</v>
      </c>
      <c r="AJ193" s="44">
        <f t="shared" si="307"/>
        <v>30000</v>
      </c>
      <c r="AK193" s="44">
        <f t="shared" si="254"/>
        <v>600</v>
      </c>
      <c r="AL193" s="44">
        <f t="shared" si="308"/>
        <v>600</v>
      </c>
      <c r="AM193" s="44">
        <f t="shared" si="255"/>
        <v>12900</v>
      </c>
      <c r="AN193" s="44">
        <f t="shared" si="309"/>
        <v>12900</v>
      </c>
      <c r="AO193" s="44">
        <f t="shared" si="256"/>
        <v>17100</v>
      </c>
      <c r="AP193" s="46">
        <f t="shared" si="257"/>
        <v>0</v>
      </c>
      <c r="AQ193" s="47">
        <f t="shared" si="258"/>
        <v>0</v>
      </c>
      <c r="AR193" s="604">
        <f t="shared" si="310"/>
        <v>0</v>
      </c>
      <c r="AS193" s="44">
        <f t="shared" si="311"/>
        <v>0</v>
      </c>
      <c r="AT193" s="44">
        <f t="shared" si="312"/>
        <v>0</v>
      </c>
      <c r="AU193" s="44">
        <f t="shared" si="313"/>
        <v>0</v>
      </c>
      <c r="AV193" s="44">
        <f t="shared" si="314"/>
        <v>30000</v>
      </c>
      <c r="AW193" s="44">
        <f t="shared" si="315"/>
        <v>30000</v>
      </c>
      <c r="AX193" s="44">
        <f t="shared" si="259"/>
        <v>600</v>
      </c>
      <c r="AY193" s="44">
        <f t="shared" si="316"/>
        <v>600</v>
      </c>
      <c r="AZ193" s="44">
        <f t="shared" si="260"/>
        <v>12300</v>
      </c>
      <c r="BA193" s="44">
        <f t="shared" si="317"/>
        <v>12300</v>
      </c>
      <c r="BB193" s="44">
        <f t="shared" si="261"/>
        <v>17700</v>
      </c>
      <c r="BC193" s="46">
        <f t="shared" si="262"/>
        <v>0</v>
      </c>
      <c r="BD193" s="47">
        <f t="shared" si="263"/>
        <v>0</v>
      </c>
      <c r="BE193" s="604">
        <f t="shared" si="318"/>
        <v>0</v>
      </c>
      <c r="BF193" s="44">
        <f t="shared" si="319"/>
        <v>0</v>
      </c>
      <c r="BG193" s="44">
        <f t="shared" si="320"/>
        <v>0</v>
      </c>
      <c r="BH193" s="44">
        <f t="shared" si="321"/>
        <v>0</v>
      </c>
      <c r="BI193" s="44">
        <f t="shared" si="322"/>
        <v>30000</v>
      </c>
      <c r="BJ193" s="44">
        <f t="shared" si="323"/>
        <v>30000</v>
      </c>
      <c r="BK193" s="44">
        <f t="shared" si="264"/>
        <v>600</v>
      </c>
      <c r="BL193" s="44">
        <f t="shared" si="324"/>
        <v>600</v>
      </c>
      <c r="BM193" s="44">
        <f t="shared" si="265"/>
        <v>11700</v>
      </c>
      <c r="BN193" s="44">
        <f t="shared" si="325"/>
        <v>11700</v>
      </c>
      <c r="BO193" s="44">
        <f t="shared" si="266"/>
        <v>18300</v>
      </c>
      <c r="BP193" s="46">
        <f t="shared" si="267"/>
        <v>0</v>
      </c>
      <c r="BQ193" s="47">
        <f t="shared" si="268"/>
        <v>0</v>
      </c>
      <c r="BR193" s="604">
        <f t="shared" si="326"/>
        <v>0</v>
      </c>
      <c r="BS193" s="44">
        <f t="shared" si="327"/>
        <v>0</v>
      </c>
      <c r="BT193" s="44">
        <f t="shared" si="328"/>
        <v>0</v>
      </c>
      <c r="BU193" s="44">
        <f t="shared" si="329"/>
        <v>0</v>
      </c>
      <c r="BV193" s="44">
        <f t="shared" si="330"/>
        <v>30000</v>
      </c>
      <c r="BW193" s="44">
        <f t="shared" si="331"/>
        <v>30000</v>
      </c>
      <c r="BX193" s="44">
        <f t="shared" si="269"/>
        <v>600</v>
      </c>
      <c r="BY193" s="44">
        <f t="shared" si="332"/>
        <v>600</v>
      </c>
      <c r="BZ193" s="44">
        <f t="shared" si="270"/>
        <v>11100</v>
      </c>
      <c r="CA193" s="44">
        <f t="shared" si="333"/>
        <v>11100</v>
      </c>
      <c r="CB193" s="44">
        <f t="shared" si="271"/>
        <v>18900</v>
      </c>
      <c r="CC193" s="46">
        <f t="shared" si="272"/>
        <v>0</v>
      </c>
      <c r="CD193" s="47">
        <f t="shared" si="273"/>
        <v>0</v>
      </c>
      <c r="CE193" s="604">
        <f t="shared" si="334"/>
        <v>0</v>
      </c>
      <c r="CF193" s="44">
        <f t="shared" si="335"/>
        <v>0</v>
      </c>
      <c r="CG193" s="44">
        <f t="shared" si="336"/>
        <v>0</v>
      </c>
      <c r="CH193" s="44">
        <f t="shared" si="337"/>
        <v>0</v>
      </c>
      <c r="CI193" s="44">
        <f t="shared" si="338"/>
        <v>30000</v>
      </c>
      <c r="CJ193" s="44">
        <f t="shared" si="339"/>
        <v>30000</v>
      </c>
      <c r="CK193" s="44">
        <f t="shared" si="274"/>
        <v>600</v>
      </c>
      <c r="CL193" s="44">
        <f t="shared" si="340"/>
        <v>600</v>
      </c>
      <c r="CM193" s="44">
        <f t="shared" si="275"/>
        <v>10500</v>
      </c>
      <c r="CN193" s="44">
        <f t="shared" si="341"/>
        <v>10500</v>
      </c>
      <c r="CO193" s="44">
        <f t="shared" si="276"/>
        <v>19500</v>
      </c>
      <c r="CP193" s="46">
        <f t="shared" si="277"/>
        <v>0</v>
      </c>
      <c r="CQ193" s="47">
        <f t="shared" si="278"/>
        <v>0</v>
      </c>
      <c r="CR193" s="604">
        <f t="shared" si="342"/>
        <v>0</v>
      </c>
      <c r="CS193" s="44">
        <f t="shared" si="343"/>
        <v>0</v>
      </c>
      <c r="CT193" s="44">
        <f t="shared" si="344"/>
        <v>0</v>
      </c>
      <c r="CU193" s="44">
        <f t="shared" si="345"/>
        <v>0</v>
      </c>
      <c r="CV193" s="44">
        <f t="shared" si="346"/>
        <v>30000</v>
      </c>
      <c r="CW193" s="44">
        <f t="shared" si="347"/>
        <v>30000</v>
      </c>
      <c r="CX193" s="44">
        <f t="shared" si="279"/>
        <v>600</v>
      </c>
      <c r="CY193" s="44">
        <f t="shared" si="348"/>
        <v>600</v>
      </c>
      <c r="CZ193" s="44">
        <f t="shared" si="280"/>
        <v>9900</v>
      </c>
      <c r="DA193" s="44">
        <f t="shared" si="349"/>
        <v>9900</v>
      </c>
      <c r="DB193" s="44">
        <f t="shared" si="281"/>
        <v>20100</v>
      </c>
      <c r="DC193" s="46">
        <f t="shared" si="282"/>
        <v>0</v>
      </c>
      <c r="DD193" s="47">
        <f t="shared" si="283"/>
        <v>0</v>
      </c>
      <c r="DE193" s="604">
        <f t="shared" si="350"/>
        <v>0</v>
      </c>
      <c r="DF193" s="44">
        <f t="shared" si="351"/>
        <v>0</v>
      </c>
      <c r="DG193" s="44">
        <f t="shared" si="352"/>
        <v>0</v>
      </c>
      <c r="DH193" s="44">
        <f t="shared" si="353"/>
        <v>0</v>
      </c>
      <c r="DI193" s="44">
        <f t="shared" si="354"/>
        <v>30000</v>
      </c>
      <c r="DJ193" s="44">
        <f t="shared" si="355"/>
        <v>30000</v>
      </c>
      <c r="DK193" s="44">
        <f t="shared" si="284"/>
        <v>600</v>
      </c>
      <c r="DL193" s="44">
        <f t="shared" si="356"/>
        <v>600</v>
      </c>
      <c r="DM193" s="44">
        <f t="shared" si="285"/>
        <v>9300</v>
      </c>
      <c r="DN193" s="44">
        <f t="shared" si="357"/>
        <v>9300</v>
      </c>
      <c r="DO193" s="44">
        <f t="shared" si="286"/>
        <v>20700</v>
      </c>
      <c r="DP193" s="46">
        <f t="shared" si="287"/>
        <v>0</v>
      </c>
      <c r="DQ193" s="47">
        <f t="shared" si="288"/>
        <v>0</v>
      </c>
      <c r="DR193" s="604">
        <f t="shared" si="358"/>
        <v>0</v>
      </c>
      <c r="DS193" s="44">
        <f t="shared" si="359"/>
        <v>0</v>
      </c>
      <c r="DT193" s="44">
        <f t="shared" si="360"/>
        <v>0</v>
      </c>
      <c r="DU193" s="44">
        <f t="shared" si="361"/>
        <v>0</v>
      </c>
      <c r="DV193" s="44">
        <f t="shared" si="362"/>
        <v>30000</v>
      </c>
      <c r="DW193" s="44">
        <f t="shared" si="363"/>
        <v>30000</v>
      </c>
      <c r="DX193" s="44">
        <f t="shared" si="289"/>
        <v>600</v>
      </c>
      <c r="DY193" s="44">
        <f t="shared" si="364"/>
        <v>600</v>
      </c>
      <c r="DZ193" s="44">
        <f t="shared" si="290"/>
        <v>8700</v>
      </c>
      <c r="EA193" s="44">
        <f t="shared" si="365"/>
        <v>8700</v>
      </c>
      <c r="EB193" s="44">
        <f t="shared" si="291"/>
        <v>21300</v>
      </c>
      <c r="EC193" s="46">
        <f t="shared" si="292"/>
        <v>0</v>
      </c>
      <c r="ED193" s="47">
        <f t="shared" si="293"/>
        <v>0</v>
      </c>
    </row>
    <row r="194" spans="1:134" x14ac:dyDescent="0.35">
      <c r="A194" s="81">
        <v>1989</v>
      </c>
      <c r="B194" s="82" t="s">
        <v>350</v>
      </c>
      <c r="C194" s="82"/>
      <c r="D194" s="83" t="s">
        <v>63</v>
      </c>
      <c r="E194" s="87">
        <v>27000</v>
      </c>
      <c r="F194" s="85">
        <v>32690</v>
      </c>
      <c r="G194" s="86">
        <v>50</v>
      </c>
      <c r="H194" s="179"/>
      <c r="I194" s="180"/>
      <c r="J194" s="181"/>
      <c r="K194" s="42">
        <f t="shared" si="244"/>
        <v>0.02</v>
      </c>
      <c r="L194" s="43">
        <f t="shared" si="245"/>
        <v>540</v>
      </c>
      <c r="M194" s="44">
        <f t="shared" si="246"/>
        <v>14850</v>
      </c>
      <c r="N194" s="44"/>
      <c r="O194" s="44">
        <f t="shared" si="247"/>
        <v>12150</v>
      </c>
      <c r="P194" s="45"/>
      <c r="Q194" s="44">
        <f t="shared" si="248"/>
        <v>27000</v>
      </c>
      <c r="R194" s="604">
        <f t="shared" si="294"/>
        <v>0</v>
      </c>
      <c r="S194" s="44">
        <f t="shared" si="295"/>
        <v>0</v>
      </c>
      <c r="T194" s="44">
        <f t="shared" si="296"/>
        <v>0</v>
      </c>
      <c r="U194" s="44">
        <f t="shared" si="297"/>
        <v>0</v>
      </c>
      <c r="V194" s="44">
        <f t="shared" si="298"/>
        <v>27000</v>
      </c>
      <c r="W194" s="44">
        <f t="shared" si="299"/>
        <v>27000</v>
      </c>
      <c r="X194" s="44">
        <f t="shared" si="249"/>
        <v>540</v>
      </c>
      <c r="Y194" s="44">
        <f t="shared" si="300"/>
        <v>540</v>
      </c>
      <c r="Z194" s="44">
        <f t="shared" si="250"/>
        <v>14310</v>
      </c>
      <c r="AA194" s="44">
        <f t="shared" si="301"/>
        <v>14310</v>
      </c>
      <c r="AB194" s="44">
        <f t="shared" si="251"/>
        <v>12690</v>
      </c>
      <c r="AC194" s="46">
        <f t="shared" si="252"/>
        <v>0</v>
      </c>
      <c r="AD194" s="47">
        <f t="shared" si="253"/>
        <v>0</v>
      </c>
      <c r="AE194" s="604">
        <f t="shared" si="302"/>
        <v>0</v>
      </c>
      <c r="AF194" s="44">
        <f t="shared" si="303"/>
        <v>0</v>
      </c>
      <c r="AG194" s="44">
        <f t="shared" si="304"/>
        <v>0</v>
      </c>
      <c r="AH194" s="44">
        <f t="shared" si="305"/>
        <v>0</v>
      </c>
      <c r="AI194" s="44">
        <f t="shared" si="306"/>
        <v>27000</v>
      </c>
      <c r="AJ194" s="44">
        <f t="shared" si="307"/>
        <v>27000</v>
      </c>
      <c r="AK194" s="44">
        <f t="shared" si="254"/>
        <v>540</v>
      </c>
      <c r="AL194" s="44">
        <f t="shared" si="308"/>
        <v>540</v>
      </c>
      <c r="AM194" s="44">
        <f t="shared" si="255"/>
        <v>13770</v>
      </c>
      <c r="AN194" s="44">
        <f t="shared" si="309"/>
        <v>13770</v>
      </c>
      <c r="AO194" s="44">
        <f t="shared" si="256"/>
        <v>13230</v>
      </c>
      <c r="AP194" s="46">
        <f t="shared" si="257"/>
        <v>0</v>
      </c>
      <c r="AQ194" s="47">
        <f t="shared" si="258"/>
        <v>0</v>
      </c>
      <c r="AR194" s="604">
        <f t="shared" si="310"/>
        <v>0</v>
      </c>
      <c r="AS194" s="44">
        <f t="shared" si="311"/>
        <v>0</v>
      </c>
      <c r="AT194" s="44">
        <f t="shared" si="312"/>
        <v>0</v>
      </c>
      <c r="AU194" s="44">
        <f t="shared" si="313"/>
        <v>0</v>
      </c>
      <c r="AV194" s="44">
        <f t="shared" si="314"/>
        <v>27000</v>
      </c>
      <c r="AW194" s="44">
        <f t="shared" si="315"/>
        <v>27000</v>
      </c>
      <c r="AX194" s="44">
        <f t="shared" si="259"/>
        <v>540</v>
      </c>
      <c r="AY194" s="44">
        <f t="shared" si="316"/>
        <v>540</v>
      </c>
      <c r="AZ194" s="44">
        <f t="shared" si="260"/>
        <v>13230</v>
      </c>
      <c r="BA194" s="44">
        <f t="shared" si="317"/>
        <v>13230</v>
      </c>
      <c r="BB194" s="44">
        <f t="shared" si="261"/>
        <v>13770</v>
      </c>
      <c r="BC194" s="46">
        <f t="shared" si="262"/>
        <v>0</v>
      </c>
      <c r="BD194" s="47">
        <f t="shared" si="263"/>
        <v>0</v>
      </c>
      <c r="BE194" s="604">
        <f t="shared" si="318"/>
        <v>0</v>
      </c>
      <c r="BF194" s="44">
        <f t="shared" si="319"/>
        <v>0</v>
      </c>
      <c r="BG194" s="44">
        <f t="shared" si="320"/>
        <v>0</v>
      </c>
      <c r="BH194" s="44">
        <f t="shared" si="321"/>
        <v>0</v>
      </c>
      <c r="BI194" s="44">
        <f t="shared" si="322"/>
        <v>27000</v>
      </c>
      <c r="BJ194" s="44">
        <f t="shared" si="323"/>
        <v>27000</v>
      </c>
      <c r="BK194" s="44">
        <f t="shared" si="264"/>
        <v>540</v>
      </c>
      <c r="BL194" s="44">
        <f t="shared" si="324"/>
        <v>540</v>
      </c>
      <c r="BM194" s="44">
        <f t="shared" si="265"/>
        <v>12690</v>
      </c>
      <c r="BN194" s="44">
        <f t="shared" si="325"/>
        <v>12690</v>
      </c>
      <c r="BO194" s="44">
        <f t="shared" si="266"/>
        <v>14310</v>
      </c>
      <c r="BP194" s="46">
        <f t="shared" si="267"/>
        <v>0</v>
      </c>
      <c r="BQ194" s="47">
        <f t="shared" si="268"/>
        <v>0</v>
      </c>
      <c r="BR194" s="604">
        <f t="shared" si="326"/>
        <v>0</v>
      </c>
      <c r="BS194" s="44">
        <f t="shared" si="327"/>
        <v>0</v>
      </c>
      <c r="BT194" s="44">
        <f t="shared" si="328"/>
        <v>0</v>
      </c>
      <c r="BU194" s="44">
        <f t="shared" si="329"/>
        <v>0</v>
      </c>
      <c r="BV194" s="44">
        <f t="shared" si="330"/>
        <v>27000</v>
      </c>
      <c r="BW194" s="44">
        <f t="shared" si="331"/>
        <v>27000</v>
      </c>
      <c r="BX194" s="44">
        <f t="shared" si="269"/>
        <v>540</v>
      </c>
      <c r="BY194" s="44">
        <f t="shared" si="332"/>
        <v>540</v>
      </c>
      <c r="BZ194" s="44">
        <f t="shared" si="270"/>
        <v>12150</v>
      </c>
      <c r="CA194" s="44">
        <f t="shared" si="333"/>
        <v>12150</v>
      </c>
      <c r="CB194" s="44">
        <f t="shared" si="271"/>
        <v>14850</v>
      </c>
      <c r="CC194" s="46">
        <f t="shared" si="272"/>
        <v>0</v>
      </c>
      <c r="CD194" s="47">
        <f t="shared" si="273"/>
        <v>0</v>
      </c>
      <c r="CE194" s="604">
        <f t="shared" si="334"/>
        <v>0</v>
      </c>
      <c r="CF194" s="44">
        <f t="shared" si="335"/>
        <v>0</v>
      </c>
      <c r="CG194" s="44">
        <f t="shared" si="336"/>
        <v>0</v>
      </c>
      <c r="CH194" s="44">
        <f t="shared" si="337"/>
        <v>0</v>
      </c>
      <c r="CI194" s="44">
        <f t="shared" si="338"/>
        <v>27000</v>
      </c>
      <c r="CJ194" s="44">
        <f t="shared" si="339"/>
        <v>27000</v>
      </c>
      <c r="CK194" s="44">
        <f t="shared" si="274"/>
        <v>540</v>
      </c>
      <c r="CL194" s="44">
        <f t="shared" si="340"/>
        <v>540</v>
      </c>
      <c r="CM194" s="44">
        <f t="shared" si="275"/>
        <v>11610</v>
      </c>
      <c r="CN194" s="44">
        <f t="shared" si="341"/>
        <v>11610</v>
      </c>
      <c r="CO194" s="44">
        <f t="shared" si="276"/>
        <v>15390</v>
      </c>
      <c r="CP194" s="46">
        <f t="shared" si="277"/>
        <v>0</v>
      </c>
      <c r="CQ194" s="47">
        <f t="shared" si="278"/>
        <v>0</v>
      </c>
      <c r="CR194" s="604">
        <f t="shared" si="342"/>
        <v>0</v>
      </c>
      <c r="CS194" s="44">
        <f t="shared" si="343"/>
        <v>0</v>
      </c>
      <c r="CT194" s="44">
        <f t="shared" si="344"/>
        <v>0</v>
      </c>
      <c r="CU194" s="44">
        <f t="shared" si="345"/>
        <v>0</v>
      </c>
      <c r="CV194" s="44">
        <f t="shared" si="346"/>
        <v>27000</v>
      </c>
      <c r="CW194" s="44">
        <f t="shared" si="347"/>
        <v>27000</v>
      </c>
      <c r="CX194" s="44">
        <f t="shared" si="279"/>
        <v>540</v>
      </c>
      <c r="CY194" s="44">
        <f t="shared" si="348"/>
        <v>540</v>
      </c>
      <c r="CZ194" s="44">
        <f t="shared" si="280"/>
        <v>11070</v>
      </c>
      <c r="DA194" s="44">
        <f t="shared" si="349"/>
        <v>11070</v>
      </c>
      <c r="DB194" s="44">
        <f t="shared" si="281"/>
        <v>15930</v>
      </c>
      <c r="DC194" s="46">
        <f t="shared" si="282"/>
        <v>0</v>
      </c>
      <c r="DD194" s="47">
        <f t="shared" si="283"/>
        <v>0</v>
      </c>
      <c r="DE194" s="604">
        <f t="shared" si="350"/>
        <v>0</v>
      </c>
      <c r="DF194" s="44">
        <f t="shared" si="351"/>
        <v>0</v>
      </c>
      <c r="DG194" s="44">
        <f t="shared" si="352"/>
        <v>0</v>
      </c>
      <c r="DH194" s="44">
        <f t="shared" si="353"/>
        <v>0</v>
      </c>
      <c r="DI194" s="44">
        <f t="shared" si="354"/>
        <v>27000</v>
      </c>
      <c r="DJ194" s="44">
        <f t="shared" si="355"/>
        <v>27000</v>
      </c>
      <c r="DK194" s="44">
        <f t="shared" si="284"/>
        <v>540</v>
      </c>
      <c r="DL194" s="44">
        <f t="shared" si="356"/>
        <v>540</v>
      </c>
      <c r="DM194" s="44">
        <f t="shared" si="285"/>
        <v>10530</v>
      </c>
      <c r="DN194" s="44">
        <f t="shared" si="357"/>
        <v>10530</v>
      </c>
      <c r="DO194" s="44">
        <f t="shared" si="286"/>
        <v>16470</v>
      </c>
      <c r="DP194" s="46">
        <f t="shared" si="287"/>
        <v>0</v>
      </c>
      <c r="DQ194" s="47">
        <f t="shared" si="288"/>
        <v>0</v>
      </c>
      <c r="DR194" s="604">
        <f t="shared" si="358"/>
        <v>0</v>
      </c>
      <c r="DS194" s="44">
        <f t="shared" si="359"/>
        <v>0</v>
      </c>
      <c r="DT194" s="44">
        <f t="shared" si="360"/>
        <v>0</v>
      </c>
      <c r="DU194" s="44">
        <f t="shared" si="361"/>
        <v>0</v>
      </c>
      <c r="DV194" s="44">
        <f t="shared" si="362"/>
        <v>27000</v>
      </c>
      <c r="DW194" s="44">
        <f t="shared" si="363"/>
        <v>27000</v>
      </c>
      <c r="DX194" s="44">
        <f t="shared" si="289"/>
        <v>540</v>
      </c>
      <c r="DY194" s="44">
        <f t="shared" si="364"/>
        <v>540</v>
      </c>
      <c r="DZ194" s="44">
        <f t="shared" si="290"/>
        <v>9990</v>
      </c>
      <c r="EA194" s="44">
        <f t="shared" si="365"/>
        <v>9990</v>
      </c>
      <c r="EB194" s="44">
        <f t="shared" si="291"/>
        <v>17010</v>
      </c>
      <c r="EC194" s="46">
        <f t="shared" si="292"/>
        <v>0</v>
      </c>
      <c r="ED194" s="47">
        <f t="shared" si="293"/>
        <v>0</v>
      </c>
    </row>
    <row r="195" spans="1:134" x14ac:dyDescent="0.35">
      <c r="A195" s="81">
        <v>1990</v>
      </c>
      <c r="B195" s="82" t="s">
        <v>351</v>
      </c>
      <c r="C195" s="82"/>
      <c r="D195" s="83" t="s">
        <v>63</v>
      </c>
      <c r="E195" s="87">
        <v>90000</v>
      </c>
      <c r="F195" s="85">
        <v>33055</v>
      </c>
      <c r="G195" s="86">
        <v>50</v>
      </c>
      <c r="H195" s="179"/>
      <c r="I195" s="180"/>
      <c r="J195" s="181"/>
      <c r="K195" s="42">
        <f t="shared" si="244"/>
        <v>0.02</v>
      </c>
      <c r="L195" s="43">
        <f t="shared" si="245"/>
        <v>1800</v>
      </c>
      <c r="M195" s="44">
        <f t="shared" si="246"/>
        <v>51300</v>
      </c>
      <c r="N195" s="44"/>
      <c r="O195" s="44">
        <f t="shared" si="247"/>
        <v>38700</v>
      </c>
      <c r="P195" s="45"/>
      <c r="Q195" s="44">
        <f t="shared" si="248"/>
        <v>90000</v>
      </c>
      <c r="R195" s="604">
        <f t="shared" si="294"/>
        <v>0</v>
      </c>
      <c r="S195" s="44">
        <f t="shared" si="295"/>
        <v>0</v>
      </c>
      <c r="T195" s="44">
        <f t="shared" si="296"/>
        <v>0</v>
      </c>
      <c r="U195" s="44">
        <f t="shared" si="297"/>
        <v>0</v>
      </c>
      <c r="V195" s="44">
        <f t="shared" si="298"/>
        <v>90000</v>
      </c>
      <c r="W195" s="44">
        <f t="shared" si="299"/>
        <v>90000</v>
      </c>
      <c r="X195" s="44">
        <f t="shared" si="249"/>
        <v>1800</v>
      </c>
      <c r="Y195" s="44">
        <f t="shared" si="300"/>
        <v>1800</v>
      </c>
      <c r="Z195" s="44">
        <f t="shared" si="250"/>
        <v>49500</v>
      </c>
      <c r="AA195" s="44">
        <f t="shared" si="301"/>
        <v>49500</v>
      </c>
      <c r="AB195" s="44">
        <f t="shared" si="251"/>
        <v>40500</v>
      </c>
      <c r="AC195" s="46">
        <f t="shared" si="252"/>
        <v>0</v>
      </c>
      <c r="AD195" s="47">
        <f t="shared" si="253"/>
        <v>0</v>
      </c>
      <c r="AE195" s="604">
        <f t="shared" si="302"/>
        <v>0</v>
      </c>
      <c r="AF195" s="44">
        <f t="shared" si="303"/>
        <v>0</v>
      </c>
      <c r="AG195" s="44">
        <f t="shared" si="304"/>
        <v>0</v>
      </c>
      <c r="AH195" s="44">
        <f t="shared" si="305"/>
        <v>0</v>
      </c>
      <c r="AI195" s="44">
        <f t="shared" si="306"/>
        <v>90000</v>
      </c>
      <c r="AJ195" s="44">
        <f t="shared" si="307"/>
        <v>90000</v>
      </c>
      <c r="AK195" s="44">
        <f t="shared" si="254"/>
        <v>1800</v>
      </c>
      <c r="AL195" s="44">
        <f t="shared" si="308"/>
        <v>1800</v>
      </c>
      <c r="AM195" s="44">
        <f t="shared" si="255"/>
        <v>47700</v>
      </c>
      <c r="AN195" s="44">
        <f t="shared" si="309"/>
        <v>47700</v>
      </c>
      <c r="AO195" s="44">
        <f t="shared" si="256"/>
        <v>42300</v>
      </c>
      <c r="AP195" s="46">
        <f t="shared" si="257"/>
        <v>0</v>
      </c>
      <c r="AQ195" s="47">
        <f t="shared" si="258"/>
        <v>0</v>
      </c>
      <c r="AR195" s="604">
        <f t="shared" si="310"/>
        <v>0</v>
      </c>
      <c r="AS195" s="44">
        <f t="shared" si="311"/>
        <v>0</v>
      </c>
      <c r="AT195" s="44">
        <f t="shared" si="312"/>
        <v>0</v>
      </c>
      <c r="AU195" s="44">
        <f t="shared" si="313"/>
        <v>0</v>
      </c>
      <c r="AV195" s="44">
        <f t="shared" si="314"/>
        <v>90000</v>
      </c>
      <c r="AW195" s="44">
        <f t="shared" si="315"/>
        <v>90000</v>
      </c>
      <c r="AX195" s="44">
        <f t="shared" si="259"/>
        <v>1800</v>
      </c>
      <c r="AY195" s="44">
        <f t="shared" si="316"/>
        <v>1800</v>
      </c>
      <c r="AZ195" s="44">
        <f t="shared" si="260"/>
        <v>45900</v>
      </c>
      <c r="BA195" s="44">
        <f t="shared" si="317"/>
        <v>45900</v>
      </c>
      <c r="BB195" s="44">
        <f t="shared" si="261"/>
        <v>44100</v>
      </c>
      <c r="BC195" s="46">
        <f t="shared" si="262"/>
        <v>0</v>
      </c>
      <c r="BD195" s="47">
        <f t="shared" si="263"/>
        <v>0</v>
      </c>
      <c r="BE195" s="604">
        <f t="shared" si="318"/>
        <v>0</v>
      </c>
      <c r="BF195" s="44">
        <f t="shared" si="319"/>
        <v>0</v>
      </c>
      <c r="BG195" s="44">
        <f t="shared" si="320"/>
        <v>0</v>
      </c>
      <c r="BH195" s="44">
        <f t="shared" si="321"/>
        <v>0</v>
      </c>
      <c r="BI195" s="44">
        <f t="shared" si="322"/>
        <v>90000</v>
      </c>
      <c r="BJ195" s="44">
        <f t="shared" si="323"/>
        <v>90000</v>
      </c>
      <c r="BK195" s="44">
        <f t="shared" si="264"/>
        <v>1800</v>
      </c>
      <c r="BL195" s="44">
        <f t="shared" si="324"/>
        <v>1800</v>
      </c>
      <c r="BM195" s="44">
        <f t="shared" si="265"/>
        <v>44100</v>
      </c>
      <c r="BN195" s="44">
        <f t="shared" si="325"/>
        <v>44100</v>
      </c>
      <c r="BO195" s="44">
        <f t="shared" si="266"/>
        <v>45900</v>
      </c>
      <c r="BP195" s="46">
        <f t="shared" si="267"/>
        <v>0</v>
      </c>
      <c r="BQ195" s="47">
        <f t="shared" si="268"/>
        <v>0</v>
      </c>
      <c r="BR195" s="604">
        <f t="shared" si="326"/>
        <v>0</v>
      </c>
      <c r="BS195" s="44">
        <f t="shared" si="327"/>
        <v>0</v>
      </c>
      <c r="BT195" s="44">
        <f t="shared" si="328"/>
        <v>0</v>
      </c>
      <c r="BU195" s="44">
        <f t="shared" si="329"/>
        <v>0</v>
      </c>
      <c r="BV195" s="44">
        <f t="shared" si="330"/>
        <v>90000</v>
      </c>
      <c r="BW195" s="44">
        <f t="shared" si="331"/>
        <v>90000</v>
      </c>
      <c r="BX195" s="44">
        <f t="shared" si="269"/>
        <v>1800</v>
      </c>
      <c r="BY195" s="44">
        <f t="shared" si="332"/>
        <v>1800</v>
      </c>
      <c r="BZ195" s="44">
        <f t="shared" si="270"/>
        <v>42300</v>
      </c>
      <c r="CA195" s="44">
        <f t="shared" si="333"/>
        <v>42300</v>
      </c>
      <c r="CB195" s="44">
        <f t="shared" si="271"/>
        <v>47700</v>
      </c>
      <c r="CC195" s="46">
        <f t="shared" si="272"/>
        <v>0</v>
      </c>
      <c r="CD195" s="47">
        <f t="shared" si="273"/>
        <v>0</v>
      </c>
      <c r="CE195" s="604">
        <f t="shared" si="334"/>
        <v>0</v>
      </c>
      <c r="CF195" s="44">
        <f t="shared" si="335"/>
        <v>0</v>
      </c>
      <c r="CG195" s="44">
        <f t="shared" si="336"/>
        <v>0</v>
      </c>
      <c r="CH195" s="44">
        <f t="shared" si="337"/>
        <v>0</v>
      </c>
      <c r="CI195" s="44">
        <f t="shared" si="338"/>
        <v>90000</v>
      </c>
      <c r="CJ195" s="44">
        <f t="shared" si="339"/>
        <v>90000</v>
      </c>
      <c r="CK195" s="44">
        <f t="shared" si="274"/>
        <v>1800</v>
      </c>
      <c r="CL195" s="44">
        <f t="shared" si="340"/>
        <v>1800</v>
      </c>
      <c r="CM195" s="44">
        <f t="shared" si="275"/>
        <v>40500</v>
      </c>
      <c r="CN195" s="44">
        <f t="shared" si="341"/>
        <v>40500</v>
      </c>
      <c r="CO195" s="44">
        <f t="shared" si="276"/>
        <v>49500</v>
      </c>
      <c r="CP195" s="46">
        <f t="shared" si="277"/>
        <v>0</v>
      </c>
      <c r="CQ195" s="47">
        <f t="shared" si="278"/>
        <v>0</v>
      </c>
      <c r="CR195" s="604">
        <f t="shared" si="342"/>
        <v>0</v>
      </c>
      <c r="CS195" s="44">
        <f t="shared" si="343"/>
        <v>0</v>
      </c>
      <c r="CT195" s="44">
        <f t="shared" si="344"/>
        <v>0</v>
      </c>
      <c r="CU195" s="44">
        <f t="shared" si="345"/>
        <v>0</v>
      </c>
      <c r="CV195" s="44">
        <f t="shared" si="346"/>
        <v>90000</v>
      </c>
      <c r="CW195" s="44">
        <f t="shared" si="347"/>
        <v>90000</v>
      </c>
      <c r="CX195" s="44">
        <f t="shared" si="279"/>
        <v>1800</v>
      </c>
      <c r="CY195" s="44">
        <f t="shared" si="348"/>
        <v>1800</v>
      </c>
      <c r="CZ195" s="44">
        <f t="shared" si="280"/>
        <v>38700</v>
      </c>
      <c r="DA195" s="44">
        <f t="shared" si="349"/>
        <v>38700</v>
      </c>
      <c r="DB195" s="44">
        <f t="shared" si="281"/>
        <v>51300</v>
      </c>
      <c r="DC195" s="46">
        <f t="shared" si="282"/>
        <v>0</v>
      </c>
      <c r="DD195" s="47">
        <f t="shared" si="283"/>
        <v>0</v>
      </c>
      <c r="DE195" s="604">
        <f t="shared" si="350"/>
        <v>0</v>
      </c>
      <c r="DF195" s="44">
        <f t="shared" si="351"/>
        <v>0</v>
      </c>
      <c r="DG195" s="44">
        <f t="shared" si="352"/>
        <v>0</v>
      </c>
      <c r="DH195" s="44">
        <f t="shared" si="353"/>
        <v>0</v>
      </c>
      <c r="DI195" s="44">
        <f t="shared" si="354"/>
        <v>90000</v>
      </c>
      <c r="DJ195" s="44">
        <f t="shared" si="355"/>
        <v>90000</v>
      </c>
      <c r="DK195" s="44">
        <f t="shared" si="284"/>
        <v>1800</v>
      </c>
      <c r="DL195" s="44">
        <f t="shared" si="356"/>
        <v>1800</v>
      </c>
      <c r="DM195" s="44">
        <f t="shared" si="285"/>
        <v>36900</v>
      </c>
      <c r="DN195" s="44">
        <f t="shared" si="357"/>
        <v>36900</v>
      </c>
      <c r="DO195" s="44">
        <f t="shared" si="286"/>
        <v>53100</v>
      </c>
      <c r="DP195" s="46">
        <f t="shared" si="287"/>
        <v>0</v>
      </c>
      <c r="DQ195" s="47">
        <f t="shared" si="288"/>
        <v>0</v>
      </c>
      <c r="DR195" s="604">
        <f t="shared" si="358"/>
        <v>0</v>
      </c>
      <c r="DS195" s="44">
        <f t="shared" si="359"/>
        <v>0</v>
      </c>
      <c r="DT195" s="44">
        <f t="shared" si="360"/>
        <v>0</v>
      </c>
      <c r="DU195" s="44">
        <f t="shared" si="361"/>
        <v>0</v>
      </c>
      <c r="DV195" s="44">
        <f t="shared" si="362"/>
        <v>90000</v>
      </c>
      <c r="DW195" s="44">
        <f t="shared" si="363"/>
        <v>90000</v>
      </c>
      <c r="DX195" s="44">
        <f t="shared" si="289"/>
        <v>1800</v>
      </c>
      <c r="DY195" s="44">
        <f t="shared" si="364"/>
        <v>1800</v>
      </c>
      <c r="DZ195" s="44">
        <f t="shared" si="290"/>
        <v>35100</v>
      </c>
      <c r="EA195" s="44">
        <f t="shared" si="365"/>
        <v>35100</v>
      </c>
      <c r="EB195" s="44">
        <f t="shared" si="291"/>
        <v>54900</v>
      </c>
      <c r="EC195" s="46">
        <f t="shared" si="292"/>
        <v>0</v>
      </c>
      <c r="ED195" s="47">
        <f t="shared" si="293"/>
        <v>0</v>
      </c>
    </row>
    <row r="196" spans="1:134" x14ac:dyDescent="0.35">
      <c r="A196" s="81">
        <v>1993</v>
      </c>
      <c r="B196" s="82" t="s">
        <v>352</v>
      </c>
      <c r="C196" s="82"/>
      <c r="D196" s="83" t="s">
        <v>63</v>
      </c>
      <c r="E196" s="87">
        <v>52500</v>
      </c>
      <c r="F196" s="85">
        <v>34151</v>
      </c>
      <c r="G196" s="86">
        <v>50</v>
      </c>
      <c r="H196" s="179"/>
      <c r="I196" s="180"/>
      <c r="J196" s="181"/>
      <c r="K196" s="42">
        <f t="shared" si="244"/>
        <v>0.02</v>
      </c>
      <c r="L196" s="43">
        <f t="shared" si="245"/>
        <v>1050</v>
      </c>
      <c r="M196" s="44">
        <f t="shared" si="246"/>
        <v>33075</v>
      </c>
      <c r="N196" s="44"/>
      <c r="O196" s="44">
        <f t="shared" si="247"/>
        <v>19425</v>
      </c>
      <c r="P196" s="45"/>
      <c r="Q196" s="44">
        <f t="shared" si="248"/>
        <v>52500</v>
      </c>
      <c r="R196" s="604">
        <f t="shared" si="294"/>
        <v>0</v>
      </c>
      <c r="S196" s="44">
        <f t="shared" si="295"/>
        <v>0</v>
      </c>
      <c r="T196" s="44">
        <f t="shared" si="296"/>
        <v>0</v>
      </c>
      <c r="U196" s="44">
        <f t="shared" si="297"/>
        <v>0</v>
      </c>
      <c r="V196" s="44">
        <f t="shared" si="298"/>
        <v>52500</v>
      </c>
      <c r="W196" s="44">
        <f t="shared" si="299"/>
        <v>52500</v>
      </c>
      <c r="X196" s="44">
        <f t="shared" si="249"/>
        <v>1050</v>
      </c>
      <c r="Y196" s="44">
        <f t="shared" si="300"/>
        <v>1050</v>
      </c>
      <c r="Z196" s="44">
        <f t="shared" si="250"/>
        <v>32025</v>
      </c>
      <c r="AA196" s="44">
        <f t="shared" si="301"/>
        <v>32025</v>
      </c>
      <c r="AB196" s="44">
        <f t="shared" si="251"/>
        <v>20475</v>
      </c>
      <c r="AC196" s="46">
        <f t="shared" si="252"/>
        <v>0</v>
      </c>
      <c r="AD196" s="47">
        <f t="shared" si="253"/>
        <v>0</v>
      </c>
      <c r="AE196" s="604">
        <f t="shared" si="302"/>
        <v>0</v>
      </c>
      <c r="AF196" s="44">
        <f t="shared" si="303"/>
        <v>0</v>
      </c>
      <c r="AG196" s="44">
        <f t="shared" si="304"/>
        <v>0</v>
      </c>
      <c r="AH196" s="44">
        <f t="shared" si="305"/>
        <v>0</v>
      </c>
      <c r="AI196" s="44">
        <f t="shared" si="306"/>
        <v>52500</v>
      </c>
      <c r="AJ196" s="44">
        <f t="shared" si="307"/>
        <v>52500</v>
      </c>
      <c r="AK196" s="44">
        <f t="shared" si="254"/>
        <v>1050</v>
      </c>
      <c r="AL196" s="44">
        <f t="shared" si="308"/>
        <v>1050</v>
      </c>
      <c r="AM196" s="44">
        <f t="shared" si="255"/>
        <v>30975</v>
      </c>
      <c r="AN196" s="44">
        <f t="shared" si="309"/>
        <v>30975</v>
      </c>
      <c r="AO196" s="44">
        <f t="shared" si="256"/>
        <v>21525</v>
      </c>
      <c r="AP196" s="46">
        <f t="shared" si="257"/>
        <v>0</v>
      </c>
      <c r="AQ196" s="47">
        <f t="shared" si="258"/>
        <v>0</v>
      </c>
      <c r="AR196" s="604">
        <f t="shared" si="310"/>
        <v>0</v>
      </c>
      <c r="AS196" s="44">
        <f t="shared" si="311"/>
        <v>0</v>
      </c>
      <c r="AT196" s="44">
        <f t="shared" si="312"/>
        <v>0</v>
      </c>
      <c r="AU196" s="44">
        <f t="shared" si="313"/>
        <v>0</v>
      </c>
      <c r="AV196" s="44">
        <f t="shared" si="314"/>
        <v>52500</v>
      </c>
      <c r="AW196" s="44">
        <f t="shared" si="315"/>
        <v>52500</v>
      </c>
      <c r="AX196" s="44">
        <f t="shared" si="259"/>
        <v>1050</v>
      </c>
      <c r="AY196" s="44">
        <f t="shared" si="316"/>
        <v>1050</v>
      </c>
      <c r="AZ196" s="44">
        <f t="shared" si="260"/>
        <v>29925</v>
      </c>
      <c r="BA196" s="44">
        <f t="shared" si="317"/>
        <v>29925</v>
      </c>
      <c r="BB196" s="44">
        <f t="shared" si="261"/>
        <v>22575</v>
      </c>
      <c r="BC196" s="46">
        <f t="shared" si="262"/>
        <v>0</v>
      </c>
      <c r="BD196" s="47">
        <f t="shared" si="263"/>
        <v>0</v>
      </c>
      <c r="BE196" s="604">
        <f t="shared" si="318"/>
        <v>0</v>
      </c>
      <c r="BF196" s="44">
        <f t="shared" si="319"/>
        <v>0</v>
      </c>
      <c r="BG196" s="44">
        <f t="shared" si="320"/>
        <v>0</v>
      </c>
      <c r="BH196" s="44">
        <f t="shared" si="321"/>
        <v>0</v>
      </c>
      <c r="BI196" s="44">
        <f t="shared" si="322"/>
        <v>52500</v>
      </c>
      <c r="BJ196" s="44">
        <f t="shared" si="323"/>
        <v>52500</v>
      </c>
      <c r="BK196" s="44">
        <f t="shared" si="264"/>
        <v>1050</v>
      </c>
      <c r="BL196" s="44">
        <f t="shared" si="324"/>
        <v>1050</v>
      </c>
      <c r="BM196" s="44">
        <f t="shared" si="265"/>
        <v>28875</v>
      </c>
      <c r="BN196" s="44">
        <f t="shared" si="325"/>
        <v>28875</v>
      </c>
      <c r="BO196" s="44">
        <f t="shared" si="266"/>
        <v>23625</v>
      </c>
      <c r="BP196" s="46">
        <f t="shared" si="267"/>
        <v>0</v>
      </c>
      <c r="BQ196" s="47">
        <f t="shared" si="268"/>
        <v>0</v>
      </c>
      <c r="BR196" s="604">
        <f t="shared" si="326"/>
        <v>0</v>
      </c>
      <c r="BS196" s="44">
        <f t="shared" si="327"/>
        <v>0</v>
      </c>
      <c r="BT196" s="44">
        <f t="shared" si="328"/>
        <v>0</v>
      </c>
      <c r="BU196" s="44">
        <f t="shared" si="329"/>
        <v>0</v>
      </c>
      <c r="BV196" s="44">
        <f t="shared" si="330"/>
        <v>52500</v>
      </c>
      <c r="BW196" s="44">
        <f t="shared" si="331"/>
        <v>52500</v>
      </c>
      <c r="BX196" s="44">
        <f t="shared" si="269"/>
        <v>1050</v>
      </c>
      <c r="BY196" s="44">
        <f t="shared" si="332"/>
        <v>1050</v>
      </c>
      <c r="BZ196" s="44">
        <f t="shared" si="270"/>
        <v>27825</v>
      </c>
      <c r="CA196" s="44">
        <f t="shared" si="333"/>
        <v>27825</v>
      </c>
      <c r="CB196" s="44">
        <f t="shared" si="271"/>
        <v>24675</v>
      </c>
      <c r="CC196" s="46">
        <f t="shared" si="272"/>
        <v>0</v>
      </c>
      <c r="CD196" s="47">
        <f t="shared" si="273"/>
        <v>0</v>
      </c>
      <c r="CE196" s="604">
        <f t="shared" si="334"/>
        <v>0</v>
      </c>
      <c r="CF196" s="44">
        <f t="shared" si="335"/>
        <v>0</v>
      </c>
      <c r="CG196" s="44">
        <f t="shared" si="336"/>
        <v>0</v>
      </c>
      <c r="CH196" s="44">
        <f t="shared" si="337"/>
        <v>0</v>
      </c>
      <c r="CI196" s="44">
        <f t="shared" si="338"/>
        <v>52500</v>
      </c>
      <c r="CJ196" s="44">
        <f t="shared" si="339"/>
        <v>52500</v>
      </c>
      <c r="CK196" s="44">
        <f t="shared" si="274"/>
        <v>1050</v>
      </c>
      <c r="CL196" s="44">
        <f t="shared" si="340"/>
        <v>1050</v>
      </c>
      <c r="CM196" s="44">
        <f t="shared" si="275"/>
        <v>26775</v>
      </c>
      <c r="CN196" s="44">
        <f t="shared" si="341"/>
        <v>26775</v>
      </c>
      <c r="CO196" s="44">
        <f t="shared" si="276"/>
        <v>25725</v>
      </c>
      <c r="CP196" s="46">
        <f t="shared" si="277"/>
        <v>0</v>
      </c>
      <c r="CQ196" s="47">
        <f t="shared" si="278"/>
        <v>0</v>
      </c>
      <c r="CR196" s="604">
        <f t="shared" si="342"/>
        <v>0</v>
      </c>
      <c r="CS196" s="44">
        <f t="shared" si="343"/>
        <v>0</v>
      </c>
      <c r="CT196" s="44">
        <f t="shared" si="344"/>
        <v>0</v>
      </c>
      <c r="CU196" s="44">
        <f t="shared" si="345"/>
        <v>0</v>
      </c>
      <c r="CV196" s="44">
        <f t="shared" si="346"/>
        <v>52500</v>
      </c>
      <c r="CW196" s="44">
        <f t="shared" si="347"/>
        <v>52500</v>
      </c>
      <c r="CX196" s="44">
        <f t="shared" si="279"/>
        <v>1050</v>
      </c>
      <c r="CY196" s="44">
        <f t="shared" si="348"/>
        <v>1050</v>
      </c>
      <c r="CZ196" s="44">
        <f t="shared" si="280"/>
        <v>25725</v>
      </c>
      <c r="DA196" s="44">
        <f t="shared" si="349"/>
        <v>25725</v>
      </c>
      <c r="DB196" s="44">
        <f t="shared" si="281"/>
        <v>26775</v>
      </c>
      <c r="DC196" s="46">
        <f t="shared" si="282"/>
        <v>0</v>
      </c>
      <c r="DD196" s="47">
        <f t="shared" si="283"/>
        <v>0</v>
      </c>
      <c r="DE196" s="604">
        <f t="shared" si="350"/>
        <v>0</v>
      </c>
      <c r="DF196" s="44">
        <f t="shared" si="351"/>
        <v>0</v>
      </c>
      <c r="DG196" s="44">
        <f t="shared" si="352"/>
        <v>0</v>
      </c>
      <c r="DH196" s="44">
        <f t="shared" si="353"/>
        <v>0</v>
      </c>
      <c r="DI196" s="44">
        <f t="shared" si="354"/>
        <v>52500</v>
      </c>
      <c r="DJ196" s="44">
        <f t="shared" si="355"/>
        <v>52500</v>
      </c>
      <c r="DK196" s="44">
        <f t="shared" si="284"/>
        <v>1050</v>
      </c>
      <c r="DL196" s="44">
        <f t="shared" si="356"/>
        <v>1050</v>
      </c>
      <c r="DM196" s="44">
        <f t="shared" si="285"/>
        <v>24675</v>
      </c>
      <c r="DN196" s="44">
        <f t="shared" si="357"/>
        <v>24675</v>
      </c>
      <c r="DO196" s="44">
        <f t="shared" si="286"/>
        <v>27825</v>
      </c>
      <c r="DP196" s="46">
        <f t="shared" si="287"/>
        <v>0</v>
      </c>
      <c r="DQ196" s="47">
        <f t="shared" si="288"/>
        <v>0</v>
      </c>
      <c r="DR196" s="604">
        <f t="shared" si="358"/>
        <v>0</v>
      </c>
      <c r="DS196" s="44">
        <f t="shared" si="359"/>
        <v>0</v>
      </c>
      <c r="DT196" s="44">
        <f t="shared" si="360"/>
        <v>0</v>
      </c>
      <c r="DU196" s="44">
        <f t="shared" si="361"/>
        <v>0</v>
      </c>
      <c r="DV196" s="44">
        <f t="shared" si="362"/>
        <v>52500</v>
      </c>
      <c r="DW196" s="44">
        <f t="shared" si="363"/>
        <v>52500</v>
      </c>
      <c r="DX196" s="44">
        <f t="shared" si="289"/>
        <v>1050</v>
      </c>
      <c r="DY196" s="44">
        <f t="shared" si="364"/>
        <v>1050</v>
      </c>
      <c r="DZ196" s="44">
        <f t="shared" si="290"/>
        <v>23625</v>
      </c>
      <c r="EA196" s="44">
        <f t="shared" si="365"/>
        <v>23625</v>
      </c>
      <c r="EB196" s="44">
        <f t="shared" si="291"/>
        <v>28875</v>
      </c>
      <c r="EC196" s="46">
        <f t="shared" si="292"/>
        <v>0</v>
      </c>
      <c r="ED196" s="47">
        <f t="shared" si="293"/>
        <v>0</v>
      </c>
    </row>
    <row r="197" spans="1:134" x14ac:dyDescent="0.35">
      <c r="A197" s="81">
        <v>1998</v>
      </c>
      <c r="B197" s="82" t="s">
        <v>353</v>
      </c>
      <c r="C197" s="82"/>
      <c r="D197" s="83" t="s">
        <v>63</v>
      </c>
      <c r="E197" s="87">
        <v>36000</v>
      </c>
      <c r="F197" s="85">
        <v>35977</v>
      </c>
      <c r="G197" s="86">
        <v>50</v>
      </c>
      <c r="H197" s="179"/>
      <c r="I197" s="180"/>
      <c r="J197" s="181"/>
      <c r="K197" s="42">
        <f t="shared" ref="K197:K260" si="366">IF(AND(G197&gt;0,G197&lt;=1,H197=0),1,IF(H197&gt;=1,1,IF(AND(H197&gt;0,H197&lt;1),H197,IF(AND(G197&gt;1,OR(H197=0,H197="")),ROUND(1/G197,4),0))))</f>
        <v>0.02</v>
      </c>
      <c r="L197" s="43">
        <f t="shared" ref="L197:L260" si="367">IF(AND(E197&gt;0,F197&gt;0,OR(G197&gt;0,H197&gt;0)),ROUND((E197-I197)*K197,2),IF(AND(E197&lt;0,F197&gt;0,OR(G197&gt;0,H197&gt;0)),ROUND(E197*K197,2),0))</f>
        <v>720</v>
      </c>
      <c r="M197" s="44">
        <f t="shared" ref="M197:M260" si="368">IF(AND(E197-O197&gt;=0,F197&gt;0,YEAR(M$4)&gt;=YEAR(F197)),E197-O197,IF(AND(E197-O197&lt;0,F197&gt;0,YEAR(M$4)&gt;=YEAR(F197)),E197-O197,0))</f>
        <v>26280</v>
      </c>
      <c r="N197" s="44"/>
      <c r="O197" s="44">
        <f t="shared" ref="O197:O260" si="369">IF(AND(YEAR(F197)&lt;=YEAR(M$4),E197&lt;1000,E197&gt;-1000,F197&gt;0,K197=1),E197-I197,IF(AND(YEAR(F197)&lt;=YEAR(M$4),E197&gt;0,F197&gt;0,K197&gt;0,E197&gt;L197*(YEAR(M$4)-YEAR(F197))+ROUND((L197/12)*(13-MONTH(F197)),2)+I197),L197*(YEAR(M$4)-YEAR(F197))+ROUND((L197/12)*(13-MONTH(F197)),2),IF(AND(YEAR(F197)&lt;=YEAR(M$4),E197&gt;0,F197&gt;0,K197&gt;0,E197&lt;=(L197*(YEAR(M$4)-YEAR(F197)+ROUND((L197/12)*(13-MONTH(F197)),2)))+I197),E197-I197,IF(AND(YEAR(F197)&lt;=YEAR(M$4),E197&lt;0,F197&gt;0,K197&gt;0,E197&lt;L197*(YEAR(M$4)-YEAR(F197))+ROUND((L197/12)*(13-MONTH(F197)),2)+I197),L197*(YEAR(M$4)-YEAR(F197))+ROUND((L197/12)*(13-MONTH(F197)),2),IF(AND(YEAR(F197)&lt;=YEAR(M$4),E197&lt;0,F197&gt;0,K197&gt;0,E197&lt;=(L197*(YEAR(M$4)-YEAR(F197)+ROUND((L197/12)*(13-MONTH(F197)),2)))),E197,0)))))</f>
        <v>9720</v>
      </c>
      <c r="P197" s="45"/>
      <c r="Q197" s="44">
        <f t="shared" ref="Q197:Q260" si="370">IF(AND(F197&gt;0,F197&lt;=M$4),E197,0)</f>
        <v>36000</v>
      </c>
      <c r="R197" s="604">
        <f t="shared" si="294"/>
        <v>0</v>
      </c>
      <c r="S197" s="44">
        <f t="shared" si="295"/>
        <v>0</v>
      </c>
      <c r="T197" s="44">
        <f t="shared" si="296"/>
        <v>0</v>
      </c>
      <c r="U197" s="44">
        <f t="shared" si="297"/>
        <v>0</v>
      </c>
      <c r="V197" s="44">
        <f t="shared" si="298"/>
        <v>36000</v>
      </c>
      <c r="W197" s="44">
        <f t="shared" si="299"/>
        <v>36000</v>
      </c>
      <c r="X197" s="44">
        <f t="shared" ref="X197:X260" si="371">IF(AND(YEAR($F197)=YEAR(Z$4),$E197&lt;1000,$E197&gt;-1000,$F197&gt;0,$K197=1),$E197-$I197,IF(AND(YEAR($F197)=YEAR(Z$4),$F197&gt;0,$K197&gt;0),ROUND(($L197/12)*(13-MONTH($F197)),2),IF(AND(YEAR($F197)&lt;YEAR(Z$4),$E197&gt;0,$F197&gt;0,$K197&gt;0,M197&gt;$L197+$I197),$L197,IF(AND(YEAR($F197)&lt;YEAR(Z$4),$E197&gt;0,$F197&gt;0,$K197&gt;0,M197&gt;0,M197&lt;=$L197+$I197),M197-$I197,IF(AND(YEAR($F197)&lt;YEAR(Z$4),$E197&lt;0,$F197&gt;0,$K197&gt;0,M197&lt;0,M197&lt;=$L197),$L197,IF(AND(YEAR($F197)&lt;YEAR(Z$4),$E197&lt;0,$F197&gt;0,$K197&gt;0,M197&lt;0,M197&gt;$L197),M197,0))))))</f>
        <v>720</v>
      </c>
      <c r="Y197" s="44">
        <f t="shared" si="300"/>
        <v>720</v>
      </c>
      <c r="Z197" s="44">
        <f t="shared" ref="Z197:Z260" si="372">IF(AND(YEAR(Z$4)=YEAR($F197),$E197&gt;0,$F197&gt;0,$E197-X197&gt;=0),$E197-X197,IF(AND(YEAR(Z$4)&gt;YEAR($F197),$E197&gt;0,$F197&gt;0,M197-X197&gt;=0),M197-X197,IF(AND(YEAR(Z$4)=YEAR($F197),$E197&lt;0,$F197&gt;0,$E197-X197&lt;0),$E197-X197,IF(AND(YEAR(Z$4)&gt;YEAR($F197),$E197&lt;0,$F197&gt;0,M197-X197&lt;=0),M197-X197,0))))</f>
        <v>25560</v>
      </c>
      <c r="AA197" s="44">
        <f t="shared" si="301"/>
        <v>25560</v>
      </c>
      <c r="AB197" s="44">
        <f t="shared" ref="AB197:AB260" si="373">O197+X197</f>
        <v>10440</v>
      </c>
      <c r="AC197" s="46">
        <f t="shared" ref="AC197:AC260" si="374">IF(AND(R197&lt;&gt;0,$J197="H",$L197=0),T197,IF(AND(YEAR(Z$4)&gt;YEAR($F197),$J197="H",$F197&gt;0,$L197=0),$E197,0))</f>
        <v>0</v>
      </c>
      <c r="AD197" s="47">
        <f t="shared" ref="AD197:AD260" si="375">IF(AND(YEAR(Z$4)&gt;=YEAR($F197),$E197&gt;0,$F197&gt;0,X197&gt;0,$J197="H"),ROUND(X197/$L197*$E197,2),IF(AND(YEAR(Z$4)&gt;=YEAR($F197),$E197&lt;0,$F197&gt;0,X197&lt;0,$J197="H"),ROUND(X197/$L197*$E197,2),0))</f>
        <v>0</v>
      </c>
      <c r="AE197" s="604">
        <f t="shared" si="302"/>
        <v>0</v>
      </c>
      <c r="AF197" s="44">
        <f t="shared" si="303"/>
        <v>0</v>
      </c>
      <c r="AG197" s="44">
        <f t="shared" si="304"/>
        <v>0</v>
      </c>
      <c r="AH197" s="44">
        <f t="shared" si="305"/>
        <v>0</v>
      </c>
      <c r="AI197" s="44">
        <f t="shared" si="306"/>
        <v>36000</v>
      </c>
      <c r="AJ197" s="44">
        <f t="shared" si="307"/>
        <v>36000</v>
      </c>
      <c r="AK197" s="44">
        <f t="shared" ref="AK197:AK260" si="376">IF(AND(YEAR($F197)=YEAR(AM$4),$E197&lt;1000,$E197&gt;-1000,$F197&gt;0,$K197=1),$E197-$I197,IF(AND(YEAR($F197)=YEAR(AM$4),$F197&gt;0,$K197&gt;0),ROUND(($L197/12)*(13-MONTH($F197)),2),IF(AND(YEAR($F197)&lt;YEAR(AM$4),$E197&gt;0,$F197&gt;0,$K197&gt;0,Z197&gt;$L197+$I197),$L197,IF(AND(YEAR($F197)&lt;YEAR(AM$4),$E197&gt;0,$F197&gt;0,$K197&gt;0,Z197&gt;0,Z197&lt;=$L197+$I197),Z197-$I197,IF(AND(YEAR($F197)&lt;YEAR(AM$4),$E197&lt;0,$F197&gt;0,$K197&gt;0,Z197&lt;0,Z197&lt;=$L197),$L197,IF(AND(YEAR($F197)&lt;YEAR(AM$4),$E197&lt;0,$F197&gt;0,$K197&gt;0,Z197&lt;0,Z197&gt;$L197),Z197,0))))))</f>
        <v>720</v>
      </c>
      <c r="AL197" s="44">
        <f t="shared" si="308"/>
        <v>720</v>
      </c>
      <c r="AM197" s="44">
        <f t="shared" ref="AM197:AM260" si="377">IF(AND(YEAR(AM$4)=YEAR($F197),$E197&gt;0,$F197&gt;0,$E197-AK197&gt;=0),$E197-AK197,IF(AND(YEAR(AM$4)&gt;YEAR($F197),$E197&gt;0,$F197&gt;0,Z197-AK197&gt;=0),Z197-AK197,IF(AND(YEAR(AM$4)=YEAR($F197),$E197&lt;0,$F197&gt;0,$E197-AK197&lt;0),$E197-AK197,IF(AND(YEAR(AM$4)&gt;YEAR($F197),$E197&lt;0,$F197&gt;0,Z197-AK197&lt;=0),Z197-AK197,0))))</f>
        <v>24840</v>
      </c>
      <c r="AN197" s="44">
        <f t="shared" si="309"/>
        <v>24840</v>
      </c>
      <c r="AO197" s="44">
        <f t="shared" ref="AO197:AO260" si="378">AB197+AK197</f>
        <v>11160</v>
      </c>
      <c r="AP197" s="46">
        <f t="shared" ref="AP197:AP260" si="379">IF(AND(AE197&lt;&gt;0,$J197="H",$L197=0),AG197,IF(AND(YEAR(AM$4)&gt;YEAR($F197),$J197="H",$F197&gt;0,$L197=0),$E197,0))</f>
        <v>0</v>
      </c>
      <c r="AQ197" s="47">
        <f t="shared" ref="AQ197:AQ260" si="380">IF(AND(YEAR(AM$4)&gt;=YEAR($F197),$E197&gt;0,$F197&gt;0,AK197&gt;0,$J197="H"),ROUND(AK197/$L197*$E197,2),IF(AND(YEAR(AM$4)&gt;=YEAR($F197),$E197&lt;0,$F197&gt;0,AK197&lt;0,$J197="H"),ROUND(AK197/$L197*$E197,2),0))</f>
        <v>0</v>
      </c>
      <c r="AR197" s="604">
        <f t="shared" si="310"/>
        <v>0</v>
      </c>
      <c r="AS197" s="44">
        <f t="shared" si="311"/>
        <v>0</v>
      </c>
      <c r="AT197" s="44">
        <f t="shared" si="312"/>
        <v>0</v>
      </c>
      <c r="AU197" s="44">
        <f t="shared" si="313"/>
        <v>0</v>
      </c>
      <c r="AV197" s="44">
        <f t="shared" si="314"/>
        <v>36000</v>
      </c>
      <c r="AW197" s="44">
        <f t="shared" si="315"/>
        <v>36000</v>
      </c>
      <c r="AX197" s="44">
        <f t="shared" ref="AX197:AX260" si="381">IF(AND(YEAR($F197)=YEAR(AZ$4),$E197&lt;1000,$E197&gt;-1000,$F197&gt;0,$K197=1),$E197-$I197,IF(AND(YEAR($F197)=YEAR(AZ$4),$F197&gt;0,$K197&gt;0),ROUND(($L197/12)*(13-MONTH($F197)),2),IF(AND(YEAR($F197)&lt;YEAR(AZ$4),$E197&gt;0,$F197&gt;0,$K197&gt;0,AM197&gt;$L197+$I197),$L197,IF(AND(YEAR($F197)&lt;YEAR(AZ$4),$E197&gt;0,$F197&gt;0,$K197&gt;0,AM197&gt;0,AM197&lt;=$L197+$I197),AM197-$I197,IF(AND(YEAR($F197)&lt;YEAR(AZ$4),$E197&lt;0,$F197&gt;0,$K197&gt;0,AM197&lt;0,AM197&lt;=$L197),$L197,IF(AND(YEAR($F197)&lt;YEAR(AZ$4),$E197&lt;0,$F197&gt;0,$K197&gt;0,AM197&lt;0,AM197&gt;$L197),AM197,0))))))</f>
        <v>720</v>
      </c>
      <c r="AY197" s="44">
        <f t="shared" si="316"/>
        <v>720</v>
      </c>
      <c r="AZ197" s="44">
        <f t="shared" ref="AZ197:AZ260" si="382">IF(AND(YEAR(AZ$4)=YEAR($F197),$E197&gt;0,$F197&gt;0,$E197-AX197&gt;=0),$E197-AX197,IF(AND(YEAR(AZ$4)&gt;YEAR($F197),$E197&gt;0,$F197&gt;0,AM197-AX197&gt;=0),AM197-AX197,IF(AND(YEAR(AZ$4)=YEAR($F197),$E197&lt;0,$F197&gt;0,$E197-AX197&lt;0),$E197-AX197,IF(AND(YEAR(AZ$4)&gt;YEAR($F197),$E197&lt;0,$F197&gt;0,AM197-AX197&lt;=0),AM197-AX197,0))))</f>
        <v>24120</v>
      </c>
      <c r="BA197" s="44">
        <f t="shared" si="317"/>
        <v>24120</v>
      </c>
      <c r="BB197" s="44">
        <f t="shared" ref="BB197:BB260" si="383">AO197+AX197</f>
        <v>11880</v>
      </c>
      <c r="BC197" s="46">
        <f t="shared" ref="BC197:BC260" si="384">IF(AND(AR197&lt;&gt;0,$J197="H",$L197=0),AT197,IF(AND(YEAR(AZ$4)&gt;YEAR($F197),$J197="H",$F197&gt;0,$L197=0),$E197,0))</f>
        <v>0</v>
      </c>
      <c r="BD197" s="47">
        <f t="shared" ref="BD197:BD260" si="385">IF(AND(YEAR(AZ$4)&gt;=YEAR($F197),$E197&gt;0,$F197&gt;0,AX197&gt;0,$J197="H"),ROUND(AX197/$L197*$E197,2),IF(AND(YEAR(AZ$4)&gt;=YEAR($F197),$E197&lt;0,$F197&gt;0,AX197&lt;0,$J197="H"),ROUND(AX197/$L197*$E197,2),0))</f>
        <v>0</v>
      </c>
      <c r="BE197" s="604">
        <f t="shared" si="318"/>
        <v>0</v>
      </c>
      <c r="BF197" s="44">
        <f t="shared" si="319"/>
        <v>0</v>
      </c>
      <c r="BG197" s="44">
        <f t="shared" si="320"/>
        <v>0</v>
      </c>
      <c r="BH197" s="44">
        <f t="shared" si="321"/>
        <v>0</v>
      </c>
      <c r="BI197" s="44">
        <f t="shared" si="322"/>
        <v>36000</v>
      </c>
      <c r="BJ197" s="44">
        <f t="shared" si="323"/>
        <v>36000</v>
      </c>
      <c r="BK197" s="44">
        <f t="shared" ref="BK197:BK260" si="386">IF(AND(YEAR($F197)=YEAR(BM$4),$E197&lt;1000,$E197&gt;-1000,$F197&gt;0,$K197=1),$E197-$I197,IF(AND(YEAR($F197)=YEAR(BM$4),$F197&gt;0,$K197&gt;0),ROUND(($L197/12)*(13-MONTH($F197)),2),IF(AND(YEAR($F197)&lt;YEAR(BM$4),$E197&gt;0,$F197&gt;0,$K197&gt;0,AZ197&gt;$L197+$I197),$L197,IF(AND(YEAR($F197)&lt;YEAR(BM$4),$E197&gt;0,$F197&gt;0,$K197&gt;0,AZ197&gt;0,AZ197&lt;=$L197+$I197),AZ197-$I197,IF(AND(YEAR($F197)&lt;YEAR(BM$4),$E197&lt;0,$F197&gt;0,$K197&gt;0,AZ197&lt;0,AZ197&lt;=$L197),$L197,IF(AND(YEAR($F197)&lt;YEAR(BM$4),$E197&lt;0,$F197&gt;0,$K197&gt;0,AZ197&lt;0,AZ197&gt;$L197),AZ197,0))))))</f>
        <v>720</v>
      </c>
      <c r="BL197" s="44">
        <f t="shared" si="324"/>
        <v>720</v>
      </c>
      <c r="BM197" s="44">
        <f t="shared" ref="BM197:BM260" si="387">IF(AND(YEAR(BM$4)=YEAR($F197),$E197&gt;0,$F197&gt;0,$E197-BK197&gt;=0),$E197-BK197,IF(AND(YEAR(BM$4)&gt;YEAR($F197),$E197&gt;0,$F197&gt;0,AZ197-BK197&gt;=0),AZ197-BK197,IF(AND(YEAR(BM$4)=YEAR($F197),$E197&lt;0,$F197&gt;0,$E197-BK197&lt;0),$E197-BK197,IF(AND(YEAR(BM$4)&gt;YEAR($F197),$E197&lt;0,$F197&gt;0,AZ197-BK197&lt;=0),AZ197-BK197,0))))</f>
        <v>23400</v>
      </c>
      <c r="BN197" s="44">
        <f t="shared" si="325"/>
        <v>23400</v>
      </c>
      <c r="BO197" s="44">
        <f t="shared" ref="BO197:BO260" si="388">BB197+BK197</f>
        <v>12600</v>
      </c>
      <c r="BP197" s="46">
        <f t="shared" ref="BP197:BP260" si="389">IF(AND(BE197&lt;&gt;0,$J197="H",$L197=0),BG197,IF(AND(YEAR(BM$4)&gt;YEAR($F197),$J197="H",$F197&gt;0,$L197=0),$E197,0))</f>
        <v>0</v>
      </c>
      <c r="BQ197" s="47">
        <f t="shared" ref="BQ197:BQ260" si="390">IF(AND(YEAR(BM$4)&gt;=YEAR($F197),$E197&gt;0,$F197&gt;0,BK197&gt;0,$J197="H"),ROUND(BK197/$L197*$E197,2),IF(AND(YEAR(BM$4)&gt;=YEAR($F197),$E197&lt;0,$F197&gt;0,BK197&lt;0,$J197="H"),ROUND(BK197/$L197*$E197,2),0))</f>
        <v>0</v>
      </c>
      <c r="BR197" s="604">
        <f t="shared" si="326"/>
        <v>0</v>
      </c>
      <c r="BS197" s="44">
        <f t="shared" si="327"/>
        <v>0</v>
      </c>
      <c r="BT197" s="44">
        <f t="shared" si="328"/>
        <v>0</v>
      </c>
      <c r="BU197" s="44">
        <f t="shared" si="329"/>
        <v>0</v>
      </c>
      <c r="BV197" s="44">
        <f t="shared" si="330"/>
        <v>36000</v>
      </c>
      <c r="BW197" s="44">
        <f t="shared" si="331"/>
        <v>36000</v>
      </c>
      <c r="BX197" s="44">
        <f t="shared" ref="BX197:BX260" si="391">IF(AND(YEAR($F197)=YEAR(BZ$4),$E197&lt;1000,$E197&gt;-1000,$F197&gt;0,$K197=1),$E197-$I197,IF(AND(YEAR($F197)=YEAR(BZ$4),$F197&gt;0,$K197&gt;0),ROUND(($L197/12)*(13-MONTH($F197)),2),IF(AND(YEAR($F197)&lt;YEAR(BZ$4),$E197&gt;0,$F197&gt;0,$K197&gt;0,BM197&gt;$L197+$I197),$L197,IF(AND(YEAR($F197)&lt;YEAR(BZ$4),$E197&gt;0,$F197&gt;0,$K197&gt;0,BM197&gt;0,BM197&lt;=$L197+$I197),BM197-$I197,IF(AND(YEAR($F197)&lt;YEAR(BZ$4),$E197&lt;0,$F197&gt;0,$K197&gt;0,BM197&lt;0,BM197&lt;=$L197),$L197,IF(AND(YEAR($F197)&lt;YEAR(BZ$4),$E197&lt;0,$F197&gt;0,$K197&gt;0,BM197&lt;0,BM197&gt;$L197),BM197,0))))))</f>
        <v>720</v>
      </c>
      <c r="BY197" s="44">
        <f t="shared" si="332"/>
        <v>720</v>
      </c>
      <c r="BZ197" s="44">
        <f t="shared" ref="BZ197:BZ260" si="392">IF(AND(YEAR(BZ$4)=YEAR($F197),$E197&gt;0,$F197&gt;0,$E197-BX197&gt;=0),$E197-BX197,IF(AND(YEAR(BZ$4)&gt;YEAR($F197),$E197&gt;0,$F197&gt;0,BM197-BX197&gt;=0),BM197-BX197,IF(AND(YEAR(BZ$4)=YEAR($F197),$E197&lt;0,$F197&gt;0,$E197-BX197&lt;0),$E197-BX197,IF(AND(YEAR(BZ$4)&gt;YEAR($F197),$E197&lt;0,$F197&gt;0,BM197-BX197&lt;=0),BM197-BX197,0))))</f>
        <v>22680</v>
      </c>
      <c r="CA197" s="44">
        <f t="shared" si="333"/>
        <v>22680</v>
      </c>
      <c r="CB197" s="44">
        <f t="shared" ref="CB197:CB260" si="393">BO197+BX197</f>
        <v>13320</v>
      </c>
      <c r="CC197" s="46">
        <f t="shared" ref="CC197:CC260" si="394">IF(AND(BR197&lt;&gt;0,$J197="H",$L197=0),BT197,IF(AND(YEAR(BZ$4)&gt;YEAR($F197),$J197="H",$F197&gt;0,$L197=0),$E197,0))</f>
        <v>0</v>
      </c>
      <c r="CD197" s="47">
        <f t="shared" ref="CD197:CD260" si="395">IF(AND(YEAR(BZ$4)&gt;=YEAR($F197),$E197&gt;0,$F197&gt;0,BX197&gt;0,$J197="H"),ROUND(BX197/$L197*$E197,2),IF(AND(YEAR(BZ$4)&gt;=YEAR($F197),$E197&lt;0,$F197&gt;0,BX197&lt;0,$J197="H"),ROUND(BX197/$L197*$E197,2),0))</f>
        <v>0</v>
      </c>
      <c r="CE197" s="604">
        <f t="shared" si="334"/>
        <v>0</v>
      </c>
      <c r="CF197" s="44">
        <f t="shared" si="335"/>
        <v>0</v>
      </c>
      <c r="CG197" s="44">
        <f t="shared" si="336"/>
        <v>0</v>
      </c>
      <c r="CH197" s="44">
        <f t="shared" si="337"/>
        <v>0</v>
      </c>
      <c r="CI197" s="44">
        <f t="shared" si="338"/>
        <v>36000</v>
      </c>
      <c r="CJ197" s="44">
        <f t="shared" si="339"/>
        <v>36000</v>
      </c>
      <c r="CK197" s="44">
        <f t="shared" ref="CK197:CK260" si="396">IF(AND(YEAR($F197)=YEAR(CM$4),$E197&lt;1000,$E197&gt;-1000,$F197&gt;0,$K197=1),$E197-$I197,IF(AND(YEAR($F197)=YEAR(CM$4),$F197&gt;0,$K197&gt;0),ROUND(($L197/12)*(13-MONTH($F197)),2),IF(AND(YEAR($F197)&lt;YEAR(CM$4),$E197&gt;0,$F197&gt;0,$K197&gt;0,BZ197&gt;$L197+$I197),$L197,IF(AND(YEAR($F197)&lt;YEAR(CM$4),$E197&gt;0,$F197&gt;0,$K197&gt;0,BZ197&gt;0,BZ197&lt;=$L197+$I197),BZ197-$I197,IF(AND(YEAR($F197)&lt;YEAR(CM$4),$E197&lt;0,$F197&gt;0,$K197&gt;0,BZ197&lt;0,BZ197&lt;=$L197),$L197,IF(AND(YEAR($F197)&lt;YEAR(CM$4),$E197&lt;0,$F197&gt;0,$K197&gt;0,BZ197&lt;0,BZ197&gt;$L197),BZ197,0))))))</f>
        <v>720</v>
      </c>
      <c r="CL197" s="44">
        <f t="shared" si="340"/>
        <v>720</v>
      </c>
      <c r="CM197" s="44">
        <f t="shared" ref="CM197:CM260" si="397">IF(AND(YEAR(CM$4)=YEAR($F197),$E197&gt;0,$F197&gt;0,$E197-CK197&gt;=0),$E197-CK197,IF(AND(YEAR(CM$4)&gt;YEAR($F197),$E197&gt;0,$F197&gt;0,BZ197-CK197&gt;=0),BZ197-CK197,IF(AND(YEAR(CM$4)=YEAR($F197),$E197&lt;0,$F197&gt;0,$E197-CK197&lt;0),$E197-CK197,IF(AND(YEAR(CM$4)&gt;YEAR($F197),$E197&lt;0,$F197&gt;0,BZ197-CK197&lt;=0),BZ197-CK197,0))))</f>
        <v>21960</v>
      </c>
      <c r="CN197" s="44">
        <f t="shared" si="341"/>
        <v>21960</v>
      </c>
      <c r="CO197" s="44">
        <f t="shared" ref="CO197:CO260" si="398">CB197+CK197</f>
        <v>14040</v>
      </c>
      <c r="CP197" s="46">
        <f t="shared" ref="CP197:CP260" si="399">IF(AND(CE197&lt;&gt;0,$J197="H",$L197=0),CG197,IF(AND(YEAR(CM$4)&gt;YEAR($F197),$J197="H",$F197&gt;0,$L197=0),$E197,0))</f>
        <v>0</v>
      </c>
      <c r="CQ197" s="47">
        <f t="shared" ref="CQ197:CQ260" si="400">IF(AND(YEAR(CM$4)&gt;=YEAR($F197),$E197&gt;0,$F197&gt;0,CK197&gt;0,$J197="H"),ROUND(CK197/$L197*$E197,2),IF(AND(YEAR(CM$4)&gt;=YEAR($F197),$E197&lt;0,$F197&gt;0,CK197&lt;0,$J197="H"),ROUND(CK197/$L197*$E197,2),0))</f>
        <v>0</v>
      </c>
      <c r="CR197" s="604">
        <f t="shared" si="342"/>
        <v>0</v>
      </c>
      <c r="CS197" s="44">
        <f t="shared" si="343"/>
        <v>0</v>
      </c>
      <c r="CT197" s="44">
        <f t="shared" si="344"/>
        <v>0</v>
      </c>
      <c r="CU197" s="44">
        <f t="shared" si="345"/>
        <v>0</v>
      </c>
      <c r="CV197" s="44">
        <f t="shared" si="346"/>
        <v>36000</v>
      </c>
      <c r="CW197" s="44">
        <f t="shared" si="347"/>
        <v>36000</v>
      </c>
      <c r="CX197" s="44">
        <f t="shared" ref="CX197:CX260" si="401">IF(AND(YEAR($F197)=YEAR(CZ$4),$E197&lt;1000,$E197&gt;-1000,$F197&gt;0,$K197=1),$E197-$I197,IF(AND(YEAR($F197)=YEAR(CZ$4),$F197&gt;0,$K197&gt;0),ROUND(($L197/12)*(13-MONTH($F197)),2),IF(AND(YEAR($F197)&lt;YEAR(CZ$4),$E197&gt;0,$F197&gt;0,$K197&gt;0,CM197&gt;$L197+$I197),$L197,IF(AND(YEAR($F197)&lt;YEAR(CZ$4),$E197&gt;0,$F197&gt;0,$K197&gt;0,CM197&gt;0,CM197&lt;=$L197+$I197),CM197-$I197,IF(AND(YEAR($F197)&lt;YEAR(CZ$4),$E197&lt;0,$F197&gt;0,$K197&gt;0,CM197&lt;0,CM197&lt;=$L197),$L197,IF(AND(YEAR($F197)&lt;YEAR(CZ$4),$E197&lt;0,$F197&gt;0,$K197&gt;0,CM197&lt;0,CM197&gt;$L197),CM197,0))))))</f>
        <v>720</v>
      </c>
      <c r="CY197" s="44">
        <f t="shared" si="348"/>
        <v>720</v>
      </c>
      <c r="CZ197" s="44">
        <f t="shared" ref="CZ197:CZ260" si="402">IF(AND(YEAR(CZ$4)=YEAR($F197),$E197&gt;0,$F197&gt;0,$E197-CX197&gt;=0),$E197-CX197,IF(AND(YEAR(CZ$4)&gt;YEAR($F197),$E197&gt;0,$F197&gt;0,CM197-CX197&gt;=0),CM197-CX197,IF(AND(YEAR(CZ$4)=YEAR($F197),$E197&lt;0,$F197&gt;0,$E197-CX197&lt;0),$E197-CX197,IF(AND(YEAR(CZ$4)&gt;YEAR($F197),$E197&lt;0,$F197&gt;0,CM197-CX197&lt;=0),CM197-CX197,0))))</f>
        <v>21240</v>
      </c>
      <c r="DA197" s="44">
        <f t="shared" si="349"/>
        <v>21240</v>
      </c>
      <c r="DB197" s="44">
        <f t="shared" ref="DB197:DB260" si="403">CO197+CX197</f>
        <v>14760</v>
      </c>
      <c r="DC197" s="46">
        <f t="shared" ref="DC197:DC260" si="404">IF(AND(CR197&lt;&gt;0,$J197="H",$L197=0),CT197,IF(AND(YEAR(CZ$4)&gt;YEAR($F197),$J197="H",$F197&gt;0,$L197=0),$E197,0))</f>
        <v>0</v>
      </c>
      <c r="DD197" s="47">
        <f t="shared" ref="DD197:DD260" si="405">IF(AND(YEAR(CZ$4)&gt;=YEAR($F197),$E197&gt;0,$F197&gt;0,CX197&gt;0,$J197="H"),ROUND(CX197/$L197*$E197,2),IF(AND(YEAR(CZ$4)&gt;=YEAR($F197),$E197&lt;0,$F197&gt;0,CX197&lt;0,$J197="H"),ROUND(CX197/$L197*$E197,2),0))</f>
        <v>0</v>
      </c>
      <c r="DE197" s="604">
        <f t="shared" si="350"/>
        <v>0</v>
      </c>
      <c r="DF197" s="44">
        <f t="shared" si="351"/>
        <v>0</v>
      </c>
      <c r="DG197" s="44">
        <f t="shared" si="352"/>
        <v>0</v>
      </c>
      <c r="DH197" s="44">
        <f t="shared" si="353"/>
        <v>0</v>
      </c>
      <c r="DI197" s="44">
        <f t="shared" si="354"/>
        <v>36000</v>
      </c>
      <c r="DJ197" s="44">
        <f t="shared" si="355"/>
        <v>36000</v>
      </c>
      <c r="DK197" s="44">
        <f t="shared" ref="DK197:DK260" si="406">IF(AND(YEAR($F197)=YEAR(DM$4),$E197&lt;1000,$E197&gt;-1000,$F197&gt;0,$K197=1),$E197-$I197,IF(AND(YEAR($F197)=YEAR(DM$4),$F197&gt;0,$K197&gt;0),ROUND(($L197/12)*(13-MONTH($F197)),2),IF(AND(YEAR($F197)&lt;YEAR(DM$4),$E197&gt;0,$F197&gt;0,$K197&gt;0,CZ197&gt;$L197+$I197),$L197,IF(AND(YEAR($F197)&lt;YEAR(DM$4),$E197&gt;0,$F197&gt;0,$K197&gt;0,CZ197&gt;0,CZ197&lt;=$L197+$I197),CZ197-$I197,IF(AND(YEAR($F197)&lt;YEAR(DM$4),$E197&lt;0,$F197&gt;0,$K197&gt;0,CZ197&lt;0,CZ197&lt;=$L197),$L197,IF(AND(YEAR($F197)&lt;YEAR(DM$4),$E197&lt;0,$F197&gt;0,$K197&gt;0,CZ197&lt;0,CZ197&gt;$L197),CZ197,0))))))</f>
        <v>720</v>
      </c>
      <c r="DL197" s="44">
        <f t="shared" si="356"/>
        <v>720</v>
      </c>
      <c r="DM197" s="44">
        <f t="shared" ref="DM197:DM260" si="407">IF(AND(YEAR(DM$4)=YEAR($F197),$E197&gt;0,$F197&gt;0,$E197-DK197&gt;=0),$E197-DK197,IF(AND(YEAR(DM$4)&gt;YEAR($F197),$E197&gt;0,$F197&gt;0,CZ197-DK197&gt;=0),CZ197-DK197,IF(AND(YEAR(DM$4)=YEAR($F197),$E197&lt;0,$F197&gt;0,$E197-DK197&lt;0),$E197-DK197,IF(AND(YEAR(DM$4)&gt;YEAR($F197),$E197&lt;0,$F197&gt;0,CZ197-DK197&lt;=0),CZ197-DK197,0))))</f>
        <v>20520</v>
      </c>
      <c r="DN197" s="44">
        <f t="shared" si="357"/>
        <v>20520</v>
      </c>
      <c r="DO197" s="44">
        <f t="shared" ref="DO197:DO260" si="408">DB197+DK197</f>
        <v>15480</v>
      </c>
      <c r="DP197" s="46">
        <f t="shared" ref="DP197:DP260" si="409">IF(AND(DE197&lt;&gt;0,$J197="H",$L197=0),DG197,IF(AND(YEAR(DM$4)&gt;YEAR($F197),$J197="H",$F197&gt;0,$L197=0),$E197,0))</f>
        <v>0</v>
      </c>
      <c r="DQ197" s="47">
        <f t="shared" ref="DQ197:DQ260" si="410">IF(AND(YEAR(DM$4)&gt;=YEAR($F197),$E197&gt;0,$F197&gt;0,DK197&gt;0,$J197="H"),ROUND(DK197/$L197*$E197,2),IF(AND(YEAR(DM$4)&gt;=YEAR($F197),$E197&lt;0,$F197&gt;0,DK197&lt;0,$J197="H"),ROUND(DK197/$L197*$E197,2),0))</f>
        <v>0</v>
      </c>
      <c r="DR197" s="604">
        <f t="shared" si="358"/>
        <v>0</v>
      </c>
      <c r="DS197" s="44">
        <f t="shared" si="359"/>
        <v>0</v>
      </c>
      <c r="DT197" s="44">
        <f t="shared" si="360"/>
        <v>0</v>
      </c>
      <c r="DU197" s="44">
        <f t="shared" si="361"/>
        <v>0</v>
      </c>
      <c r="DV197" s="44">
        <f t="shared" si="362"/>
        <v>36000</v>
      </c>
      <c r="DW197" s="44">
        <f t="shared" si="363"/>
        <v>36000</v>
      </c>
      <c r="DX197" s="44">
        <f t="shared" ref="DX197:DX260" si="411">IF(AND(YEAR($F197)=YEAR(DZ$4),$E197&lt;1000,$E197&gt;-1000,$F197&gt;0,$K197=1),$E197-$I197,IF(AND(YEAR($F197)=YEAR(DZ$4),$F197&gt;0,$K197&gt;0),ROUND(($L197/12)*(13-MONTH($F197)),2),IF(AND(YEAR($F197)&lt;YEAR(DZ$4),$E197&gt;0,$F197&gt;0,$K197&gt;0,DM197&gt;$L197+$I197),$L197,IF(AND(YEAR($F197)&lt;YEAR(DZ$4),$E197&gt;0,$F197&gt;0,$K197&gt;0,DM197&gt;0,DM197&lt;=$L197+$I197),DM197-$I197,IF(AND(YEAR($F197)&lt;YEAR(DZ$4),$E197&lt;0,$F197&gt;0,$K197&gt;0,DM197&lt;0,DM197&lt;=$L197),$L197,IF(AND(YEAR($F197)&lt;YEAR(DZ$4),$E197&lt;0,$F197&gt;0,$K197&gt;0,DM197&lt;0,DM197&gt;$L197),DM197,0))))))</f>
        <v>720</v>
      </c>
      <c r="DY197" s="44">
        <f t="shared" si="364"/>
        <v>720</v>
      </c>
      <c r="DZ197" s="44">
        <f t="shared" ref="DZ197:DZ260" si="412">IF(AND(YEAR(DZ$4)=YEAR($F197),$E197&gt;0,$F197&gt;0,$E197-DX197&gt;=0),$E197-DX197,IF(AND(YEAR(DZ$4)&gt;YEAR($F197),$E197&gt;0,$F197&gt;0,DM197-DX197&gt;=0),DM197-DX197,IF(AND(YEAR(DZ$4)=YEAR($F197),$E197&lt;0,$F197&gt;0,$E197-DX197&lt;0),$E197-DX197,IF(AND(YEAR(DZ$4)&gt;YEAR($F197),$E197&lt;0,$F197&gt;0,DM197-DX197&lt;=0),DM197-DX197,0))))</f>
        <v>19800</v>
      </c>
      <c r="EA197" s="44">
        <f t="shared" si="365"/>
        <v>19800</v>
      </c>
      <c r="EB197" s="44">
        <f t="shared" ref="EB197:EB260" si="413">DO197+DX197</f>
        <v>16200</v>
      </c>
      <c r="EC197" s="46">
        <f t="shared" ref="EC197:EC260" si="414">IF(AND(DR197&lt;&gt;0,$J197="H",$L197=0),DT197,IF(AND(YEAR(DZ$4)&gt;YEAR($F197),$J197="H",$F197&gt;0,$L197=0),$E197,0))</f>
        <v>0</v>
      </c>
      <c r="ED197" s="47">
        <f t="shared" ref="ED197:ED260" si="415">IF(AND(YEAR(DZ$4)&gt;=YEAR($F197),$E197&gt;0,$F197&gt;0,DX197&gt;0,$J197="H"),ROUND(DX197/$L197*$E197,2),IF(AND(YEAR(DZ$4)&gt;=YEAR($F197),$E197&lt;0,$F197&gt;0,DX197&lt;0,$J197="H"),ROUND(DX197/$L197*$E197,2),0))</f>
        <v>0</v>
      </c>
    </row>
    <row r="198" spans="1:134" x14ac:dyDescent="0.35">
      <c r="A198" s="81">
        <v>2000</v>
      </c>
      <c r="B198" s="82" t="s">
        <v>354</v>
      </c>
      <c r="C198" s="82"/>
      <c r="D198" s="83" t="s">
        <v>63</v>
      </c>
      <c r="E198" s="87">
        <v>78000</v>
      </c>
      <c r="F198" s="85">
        <v>36708</v>
      </c>
      <c r="G198" s="86">
        <v>50</v>
      </c>
      <c r="H198" s="179"/>
      <c r="I198" s="180"/>
      <c r="J198" s="181"/>
      <c r="K198" s="42">
        <f t="shared" si="366"/>
        <v>0.02</v>
      </c>
      <c r="L198" s="43">
        <f t="shared" si="367"/>
        <v>1560</v>
      </c>
      <c r="M198" s="44">
        <f t="shared" si="368"/>
        <v>60060</v>
      </c>
      <c r="N198" s="44"/>
      <c r="O198" s="44">
        <f t="shared" si="369"/>
        <v>17940</v>
      </c>
      <c r="P198" s="45"/>
      <c r="Q198" s="44">
        <f t="shared" si="370"/>
        <v>78000</v>
      </c>
      <c r="R198" s="604">
        <f t="shared" si="294"/>
        <v>0</v>
      </c>
      <c r="S198" s="44">
        <f t="shared" si="295"/>
        <v>0</v>
      </c>
      <c r="T198" s="44">
        <f t="shared" si="296"/>
        <v>0</v>
      </c>
      <c r="U198" s="44">
        <f t="shared" si="297"/>
        <v>0</v>
      </c>
      <c r="V198" s="44">
        <f t="shared" si="298"/>
        <v>78000</v>
      </c>
      <c r="W198" s="44">
        <f t="shared" si="299"/>
        <v>78000</v>
      </c>
      <c r="X198" s="44">
        <f t="shared" si="371"/>
        <v>1560</v>
      </c>
      <c r="Y198" s="44">
        <f t="shared" si="300"/>
        <v>1560</v>
      </c>
      <c r="Z198" s="44">
        <f t="shared" si="372"/>
        <v>58500</v>
      </c>
      <c r="AA198" s="44">
        <f t="shared" si="301"/>
        <v>58500</v>
      </c>
      <c r="AB198" s="44">
        <f t="shared" si="373"/>
        <v>19500</v>
      </c>
      <c r="AC198" s="46">
        <f t="shared" si="374"/>
        <v>0</v>
      </c>
      <c r="AD198" s="47">
        <f t="shared" si="375"/>
        <v>0</v>
      </c>
      <c r="AE198" s="604">
        <f t="shared" si="302"/>
        <v>0</v>
      </c>
      <c r="AF198" s="44">
        <f t="shared" si="303"/>
        <v>0</v>
      </c>
      <c r="AG198" s="44">
        <f t="shared" si="304"/>
        <v>0</v>
      </c>
      <c r="AH198" s="44">
        <f t="shared" si="305"/>
        <v>0</v>
      </c>
      <c r="AI198" s="44">
        <f t="shared" si="306"/>
        <v>78000</v>
      </c>
      <c r="AJ198" s="44">
        <f t="shared" si="307"/>
        <v>78000</v>
      </c>
      <c r="AK198" s="44">
        <f t="shared" si="376"/>
        <v>1560</v>
      </c>
      <c r="AL198" s="44">
        <f t="shared" si="308"/>
        <v>1560</v>
      </c>
      <c r="AM198" s="44">
        <f t="shared" si="377"/>
        <v>56940</v>
      </c>
      <c r="AN198" s="44">
        <f t="shared" si="309"/>
        <v>56940</v>
      </c>
      <c r="AO198" s="44">
        <f t="shared" si="378"/>
        <v>21060</v>
      </c>
      <c r="AP198" s="46">
        <f t="shared" si="379"/>
        <v>0</v>
      </c>
      <c r="AQ198" s="47">
        <f t="shared" si="380"/>
        <v>0</v>
      </c>
      <c r="AR198" s="604">
        <f t="shared" si="310"/>
        <v>0</v>
      </c>
      <c r="AS198" s="44">
        <f t="shared" si="311"/>
        <v>0</v>
      </c>
      <c r="AT198" s="44">
        <f t="shared" si="312"/>
        <v>0</v>
      </c>
      <c r="AU198" s="44">
        <f t="shared" si="313"/>
        <v>0</v>
      </c>
      <c r="AV198" s="44">
        <f t="shared" si="314"/>
        <v>78000</v>
      </c>
      <c r="AW198" s="44">
        <f t="shared" si="315"/>
        <v>78000</v>
      </c>
      <c r="AX198" s="44">
        <f t="shared" si="381"/>
        <v>1560</v>
      </c>
      <c r="AY198" s="44">
        <f t="shared" si="316"/>
        <v>1560</v>
      </c>
      <c r="AZ198" s="44">
        <f t="shared" si="382"/>
        <v>55380</v>
      </c>
      <c r="BA198" s="44">
        <f t="shared" si="317"/>
        <v>55380</v>
      </c>
      <c r="BB198" s="44">
        <f t="shared" si="383"/>
        <v>22620</v>
      </c>
      <c r="BC198" s="46">
        <f t="shared" si="384"/>
        <v>0</v>
      </c>
      <c r="BD198" s="47">
        <f t="shared" si="385"/>
        <v>0</v>
      </c>
      <c r="BE198" s="604">
        <f t="shared" si="318"/>
        <v>0</v>
      </c>
      <c r="BF198" s="44">
        <f t="shared" si="319"/>
        <v>0</v>
      </c>
      <c r="BG198" s="44">
        <f t="shared" si="320"/>
        <v>0</v>
      </c>
      <c r="BH198" s="44">
        <f t="shared" si="321"/>
        <v>0</v>
      </c>
      <c r="BI198" s="44">
        <f t="shared" si="322"/>
        <v>78000</v>
      </c>
      <c r="BJ198" s="44">
        <f t="shared" si="323"/>
        <v>78000</v>
      </c>
      <c r="BK198" s="44">
        <f t="shared" si="386"/>
        <v>1560</v>
      </c>
      <c r="BL198" s="44">
        <f t="shared" si="324"/>
        <v>1560</v>
      </c>
      <c r="BM198" s="44">
        <f t="shared" si="387"/>
        <v>53820</v>
      </c>
      <c r="BN198" s="44">
        <f t="shared" si="325"/>
        <v>53820</v>
      </c>
      <c r="BO198" s="44">
        <f t="shared" si="388"/>
        <v>24180</v>
      </c>
      <c r="BP198" s="46">
        <f t="shared" si="389"/>
        <v>0</v>
      </c>
      <c r="BQ198" s="47">
        <f t="shared" si="390"/>
        <v>0</v>
      </c>
      <c r="BR198" s="604">
        <f t="shared" si="326"/>
        <v>0</v>
      </c>
      <c r="BS198" s="44">
        <f t="shared" si="327"/>
        <v>0</v>
      </c>
      <c r="BT198" s="44">
        <f t="shared" si="328"/>
        <v>0</v>
      </c>
      <c r="BU198" s="44">
        <f t="shared" si="329"/>
        <v>0</v>
      </c>
      <c r="BV198" s="44">
        <f t="shared" si="330"/>
        <v>78000</v>
      </c>
      <c r="BW198" s="44">
        <f t="shared" si="331"/>
        <v>78000</v>
      </c>
      <c r="BX198" s="44">
        <f t="shared" si="391"/>
        <v>1560</v>
      </c>
      <c r="BY198" s="44">
        <f t="shared" si="332"/>
        <v>1560</v>
      </c>
      <c r="BZ198" s="44">
        <f t="shared" si="392"/>
        <v>52260</v>
      </c>
      <c r="CA198" s="44">
        <f t="shared" si="333"/>
        <v>52260</v>
      </c>
      <c r="CB198" s="44">
        <f t="shared" si="393"/>
        <v>25740</v>
      </c>
      <c r="CC198" s="46">
        <f t="shared" si="394"/>
        <v>0</v>
      </c>
      <c r="CD198" s="47">
        <f t="shared" si="395"/>
        <v>0</v>
      </c>
      <c r="CE198" s="604">
        <f t="shared" si="334"/>
        <v>0</v>
      </c>
      <c r="CF198" s="44">
        <f t="shared" si="335"/>
        <v>0</v>
      </c>
      <c r="CG198" s="44">
        <f t="shared" si="336"/>
        <v>0</v>
      </c>
      <c r="CH198" s="44">
        <f t="shared" si="337"/>
        <v>0</v>
      </c>
      <c r="CI198" s="44">
        <f t="shared" si="338"/>
        <v>78000</v>
      </c>
      <c r="CJ198" s="44">
        <f t="shared" si="339"/>
        <v>78000</v>
      </c>
      <c r="CK198" s="44">
        <f t="shared" si="396"/>
        <v>1560</v>
      </c>
      <c r="CL198" s="44">
        <f t="shared" si="340"/>
        <v>1560</v>
      </c>
      <c r="CM198" s="44">
        <f t="shared" si="397"/>
        <v>50700</v>
      </c>
      <c r="CN198" s="44">
        <f t="shared" si="341"/>
        <v>50700</v>
      </c>
      <c r="CO198" s="44">
        <f t="shared" si="398"/>
        <v>27300</v>
      </c>
      <c r="CP198" s="46">
        <f t="shared" si="399"/>
        <v>0</v>
      </c>
      <c r="CQ198" s="47">
        <f t="shared" si="400"/>
        <v>0</v>
      </c>
      <c r="CR198" s="604">
        <f t="shared" si="342"/>
        <v>0</v>
      </c>
      <c r="CS198" s="44">
        <f t="shared" si="343"/>
        <v>0</v>
      </c>
      <c r="CT198" s="44">
        <f t="shared" si="344"/>
        <v>0</v>
      </c>
      <c r="CU198" s="44">
        <f t="shared" si="345"/>
        <v>0</v>
      </c>
      <c r="CV198" s="44">
        <f t="shared" si="346"/>
        <v>78000</v>
      </c>
      <c r="CW198" s="44">
        <f t="shared" si="347"/>
        <v>78000</v>
      </c>
      <c r="CX198" s="44">
        <f t="shared" si="401"/>
        <v>1560</v>
      </c>
      <c r="CY198" s="44">
        <f t="shared" si="348"/>
        <v>1560</v>
      </c>
      <c r="CZ198" s="44">
        <f t="shared" si="402"/>
        <v>49140</v>
      </c>
      <c r="DA198" s="44">
        <f t="shared" si="349"/>
        <v>49140</v>
      </c>
      <c r="DB198" s="44">
        <f t="shared" si="403"/>
        <v>28860</v>
      </c>
      <c r="DC198" s="46">
        <f t="shared" si="404"/>
        <v>0</v>
      </c>
      <c r="DD198" s="47">
        <f t="shared" si="405"/>
        <v>0</v>
      </c>
      <c r="DE198" s="604">
        <f t="shared" si="350"/>
        <v>0</v>
      </c>
      <c r="DF198" s="44">
        <f t="shared" si="351"/>
        <v>0</v>
      </c>
      <c r="DG198" s="44">
        <f t="shared" si="352"/>
        <v>0</v>
      </c>
      <c r="DH198" s="44">
        <f t="shared" si="353"/>
        <v>0</v>
      </c>
      <c r="DI198" s="44">
        <f t="shared" si="354"/>
        <v>78000</v>
      </c>
      <c r="DJ198" s="44">
        <f t="shared" si="355"/>
        <v>78000</v>
      </c>
      <c r="DK198" s="44">
        <f t="shared" si="406"/>
        <v>1560</v>
      </c>
      <c r="DL198" s="44">
        <f t="shared" si="356"/>
        <v>1560</v>
      </c>
      <c r="DM198" s="44">
        <f t="shared" si="407"/>
        <v>47580</v>
      </c>
      <c r="DN198" s="44">
        <f t="shared" si="357"/>
        <v>47580</v>
      </c>
      <c r="DO198" s="44">
        <f t="shared" si="408"/>
        <v>30420</v>
      </c>
      <c r="DP198" s="46">
        <f t="shared" si="409"/>
        <v>0</v>
      </c>
      <c r="DQ198" s="47">
        <f t="shared" si="410"/>
        <v>0</v>
      </c>
      <c r="DR198" s="604">
        <f t="shared" si="358"/>
        <v>0</v>
      </c>
      <c r="DS198" s="44">
        <f t="shared" si="359"/>
        <v>0</v>
      </c>
      <c r="DT198" s="44">
        <f t="shared" si="360"/>
        <v>0</v>
      </c>
      <c r="DU198" s="44">
        <f t="shared" si="361"/>
        <v>0</v>
      </c>
      <c r="DV198" s="44">
        <f t="shared" si="362"/>
        <v>78000</v>
      </c>
      <c r="DW198" s="44">
        <f t="shared" si="363"/>
        <v>78000</v>
      </c>
      <c r="DX198" s="44">
        <f t="shared" si="411"/>
        <v>1560</v>
      </c>
      <c r="DY198" s="44">
        <f t="shared" si="364"/>
        <v>1560</v>
      </c>
      <c r="DZ198" s="44">
        <f t="shared" si="412"/>
        <v>46020</v>
      </c>
      <c r="EA198" s="44">
        <f t="shared" si="365"/>
        <v>46020</v>
      </c>
      <c r="EB198" s="44">
        <f t="shared" si="413"/>
        <v>31980</v>
      </c>
      <c r="EC198" s="46">
        <f t="shared" si="414"/>
        <v>0</v>
      </c>
      <c r="ED198" s="47">
        <f t="shared" si="415"/>
        <v>0</v>
      </c>
    </row>
    <row r="199" spans="1:134" x14ac:dyDescent="0.35">
      <c r="A199" s="81">
        <v>2001</v>
      </c>
      <c r="B199" s="82" t="s">
        <v>355</v>
      </c>
      <c r="C199" s="82"/>
      <c r="D199" s="83" t="s">
        <v>63</v>
      </c>
      <c r="E199" s="87">
        <v>75000</v>
      </c>
      <c r="F199" s="85">
        <v>37073</v>
      </c>
      <c r="G199" s="86">
        <v>50</v>
      </c>
      <c r="H199" s="179"/>
      <c r="I199" s="180"/>
      <c r="J199" s="181"/>
      <c r="K199" s="42">
        <f t="shared" si="366"/>
        <v>0.02</v>
      </c>
      <c r="L199" s="43">
        <f t="shared" si="367"/>
        <v>1500</v>
      </c>
      <c r="M199" s="44">
        <f t="shared" si="368"/>
        <v>59250</v>
      </c>
      <c r="N199" s="44"/>
      <c r="O199" s="44">
        <f t="shared" si="369"/>
        <v>15750</v>
      </c>
      <c r="P199" s="45"/>
      <c r="Q199" s="44">
        <f t="shared" si="370"/>
        <v>75000</v>
      </c>
      <c r="R199" s="604">
        <f t="shared" ref="R199:R262" si="416">IF(YEAR($F199)=R$4,$E199,0)</f>
        <v>0</v>
      </c>
      <c r="S199" s="44">
        <f t="shared" ref="S199:S262" si="417">IF($J199&lt;&gt;"H",R199,0)</f>
        <v>0</v>
      </c>
      <c r="T199" s="44">
        <f t="shared" ref="T199:T262" si="418">IF(R199&lt;&gt;0,ROUND(R199*YEARFRAC($F199,Z$4,0),2),0)</f>
        <v>0</v>
      </c>
      <c r="U199" s="44">
        <f t="shared" ref="U199:U262" si="419">IF($J199&lt;&gt;"H",T199,0)</f>
        <v>0</v>
      </c>
      <c r="V199" s="44">
        <f t="shared" ref="V199:V262" si="420">IF(AND($F199&gt;0,$F199&lt;=Z$4),$E199,0)</f>
        <v>75000</v>
      </c>
      <c r="W199" s="44">
        <f t="shared" ref="W199:W262" si="421">IF(X199&lt;&gt;0,ROUND(X199/$L199*V199,2),0)</f>
        <v>75000</v>
      </c>
      <c r="X199" s="44">
        <f t="shared" si="371"/>
        <v>1500</v>
      </c>
      <c r="Y199" s="44">
        <f t="shared" ref="Y199:Y262" si="422">IF($J199&lt;&gt;"H",X199,0)</f>
        <v>1500</v>
      </c>
      <c r="Z199" s="44">
        <f t="shared" si="372"/>
        <v>57750</v>
      </c>
      <c r="AA199" s="44">
        <f t="shared" ref="AA199:AA262" si="423">IF($J199&lt;&gt;"H",Z199,0)</f>
        <v>57750</v>
      </c>
      <c r="AB199" s="44">
        <f t="shared" si="373"/>
        <v>17250</v>
      </c>
      <c r="AC199" s="46">
        <f t="shared" si="374"/>
        <v>0</v>
      </c>
      <c r="AD199" s="47">
        <f t="shared" si="375"/>
        <v>0</v>
      </c>
      <c r="AE199" s="604">
        <f t="shared" ref="AE199:AE262" si="424">IF(YEAR($F199)=AE$4,$E199,0)</f>
        <v>0</v>
      </c>
      <c r="AF199" s="44">
        <f t="shared" ref="AF199:AF262" si="425">IF($J199&lt;&gt;"H",AE199,0)</f>
        <v>0</v>
      </c>
      <c r="AG199" s="44">
        <f t="shared" ref="AG199:AG262" si="426">IF(AE199&lt;&gt;0,ROUND(AE199*YEARFRAC($F199,AM$4,0),2),0)</f>
        <v>0</v>
      </c>
      <c r="AH199" s="44">
        <f t="shared" ref="AH199:AH262" si="427">IF($J199&lt;&gt;"H",AG199,0)</f>
        <v>0</v>
      </c>
      <c r="AI199" s="44">
        <f t="shared" ref="AI199:AI262" si="428">IF(AND($F199&gt;0,$F199&lt;=AM$4),$E199,0)</f>
        <v>75000</v>
      </c>
      <c r="AJ199" s="44">
        <f t="shared" ref="AJ199:AJ262" si="429">IF(AK199&lt;&gt;0,ROUND(AK199/$L199*AI199,2),0)</f>
        <v>75000</v>
      </c>
      <c r="AK199" s="44">
        <f t="shared" si="376"/>
        <v>1500</v>
      </c>
      <c r="AL199" s="44">
        <f t="shared" ref="AL199:AL262" si="430">IF($J199&lt;&gt;"H",AK199,0)</f>
        <v>1500</v>
      </c>
      <c r="AM199" s="44">
        <f t="shared" si="377"/>
        <v>56250</v>
      </c>
      <c r="AN199" s="44">
        <f t="shared" ref="AN199:AN262" si="431">IF($J199&lt;&gt;"H",AM199,0)</f>
        <v>56250</v>
      </c>
      <c r="AO199" s="44">
        <f t="shared" si="378"/>
        <v>18750</v>
      </c>
      <c r="AP199" s="46">
        <f t="shared" si="379"/>
        <v>0</v>
      </c>
      <c r="AQ199" s="47">
        <f t="shared" si="380"/>
        <v>0</v>
      </c>
      <c r="AR199" s="604">
        <f t="shared" ref="AR199:AR262" si="432">IF(YEAR($F199)=AR$4,$E199,0)</f>
        <v>0</v>
      </c>
      <c r="AS199" s="44">
        <f t="shared" ref="AS199:AS262" si="433">IF($J199&lt;&gt;"H",AR199,0)</f>
        <v>0</v>
      </c>
      <c r="AT199" s="44">
        <f t="shared" ref="AT199:AT262" si="434">IF(AR199&lt;&gt;0,ROUND(AR199*YEARFRAC($F199,AZ$4,0),2),0)</f>
        <v>0</v>
      </c>
      <c r="AU199" s="44">
        <f t="shared" ref="AU199:AU262" si="435">IF($J199&lt;&gt;"H",AT199,0)</f>
        <v>0</v>
      </c>
      <c r="AV199" s="44">
        <f t="shared" ref="AV199:AV262" si="436">IF(AND($F199&gt;0,$F199&lt;=AZ$4),$E199,0)</f>
        <v>75000</v>
      </c>
      <c r="AW199" s="44">
        <f t="shared" ref="AW199:AW262" si="437">IF(AX199&lt;&gt;0,ROUND(AX199/$L199*AV199,2),0)</f>
        <v>75000</v>
      </c>
      <c r="AX199" s="44">
        <f t="shared" si="381"/>
        <v>1500</v>
      </c>
      <c r="AY199" s="44">
        <f t="shared" ref="AY199:AY262" si="438">IF($J199&lt;&gt;"H",AX199,0)</f>
        <v>1500</v>
      </c>
      <c r="AZ199" s="44">
        <f t="shared" si="382"/>
        <v>54750</v>
      </c>
      <c r="BA199" s="44">
        <f t="shared" ref="BA199:BA262" si="439">IF($J199&lt;&gt;"H",AZ199,0)</f>
        <v>54750</v>
      </c>
      <c r="BB199" s="44">
        <f t="shared" si="383"/>
        <v>20250</v>
      </c>
      <c r="BC199" s="46">
        <f t="shared" si="384"/>
        <v>0</v>
      </c>
      <c r="BD199" s="47">
        <f t="shared" si="385"/>
        <v>0</v>
      </c>
      <c r="BE199" s="604">
        <f t="shared" ref="BE199:BE262" si="440">IF(YEAR($F199)=BE$4,$E199,0)</f>
        <v>0</v>
      </c>
      <c r="BF199" s="44">
        <f t="shared" ref="BF199:BF262" si="441">IF($J199&lt;&gt;"H",BE199,0)</f>
        <v>0</v>
      </c>
      <c r="BG199" s="44">
        <f t="shared" ref="BG199:BG262" si="442">IF(BE199&lt;&gt;0,ROUND(BE199*YEARFRAC($F199,BM$4,0),2),0)</f>
        <v>0</v>
      </c>
      <c r="BH199" s="44">
        <f t="shared" ref="BH199:BH262" si="443">IF($J199&lt;&gt;"H",BG199,0)</f>
        <v>0</v>
      </c>
      <c r="BI199" s="44">
        <f t="shared" ref="BI199:BI262" si="444">IF(AND($F199&gt;0,$F199&lt;=BM$4),$E199,0)</f>
        <v>75000</v>
      </c>
      <c r="BJ199" s="44">
        <f t="shared" ref="BJ199:BJ262" si="445">IF(BK199&lt;&gt;0,ROUND(BK199/$L199*BI199,2),0)</f>
        <v>75000</v>
      </c>
      <c r="BK199" s="44">
        <f t="shared" si="386"/>
        <v>1500</v>
      </c>
      <c r="BL199" s="44">
        <f t="shared" ref="BL199:BL262" si="446">IF($J199&lt;&gt;"H",BK199,0)</f>
        <v>1500</v>
      </c>
      <c r="BM199" s="44">
        <f t="shared" si="387"/>
        <v>53250</v>
      </c>
      <c r="BN199" s="44">
        <f t="shared" ref="BN199:BN262" si="447">IF($J199&lt;&gt;"H",BM199,0)</f>
        <v>53250</v>
      </c>
      <c r="BO199" s="44">
        <f t="shared" si="388"/>
        <v>21750</v>
      </c>
      <c r="BP199" s="46">
        <f t="shared" si="389"/>
        <v>0</v>
      </c>
      <c r="BQ199" s="47">
        <f t="shared" si="390"/>
        <v>0</v>
      </c>
      <c r="BR199" s="604">
        <f t="shared" ref="BR199:BR262" si="448">IF(YEAR($F199)=BR$4,$E199,0)</f>
        <v>0</v>
      </c>
      <c r="BS199" s="44">
        <f t="shared" ref="BS199:BS262" si="449">IF($J199&lt;&gt;"H",BR199,0)</f>
        <v>0</v>
      </c>
      <c r="BT199" s="44">
        <f t="shared" ref="BT199:BT262" si="450">IF(BR199&lt;&gt;0,ROUND(BR199*YEARFRAC($F199,BZ$4,0),2),0)</f>
        <v>0</v>
      </c>
      <c r="BU199" s="44">
        <f t="shared" ref="BU199:BU262" si="451">IF($J199&lt;&gt;"H",BT199,0)</f>
        <v>0</v>
      </c>
      <c r="BV199" s="44">
        <f t="shared" ref="BV199:BV262" si="452">IF(AND($F199&gt;0,$F199&lt;=BZ$4),$E199,0)</f>
        <v>75000</v>
      </c>
      <c r="BW199" s="44">
        <f t="shared" ref="BW199:BW262" si="453">IF(BX199&lt;&gt;0,ROUND(BX199/$L199*BV199,2),0)</f>
        <v>75000</v>
      </c>
      <c r="BX199" s="44">
        <f t="shared" si="391"/>
        <v>1500</v>
      </c>
      <c r="BY199" s="44">
        <f t="shared" ref="BY199:BY262" si="454">IF($J199&lt;&gt;"H",BX199,0)</f>
        <v>1500</v>
      </c>
      <c r="BZ199" s="44">
        <f t="shared" si="392"/>
        <v>51750</v>
      </c>
      <c r="CA199" s="44">
        <f t="shared" ref="CA199:CA262" si="455">IF($J199&lt;&gt;"H",BZ199,0)</f>
        <v>51750</v>
      </c>
      <c r="CB199" s="44">
        <f t="shared" si="393"/>
        <v>23250</v>
      </c>
      <c r="CC199" s="46">
        <f t="shared" si="394"/>
        <v>0</v>
      </c>
      <c r="CD199" s="47">
        <f t="shared" si="395"/>
        <v>0</v>
      </c>
      <c r="CE199" s="604">
        <f t="shared" ref="CE199:CE262" si="456">IF(YEAR($F199)=CE$4,$E199,0)</f>
        <v>0</v>
      </c>
      <c r="CF199" s="44">
        <f t="shared" ref="CF199:CF262" si="457">IF($J199&lt;&gt;"H",CE199,0)</f>
        <v>0</v>
      </c>
      <c r="CG199" s="44">
        <f t="shared" ref="CG199:CG262" si="458">IF(CE199&lt;&gt;0,ROUND(CE199*YEARFRAC($F199,CM$4,0),2),0)</f>
        <v>0</v>
      </c>
      <c r="CH199" s="44">
        <f t="shared" ref="CH199:CH262" si="459">IF($J199&lt;&gt;"H",CG199,0)</f>
        <v>0</v>
      </c>
      <c r="CI199" s="44">
        <f t="shared" ref="CI199:CI262" si="460">IF(AND($F199&gt;0,$F199&lt;=CM$4),$E199,0)</f>
        <v>75000</v>
      </c>
      <c r="CJ199" s="44">
        <f t="shared" ref="CJ199:CJ262" si="461">IF(CK199&lt;&gt;0,ROUND(CK199/$L199*CI199,2),0)</f>
        <v>75000</v>
      </c>
      <c r="CK199" s="44">
        <f t="shared" si="396"/>
        <v>1500</v>
      </c>
      <c r="CL199" s="44">
        <f t="shared" ref="CL199:CL262" si="462">IF($J199&lt;&gt;"H",CK199,0)</f>
        <v>1500</v>
      </c>
      <c r="CM199" s="44">
        <f t="shared" si="397"/>
        <v>50250</v>
      </c>
      <c r="CN199" s="44">
        <f t="shared" ref="CN199:CN262" si="463">IF($J199&lt;&gt;"H",CM199,0)</f>
        <v>50250</v>
      </c>
      <c r="CO199" s="44">
        <f t="shared" si="398"/>
        <v>24750</v>
      </c>
      <c r="CP199" s="46">
        <f t="shared" si="399"/>
        <v>0</v>
      </c>
      <c r="CQ199" s="47">
        <f t="shared" si="400"/>
        <v>0</v>
      </c>
      <c r="CR199" s="604">
        <f t="shared" ref="CR199:CR262" si="464">IF(YEAR($F199)=CR$4,$E199,0)</f>
        <v>0</v>
      </c>
      <c r="CS199" s="44">
        <f t="shared" ref="CS199:CS262" si="465">IF($J199&lt;&gt;"H",CR199,0)</f>
        <v>0</v>
      </c>
      <c r="CT199" s="44">
        <f t="shared" ref="CT199:CT262" si="466">IF(CR199&lt;&gt;0,ROUND(CR199*YEARFRAC($F199,CZ$4,0),2),0)</f>
        <v>0</v>
      </c>
      <c r="CU199" s="44">
        <f t="shared" ref="CU199:CU262" si="467">IF($J199&lt;&gt;"H",CT199,0)</f>
        <v>0</v>
      </c>
      <c r="CV199" s="44">
        <f t="shared" ref="CV199:CV262" si="468">IF(AND($F199&gt;0,$F199&lt;=CZ$4),$E199,0)</f>
        <v>75000</v>
      </c>
      <c r="CW199" s="44">
        <f t="shared" ref="CW199:CW262" si="469">IF(CX199&lt;&gt;0,ROUND(CX199/$L199*CV199,2),0)</f>
        <v>75000</v>
      </c>
      <c r="CX199" s="44">
        <f t="shared" si="401"/>
        <v>1500</v>
      </c>
      <c r="CY199" s="44">
        <f t="shared" ref="CY199:CY262" si="470">IF($J199&lt;&gt;"H",CX199,0)</f>
        <v>1500</v>
      </c>
      <c r="CZ199" s="44">
        <f t="shared" si="402"/>
        <v>48750</v>
      </c>
      <c r="DA199" s="44">
        <f t="shared" ref="DA199:DA262" si="471">IF($J199&lt;&gt;"H",CZ199,0)</f>
        <v>48750</v>
      </c>
      <c r="DB199" s="44">
        <f t="shared" si="403"/>
        <v>26250</v>
      </c>
      <c r="DC199" s="46">
        <f t="shared" si="404"/>
        <v>0</v>
      </c>
      <c r="DD199" s="47">
        <f t="shared" si="405"/>
        <v>0</v>
      </c>
      <c r="DE199" s="604">
        <f t="shared" ref="DE199:DE262" si="472">IF(YEAR($F199)=DE$4,$E199,0)</f>
        <v>0</v>
      </c>
      <c r="DF199" s="44">
        <f t="shared" ref="DF199:DF262" si="473">IF($J199&lt;&gt;"H",DE199,0)</f>
        <v>0</v>
      </c>
      <c r="DG199" s="44">
        <f t="shared" ref="DG199:DG262" si="474">IF(DE199&lt;&gt;0,ROUND(DE199*YEARFRAC($F199,DM$4,0),2),0)</f>
        <v>0</v>
      </c>
      <c r="DH199" s="44">
        <f t="shared" ref="DH199:DH262" si="475">IF($J199&lt;&gt;"H",DG199,0)</f>
        <v>0</v>
      </c>
      <c r="DI199" s="44">
        <f t="shared" ref="DI199:DI262" si="476">IF(AND($F199&gt;0,$F199&lt;=DM$4),$E199,0)</f>
        <v>75000</v>
      </c>
      <c r="DJ199" s="44">
        <f t="shared" ref="DJ199:DJ262" si="477">IF(DK199&lt;&gt;0,ROUND(DK199/$L199*DI199,2),0)</f>
        <v>75000</v>
      </c>
      <c r="DK199" s="44">
        <f t="shared" si="406"/>
        <v>1500</v>
      </c>
      <c r="DL199" s="44">
        <f t="shared" ref="DL199:DL262" si="478">IF($J199&lt;&gt;"H",DK199,0)</f>
        <v>1500</v>
      </c>
      <c r="DM199" s="44">
        <f t="shared" si="407"/>
        <v>47250</v>
      </c>
      <c r="DN199" s="44">
        <f t="shared" ref="DN199:DN262" si="479">IF($J199&lt;&gt;"H",DM199,0)</f>
        <v>47250</v>
      </c>
      <c r="DO199" s="44">
        <f t="shared" si="408"/>
        <v>27750</v>
      </c>
      <c r="DP199" s="46">
        <f t="shared" si="409"/>
        <v>0</v>
      </c>
      <c r="DQ199" s="47">
        <f t="shared" si="410"/>
        <v>0</v>
      </c>
      <c r="DR199" s="604">
        <f t="shared" ref="DR199:DR262" si="480">IF(YEAR($F199)=DR$4,$E199,0)</f>
        <v>0</v>
      </c>
      <c r="DS199" s="44">
        <f t="shared" ref="DS199:DS262" si="481">IF($J199&lt;&gt;"H",DR199,0)</f>
        <v>0</v>
      </c>
      <c r="DT199" s="44">
        <f t="shared" ref="DT199:DT262" si="482">IF(DR199&lt;&gt;0,ROUND(DR199*YEARFRAC($F199,DZ$4,0),2),0)</f>
        <v>0</v>
      </c>
      <c r="DU199" s="44">
        <f t="shared" ref="DU199:DU262" si="483">IF($J199&lt;&gt;"H",DT199,0)</f>
        <v>0</v>
      </c>
      <c r="DV199" s="44">
        <f t="shared" ref="DV199:DV262" si="484">IF(AND($F199&gt;0,$F199&lt;=DZ$4),$E199,0)</f>
        <v>75000</v>
      </c>
      <c r="DW199" s="44">
        <f t="shared" ref="DW199:DW262" si="485">IF(DX199&lt;&gt;0,ROUND(DX199/$L199*DV199,2),0)</f>
        <v>75000</v>
      </c>
      <c r="DX199" s="44">
        <f t="shared" si="411"/>
        <v>1500</v>
      </c>
      <c r="DY199" s="44">
        <f t="shared" ref="DY199:DY262" si="486">IF($J199&lt;&gt;"H",DX199,0)</f>
        <v>1500</v>
      </c>
      <c r="DZ199" s="44">
        <f t="shared" si="412"/>
        <v>45750</v>
      </c>
      <c r="EA199" s="44">
        <f t="shared" ref="EA199:EA262" si="487">IF($J199&lt;&gt;"H",DZ199,0)</f>
        <v>45750</v>
      </c>
      <c r="EB199" s="44">
        <f t="shared" si="413"/>
        <v>29250</v>
      </c>
      <c r="EC199" s="46">
        <f t="shared" si="414"/>
        <v>0</v>
      </c>
      <c r="ED199" s="47">
        <f t="shared" si="415"/>
        <v>0</v>
      </c>
    </row>
    <row r="200" spans="1:134" x14ac:dyDescent="0.35">
      <c r="A200" s="81">
        <v>2004</v>
      </c>
      <c r="B200" s="82" t="s">
        <v>356</v>
      </c>
      <c r="C200" s="82"/>
      <c r="D200" s="83" t="s">
        <v>63</v>
      </c>
      <c r="E200" s="87">
        <v>54000</v>
      </c>
      <c r="F200" s="85">
        <v>38169</v>
      </c>
      <c r="G200" s="86">
        <v>50</v>
      </c>
      <c r="H200" s="179"/>
      <c r="I200" s="180"/>
      <c r="J200" s="181"/>
      <c r="K200" s="42">
        <f t="shared" si="366"/>
        <v>0.02</v>
      </c>
      <c r="L200" s="43">
        <f t="shared" si="367"/>
        <v>1080</v>
      </c>
      <c r="M200" s="44">
        <f t="shared" si="368"/>
        <v>45900</v>
      </c>
      <c r="N200" s="44"/>
      <c r="O200" s="44">
        <f t="shared" si="369"/>
        <v>8100</v>
      </c>
      <c r="P200" s="45"/>
      <c r="Q200" s="44">
        <f t="shared" si="370"/>
        <v>54000</v>
      </c>
      <c r="R200" s="604">
        <f t="shared" si="416"/>
        <v>0</v>
      </c>
      <c r="S200" s="44">
        <f t="shared" si="417"/>
        <v>0</v>
      </c>
      <c r="T200" s="44">
        <f t="shared" si="418"/>
        <v>0</v>
      </c>
      <c r="U200" s="44">
        <f t="shared" si="419"/>
        <v>0</v>
      </c>
      <c r="V200" s="44">
        <f t="shared" si="420"/>
        <v>54000</v>
      </c>
      <c r="W200" s="44">
        <f t="shared" si="421"/>
        <v>54000</v>
      </c>
      <c r="X200" s="44">
        <f t="shared" si="371"/>
        <v>1080</v>
      </c>
      <c r="Y200" s="44">
        <f t="shared" si="422"/>
        <v>1080</v>
      </c>
      <c r="Z200" s="44">
        <f t="shared" si="372"/>
        <v>44820</v>
      </c>
      <c r="AA200" s="44">
        <f t="shared" si="423"/>
        <v>44820</v>
      </c>
      <c r="AB200" s="44">
        <f t="shared" si="373"/>
        <v>9180</v>
      </c>
      <c r="AC200" s="46">
        <f t="shared" si="374"/>
        <v>0</v>
      </c>
      <c r="AD200" s="47">
        <f t="shared" si="375"/>
        <v>0</v>
      </c>
      <c r="AE200" s="604">
        <f t="shared" si="424"/>
        <v>0</v>
      </c>
      <c r="AF200" s="44">
        <f t="shared" si="425"/>
        <v>0</v>
      </c>
      <c r="AG200" s="44">
        <f t="shared" si="426"/>
        <v>0</v>
      </c>
      <c r="AH200" s="44">
        <f t="shared" si="427"/>
        <v>0</v>
      </c>
      <c r="AI200" s="44">
        <f t="shared" si="428"/>
        <v>54000</v>
      </c>
      <c r="AJ200" s="44">
        <f t="shared" si="429"/>
        <v>54000</v>
      </c>
      <c r="AK200" s="44">
        <f t="shared" si="376"/>
        <v>1080</v>
      </c>
      <c r="AL200" s="44">
        <f t="shared" si="430"/>
        <v>1080</v>
      </c>
      <c r="AM200" s="44">
        <f t="shared" si="377"/>
        <v>43740</v>
      </c>
      <c r="AN200" s="44">
        <f t="shared" si="431"/>
        <v>43740</v>
      </c>
      <c r="AO200" s="44">
        <f t="shared" si="378"/>
        <v>10260</v>
      </c>
      <c r="AP200" s="46">
        <f t="shared" si="379"/>
        <v>0</v>
      </c>
      <c r="AQ200" s="47">
        <f t="shared" si="380"/>
        <v>0</v>
      </c>
      <c r="AR200" s="604">
        <f t="shared" si="432"/>
        <v>0</v>
      </c>
      <c r="AS200" s="44">
        <f t="shared" si="433"/>
        <v>0</v>
      </c>
      <c r="AT200" s="44">
        <f t="shared" si="434"/>
        <v>0</v>
      </c>
      <c r="AU200" s="44">
        <f t="shared" si="435"/>
        <v>0</v>
      </c>
      <c r="AV200" s="44">
        <f t="shared" si="436"/>
        <v>54000</v>
      </c>
      <c r="AW200" s="44">
        <f t="shared" si="437"/>
        <v>54000</v>
      </c>
      <c r="AX200" s="44">
        <f t="shared" si="381"/>
        <v>1080</v>
      </c>
      <c r="AY200" s="44">
        <f t="shared" si="438"/>
        <v>1080</v>
      </c>
      <c r="AZ200" s="44">
        <f t="shared" si="382"/>
        <v>42660</v>
      </c>
      <c r="BA200" s="44">
        <f t="shared" si="439"/>
        <v>42660</v>
      </c>
      <c r="BB200" s="44">
        <f t="shared" si="383"/>
        <v>11340</v>
      </c>
      <c r="BC200" s="46">
        <f t="shared" si="384"/>
        <v>0</v>
      </c>
      <c r="BD200" s="47">
        <f t="shared" si="385"/>
        <v>0</v>
      </c>
      <c r="BE200" s="604">
        <f t="shared" si="440"/>
        <v>0</v>
      </c>
      <c r="BF200" s="44">
        <f t="shared" si="441"/>
        <v>0</v>
      </c>
      <c r="BG200" s="44">
        <f t="shared" si="442"/>
        <v>0</v>
      </c>
      <c r="BH200" s="44">
        <f t="shared" si="443"/>
        <v>0</v>
      </c>
      <c r="BI200" s="44">
        <f t="shared" si="444"/>
        <v>54000</v>
      </c>
      <c r="BJ200" s="44">
        <f t="shared" si="445"/>
        <v>54000</v>
      </c>
      <c r="BK200" s="44">
        <f t="shared" si="386"/>
        <v>1080</v>
      </c>
      <c r="BL200" s="44">
        <f t="shared" si="446"/>
        <v>1080</v>
      </c>
      <c r="BM200" s="44">
        <f t="shared" si="387"/>
        <v>41580</v>
      </c>
      <c r="BN200" s="44">
        <f t="shared" si="447"/>
        <v>41580</v>
      </c>
      <c r="BO200" s="44">
        <f t="shared" si="388"/>
        <v>12420</v>
      </c>
      <c r="BP200" s="46">
        <f t="shared" si="389"/>
        <v>0</v>
      </c>
      <c r="BQ200" s="47">
        <f t="shared" si="390"/>
        <v>0</v>
      </c>
      <c r="BR200" s="604">
        <f t="shared" si="448"/>
        <v>0</v>
      </c>
      <c r="BS200" s="44">
        <f t="shared" si="449"/>
        <v>0</v>
      </c>
      <c r="BT200" s="44">
        <f t="shared" si="450"/>
        <v>0</v>
      </c>
      <c r="BU200" s="44">
        <f t="shared" si="451"/>
        <v>0</v>
      </c>
      <c r="BV200" s="44">
        <f t="shared" si="452"/>
        <v>54000</v>
      </c>
      <c r="BW200" s="44">
        <f t="shared" si="453"/>
        <v>54000</v>
      </c>
      <c r="BX200" s="44">
        <f t="shared" si="391"/>
        <v>1080</v>
      </c>
      <c r="BY200" s="44">
        <f t="shared" si="454"/>
        <v>1080</v>
      </c>
      <c r="BZ200" s="44">
        <f t="shared" si="392"/>
        <v>40500</v>
      </c>
      <c r="CA200" s="44">
        <f t="shared" si="455"/>
        <v>40500</v>
      </c>
      <c r="CB200" s="44">
        <f t="shared" si="393"/>
        <v>13500</v>
      </c>
      <c r="CC200" s="46">
        <f t="shared" si="394"/>
        <v>0</v>
      </c>
      <c r="CD200" s="47">
        <f t="shared" si="395"/>
        <v>0</v>
      </c>
      <c r="CE200" s="604">
        <f t="shared" si="456"/>
        <v>0</v>
      </c>
      <c r="CF200" s="44">
        <f t="shared" si="457"/>
        <v>0</v>
      </c>
      <c r="CG200" s="44">
        <f t="shared" si="458"/>
        <v>0</v>
      </c>
      <c r="CH200" s="44">
        <f t="shared" si="459"/>
        <v>0</v>
      </c>
      <c r="CI200" s="44">
        <f t="shared" si="460"/>
        <v>54000</v>
      </c>
      <c r="CJ200" s="44">
        <f t="shared" si="461"/>
        <v>54000</v>
      </c>
      <c r="CK200" s="44">
        <f t="shared" si="396"/>
        <v>1080</v>
      </c>
      <c r="CL200" s="44">
        <f t="shared" si="462"/>
        <v>1080</v>
      </c>
      <c r="CM200" s="44">
        <f t="shared" si="397"/>
        <v>39420</v>
      </c>
      <c r="CN200" s="44">
        <f t="shared" si="463"/>
        <v>39420</v>
      </c>
      <c r="CO200" s="44">
        <f t="shared" si="398"/>
        <v>14580</v>
      </c>
      <c r="CP200" s="46">
        <f t="shared" si="399"/>
        <v>0</v>
      </c>
      <c r="CQ200" s="47">
        <f t="shared" si="400"/>
        <v>0</v>
      </c>
      <c r="CR200" s="604">
        <f t="shared" si="464"/>
        <v>0</v>
      </c>
      <c r="CS200" s="44">
        <f t="shared" si="465"/>
        <v>0</v>
      </c>
      <c r="CT200" s="44">
        <f t="shared" si="466"/>
        <v>0</v>
      </c>
      <c r="CU200" s="44">
        <f t="shared" si="467"/>
        <v>0</v>
      </c>
      <c r="CV200" s="44">
        <f t="shared" si="468"/>
        <v>54000</v>
      </c>
      <c r="CW200" s="44">
        <f t="shared" si="469"/>
        <v>54000</v>
      </c>
      <c r="CX200" s="44">
        <f t="shared" si="401"/>
        <v>1080</v>
      </c>
      <c r="CY200" s="44">
        <f t="shared" si="470"/>
        <v>1080</v>
      </c>
      <c r="CZ200" s="44">
        <f t="shared" si="402"/>
        <v>38340</v>
      </c>
      <c r="DA200" s="44">
        <f t="shared" si="471"/>
        <v>38340</v>
      </c>
      <c r="DB200" s="44">
        <f t="shared" si="403"/>
        <v>15660</v>
      </c>
      <c r="DC200" s="46">
        <f t="shared" si="404"/>
        <v>0</v>
      </c>
      <c r="DD200" s="47">
        <f t="shared" si="405"/>
        <v>0</v>
      </c>
      <c r="DE200" s="604">
        <f t="shared" si="472"/>
        <v>0</v>
      </c>
      <c r="DF200" s="44">
        <f t="shared" si="473"/>
        <v>0</v>
      </c>
      <c r="DG200" s="44">
        <f t="shared" si="474"/>
        <v>0</v>
      </c>
      <c r="DH200" s="44">
        <f t="shared" si="475"/>
        <v>0</v>
      </c>
      <c r="DI200" s="44">
        <f t="shared" si="476"/>
        <v>54000</v>
      </c>
      <c r="DJ200" s="44">
        <f t="shared" si="477"/>
        <v>54000</v>
      </c>
      <c r="DK200" s="44">
        <f t="shared" si="406"/>
        <v>1080</v>
      </c>
      <c r="DL200" s="44">
        <f t="shared" si="478"/>
        <v>1080</v>
      </c>
      <c r="DM200" s="44">
        <f t="shared" si="407"/>
        <v>37260</v>
      </c>
      <c r="DN200" s="44">
        <f t="shared" si="479"/>
        <v>37260</v>
      </c>
      <c r="DO200" s="44">
        <f t="shared" si="408"/>
        <v>16740</v>
      </c>
      <c r="DP200" s="46">
        <f t="shared" si="409"/>
        <v>0</v>
      </c>
      <c r="DQ200" s="47">
        <f t="shared" si="410"/>
        <v>0</v>
      </c>
      <c r="DR200" s="604">
        <f t="shared" si="480"/>
        <v>0</v>
      </c>
      <c r="DS200" s="44">
        <f t="shared" si="481"/>
        <v>0</v>
      </c>
      <c r="DT200" s="44">
        <f t="shared" si="482"/>
        <v>0</v>
      </c>
      <c r="DU200" s="44">
        <f t="shared" si="483"/>
        <v>0</v>
      </c>
      <c r="DV200" s="44">
        <f t="shared" si="484"/>
        <v>54000</v>
      </c>
      <c r="DW200" s="44">
        <f t="shared" si="485"/>
        <v>54000</v>
      </c>
      <c r="DX200" s="44">
        <f t="shared" si="411"/>
        <v>1080</v>
      </c>
      <c r="DY200" s="44">
        <f t="shared" si="486"/>
        <v>1080</v>
      </c>
      <c r="DZ200" s="44">
        <f t="shared" si="412"/>
        <v>36180</v>
      </c>
      <c r="EA200" s="44">
        <f t="shared" si="487"/>
        <v>36180</v>
      </c>
      <c r="EB200" s="44">
        <f t="shared" si="413"/>
        <v>17820</v>
      </c>
      <c r="EC200" s="46">
        <f t="shared" si="414"/>
        <v>0</v>
      </c>
      <c r="ED200" s="47">
        <f t="shared" si="415"/>
        <v>0</v>
      </c>
    </row>
    <row r="201" spans="1:134" x14ac:dyDescent="0.35">
      <c r="A201" s="81">
        <v>2006</v>
      </c>
      <c r="B201" s="82" t="s">
        <v>357</v>
      </c>
      <c r="C201" s="82"/>
      <c r="D201" s="83" t="s">
        <v>63</v>
      </c>
      <c r="E201" s="87">
        <v>12000</v>
      </c>
      <c r="F201" s="85">
        <v>38899</v>
      </c>
      <c r="G201" s="86">
        <v>50</v>
      </c>
      <c r="H201" s="179"/>
      <c r="I201" s="180"/>
      <c r="J201" s="181"/>
      <c r="K201" s="42">
        <f t="shared" si="366"/>
        <v>0.02</v>
      </c>
      <c r="L201" s="43">
        <f t="shared" si="367"/>
        <v>240</v>
      </c>
      <c r="M201" s="44">
        <f t="shared" si="368"/>
        <v>10680</v>
      </c>
      <c r="N201" s="44"/>
      <c r="O201" s="44">
        <f t="shared" si="369"/>
        <v>1320</v>
      </c>
      <c r="P201" s="45"/>
      <c r="Q201" s="44">
        <f t="shared" si="370"/>
        <v>12000</v>
      </c>
      <c r="R201" s="604">
        <f t="shared" si="416"/>
        <v>0</v>
      </c>
      <c r="S201" s="44">
        <f t="shared" si="417"/>
        <v>0</v>
      </c>
      <c r="T201" s="44">
        <f t="shared" si="418"/>
        <v>0</v>
      </c>
      <c r="U201" s="44">
        <f t="shared" si="419"/>
        <v>0</v>
      </c>
      <c r="V201" s="44">
        <f t="shared" si="420"/>
        <v>12000</v>
      </c>
      <c r="W201" s="44">
        <f t="shared" si="421"/>
        <v>12000</v>
      </c>
      <c r="X201" s="44">
        <f t="shared" si="371"/>
        <v>240</v>
      </c>
      <c r="Y201" s="44">
        <f t="shared" si="422"/>
        <v>240</v>
      </c>
      <c r="Z201" s="44">
        <f t="shared" si="372"/>
        <v>10440</v>
      </c>
      <c r="AA201" s="44">
        <f t="shared" si="423"/>
        <v>10440</v>
      </c>
      <c r="AB201" s="44">
        <f t="shared" si="373"/>
        <v>1560</v>
      </c>
      <c r="AC201" s="46">
        <f t="shared" si="374"/>
        <v>0</v>
      </c>
      <c r="AD201" s="47">
        <f t="shared" si="375"/>
        <v>0</v>
      </c>
      <c r="AE201" s="604">
        <f t="shared" si="424"/>
        <v>0</v>
      </c>
      <c r="AF201" s="44">
        <f t="shared" si="425"/>
        <v>0</v>
      </c>
      <c r="AG201" s="44">
        <f t="shared" si="426"/>
        <v>0</v>
      </c>
      <c r="AH201" s="44">
        <f t="shared" si="427"/>
        <v>0</v>
      </c>
      <c r="AI201" s="44">
        <f t="shared" si="428"/>
        <v>12000</v>
      </c>
      <c r="AJ201" s="44">
        <f t="shared" si="429"/>
        <v>12000</v>
      </c>
      <c r="AK201" s="44">
        <f t="shared" si="376"/>
        <v>240</v>
      </c>
      <c r="AL201" s="44">
        <f t="shared" si="430"/>
        <v>240</v>
      </c>
      <c r="AM201" s="44">
        <f t="shared" si="377"/>
        <v>10200</v>
      </c>
      <c r="AN201" s="44">
        <f t="shared" si="431"/>
        <v>10200</v>
      </c>
      <c r="AO201" s="44">
        <f t="shared" si="378"/>
        <v>1800</v>
      </c>
      <c r="AP201" s="46">
        <f t="shared" si="379"/>
        <v>0</v>
      </c>
      <c r="AQ201" s="47">
        <f t="shared" si="380"/>
        <v>0</v>
      </c>
      <c r="AR201" s="604">
        <f t="shared" si="432"/>
        <v>0</v>
      </c>
      <c r="AS201" s="44">
        <f t="shared" si="433"/>
        <v>0</v>
      </c>
      <c r="AT201" s="44">
        <f t="shared" si="434"/>
        <v>0</v>
      </c>
      <c r="AU201" s="44">
        <f t="shared" si="435"/>
        <v>0</v>
      </c>
      <c r="AV201" s="44">
        <f t="shared" si="436"/>
        <v>12000</v>
      </c>
      <c r="AW201" s="44">
        <f t="shared" si="437"/>
        <v>12000</v>
      </c>
      <c r="AX201" s="44">
        <f t="shared" si="381"/>
        <v>240</v>
      </c>
      <c r="AY201" s="44">
        <f t="shared" si="438"/>
        <v>240</v>
      </c>
      <c r="AZ201" s="44">
        <f t="shared" si="382"/>
        <v>9960</v>
      </c>
      <c r="BA201" s="44">
        <f t="shared" si="439"/>
        <v>9960</v>
      </c>
      <c r="BB201" s="44">
        <f t="shared" si="383"/>
        <v>2040</v>
      </c>
      <c r="BC201" s="46">
        <f t="shared" si="384"/>
        <v>0</v>
      </c>
      <c r="BD201" s="47">
        <f t="shared" si="385"/>
        <v>0</v>
      </c>
      <c r="BE201" s="604">
        <f t="shared" si="440"/>
        <v>0</v>
      </c>
      <c r="BF201" s="44">
        <f t="shared" si="441"/>
        <v>0</v>
      </c>
      <c r="BG201" s="44">
        <f t="shared" si="442"/>
        <v>0</v>
      </c>
      <c r="BH201" s="44">
        <f t="shared" si="443"/>
        <v>0</v>
      </c>
      <c r="BI201" s="44">
        <f t="shared" si="444"/>
        <v>12000</v>
      </c>
      <c r="BJ201" s="44">
        <f t="shared" si="445"/>
        <v>12000</v>
      </c>
      <c r="BK201" s="44">
        <f t="shared" si="386"/>
        <v>240</v>
      </c>
      <c r="BL201" s="44">
        <f t="shared" si="446"/>
        <v>240</v>
      </c>
      <c r="BM201" s="44">
        <f t="shared" si="387"/>
        <v>9720</v>
      </c>
      <c r="BN201" s="44">
        <f t="shared" si="447"/>
        <v>9720</v>
      </c>
      <c r="BO201" s="44">
        <f t="shared" si="388"/>
        <v>2280</v>
      </c>
      <c r="BP201" s="46">
        <f t="shared" si="389"/>
        <v>0</v>
      </c>
      <c r="BQ201" s="47">
        <f t="shared" si="390"/>
        <v>0</v>
      </c>
      <c r="BR201" s="604">
        <f t="shared" si="448"/>
        <v>0</v>
      </c>
      <c r="BS201" s="44">
        <f t="shared" si="449"/>
        <v>0</v>
      </c>
      <c r="BT201" s="44">
        <f t="shared" si="450"/>
        <v>0</v>
      </c>
      <c r="BU201" s="44">
        <f t="shared" si="451"/>
        <v>0</v>
      </c>
      <c r="BV201" s="44">
        <f t="shared" si="452"/>
        <v>12000</v>
      </c>
      <c r="BW201" s="44">
        <f t="shared" si="453"/>
        <v>12000</v>
      </c>
      <c r="BX201" s="44">
        <f t="shared" si="391"/>
        <v>240</v>
      </c>
      <c r="BY201" s="44">
        <f t="shared" si="454"/>
        <v>240</v>
      </c>
      <c r="BZ201" s="44">
        <f t="shared" si="392"/>
        <v>9480</v>
      </c>
      <c r="CA201" s="44">
        <f t="shared" si="455"/>
        <v>9480</v>
      </c>
      <c r="CB201" s="44">
        <f t="shared" si="393"/>
        <v>2520</v>
      </c>
      <c r="CC201" s="46">
        <f t="shared" si="394"/>
        <v>0</v>
      </c>
      <c r="CD201" s="47">
        <f t="shared" si="395"/>
        <v>0</v>
      </c>
      <c r="CE201" s="604">
        <f t="shared" si="456"/>
        <v>0</v>
      </c>
      <c r="CF201" s="44">
        <f t="shared" si="457"/>
        <v>0</v>
      </c>
      <c r="CG201" s="44">
        <f t="shared" si="458"/>
        <v>0</v>
      </c>
      <c r="CH201" s="44">
        <f t="shared" si="459"/>
        <v>0</v>
      </c>
      <c r="CI201" s="44">
        <f t="shared" si="460"/>
        <v>12000</v>
      </c>
      <c r="CJ201" s="44">
        <f t="shared" si="461"/>
        <v>12000</v>
      </c>
      <c r="CK201" s="44">
        <f t="shared" si="396"/>
        <v>240</v>
      </c>
      <c r="CL201" s="44">
        <f t="shared" si="462"/>
        <v>240</v>
      </c>
      <c r="CM201" s="44">
        <f t="shared" si="397"/>
        <v>9240</v>
      </c>
      <c r="CN201" s="44">
        <f t="shared" si="463"/>
        <v>9240</v>
      </c>
      <c r="CO201" s="44">
        <f t="shared" si="398"/>
        <v>2760</v>
      </c>
      <c r="CP201" s="46">
        <f t="shared" si="399"/>
        <v>0</v>
      </c>
      <c r="CQ201" s="47">
        <f t="shared" si="400"/>
        <v>0</v>
      </c>
      <c r="CR201" s="604">
        <f t="shared" si="464"/>
        <v>0</v>
      </c>
      <c r="CS201" s="44">
        <f t="shared" si="465"/>
        <v>0</v>
      </c>
      <c r="CT201" s="44">
        <f t="shared" si="466"/>
        <v>0</v>
      </c>
      <c r="CU201" s="44">
        <f t="shared" si="467"/>
        <v>0</v>
      </c>
      <c r="CV201" s="44">
        <f t="shared" si="468"/>
        <v>12000</v>
      </c>
      <c r="CW201" s="44">
        <f t="shared" si="469"/>
        <v>12000</v>
      </c>
      <c r="CX201" s="44">
        <f t="shared" si="401"/>
        <v>240</v>
      </c>
      <c r="CY201" s="44">
        <f t="shared" si="470"/>
        <v>240</v>
      </c>
      <c r="CZ201" s="44">
        <f t="shared" si="402"/>
        <v>9000</v>
      </c>
      <c r="DA201" s="44">
        <f t="shared" si="471"/>
        <v>9000</v>
      </c>
      <c r="DB201" s="44">
        <f t="shared" si="403"/>
        <v>3000</v>
      </c>
      <c r="DC201" s="46">
        <f t="shared" si="404"/>
        <v>0</v>
      </c>
      <c r="DD201" s="47">
        <f t="shared" si="405"/>
        <v>0</v>
      </c>
      <c r="DE201" s="604">
        <f t="shared" si="472"/>
        <v>0</v>
      </c>
      <c r="DF201" s="44">
        <f t="shared" si="473"/>
        <v>0</v>
      </c>
      <c r="DG201" s="44">
        <f t="shared" si="474"/>
        <v>0</v>
      </c>
      <c r="DH201" s="44">
        <f t="shared" si="475"/>
        <v>0</v>
      </c>
      <c r="DI201" s="44">
        <f t="shared" si="476"/>
        <v>12000</v>
      </c>
      <c r="DJ201" s="44">
        <f t="shared" si="477"/>
        <v>12000</v>
      </c>
      <c r="DK201" s="44">
        <f t="shared" si="406"/>
        <v>240</v>
      </c>
      <c r="DL201" s="44">
        <f t="shared" si="478"/>
        <v>240</v>
      </c>
      <c r="DM201" s="44">
        <f t="shared" si="407"/>
        <v>8760</v>
      </c>
      <c r="DN201" s="44">
        <f t="shared" si="479"/>
        <v>8760</v>
      </c>
      <c r="DO201" s="44">
        <f t="shared" si="408"/>
        <v>3240</v>
      </c>
      <c r="DP201" s="46">
        <f t="shared" si="409"/>
        <v>0</v>
      </c>
      <c r="DQ201" s="47">
        <f t="shared" si="410"/>
        <v>0</v>
      </c>
      <c r="DR201" s="604">
        <f t="shared" si="480"/>
        <v>0</v>
      </c>
      <c r="DS201" s="44">
        <f t="shared" si="481"/>
        <v>0</v>
      </c>
      <c r="DT201" s="44">
        <f t="shared" si="482"/>
        <v>0</v>
      </c>
      <c r="DU201" s="44">
        <f t="shared" si="483"/>
        <v>0</v>
      </c>
      <c r="DV201" s="44">
        <f t="shared" si="484"/>
        <v>12000</v>
      </c>
      <c r="DW201" s="44">
        <f t="shared" si="485"/>
        <v>12000</v>
      </c>
      <c r="DX201" s="44">
        <f t="shared" si="411"/>
        <v>240</v>
      </c>
      <c r="DY201" s="44">
        <f t="shared" si="486"/>
        <v>240</v>
      </c>
      <c r="DZ201" s="44">
        <f t="shared" si="412"/>
        <v>8520</v>
      </c>
      <c r="EA201" s="44">
        <f t="shared" si="487"/>
        <v>8520</v>
      </c>
      <c r="EB201" s="44">
        <f t="shared" si="413"/>
        <v>3480</v>
      </c>
      <c r="EC201" s="46">
        <f t="shared" si="414"/>
        <v>0</v>
      </c>
      <c r="ED201" s="47">
        <f t="shared" si="415"/>
        <v>0</v>
      </c>
    </row>
    <row r="202" spans="1:134" x14ac:dyDescent="0.35">
      <c r="A202" s="81">
        <v>2008</v>
      </c>
      <c r="B202" s="82" t="s">
        <v>358</v>
      </c>
      <c r="C202" s="82"/>
      <c r="D202" s="83" t="s">
        <v>63</v>
      </c>
      <c r="E202" s="87">
        <v>46500</v>
      </c>
      <c r="F202" s="85">
        <v>39630</v>
      </c>
      <c r="G202" s="86">
        <v>50</v>
      </c>
      <c r="H202" s="179"/>
      <c r="I202" s="180"/>
      <c r="J202" s="181"/>
      <c r="K202" s="42">
        <f t="shared" si="366"/>
        <v>0.02</v>
      </c>
      <c r="L202" s="43">
        <f t="shared" si="367"/>
        <v>930</v>
      </c>
      <c r="M202" s="44">
        <f t="shared" si="368"/>
        <v>43245</v>
      </c>
      <c r="N202" s="44"/>
      <c r="O202" s="44">
        <f t="shared" si="369"/>
        <v>3255</v>
      </c>
      <c r="P202" s="45"/>
      <c r="Q202" s="44">
        <f t="shared" si="370"/>
        <v>46500</v>
      </c>
      <c r="R202" s="604">
        <f t="shared" si="416"/>
        <v>0</v>
      </c>
      <c r="S202" s="44">
        <f t="shared" si="417"/>
        <v>0</v>
      </c>
      <c r="T202" s="44">
        <f t="shared" si="418"/>
        <v>0</v>
      </c>
      <c r="U202" s="44">
        <f t="shared" si="419"/>
        <v>0</v>
      </c>
      <c r="V202" s="44">
        <f t="shared" si="420"/>
        <v>46500</v>
      </c>
      <c r="W202" s="44">
        <f t="shared" si="421"/>
        <v>46500</v>
      </c>
      <c r="X202" s="44">
        <f t="shared" si="371"/>
        <v>930</v>
      </c>
      <c r="Y202" s="44">
        <f t="shared" si="422"/>
        <v>930</v>
      </c>
      <c r="Z202" s="44">
        <f t="shared" si="372"/>
        <v>42315</v>
      </c>
      <c r="AA202" s="44">
        <f t="shared" si="423"/>
        <v>42315</v>
      </c>
      <c r="AB202" s="44">
        <f t="shared" si="373"/>
        <v>4185</v>
      </c>
      <c r="AC202" s="46">
        <f t="shared" si="374"/>
        <v>0</v>
      </c>
      <c r="AD202" s="47">
        <f t="shared" si="375"/>
        <v>0</v>
      </c>
      <c r="AE202" s="604">
        <f t="shared" si="424"/>
        <v>0</v>
      </c>
      <c r="AF202" s="44">
        <f t="shared" si="425"/>
        <v>0</v>
      </c>
      <c r="AG202" s="44">
        <f t="shared" si="426"/>
        <v>0</v>
      </c>
      <c r="AH202" s="44">
        <f t="shared" si="427"/>
        <v>0</v>
      </c>
      <c r="AI202" s="44">
        <f t="shared" si="428"/>
        <v>46500</v>
      </c>
      <c r="AJ202" s="44">
        <f t="shared" si="429"/>
        <v>46500</v>
      </c>
      <c r="AK202" s="44">
        <f t="shared" si="376"/>
        <v>930</v>
      </c>
      <c r="AL202" s="44">
        <f t="shared" si="430"/>
        <v>930</v>
      </c>
      <c r="AM202" s="44">
        <f t="shared" si="377"/>
        <v>41385</v>
      </c>
      <c r="AN202" s="44">
        <f t="shared" si="431"/>
        <v>41385</v>
      </c>
      <c r="AO202" s="44">
        <f t="shared" si="378"/>
        <v>5115</v>
      </c>
      <c r="AP202" s="46">
        <f t="shared" si="379"/>
        <v>0</v>
      </c>
      <c r="AQ202" s="47">
        <f t="shared" si="380"/>
        <v>0</v>
      </c>
      <c r="AR202" s="604">
        <f t="shared" si="432"/>
        <v>0</v>
      </c>
      <c r="AS202" s="44">
        <f t="shared" si="433"/>
        <v>0</v>
      </c>
      <c r="AT202" s="44">
        <f t="shared" si="434"/>
        <v>0</v>
      </c>
      <c r="AU202" s="44">
        <f t="shared" si="435"/>
        <v>0</v>
      </c>
      <c r="AV202" s="44">
        <f t="shared" si="436"/>
        <v>46500</v>
      </c>
      <c r="AW202" s="44">
        <f t="shared" si="437"/>
        <v>46500</v>
      </c>
      <c r="AX202" s="44">
        <f t="shared" si="381"/>
        <v>930</v>
      </c>
      <c r="AY202" s="44">
        <f t="shared" si="438"/>
        <v>930</v>
      </c>
      <c r="AZ202" s="44">
        <f t="shared" si="382"/>
        <v>40455</v>
      </c>
      <c r="BA202" s="44">
        <f t="shared" si="439"/>
        <v>40455</v>
      </c>
      <c r="BB202" s="44">
        <f t="shared" si="383"/>
        <v>6045</v>
      </c>
      <c r="BC202" s="46">
        <f t="shared" si="384"/>
        <v>0</v>
      </c>
      <c r="BD202" s="47">
        <f t="shared" si="385"/>
        <v>0</v>
      </c>
      <c r="BE202" s="604">
        <f t="shared" si="440"/>
        <v>0</v>
      </c>
      <c r="BF202" s="44">
        <f t="shared" si="441"/>
        <v>0</v>
      </c>
      <c r="BG202" s="44">
        <f t="shared" si="442"/>
        <v>0</v>
      </c>
      <c r="BH202" s="44">
        <f t="shared" si="443"/>
        <v>0</v>
      </c>
      <c r="BI202" s="44">
        <f t="shared" si="444"/>
        <v>46500</v>
      </c>
      <c r="BJ202" s="44">
        <f t="shared" si="445"/>
        <v>46500</v>
      </c>
      <c r="BK202" s="44">
        <f t="shared" si="386"/>
        <v>930</v>
      </c>
      <c r="BL202" s="44">
        <f t="shared" si="446"/>
        <v>930</v>
      </c>
      <c r="BM202" s="44">
        <f t="shared" si="387"/>
        <v>39525</v>
      </c>
      <c r="BN202" s="44">
        <f t="shared" si="447"/>
        <v>39525</v>
      </c>
      <c r="BO202" s="44">
        <f t="shared" si="388"/>
        <v>6975</v>
      </c>
      <c r="BP202" s="46">
        <f t="shared" si="389"/>
        <v>0</v>
      </c>
      <c r="BQ202" s="47">
        <f t="shared" si="390"/>
        <v>0</v>
      </c>
      <c r="BR202" s="604">
        <f t="shared" si="448"/>
        <v>0</v>
      </c>
      <c r="BS202" s="44">
        <f t="shared" si="449"/>
        <v>0</v>
      </c>
      <c r="BT202" s="44">
        <f t="shared" si="450"/>
        <v>0</v>
      </c>
      <c r="BU202" s="44">
        <f t="shared" si="451"/>
        <v>0</v>
      </c>
      <c r="BV202" s="44">
        <f t="shared" si="452"/>
        <v>46500</v>
      </c>
      <c r="BW202" s="44">
        <f t="shared" si="453"/>
        <v>46500</v>
      </c>
      <c r="BX202" s="44">
        <f t="shared" si="391"/>
        <v>930</v>
      </c>
      <c r="BY202" s="44">
        <f t="shared" si="454"/>
        <v>930</v>
      </c>
      <c r="BZ202" s="44">
        <f t="shared" si="392"/>
        <v>38595</v>
      </c>
      <c r="CA202" s="44">
        <f t="shared" si="455"/>
        <v>38595</v>
      </c>
      <c r="CB202" s="44">
        <f t="shared" si="393"/>
        <v>7905</v>
      </c>
      <c r="CC202" s="46">
        <f t="shared" si="394"/>
        <v>0</v>
      </c>
      <c r="CD202" s="47">
        <f t="shared" si="395"/>
        <v>0</v>
      </c>
      <c r="CE202" s="604">
        <f t="shared" si="456"/>
        <v>0</v>
      </c>
      <c r="CF202" s="44">
        <f t="shared" si="457"/>
        <v>0</v>
      </c>
      <c r="CG202" s="44">
        <f t="shared" si="458"/>
        <v>0</v>
      </c>
      <c r="CH202" s="44">
        <f t="shared" si="459"/>
        <v>0</v>
      </c>
      <c r="CI202" s="44">
        <f t="shared" si="460"/>
        <v>46500</v>
      </c>
      <c r="CJ202" s="44">
        <f t="shared" si="461"/>
        <v>46500</v>
      </c>
      <c r="CK202" s="44">
        <f t="shared" si="396"/>
        <v>930</v>
      </c>
      <c r="CL202" s="44">
        <f t="shared" si="462"/>
        <v>930</v>
      </c>
      <c r="CM202" s="44">
        <f t="shared" si="397"/>
        <v>37665</v>
      </c>
      <c r="CN202" s="44">
        <f t="shared" si="463"/>
        <v>37665</v>
      </c>
      <c r="CO202" s="44">
        <f t="shared" si="398"/>
        <v>8835</v>
      </c>
      <c r="CP202" s="46">
        <f t="shared" si="399"/>
        <v>0</v>
      </c>
      <c r="CQ202" s="47">
        <f t="shared" si="400"/>
        <v>0</v>
      </c>
      <c r="CR202" s="604">
        <f t="shared" si="464"/>
        <v>0</v>
      </c>
      <c r="CS202" s="44">
        <f t="shared" si="465"/>
        <v>0</v>
      </c>
      <c r="CT202" s="44">
        <f t="shared" si="466"/>
        <v>0</v>
      </c>
      <c r="CU202" s="44">
        <f t="shared" si="467"/>
        <v>0</v>
      </c>
      <c r="CV202" s="44">
        <f t="shared" si="468"/>
        <v>46500</v>
      </c>
      <c r="CW202" s="44">
        <f t="shared" si="469"/>
        <v>46500</v>
      </c>
      <c r="CX202" s="44">
        <f t="shared" si="401"/>
        <v>930</v>
      </c>
      <c r="CY202" s="44">
        <f t="shared" si="470"/>
        <v>930</v>
      </c>
      <c r="CZ202" s="44">
        <f t="shared" si="402"/>
        <v>36735</v>
      </c>
      <c r="DA202" s="44">
        <f t="shared" si="471"/>
        <v>36735</v>
      </c>
      <c r="DB202" s="44">
        <f t="shared" si="403"/>
        <v>9765</v>
      </c>
      <c r="DC202" s="46">
        <f t="shared" si="404"/>
        <v>0</v>
      </c>
      <c r="DD202" s="47">
        <f t="shared" si="405"/>
        <v>0</v>
      </c>
      <c r="DE202" s="604">
        <f t="shared" si="472"/>
        <v>0</v>
      </c>
      <c r="DF202" s="44">
        <f t="shared" si="473"/>
        <v>0</v>
      </c>
      <c r="DG202" s="44">
        <f t="shared" si="474"/>
        <v>0</v>
      </c>
      <c r="DH202" s="44">
        <f t="shared" si="475"/>
        <v>0</v>
      </c>
      <c r="DI202" s="44">
        <f t="shared" si="476"/>
        <v>46500</v>
      </c>
      <c r="DJ202" s="44">
        <f t="shared" si="477"/>
        <v>46500</v>
      </c>
      <c r="DK202" s="44">
        <f t="shared" si="406"/>
        <v>930</v>
      </c>
      <c r="DL202" s="44">
        <f t="shared" si="478"/>
        <v>930</v>
      </c>
      <c r="DM202" s="44">
        <f t="shared" si="407"/>
        <v>35805</v>
      </c>
      <c r="DN202" s="44">
        <f t="shared" si="479"/>
        <v>35805</v>
      </c>
      <c r="DO202" s="44">
        <f t="shared" si="408"/>
        <v>10695</v>
      </c>
      <c r="DP202" s="46">
        <f t="shared" si="409"/>
        <v>0</v>
      </c>
      <c r="DQ202" s="47">
        <f t="shared" si="410"/>
        <v>0</v>
      </c>
      <c r="DR202" s="604">
        <f t="shared" si="480"/>
        <v>0</v>
      </c>
      <c r="DS202" s="44">
        <f t="shared" si="481"/>
        <v>0</v>
      </c>
      <c r="DT202" s="44">
        <f t="shared" si="482"/>
        <v>0</v>
      </c>
      <c r="DU202" s="44">
        <f t="shared" si="483"/>
        <v>0</v>
      </c>
      <c r="DV202" s="44">
        <f t="shared" si="484"/>
        <v>46500</v>
      </c>
      <c r="DW202" s="44">
        <f t="shared" si="485"/>
        <v>46500</v>
      </c>
      <c r="DX202" s="44">
        <f t="shared" si="411"/>
        <v>930</v>
      </c>
      <c r="DY202" s="44">
        <f t="shared" si="486"/>
        <v>930</v>
      </c>
      <c r="DZ202" s="44">
        <f t="shared" si="412"/>
        <v>34875</v>
      </c>
      <c r="EA202" s="44">
        <f t="shared" si="487"/>
        <v>34875</v>
      </c>
      <c r="EB202" s="44">
        <f t="shared" si="413"/>
        <v>11625</v>
      </c>
      <c r="EC202" s="46">
        <f t="shared" si="414"/>
        <v>0</v>
      </c>
      <c r="ED202" s="47">
        <f t="shared" si="415"/>
        <v>0</v>
      </c>
    </row>
    <row r="203" spans="1:134" x14ac:dyDescent="0.35">
      <c r="A203" s="81">
        <v>2009</v>
      </c>
      <c r="B203" s="82" t="s">
        <v>359</v>
      </c>
      <c r="C203" s="82"/>
      <c r="D203" s="83" t="s">
        <v>63</v>
      </c>
      <c r="E203" s="87">
        <v>28500</v>
      </c>
      <c r="F203" s="85">
        <v>39995</v>
      </c>
      <c r="G203" s="86">
        <v>50</v>
      </c>
      <c r="H203" s="179"/>
      <c r="I203" s="180"/>
      <c r="J203" s="181"/>
      <c r="K203" s="42">
        <f t="shared" si="366"/>
        <v>0.02</v>
      </c>
      <c r="L203" s="43">
        <f t="shared" si="367"/>
        <v>570</v>
      </c>
      <c r="M203" s="44">
        <f t="shared" si="368"/>
        <v>27075</v>
      </c>
      <c r="N203" s="44"/>
      <c r="O203" s="44">
        <f t="shared" si="369"/>
        <v>1425</v>
      </c>
      <c r="P203" s="45"/>
      <c r="Q203" s="44">
        <f t="shared" si="370"/>
        <v>28500</v>
      </c>
      <c r="R203" s="604">
        <f t="shared" si="416"/>
        <v>0</v>
      </c>
      <c r="S203" s="44">
        <f t="shared" si="417"/>
        <v>0</v>
      </c>
      <c r="T203" s="44">
        <f t="shared" si="418"/>
        <v>0</v>
      </c>
      <c r="U203" s="44">
        <f t="shared" si="419"/>
        <v>0</v>
      </c>
      <c r="V203" s="44">
        <f t="shared" si="420"/>
        <v>28500</v>
      </c>
      <c r="W203" s="44">
        <f t="shared" si="421"/>
        <v>28500</v>
      </c>
      <c r="X203" s="44">
        <f t="shared" si="371"/>
        <v>570</v>
      </c>
      <c r="Y203" s="44">
        <f t="shared" si="422"/>
        <v>570</v>
      </c>
      <c r="Z203" s="44">
        <f t="shared" si="372"/>
        <v>26505</v>
      </c>
      <c r="AA203" s="44">
        <f t="shared" si="423"/>
        <v>26505</v>
      </c>
      <c r="AB203" s="44">
        <f t="shared" si="373"/>
        <v>1995</v>
      </c>
      <c r="AC203" s="46">
        <f t="shared" si="374"/>
        <v>0</v>
      </c>
      <c r="AD203" s="47">
        <f t="shared" si="375"/>
        <v>0</v>
      </c>
      <c r="AE203" s="604">
        <f t="shared" si="424"/>
        <v>0</v>
      </c>
      <c r="AF203" s="44">
        <f t="shared" si="425"/>
        <v>0</v>
      </c>
      <c r="AG203" s="44">
        <f t="shared" si="426"/>
        <v>0</v>
      </c>
      <c r="AH203" s="44">
        <f t="shared" si="427"/>
        <v>0</v>
      </c>
      <c r="AI203" s="44">
        <f t="shared" si="428"/>
        <v>28500</v>
      </c>
      <c r="AJ203" s="44">
        <f t="shared" si="429"/>
        <v>28500</v>
      </c>
      <c r="AK203" s="44">
        <f t="shared" si="376"/>
        <v>570</v>
      </c>
      <c r="AL203" s="44">
        <f t="shared" si="430"/>
        <v>570</v>
      </c>
      <c r="AM203" s="44">
        <f t="shared" si="377"/>
        <v>25935</v>
      </c>
      <c r="AN203" s="44">
        <f t="shared" si="431"/>
        <v>25935</v>
      </c>
      <c r="AO203" s="44">
        <f t="shared" si="378"/>
        <v>2565</v>
      </c>
      <c r="AP203" s="46">
        <f t="shared" si="379"/>
        <v>0</v>
      </c>
      <c r="AQ203" s="47">
        <f t="shared" si="380"/>
        <v>0</v>
      </c>
      <c r="AR203" s="604">
        <f t="shared" si="432"/>
        <v>0</v>
      </c>
      <c r="AS203" s="44">
        <f t="shared" si="433"/>
        <v>0</v>
      </c>
      <c r="AT203" s="44">
        <f t="shared" si="434"/>
        <v>0</v>
      </c>
      <c r="AU203" s="44">
        <f t="shared" si="435"/>
        <v>0</v>
      </c>
      <c r="AV203" s="44">
        <f t="shared" si="436"/>
        <v>28500</v>
      </c>
      <c r="AW203" s="44">
        <f t="shared" si="437"/>
        <v>28500</v>
      </c>
      <c r="AX203" s="44">
        <f t="shared" si="381"/>
        <v>570</v>
      </c>
      <c r="AY203" s="44">
        <f t="shared" si="438"/>
        <v>570</v>
      </c>
      <c r="AZ203" s="44">
        <f t="shared" si="382"/>
        <v>25365</v>
      </c>
      <c r="BA203" s="44">
        <f t="shared" si="439"/>
        <v>25365</v>
      </c>
      <c r="BB203" s="44">
        <f t="shared" si="383"/>
        <v>3135</v>
      </c>
      <c r="BC203" s="46">
        <f t="shared" si="384"/>
        <v>0</v>
      </c>
      <c r="BD203" s="47">
        <f t="shared" si="385"/>
        <v>0</v>
      </c>
      <c r="BE203" s="604">
        <f t="shared" si="440"/>
        <v>0</v>
      </c>
      <c r="BF203" s="44">
        <f t="shared" si="441"/>
        <v>0</v>
      </c>
      <c r="BG203" s="44">
        <f t="shared" si="442"/>
        <v>0</v>
      </c>
      <c r="BH203" s="44">
        <f t="shared" si="443"/>
        <v>0</v>
      </c>
      <c r="BI203" s="44">
        <f t="shared" si="444"/>
        <v>28500</v>
      </c>
      <c r="BJ203" s="44">
        <f t="shared" si="445"/>
        <v>28500</v>
      </c>
      <c r="BK203" s="44">
        <f t="shared" si="386"/>
        <v>570</v>
      </c>
      <c r="BL203" s="44">
        <f t="shared" si="446"/>
        <v>570</v>
      </c>
      <c r="BM203" s="44">
        <f t="shared" si="387"/>
        <v>24795</v>
      </c>
      <c r="BN203" s="44">
        <f t="shared" si="447"/>
        <v>24795</v>
      </c>
      <c r="BO203" s="44">
        <f t="shared" si="388"/>
        <v>3705</v>
      </c>
      <c r="BP203" s="46">
        <f t="shared" si="389"/>
        <v>0</v>
      </c>
      <c r="BQ203" s="47">
        <f t="shared" si="390"/>
        <v>0</v>
      </c>
      <c r="BR203" s="604">
        <f t="shared" si="448"/>
        <v>0</v>
      </c>
      <c r="BS203" s="44">
        <f t="shared" si="449"/>
        <v>0</v>
      </c>
      <c r="BT203" s="44">
        <f t="shared" si="450"/>
        <v>0</v>
      </c>
      <c r="BU203" s="44">
        <f t="shared" si="451"/>
        <v>0</v>
      </c>
      <c r="BV203" s="44">
        <f t="shared" si="452"/>
        <v>28500</v>
      </c>
      <c r="BW203" s="44">
        <f t="shared" si="453"/>
        <v>28500</v>
      </c>
      <c r="BX203" s="44">
        <f t="shared" si="391"/>
        <v>570</v>
      </c>
      <c r="BY203" s="44">
        <f t="shared" si="454"/>
        <v>570</v>
      </c>
      <c r="BZ203" s="44">
        <f t="shared" si="392"/>
        <v>24225</v>
      </c>
      <c r="CA203" s="44">
        <f t="shared" si="455"/>
        <v>24225</v>
      </c>
      <c r="CB203" s="44">
        <f t="shared" si="393"/>
        <v>4275</v>
      </c>
      <c r="CC203" s="46">
        <f t="shared" si="394"/>
        <v>0</v>
      </c>
      <c r="CD203" s="47">
        <f t="shared" si="395"/>
        <v>0</v>
      </c>
      <c r="CE203" s="604">
        <f t="shared" si="456"/>
        <v>0</v>
      </c>
      <c r="CF203" s="44">
        <f t="shared" si="457"/>
        <v>0</v>
      </c>
      <c r="CG203" s="44">
        <f t="shared" si="458"/>
        <v>0</v>
      </c>
      <c r="CH203" s="44">
        <f t="shared" si="459"/>
        <v>0</v>
      </c>
      <c r="CI203" s="44">
        <f t="shared" si="460"/>
        <v>28500</v>
      </c>
      <c r="CJ203" s="44">
        <f t="shared" si="461"/>
        <v>28500</v>
      </c>
      <c r="CK203" s="44">
        <f t="shared" si="396"/>
        <v>570</v>
      </c>
      <c r="CL203" s="44">
        <f t="shared" si="462"/>
        <v>570</v>
      </c>
      <c r="CM203" s="44">
        <f t="shared" si="397"/>
        <v>23655</v>
      </c>
      <c r="CN203" s="44">
        <f t="shared" si="463"/>
        <v>23655</v>
      </c>
      <c r="CO203" s="44">
        <f t="shared" si="398"/>
        <v>4845</v>
      </c>
      <c r="CP203" s="46">
        <f t="shared" si="399"/>
        <v>0</v>
      </c>
      <c r="CQ203" s="47">
        <f t="shared" si="400"/>
        <v>0</v>
      </c>
      <c r="CR203" s="604">
        <f t="shared" si="464"/>
        <v>0</v>
      </c>
      <c r="CS203" s="44">
        <f t="shared" si="465"/>
        <v>0</v>
      </c>
      <c r="CT203" s="44">
        <f t="shared" si="466"/>
        <v>0</v>
      </c>
      <c r="CU203" s="44">
        <f t="shared" si="467"/>
        <v>0</v>
      </c>
      <c r="CV203" s="44">
        <f t="shared" si="468"/>
        <v>28500</v>
      </c>
      <c r="CW203" s="44">
        <f t="shared" si="469"/>
        <v>28500</v>
      </c>
      <c r="CX203" s="44">
        <f t="shared" si="401"/>
        <v>570</v>
      </c>
      <c r="CY203" s="44">
        <f t="shared" si="470"/>
        <v>570</v>
      </c>
      <c r="CZ203" s="44">
        <f t="shared" si="402"/>
        <v>23085</v>
      </c>
      <c r="DA203" s="44">
        <f t="shared" si="471"/>
        <v>23085</v>
      </c>
      <c r="DB203" s="44">
        <f t="shared" si="403"/>
        <v>5415</v>
      </c>
      <c r="DC203" s="46">
        <f t="shared" si="404"/>
        <v>0</v>
      </c>
      <c r="DD203" s="47">
        <f t="shared" si="405"/>
        <v>0</v>
      </c>
      <c r="DE203" s="604">
        <f t="shared" si="472"/>
        <v>0</v>
      </c>
      <c r="DF203" s="44">
        <f t="shared" si="473"/>
        <v>0</v>
      </c>
      <c r="DG203" s="44">
        <f t="shared" si="474"/>
        <v>0</v>
      </c>
      <c r="DH203" s="44">
        <f t="shared" si="475"/>
        <v>0</v>
      </c>
      <c r="DI203" s="44">
        <f t="shared" si="476"/>
        <v>28500</v>
      </c>
      <c r="DJ203" s="44">
        <f t="shared" si="477"/>
        <v>28500</v>
      </c>
      <c r="DK203" s="44">
        <f t="shared" si="406"/>
        <v>570</v>
      </c>
      <c r="DL203" s="44">
        <f t="shared" si="478"/>
        <v>570</v>
      </c>
      <c r="DM203" s="44">
        <f t="shared" si="407"/>
        <v>22515</v>
      </c>
      <c r="DN203" s="44">
        <f t="shared" si="479"/>
        <v>22515</v>
      </c>
      <c r="DO203" s="44">
        <f t="shared" si="408"/>
        <v>5985</v>
      </c>
      <c r="DP203" s="46">
        <f t="shared" si="409"/>
        <v>0</v>
      </c>
      <c r="DQ203" s="47">
        <f t="shared" si="410"/>
        <v>0</v>
      </c>
      <c r="DR203" s="604">
        <f t="shared" si="480"/>
        <v>0</v>
      </c>
      <c r="DS203" s="44">
        <f t="shared" si="481"/>
        <v>0</v>
      </c>
      <c r="DT203" s="44">
        <f t="shared" si="482"/>
        <v>0</v>
      </c>
      <c r="DU203" s="44">
        <f t="shared" si="483"/>
        <v>0</v>
      </c>
      <c r="DV203" s="44">
        <f t="shared" si="484"/>
        <v>28500</v>
      </c>
      <c r="DW203" s="44">
        <f t="shared" si="485"/>
        <v>28500</v>
      </c>
      <c r="DX203" s="44">
        <f t="shared" si="411"/>
        <v>570</v>
      </c>
      <c r="DY203" s="44">
        <f t="shared" si="486"/>
        <v>570</v>
      </c>
      <c r="DZ203" s="44">
        <f t="shared" si="412"/>
        <v>21945</v>
      </c>
      <c r="EA203" s="44">
        <f t="shared" si="487"/>
        <v>21945</v>
      </c>
      <c r="EB203" s="44">
        <f t="shared" si="413"/>
        <v>6555</v>
      </c>
      <c r="EC203" s="46">
        <f t="shared" si="414"/>
        <v>0</v>
      </c>
      <c r="ED203" s="47">
        <f t="shared" si="415"/>
        <v>0</v>
      </c>
    </row>
    <row r="204" spans="1:134" x14ac:dyDescent="0.35">
      <c r="A204" s="81"/>
      <c r="B204" s="82"/>
      <c r="C204" s="82"/>
      <c r="D204" s="83"/>
      <c r="E204" s="87"/>
      <c r="F204" s="85"/>
      <c r="G204" s="86"/>
      <c r="H204" s="179"/>
      <c r="I204" s="180"/>
      <c r="J204" s="181"/>
      <c r="K204" s="42">
        <f t="shared" si="366"/>
        <v>0</v>
      </c>
      <c r="L204" s="43">
        <f t="shared" si="367"/>
        <v>0</v>
      </c>
      <c r="M204" s="44">
        <f t="shared" si="368"/>
        <v>0</v>
      </c>
      <c r="N204" s="44"/>
      <c r="O204" s="44">
        <f t="shared" si="369"/>
        <v>0</v>
      </c>
      <c r="P204" s="45"/>
      <c r="Q204" s="44">
        <f t="shared" si="370"/>
        <v>0</v>
      </c>
      <c r="R204" s="604">
        <f t="shared" si="416"/>
        <v>0</v>
      </c>
      <c r="S204" s="44">
        <f t="shared" si="417"/>
        <v>0</v>
      </c>
      <c r="T204" s="44">
        <f t="shared" si="418"/>
        <v>0</v>
      </c>
      <c r="U204" s="44">
        <f t="shared" si="419"/>
        <v>0</v>
      </c>
      <c r="V204" s="44">
        <f t="shared" si="420"/>
        <v>0</v>
      </c>
      <c r="W204" s="44">
        <f t="shared" si="421"/>
        <v>0</v>
      </c>
      <c r="X204" s="44">
        <f t="shared" si="371"/>
        <v>0</v>
      </c>
      <c r="Y204" s="44">
        <f t="shared" si="422"/>
        <v>0</v>
      </c>
      <c r="Z204" s="44">
        <f t="shared" si="372"/>
        <v>0</v>
      </c>
      <c r="AA204" s="44">
        <f t="shared" si="423"/>
        <v>0</v>
      </c>
      <c r="AB204" s="44">
        <f t="shared" si="373"/>
        <v>0</v>
      </c>
      <c r="AC204" s="46">
        <f t="shared" si="374"/>
        <v>0</v>
      </c>
      <c r="AD204" s="47">
        <f t="shared" si="375"/>
        <v>0</v>
      </c>
      <c r="AE204" s="604">
        <f t="shared" si="424"/>
        <v>0</v>
      </c>
      <c r="AF204" s="44">
        <f t="shared" si="425"/>
        <v>0</v>
      </c>
      <c r="AG204" s="44">
        <f t="shared" si="426"/>
        <v>0</v>
      </c>
      <c r="AH204" s="44">
        <f t="shared" si="427"/>
        <v>0</v>
      </c>
      <c r="AI204" s="44">
        <f t="shared" si="428"/>
        <v>0</v>
      </c>
      <c r="AJ204" s="44">
        <f t="shared" si="429"/>
        <v>0</v>
      </c>
      <c r="AK204" s="44">
        <f t="shared" si="376"/>
        <v>0</v>
      </c>
      <c r="AL204" s="44">
        <f t="shared" si="430"/>
        <v>0</v>
      </c>
      <c r="AM204" s="44">
        <f t="shared" si="377"/>
        <v>0</v>
      </c>
      <c r="AN204" s="44">
        <f t="shared" si="431"/>
        <v>0</v>
      </c>
      <c r="AO204" s="44">
        <f t="shared" si="378"/>
        <v>0</v>
      </c>
      <c r="AP204" s="46">
        <f t="shared" si="379"/>
        <v>0</v>
      </c>
      <c r="AQ204" s="47">
        <f t="shared" si="380"/>
        <v>0</v>
      </c>
      <c r="AR204" s="604">
        <f t="shared" si="432"/>
        <v>0</v>
      </c>
      <c r="AS204" s="44">
        <f t="shared" si="433"/>
        <v>0</v>
      </c>
      <c r="AT204" s="44">
        <f t="shared" si="434"/>
        <v>0</v>
      </c>
      <c r="AU204" s="44">
        <f t="shared" si="435"/>
        <v>0</v>
      </c>
      <c r="AV204" s="44">
        <f t="shared" si="436"/>
        <v>0</v>
      </c>
      <c r="AW204" s="44">
        <f t="shared" si="437"/>
        <v>0</v>
      </c>
      <c r="AX204" s="44">
        <f t="shared" si="381"/>
        <v>0</v>
      </c>
      <c r="AY204" s="44">
        <f t="shared" si="438"/>
        <v>0</v>
      </c>
      <c r="AZ204" s="44">
        <f t="shared" si="382"/>
        <v>0</v>
      </c>
      <c r="BA204" s="44">
        <f t="shared" si="439"/>
        <v>0</v>
      </c>
      <c r="BB204" s="44">
        <f t="shared" si="383"/>
        <v>0</v>
      </c>
      <c r="BC204" s="46">
        <f t="shared" si="384"/>
        <v>0</v>
      </c>
      <c r="BD204" s="47">
        <f t="shared" si="385"/>
        <v>0</v>
      </c>
      <c r="BE204" s="604">
        <f t="shared" si="440"/>
        <v>0</v>
      </c>
      <c r="BF204" s="44">
        <f t="shared" si="441"/>
        <v>0</v>
      </c>
      <c r="BG204" s="44">
        <f t="shared" si="442"/>
        <v>0</v>
      </c>
      <c r="BH204" s="44">
        <f t="shared" si="443"/>
        <v>0</v>
      </c>
      <c r="BI204" s="44">
        <f t="shared" si="444"/>
        <v>0</v>
      </c>
      <c r="BJ204" s="44">
        <f t="shared" si="445"/>
        <v>0</v>
      </c>
      <c r="BK204" s="44">
        <f t="shared" si="386"/>
        <v>0</v>
      </c>
      <c r="BL204" s="44">
        <f t="shared" si="446"/>
        <v>0</v>
      </c>
      <c r="BM204" s="44">
        <f t="shared" si="387"/>
        <v>0</v>
      </c>
      <c r="BN204" s="44">
        <f t="shared" si="447"/>
        <v>0</v>
      </c>
      <c r="BO204" s="44">
        <f t="shared" si="388"/>
        <v>0</v>
      </c>
      <c r="BP204" s="46">
        <f t="shared" si="389"/>
        <v>0</v>
      </c>
      <c r="BQ204" s="47">
        <f t="shared" si="390"/>
        <v>0</v>
      </c>
      <c r="BR204" s="604">
        <f t="shared" si="448"/>
        <v>0</v>
      </c>
      <c r="BS204" s="44">
        <f t="shared" si="449"/>
        <v>0</v>
      </c>
      <c r="BT204" s="44">
        <f t="shared" si="450"/>
        <v>0</v>
      </c>
      <c r="BU204" s="44">
        <f t="shared" si="451"/>
        <v>0</v>
      </c>
      <c r="BV204" s="44">
        <f t="shared" si="452"/>
        <v>0</v>
      </c>
      <c r="BW204" s="44">
        <f t="shared" si="453"/>
        <v>0</v>
      </c>
      <c r="BX204" s="44">
        <f t="shared" si="391"/>
        <v>0</v>
      </c>
      <c r="BY204" s="44">
        <f t="shared" si="454"/>
        <v>0</v>
      </c>
      <c r="BZ204" s="44">
        <f t="shared" si="392"/>
        <v>0</v>
      </c>
      <c r="CA204" s="44">
        <f t="shared" si="455"/>
        <v>0</v>
      </c>
      <c r="CB204" s="44">
        <f t="shared" si="393"/>
        <v>0</v>
      </c>
      <c r="CC204" s="46">
        <f t="shared" si="394"/>
        <v>0</v>
      </c>
      <c r="CD204" s="47">
        <f t="shared" si="395"/>
        <v>0</v>
      </c>
      <c r="CE204" s="604">
        <f t="shared" si="456"/>
        <v>0</v>
      </c>
      <c r="CF204" s="44">
        <f t="shared" si="457"/>
        <v>0</v>
      </c>
      <c r="CG204" s="44">
        <f t="shared" si="458"/>
        <v>0</v>
      </c>
      <c r="CH204" s="44">
        <f t="shared" si="459"/>
        <v>0</v>
      </c>
      <c r="CI204" s="44">
        <f t="shared" si="460"/>
        <v>0</v>
      </c>
      <c r="CJ204" s="44">
        <f t="shared" si="461"/>
        <v>0</v>
      </c>
      <c r="CK204" s="44">
        <f t="shared" si="396"/>
        <v>0</v>
      </c>
      <c r="CL204" s="44">
        <f t="shared" si="462"/>
        <v>0</v>
      </c>
      <c r="CM204" s="44">
        <f t="shared" si="397"/>
        <v>0</v>
      </c>
      <c r="CN204" s="44">
        <f t="shared" si="463"/>
        <v>0</v>
      </c>
      <c r="CO204" s="44">
        <f t="shared" si="398"/>
        <v>0</v>
      </c>
      <c r="CP204" s="46">
        <f t="shared" si="399"/>
        <v>0</v>
      </c>
      <c r="CQ204" s="47">
        <f t="shared" si="400"/>
        <v>0</v>
      </c>
      <c r="CR204" s="604">
        <f t="shared" si="464"/>
        <v>0</v>
      </c>
      <c r="CS204" s="44">
        <f t="shared" si="465"/>
        <v>0</v>
      </c>
      <c r="CT204" s="44">
        <f t="shared" si="466"/>
        <v>0</v>
      </c>
      <c r="CU204" s="44">
        <f t="shared" si="467"/>
        <v>0</v>
      </c>
      <c r="CV204" s="44">
        <f t="shared" si="468"/>
        <v>0</v>
      </c>
      <c r="CW204" s="44">
        <f t="shared" si="469"/>
        <v>0</v>
      </c>
      <c r="CX204" s="44">
        <f t="shared" si="401"/>
        <v>0</v>
      </c>
      <c r="CY204" s="44">
        <f t="shared" si="470"/>
        <v>0</v>
      </c>
      <c r="CZ204" s="44">
        <f t="shared" si="402"/>
        <v>0</v>
      </c>
      <c r="DA204" s="44">
        <f t="shared" si="471"/>
        <v>0</v>
      </c>
      <c r="DB204" s="44">
        <f t="shared" si="403"/>
        <v>0</v>
      </c>
      <c r="DC204" s="46">
        <f t="shared" si="404"/>
        <v>0</v>
      </c>
      <c r="DD204" s="47">
        <f t="shared" si="405"/>
        <v>0</v>
      </c>
      <c r="DE204" s="604">
        <f t="shared" si="472"/>
        <v>0</v>
      </c>
      <c r="DF204" s="44">
        <f t="shared" si="473"/>
        <v>0</v>
      </c>
      <c r="DG204" s="44">
        <f t="shared" si="474"/>
        <v>0</v>
      </c>
      <c r="DH204" s="44">
        <f t="shared" si="475"/>
        <v>0</v>
      </c>
      <c r="DI204" s="44">
        <f t="shared" si="476"/>
        <v>0</v>
      </c>
      <c r="DJ204" s="44">
        <f t="shared" si="477"/>
        <v>0</v>
      </c>
      <c r="DK204" s="44">
        <f t="shared" si="406"/>
        <v>0</v>
      </c>
      <c r="DL204" s="44">
        <f t="shared" si="478"/>
        <v>0</v>
      </c>
      <c r="DM204" s="44">
        <f t="shared" si="407"/>
        <v>0</v>
      </c>
      <c r="DN204" s="44">
        <f t="shared" si="479"/>
        <v>0</v>
      </c>
      <c r="DO204" s="44">
        <f t="shared" si="408"/>
        <v>0</v>
      </c>
      <c r="DP204" s="46">
        <f t="shared" si="409"/>
        <v>0</v>
      </c>
      <c r="DQ204" s="47">
        <f t="shared" si="410"/>
        <v>0</v>
      </c>
      <c r="DR204" s="604">
        <f t="shared" si="480"/>
        <v>0</v>
      </c>
      <c r="DS204" s="44">
        <f t="shared" si="481"/>
        <v>0</v>
      </c>
      <c r="DT204" s="44">
        <f t="shared" si="482"/>
        <v>0</v>
      </c>
      <c r="DU204" s="44">
        <f t="shared" si="483"/>
        <v>0</v>
      </c>
      <c r="DV204" s="44">
        <f t="shared" si="484"/>
        <v>0</v>
      </c>
      <c r="DW204" s="44">
        <f t="shared" si="485"/>
        <v>0</v>
      </c>
      <c r="DX204" s="44">
        <f t="shared" si="411"/>
        <v>0</v>
      </c>
      <c r="DY204" s="44">
        <f t="shared" si="486"/>
        <v>0</v>
      </c>
      <c r="DZ204" s="44">
        <f t="shared" si="412"/>
        <v>0</v>
      </c>
      <c r="EA204" s="44">
        <f t="shared" si="487"/>
        <v>0</v>
      </c>
      <c r="EB204" s="44">
        <f t="shared" si="413"/>
        <v>0</v>
      </c>
      <c r="EC204" s="46">
        <f t="shared" si="414"/>
        <v>0</v>
      </c>
      <c r="ED204" s="47">
        <f t="shared" si="415"/>
        <v>0</v>
      </c>
    </row>
    <row r="205" spans="1:134" x14ac:dyDescent="0.35">
      <c r="A205" s="81"/>
      <c r="B205" s="82" t="s">
        <v>360</v>
      </c>
      <c r="C205" s="82"/>
      <c r="D205" s="83"/>
      <c r="E205" s="87"/>
      <c r="F205" s="85"/>
      <c r="G205" s="86"/>
      <c r="H205" s="179"/>
      <c r="I205" s="180"/>
      <c r="J205" s="181"/>
      <c r="K205" s="42">
        <f t="shared" si="366"/>
        <v>0</v>
      </c>
      <c r="L205" s="43">
        <f t="shared" si="367"/>
        <v>0</v>
      </c>
      <c r="M205" s="44">
        <f t="shared" si="368"/>
        <v>0</v>
      </c>
      <c r="N205" s="44"/>
      <c r="O205" s="44">
        <f t="shared" si="369"/>
        <v>0</v>
      </c>
      <c r="P205" s="45"/>
      <c r="Q205" s="44">
        <f t="shared" si="370"/>
        <v>0</v>
      </c>
      <c r="R205" s="604">
        <f t="shared" si="416"/>
        <v>0</v>
      </c>
      <c r="S205" s="44">
        <f t="shared" si="417"/>
        <v>0</v>
      </c>
      <c r="T205" s="44">
        <f t="shared" si="418"/>
        <v>0</v>
      </c>
      <c r="U205" s="44">
        <f t="shared" si="419"/>
        <v>0</v>
      </c>
      <c r="V205" s="44">
        <f t="shared" si="420"/>
        <v>0</v>
      </c>
      <c r="W205" s="44">
        <f t="shared" si="421"/>
        <v>0</v>
      </c>
      <c r="X205" s="44">
        <f t="shared" si="371"/>
        <v>0</v>
      </c>
      <c r="Y205" s="44">
        <f t="shared" si="422"/>
        <v>0</v>
      </c>
      <c r="Z205" s="44">
        <f t="shared" si="372"/>
        <v>0</v>
      </c>
      <c r="AA205" s="44">
        <f t="shared" si="423"/>
        <v>0</v>
      </c>
      <c r="AB205" s="44">
        <f t="shared" si="373"/>
        <v>0</v>
      </c>
      <c r="AC205" s="46">
        <f t="shared" si="374"/>
        <v>0</v>
      </c>
      <c r="AD205" s="47">
        <f t="shared" si="375"/>
        <v>0</v>
      </c>
      <c r="AE205" s="604">
        <f t="shared" si="424"/>
        <v>0</v>
      </c>
      <c r="AF205" s="44">
        <f t="shared" si="425"/>
        <v>0</v>
      </c>
      <c r="AG205" s="44">
        <f t="shared" si="426"/>
        <v>0</v>
      </c>
      <c r="AH205" s="44">
        <f t="shared" si="427"/>
        <v>0</v>
      </c>
      <c r="AI205" s="44">
        <f t="shared" si="428"/>
        <v>0</v>
      </c>
      <c r="AJ205" s="44">
        <f t="shared" si="429"/>
        <v>0</v>
      </c>
      <c r="AK205" s="44">
        <f t="shared" si="376"/>
        <v>0</v>
      </c>
      <c r="AL205" s="44">
        <f t="shared" si="430"/>
        <v>0</v>
      </c>
      <c r="AM205" s="44">
        <f t="shared" si="377"/>
        <v>0</v>
      </c>
      <c r="AN205" s="44">
        <f t="shared" si="431"/>
        <v>0</v>
      </c>
      <c r="AO205" s="44">
        <f t="shared" si="378"/>
        <v>0</v>
      </c>
      <c r="AP205" s="46">
        <f t="shared" si="379"/>
        <v>0</v>
      </c>
      <c r="AQ205" s="47">
        <f t="shared" si="380"/>
        <v>0</v>
      </c>
      <c r="AR205" s="604">
        <f t="shared" si="432"/>
        <v>0</v>
      </c>
      <c r="AS205" s="44">
        <f t="shared" si="433"/>
        <v>0</v>
      </c>
      <c r="AT205" s="44">
        <f t="shared" si="434"/>
        <v>0</v>
      </c>
      <c r="AU205" s="44">
        <f t="shared" si="435"/>
        <v>0</v>
      </c>
      <c r="AV205" s="44">
        <f t="shared" si="436"/>
        <v>0</v>
      </c>
      <c r="AW205" s="44">
        <f t="shared" si="437"/>
        <v>0</v>
      </c>
      <c r="AX205" s="44">
        <f t="shared" si="381"/>
        <v>0</v>
      </c>
      <c r="AY205" s="44">
        <f t="shared" si="438"/>
        <v>0</v>
      </c>
      <c r="AZ205" s="44">
        <f t="shared" si="382"/>
        <v>0</v>
      </c>
      <c r="BA205" s="44">
        <f t="shared" si="439"/>
        <v>0</v>
      </c>
      <c r="BB205" s="44">
        <f t="shared" si="383"/>
        <v>0</v>
      </c>
      <c r="BC205" s="46">
        <f t="shared" si="384"/>
        <v>0</v>
      </c>
      <c r="BD205" s="47">
        <f t="shared" si="385"/>
        <v>0</v>
      </c>
      <c r="BE205" s="604">
        <f t="shared" si="440"/>
        <v>0</v>
      </c>
      <c r="BF205" s="44">
        <f t="shared" si="441"/>
        <v>0</v>
      </c>
      <c r="BG205" s="44">
        <f t="shared" si="442"/>
        <v>0</v>
      </c>
      <c r="BH205" s="44">
        <f t="shared" si="443"/>
        <v>0</v>
      </c>
      <c r="BI205" s="44">
        <f t="shared" si="444"/>
        <v>0</v>
      </c>
      <c r="BJ205" s="44">
        <f t="shared" si="445"/>
        <v>0</v>
      </c>
      <c r="BK205" s="44">
        <f t="shared" si="386"/>
        <v>0</v>
      </c>
      <c r="BL205" s="44">
        <f t="shared" si="446"/>
        <v>0</v>
      </c>
      <c r="BM205" s="44">
        <f t="shared" si="387"/>
        <v>0</v>
      </c>
      <c r="BN205" s="44">
        <f t="shared" si="447"/>
        <v>0</v>
      </c>
      <c r="BO205" s="44">
        <f t="shared" si="388"/>
        <v>0</v>
      </c>
      <c r="BP205" s="46">
        <f t="shared" si="389"/>
        <v>0</v>
      </c>
      <c r="BQ205" s="47">
        <f t="shared" si="390"/>
        <v>0</v>
      </c>
      <c r="BR205" s="604">
        <f t="shared" si="448"/>
        <v>0</v>
      </c>
      <c r="BS205" s="44">
        <f t="shared" si="449"/>
        <v>0</v>
      </c>
      <c r="BT205" s="44">
        <f t="shared" si="450"/>
        <v>0</v>
      </c>
      <c r="BU205" s="44">
        <f t="shared" si="451"/>
        <v>0</v>
      </c>
      <c r="BV205" s="44">
        <f t="shared" si="452"/>
        <v>0</v>
      </c>
      <c r="BW205" s="44">
        <f t="shared" si="453"/>
        <v>0</v>
      </c>
      <c r="BX205" s="44">
        <f t="shared" si="391"/>
        <v>0</v>
      </c>
      <c r="BY205" s="44">
        <f t="shared" si="454"/>
        <v>0</v>
      </c>
      <c r="BZ205" s="44">
        <f t="shared" si="392"/>
        <v>0</v>
      </c>
      <c r="CA205" s="44">
        <f t="shared" si="455"/>
        <v>0</v>
      </c>
      <c r="CB205" s="44">
        <f t="shared" si="393"/>
        <v>0</v>
      </c>
      <c r="CC205" s="46">
        <f t="shared" si="394"/>
        <v>0</v>
      </c>
      <c r="CD205" s="47">
        <f t="shared" si="395"/>
        <v>0</v>
      </c>
      <c r="CE205" s="604">
        <f t="shared" si="456"/>
        <v>0</v>
      </c>
      <c r="CF205" s="44">
        <f t="shared" si="457"/>
        <v>0</v>
      </c>
      <c r="CG205" s="44">
        <f t="shared" si="458"/>
        <v>0</v>
      </c>
      <c r="CH205" s="44">
        <f t="shared" si="459"/>
        <v>0</v>
      </c>
      <c r="CI205" s="44">
        <f t="shared" si="460"/>
        <v>0</v>
      </c>
      <c r="CJ205" s="44">
        <f t="shared" si="461"/>
        <v>0</v>
      </c>
      <c r="CK205" s="44">
        <f t="shared" si="396"/>
        <v>0</v>
      </c>
      <c r="CL205" s="44">
        <f t="shared" si="462"/>
        <v>0</v>
      </c>
      <c r="CM205" s="44">
        <f t="shared" si="397"/>
        <v>0</v>
      </c>
      <c r="CN205" s="44">
        <f t="shared" si="463"/>
        <v>0</v>
      </c>
      <c r="CO205" s="44">
        <f t="shared" si="398"/>
        <v>0</v>
      </c>
      <c r="CP205" s="46">
        <f t="shared" si="399"/>
        <v>0</v>
      </c>
      <c r="CQ205" s="47">
        <f t="shared" si="400"/>
        <v>0</v>
      </c>
      <c r="CR205" s="604">
        <f t="shared" si="464"/>
        <v>0</v>
      </c>
      <c r="CS205" s="44">
        <f t="shared" si="465"/>
        <v>0</v>
      </c>
      <c r="CT205" s="44">
        <f t="shared" si="466"/>
        <v>0</v>
      </c>
      <c r="CU205" s="44">
        <f t="shared" si="467"/>
        <v>0</v>
      </c>
      <c r="CV205" s="44">
        <f t="shared" si="468"/>
        <v>0</v>
      </c>
      <c r="CW205" s="44">
        <f t="shared" si="469"/>
        <v>0</v>
      </c>
      <c r="CX205" s="44">
        <f t="shared" si="401"/>
        <v>0</v>
      </c>
      <c r="CY205" s="44">
        <f t="shared" si="470"/>
        <v>0</v>
      </c>
      <c r="CZ205" s="44">
        <f t="shared" si="402"/>
        <v>0</v>
      </c>
      <c r="DA205" s="44">
        <f t="shared" si="471"/>
        <v>0</v>
      </c>
      <c r="DB205" s="44">
        <f t="shared" si="403"/>
        <v>0</v>
      </c>
      <c r="DC205" s="46">
        <f t="shared" si="404"/>
        <v>0</v>
      </c>
      <c r="DD205" s="47">
        <f t="shared" si="405"/>
        <v>0</v>
      </c>
      <c r="DE205" s="604">
        <f t="shared" si="472"/>
        <v>0</v>
      </c>
      <c r="DF205" s="44">
        <f t="shared" si="473"/>
        <v>0</v>
      </c>
      <c r="DG205" s="44">
        <f t="shared" si="474"/>
        <v>0</v>
      </c>
      <c r="DH205" s="44">
        <f t="shared" si="475"/>
        <v>0</v>
      </c>
      <c r="DI205" s="44">
        <f t="shared" si="476"/>
        <v>0</v>
      </c>
      <c r="DJ205" s="44">
        <f t="shared" si="477"/>
        <v>0</v>
      </c>
      <c r="DK205" s="44">
        <f t="shared" si="406"/>
        <v>0</v>
      </c>
      <c r="DL205" s="44">
        <f t="shared" si="478"/>
        <v>0</v>
      </c>
      <c r="DM205" s="44">
        <f t="shared" si="407"/>
        <v>0</v>
      </c>
      <c r="DN205" s="44">
        <f t="shared" si="479"/>
        <v>0</v>
      </c>
      <c r="DO205" s="44">
        <f t="shared" si="408"/>
        <v>0</v>
      </c>
      <c r="DP205" s="46">
        <f t="shared" si="409"/>
        <v>0</v>
      </c>
      <c r="DQ205" s="47">
        <f t="shared" si="410"/>
        <v>0</v>
      </c>
      <c r="DR205" s="604">
        <f t="shared" si="480"/>
        <v>0</v>
      </c>
      <c r="DS205" s="44">
        <f t="shared" si="481"/>
        <v>0</v>
      </c>
      <c r="DT205" s="44">
        <f t="shared" si="482"/>
        <v>0</v>
      </c>
      <c r="DU205" s="44">
        <f t="shared" si="483"/>
        <v>0</v>
      </c>
      <c r="DV205" s="44">
        <f t="shared" si="484"/>
        <v>0</v>
      </c>
      <c r="DW205" s="44">
        <f t="shared" si="485"/>
        <v>0</v>
      </c>
      <c r="DX205" s="44">
        <f t="shared" si="411"/>
        <v>0</v>
      </c>
      <c r="DY205" s="44">
        <f t="shared" si="486"/>
        <v>0</v>
      </c>
      <c r="DZ205" s="44">
        <f t="shared" si="412"/>
        <v>0</v>
      </c>
      <c r="EA205" s="44">
        <f t="shared" si="487"/>
        <v>0</v>
      </c>
      <c r="EB205" s="44">
        <f t="shared" si="413"/>
        <v>0</v>
      </c>
      <c r="EC205" s="46">
        <f t="shared" si="414"/>
        <v>0</v>
      </c>
      <c r="ED205" s="47">
        <f t="shared" si="415"/>
        <v>0</v>
      </c>
    </row>
    <row r="206" spans="1:134" x14ac:dyDescent="0.35">
      <c r="A206" s="81">
        <v>1998</v>
      </c>
      <c r="B206" s="82" t="s">
        <v>361</v>
      </c>
      <c r="C206" s="82"/>
      <c r="D206" s="83" t="s">
        <v>66</v>
      </c>
      <c r="E206" s="87">
        <v>27000</v>
      </c>
      <c r="F206" s="85">
        <v>35977</v>
      </c>
      <c r="G206" s="86">
        <v>50</v>
      </c>
      <c r="H206" s="179"/>
      <c r="I206" s="180"/>
      <c r="J206" s="181"/>
      <c r="K206" s="42">
        <f t="shared" si="366"/>
        <v>0.02</v>
      </c>
      <c r="L206" s="43">
        <f t="shared" si="367"/>
        <v>540</v>
      </c>
      <c r="M206" s="44">
        <f t="shared" si="368"/>
        <v>19710</v>
      </c>
      <c r="N206" s="44"/>
      <c r="O206" s="44">
        <f t="shared" si="369"/>
        <v>7290</v>
      </c>
      <c r="P206" s="45"/>
      <c r="Q206" s="44">
        <f t="shared" si="370"/>
        <v>27000</v>
      </c>
      <c r="R206" s="604">
        <f t="shared" si="416"/>
        <v>0</v>
      </c>
      <c r="S206" s="44">
        <f t="shared" si="417"/>
        <v>0</v>
      </c>
      <c r="T206" s="44">
        <f t="shared" si="418"/>
        <v>0</v>
      </c>
      <c r="U206" s="44">
        <f t="shared" si="419"/>
        <v>0</v>
      </c>
      <c r="V206" s="44">
        <f t="shared" si="420"/>
        <v>27000</v>
      </c>
      <c r="W206" s="44">
        <f t="shared" si="421"/>
        <v>27000</v>
      </c>
      <c r="X206" s="44">
        <f t="shared" si="371"/>
        <v>540</v>
      </c>
      <c r="Y206" s="44">
        <f t="shared" si="422"/>
        <v>540</v>
      </c>
      <c r="Z206" s="44">
        <f t="shared" si="372"/>
        <v>19170</v>
      </c>
      <c r="AA206" s="44">
        <f t="shared" si="423"/>
        <v>19170</v>
      </c>
      <c r="AB206" s="44">
        <f t="shared" si="373"/>
        <v>7830</v>
      </c>
      <c r="AC206" s="46">
        <f t="shared" si="374"/>
        <v>0</v>
      </c>
      <c r="AD206" s="47">
        <f t="shared" si="375"/>
        <v>0</v>
      </c>
      <c r="AE206" s="604">
        <f t="shared" si="424"/>
        <v>0</v>
      </c>
      <c r="AF206" s="44">
        <f t="shared" si="425"/>
        <v>0</v>
      </c>
      <c r="AG206" s="44">
        <f t="shared" si="426"/>
        <v>0</v>
      </c>
      <c r="AH206" s="44">
        <f t="shared" si="427"/>
        <v>0</v>
      </c>
      <c r="AI206" s="44">
        <f t="shared" si="428"/>
        <v>27000</v>
      </c>
      <c r="AJ206" s="44">
        <f t="shared" si="429"/>
        <v>27000</v>
      </c>
      <c r="AK206" s="44">
        <f t="shared" si="376"/>
        <v>540</v>
      </c>
      <c r="AL206" s="44">
        <f t="shared" si="430"/>
        <v>540</v>
      </c>
      <c r="AM206" s="44">
        <f t="shared" si="377"/>
        <v>18630</v>
      </c>
      <c r="AN206" s="44">
        <f t="shared" si="431"/>
        <v>18630</v>
      </c>
      <c r="AO206" s="44">
        <f t="shared" si="378"/>
        <v>8370</v>
      </c>
      <c r="AP206" s="46">
        <f t="shared" si="379"/>
        <v>0</v>
      </c>
      <c r="AQ206" s="47">
        <f t="shared" si="380"/>
        <v>0</v>
      </c>
      <c r="AR206" s="604">
        <f t="shared" si="432"/>
        <v>0</v>
      </c>
      <c r="AS206" s="44">
        <f t="shared" si="433"/>
        <v>0</v>
      </c>
      <c r="AT206" s="44">
        <f t="shared" si="434"/>
        <v>0</v>
      </c>
      <c r="AU206" s="44">
        <f t="shared" si="435"/>
        <v>0</v>
      </c>
      <c r="AV206" s="44">
        <f t="shared" si="436"/>
        <v>27000</v>
      </c>
      <c r="AW206" s="44">
        <f t="shared" si="437"/>
        <v>27000</v>
      </c>
      <c r="AX206" s="44">
        <f t="shared" si="381"/>
        <v>540</v>
      </c>
      <c r="AY206" s="44">
        <f t="shared" si="438"/>
        <v>540</v>
      </c>
      <c r="AZ206" s="44">
        <f t="shared" si="382"/>
        <v>18090</v>
      </c>
      <c r="BA206" s="44">
        <f t="shared" si="439"/>
        <v>18090</v>
      </c>
      <c r="BB206" s="44">
        <f t="shared" si="383"/>
        <v>8910</v>
      </c>
      <c r="BC206" s="46">
        <f t="shared" si="384"/>
        <v>0</v>
      </c>
      <c r="BD206" s="47">
        <f t="shared" si="385"/>
        <v>0</v>
      </c>
      <c r="BE206" s="604">
        <f t="shared" si="440"/>
        <v>0</v>
      </c>
      <c r="BF206" s="44">
        <f t="shared" si="441"/>
        <v>0</v>
      </c>
      <c r="BG206" s="44">
        <f t="shared" si="442"/>
        <v>0</v>
      </c>
      <c r="BH206" s="44">
        <f t="shared" si="443"/>
        <v>0</v>
      </c>
      <c r="BI206" s="44">
        <f t="shared" si="444"/>
        <v>27000</v>
      </c>
      <c r="BJ206" s="44">
        <f t="shared" si="445"/>
        <v>27000</v>
      </c>
      <c r="BK206" s="44">
        <f t="shared" si="386"/>
        <v>540</v>
      </c>
      <c r="BL206" s="44">
        <f t="shared" si="446"/>
        <v>540</v>
      </c>
      <c r="BM206" s="44">
        <f t="shared" si="387"/>
        <v>17550</v>
      </c>
      <c r="BN206" s="44">
        <f t="shared" si="447"/>
        <v>17550</v>
      </c>
      <c r="BO206" s="44">
        <f t="shared" si="388"/>
        <v>9450</v>
      </c>
      <c r="BP206" s="46">
        <f t="shared" si="389"/>
        <v>0</v>
      </c>
      <c r="BQ206" s="47">
        <f t="shared" si="390"/>
        <v>0</v>
      </c>
      <c r="BR206" s="604">
        <f t="shared" si="448"/>
        <v>0</v>
      </c>
      <c r="BS206" s="44">
        <f t="shared" si="449"/>
        <v>0</v>
      </c>
      <c r="BT206" s="44">
        <f t="shared" si="450"/>
        <v>0</v>
      </c>
      <c r="BU206" s="44">
        <f t="shared" si="451"/>
        <v>0</v>
      </c>
      <c r="BV206" s="44">
        <f t="shared" si="452"/>
        <v>27000</v>
      </c>
      <c r="BW206" s="44">
        <f t="shared" si="453"/>
        <v>27000</v>
      </c>
      <c r="BX206" s="44">
        <f t="shared" si="391"/>
        <v>540</v>
      </c>
      <c r="BY206" s="44">
        <f t="shared" si="454"/>
        <v>540</v>
      </c>
      <c r="BZ206" s="44">
        <f t="shared" si="392"/>
        <v>17010</v>
      </c>
      <c r="CA206" s="44">
        <f t="shared" si="455"/>
        <v>17010</v>
      </c>
      <c r="CB206" s="44">
        <f t="shared" si="393"/>
        <v>9990</v>
      </c>
      <c r="CC206" s="46">
        <f t="shared" si="394"/>
        <v>0</v>
      </c>
      <c r="CD206" s="47">
        <f t="shared" si="395"/>
        <v>0</v>
      </c>
      <c r="CE206" s="604">
        <f t="shared" si="456"/>
        <v>0</v>
      </c>
      <c r="CF206" s="44">
        <f t="shared" si="457"/>
        <v>0</v>
      </c>
      <c r="CG206" s="44">
        <f t="shared" si="458"/>
        <v>0</v>
      </c>
      <c r="CH206" s="44">
        <f t="shared" si="459"/>
        <v>0</v>
      </c>
      <c r="CI206" s="44">
        <f t="shared" si="460"/>
        <v>27000</v>
      </c>
      <c r="CJ206" s="44">
        <f t="shared" si="461"/>
        <v>27000</v>
      </c>
      <c r="CK206" s="44">
        <f t="shared" si="396"/>
        <v>540</v>
      </c>
      <c r="CL206" s="44">
        <f t="shared" si="462"/>
        <v>540</v>
      </c>
      <c r="CM206" s="44">
        <f t="shared" si="397"/>
        <v>16470</v>
      </c>
      <c r="CN206" s="44">
        <f t="shared" si="463"/>
        <v>16470</v>
      </c>
      <c r="CO206" s="44">
        <f t="shared" si="398"/>
        <v>10530</v>
      </c>
      <c r="CP206" s="46">
        <f t="shared" si="399"/>
        <v>0</v>
      </c>
      <c r="CQ206" s="47">
        <f t="shared" si="400"/>
        <v>0</v>
      </c>
      <c r="CR206" s="604">
        <f t="shared" si="464"/>
        <v>0</v>
      </c>
      <c r="CS206" s="44">
        <f t="shared" si="465"/>
        <v>0</v>
      </c>
      <c r="CT206" s="44">
        <f t="shared" si="466"/>
        <v>0</v>
      </c>
      <c r="CU206" s="44">
        <f t="shared" si="467"/>
        <v>0</v>
      </c>
      <c r="CV206" s="44">
        <f t="shared" si="468"/>
        <v>27000</v>
      </c>
      <c r="CW206" s="44">
        <f t="shared" si="469"/>
        <v>27000</v>
      </c>
      <c r="CX206" s="44">
        <f t="shared" si="401"/>
        <v>540</v>
      </c>
      <c r="CY206" s="44">
        <f t="shared" si="470"/>
        <v>540</v>
      </c>
      <c r="CZ206" s="44">
        <f t="shared" si="402"/>
        <v>15930</v>
      </c>
      <c r="DA206" s="44">
        <f t="shared" si="471"/>
        <v>15930</v>
      </c>
      <c r="DB206" s="44">
        <f t="shared" si="403"/>
        <v>11070</v>
      </c>
      <c r="DC206" s="46">
        <f t="shared" si="404"/>
        <v>0</v>
      </c>
      <c r="DD206" s="47">
        <f t="shared" si="405"/>
        <v>0</v>
      </c>
      <c r="DE206" s="604">
        <f t="shared" si="472"/>
        <v>0</v>
      </c>
      <c r="DF206" s="44">
        <f t="shared" si="473"/>
        <v>0</v>
      </c>
      <c r="DG206" s="44">
        <f t="shared" si="474"/>
        <v>0</v>
      </c>
      <c r="DH206" s="44">
        <f t="shared" si="475"/>
        <v>0</v>
      </c>
      <c r="DI206" s="44">
        <f t="shared" si="476"/>
        <v>27000</v>
      </c>
      <c r="DJ206" s="44">
        <f t="shared" si="477"/>
        <v>27000</v>
      </c>
      <c r="DK206" s="44">
        <f t="shared" si="406"/>
        <v>540</v>
      </c>
      <c r="DL206" s="44">
        <f t="shared" si="478"/>
        <v>540</v>
      </c>
      <c r="DM206" s="44">
        <f t="shared" si="407"/>
        <v>15390</v>
      </c>
      <c r="DN206" s="44">
        <f t="shared" si="479"/>
        <v>15390</v>
      </c>
      <c r="DO206" s="44">
        <f t="shared" si="408"/>
        <v>11610</v>
      </c>
      <c r="DP206" s="46">
        <f t="shared" si="409"/>
        <v>0</v>
      </c>
      <c r="DQ206" s="47">
        <f t="shared" si="410"/>
        <v>0</v>
      </c>
      <c r="DR206" s="604">
        <f t="shared" si="480"/>
        <v>0</v>
      </c>
      <c r="DS206" s="44">
        <f t="shared" si="481"/>
        <v>0</v>
      </c>
      <c r="DT206" s="44">
        <f t="shared" si="482"/>
        <v>0</v>
      </c>
      <c r="DU206" s="44">
        <f t="shared" si="483"/>
        <v>0</v>
      </c>
      <c r="DV206" s="44">
        <f t="shared" si="484"/>
        <v>27000</v>
      </c>
      <c r="DW206" s="44">
        <f t="shared" si="485"/>
        <v>27000</v>
      </c>
      <c r="DX206" s="44">
        <f t="shared" si="411"/>
        <v>540</v>
      </c>
      <c r="DY206" s="44">
        <f t="shared" si="486"/>
        <v>540</v>
      </c>
      <c r="DZ206" s="44">
        <f t="shared" si="412"/>
        <v>14850</v>
      </c>
      <c r="EA206" s="44">
        <f t="shared" si="487"/>
        <v>14850</v>
      </c>
      <c r="EB206" s="44">
        <f t="shared" si="413"/>
        <v>12150</v>
      </c>
      <c r="EC206" s="46">
        <f t="shared" si="414"/>
        <v>0</v>
      </c>
      <c r="ED206" s="47">
        <f t="shared" si="415"/>
        <v>0</v>
      </c>
    </row>
    <row r="207" spans="1:134" x14ac:dyDescent="0.35">
      <c r="A207" s="81">
        <v>2000</v>
      </c>
      <c r="B207" s="82" t="s">
        <v>362</v>
      </c>
      <c r="C207" s="82"/>
      <c r="D207" s="83" t="s">
        <v>66</v>
      </c>
      <c r="E207" s="87">
        <v>12000</v>
      </c>
      <c r="F207" s="85">
        <v>36708</v>
      </c>
      <c r="G207" s="86">
        <v>50</v>
      </c>
      <c r="H207" s="179"/>
      <c r="I207" s="180"/>
      <c r="J207" s="181"/>
      <c r="K207" s="42">
        <f t="shared" si="366"/>
        <v>0.02</v>
      </c>
      <c r="L207" s="43">
        <f t="shared" si="367"/>
        <v>240</v>
      </c>
      <c r="M207" s="44">
        <f t="shared" si="368"/>
        <v>9240</v>
      </c>
      <c r="N207" s="44"/>
      <c r="O207" s="44">
        <f t="shared" si="369"/>
        <v>2760</v>
      </c>
      <c r="P207" s="45"/>
      <c r="Q207" s="44">
        <f t="shared" si="370"/>
        <v>12000</v>
      </c>
      <c r="R207" s="604">
        <f t="shared" si="416"/>
        <v>0</v>
      </c>
      <c r="S207" s="44">
        <f t="shared" si="417"/>
        <v>0</v>
      </c>
      <c r="T207" s="44">
        <f t="shared" si="418"/>
        <v>0</v>
      </c>
      <c r="U207" s="44">
        <f t="shared" si="419"/>
        <v>0</v>
      </c>
      <c r="V207" s="44">
        <f t="shared" si="420"/>
        <v>12000</v>
      </c>
      <c r="W207" s="44">
        <f t="shared" si="421"/>
        <v>12000</v>
      </c>
      <c r="X207" s="44">
        <f t="shared" si="371"/>
        <v>240</v>
      </c>
      <c r="Y207" s="44">
        <f t="shared" si="422"/>
        <v>240</v>
      </c>
      <c r="Z207" s="44">
        <f t="shared" si="372"/>
        <v>9000</v>
      </c>
      <c r="AA207" s="44">
        <f t="shared" si="423"/>
        <v>9000</v>
      </c>
      <c r="AB207" s="44">
        <f t="shared" si="373"/>
        <v>3000</v>
      </c>
      <c r="AC207" s="46">
        <f t="shared" si="374"/>
        <v>0</v>
      </c>
      <c r="AD207" s="47">
        <f t="shared" si="375"/>
        <v>0</v>
      </c>
      <c r="AE207" s="604">
        <f t="shared" si="424"/>
        <v>0</v>
      </c>
      <c r="AF207" s="44">
        <f t="shared" si="425"/>
        <v>0</v>
      </c>
      <c r="AG207" s="44">
        <f t="shared" si="426"/>
        <v>0</v>
      </c>
      <c r="AH207" s="44">
        <f t="shared" si="427"/>
        <v>0</v>
      </c>
      <c r="AI207" s="44">
        <f t="shared" si="428"/>
        <v>12000</v>
      </c>
      <c r="AJ207" s="44">
        <f t="shared" si="429"/>
        <v>12000</v>
      </c>
      <c r="AK207" s="44">
        <f t="shared" si="376"/>
        <v>240</v>
      </c>
      <c r="AL207" s="44">
        <f t="shared" si="430"/>
        <v>240</v>
      </c>
      <c r="AM207" s="44">
        <f t="shared" si="377"/>
        <v>8760</v>
      </c>
      <c r="AN207" s="44">
        <f t="shared" si="431"/>
        <v>8760</v>
      </c>
      <c r="AO207" s="44">
        <f t="shared" si="378"/>
        <v>3240</v>
      </c>
      <c r="AP207" s="46">
        <f t="shared" si="379"/>
        <v>0</v>
      </c>
      <c r="AQ207" s="47">
        <f t="shared" si="380"/>
        <v>0</v>
      </c>
      <c r="AR207" s="604">
        <f t="shared" si="432"/>
        <v>0</v>
      </c>
      <c r="AS207" s="44">
        <f t="shared" si="433"/>
        <v>0</v>
      </c>
      <c r="AT207" s="44">
        <f t="shared" si="434"/>
        <v>0</v>
      </c>
      <c r="AU207" s="44">
        <f t="shared" si="435"/>
        <v>0</v>
      </c>
      <c r="AV207" s="44">
        <f t="shared" si="436"/>
        <v>12000</v>
      </c>
      <c r="AW207" s="44">
        <f t="shared" si="437"/>
        <v>12000</v>
      </c>
      <c r="AX207" s="44">
        <f t="shared" si="381"/>
        <v>240</v>
      </c>
      <c r="AY207" s="44">
        <f t="shared" si="438"/>
        <v>240</v>
      </c>
      <c r="AZ207" s="44">
        <f t="shared" si="382"/>
        <v>8520</v>
      </c>
      <c r="BA207" s="44">
        <f t="shared" si="439"/>
        <v>8520</v>
      </c>
      <c r="BB207" s="44">
        <f t="shared" si="383"/>
        <v>3480</v>
      </c>
      <c r="BC207" s="46">
        <f t="shared" si="384"/>
        <v>0</v>
      </c>
      <c r="BD207" s="47">
        <f t="shared" si="385"/>
        <v>0</v>
      </c>
      <c r="BE207" s="604">
        <f t="shared" si="440"/>
        <v>0</v>
      </c>
      <c r="BF207" s="44">
        <f t="shared" si="441"/>
        <v>0</v>
      </c>
      <c r="BG207" s="44">
        <f t="shared" si="442"/>
        <v>0</v>
      </c>
      <c r="BH207" s="44">
        <f t="shared" si="443"/>
        <v>0</v>
      </c>
      <c r="BI207" s="44">
        <f t="shared" si="444"/>
        <v>12000</v>
      </c>
      <c r="BJ207" s="44">
        <f t="shared" si="445"/>
        <v>12000</v>
      </c>
      <c r="BK207" s="44">
        <f t="shared" si="386"/>
        <v>240</v>
      </c>
      <c r="BL207" s="44">
        <f t="shared" si="446"/>
        <v>240</v>
      </c>
      <c r="BM207" s="44">
        <f t="shared" si="387"/>
        <v>8280</v>
      </c>
      <c r="BN207" s="44">
        <f t="shared" si="447"/>
        <v>8280</v>
      </c>
      <c r="BO207" s="44">
        <f t="shared" si="388"/>
        <v>3720</v>
      </c>
      <c r="BP207" s="46">
        <f t="shared" si="389"/>
        <v>0</v>
      </c>
      <c r="BQ207" s="47">
        <f t="shared" si="390"/>
        <v>0</v>
      </c>
      <c r="BR207" s="604">
        <f t="shared" si="448"/>
        <v>0</v>
      </c>
      <c r="BS207" s="44">
        <f t="shared" si="449"/>
        <v>0</v>
      </c>
      <c r="BT207" s="44">
        <f t="shared" si="450"/>
        <v>0</v>
      </c>
      <c r="BU207" s="44">
        <f t="shared" si="451"/>
        <v>0</v>
      </c>
      <c r="BV207" s="44">
        <f t="shared" si="452"/>
        <v>12000</v>
      </c>
      <c r="BW207" s="44">
        <f t="shared" si="453"/>
        <v>12000</v>
      </c>
      <c r="BX207" s="44">
        <f t="shared" si="391"/>
        <v>240</v>
      </c>
      <c r="BY207" s="44">
        <f t="shared" si="454"/>
        <v>240</v>
      </c>
      <c r="BZ207" s="44">
        <f t="shared" si="392"/>
        <v>8040</v>
      </c>
      <c r="CA207" s="44">
        <f t="shared" si="455"/>
        <v>8040</v>
      </c>
      <c r="CB207" s="44">
        <f t="shared" si="393"/>
        <v>3960</v>
      </c>
      <c r="CC207" s="46">
        <f t="shared" si="394"/>
        <v>0</v>
      </c>
      <c r="CD207" s="47">
        <f t="shared" si="395"/>
        <v>0</v>
      </c>
      <c r="CE207" s="604">
        <f t="shared" si="456"/>
        <v>0</v>
      </c>
      <c r="CF207" s="44">
        <f t="shared" si="457"/>
        <v>0</v>
      </c>
      <c r="CG207" s="44">
        <f t="shared" si="458"/>
        <v>0</v>
      </c>
      <c r="CH207" s="44">
        <f t="shared" si="459"/>
        <v>0</v>
      </c>
      <c r="CI207" s="44">
        <f t="shared" si="460"/>
        <v>12000</v>
      </c>
      <c r="CJ207" s="44">
        <f t="shared" si="461"/>
        <v>12000</v>
      </c>
      <c r="CK207" s="44">
        <f t="shared" si="396"/>
        <v>240</v>
      </c>
      <c r="CL207" s="44">
        <f t="shared" si="462"/>
        <v>240</v>
      </c>
      <c r="CM207" s="44">
        <f t="shared" si="397"/>
        <v>7800</v>
      </c>
      <c r="CN207" s="44">
        <f t="shared" si="463"/>
        <v>7800</v>
      </c>
      <c r="CO207" s="44">
        <f t="shared" si="398"/>
        <v>4200</v>
      </c>
      <c r="CP207" s="46">
        <f t="shared" si="399"/>
        <v>0</v>
      </c>
      <c r="CQ207" s="47">
        <f t="shared" si="400"/>
        <v>0</v>
      </c>
      <c r="CR207" s="604">
        <f t="shared" si="464"/>
        <v>0</v>
      </c>
      <c r="CS207" s="44">
        <f t="shared" si="465"/>
        <v>0</v>
      </c>
      <c r="CT207" s="44">
        <f t="shared" si="466"/>
        <v>0</v>
      </c>
      <c r="CU207" s="44">
        <f t="shared" si="467"/>
        <v>0</v>
      </c>
      <c r="CV207" s="44">
        <f t="shared" si="468"/>
        <v>12000</v>
      </c>
      <c r="CW207" s="44">
        <f t="shared" si="469"/>
        <v>12000</v>
      </c>
      <c r="CX207" s="44">
        <f t="shared" si="401"/>
        <v>240</v>
      </c>
      <c r="CY207" s="44">
        <f t="shared" si="470"/>
        <v>240</v>
      </c>
      <c r="CZ207" s="44">
        <f t="shared" si="402"/>
        <v>7560</v>
      </c>
      <c r="DA207" s="44">
        <f t="shared" si="471"/>
        <v>7560</v>
      </c>
      <c r="DB207" s="44">
        <f t="shared" si="403"/>
        <v>4440</v>
      </c>
      <c r="DC207" s="46">
        <f t="shared" si="404"/>
        <v>0</v>
      </c>
      <c r="DD207" s="47">
        <f t="shared" si="405"/>
        <v>0</v>
      </c>
      <c r="DE207" s="604">
        <f t="shared" si="472"/>
        <v>0</v>
      </c>
      <c r="DF207" s="44">
        <f t="shared" si="473"/>
        <v>0</v>
      </c>
      <c r="DG207" s="44">
        <f t="shared" si="474"/>
        <v>0</v>
      </c>
      <c r="DH207" s="44">
        <f t="shared" si="475"/>
        <v>0</v>
      </c>
      <c r="DI207" s="44">
        <f t="shared" si="476"/>
        <v>12000</v>
      </c>
      <c r="DJ207" s="44">
        <f t="shared" si="477"/>
        <v>12000</v>
      </c>
      <c r="DK207" s="44">
        <f t="shared" si="406"/>
        <v>240</v>
      </c>
      <c r="DL207" s="44">
        <f t="shared" si="478"/>
        <v>240</v>
      </c>
      <c r="DM207" s="44">
        <f t="shared" si="407"/>
        <v>7320</v>
      </c>
      <c r="DN207" s="44">
        <f t="shared" si="479"/>
        <v>7320</v>
      </c>
      <c r="DO207" s="44">
        <f t="shared" si="408"/>
        <v>4680</v>
      </c>
      <c r="DP207" s="46">
        <f t="shared" si="409"/>
        <v>0</v>
      </c>
      <c r="DQ207" s="47">
        <f t="shared" si="410"/>
        <v>0</v>
      </c>
      <c r="DR207" s="604">
        <f t="shared" si="480"/>
        <v>0</v>
      </c>
      <c r="DS207" s="44">
        <f t="shared" si="481"/>
        <v>0</v>
      </c>
      <c r="DT207" s="44">
        <f t="shared" si="482"/>
        <v>0</v>
      </c>
      <c r="DU207" s="44">
        <f t="shared" si="483"/>
        <v>0</v>
      </c>
      <c r="DV207" s="44">
        <f t="shared" si="484"/>
        <v>12000</v>
      </c>
      <c r="DW207" s="44">
        <f t="shared" si="485"/>
        <v>12000</v>
      </c>
      <c r="DX207" s="44">
        <f t="shared" si="411"/>
        <v>240</v>
      </c>
      <c r="DY207" s="44">
        <f t="shared" si="486"/>
        <v>240</v>
      </c>
      <c r="DZ207" s="44">
        <f t="shared" si="412"/>
        <v>7080</v>
      </c>
      <c r="EA207" s="44">
        <f t="shared" si="487"/>
        <v>7080</v>
      </c>
      <c r="EB207" s="44">
        <f t="shared" si="413"/>
        <v>4920</v>
      </c>
      <c r="EC207" s="46">
        <f t="shared" si="414"/>
        <v>0</v>
      </c>
      <c r="ED207" s="47">
        <f t="shared" si="415"/>
        <v>0</v>
      </c>
    </row>
    <row r="208" spans="1:134" x14ac:dyDescent="0.35">
      <c r="A208" s="81">
        <v>2002</v>
      </c>
      <c r="B208" s="82" t="s">
        <v>363</v>
      </c>
      <c r="C208" s="82"/>
      <c r="D208" s="83" t="s">
        <v>66</v>
      </c>
      <c r="E208" s="87">
        <v>13500</v>
      </c>
      <c r="F208" s="85">
        <v>37438</v>
      </c>
      <c r="G208" s="86">
        <v>50</v>
      </c>
      <c r="H208" s="179"/>
      <c r="I208" s="180"/>
      <c r="J208" s="181"/>
      <c r="K208" s="42">
        <f t="shared" si="366"/>
        <v>0.02</v>
      </c>
      <c r="L208" s="43">
        <f t="shared" si="367"/>
        <v>270</v>
      </c>
      <c r="M208" s="44">
        <f t="shared" si="368"/>
        <v>10935</v>
      </c>
      <c r="N208" s="44"/>
      <c r="O208" s="44">
        <f t="shared" si="369"/>
        <v>2565</v>
      </c>
      <c r="P208" s="45"/>
      <c r="Q208" s="44">
        <f t="shared" si="370"/>
        <v>13500</v>
      </c>
      <c r="R208" s="604">
        <f t="shared" si="416"/>
        <v>0</v>
      </c>
      <c r="S208" s="44">
        <f t="shared" si="417"/>
        <v>0</v>
      </c>
      <c r="T208" s="44">
        <f t="shared" si="418"/>
        <v>0</v>
      </c>
      <c r="U208" s="44">
        <f t="shared" si="419"/>
        <v>0</v>
      </c>
      <c r="V208" s="44">
        <f t="shared" si="420"/>
        <v>13500</v>
      </c>
      <c r="W208" s="44">
        <f t="shared" si="421"/>
        <v>13500</v>
      </c>
      <c r="X208" s="44">
        <f t="shared" si="371"/>
        <v>270</v>
      </c>
      <c r="Y208" s="44">
        <f t="shared" si="422"/>
        <v>270</v>
      </c>
      <c r="Z208" s="44">
        <f t="shared" si="372"/>
        <v>10665</v>
      </c>
      <c r="AA208" s="44">
        <f t="shared" si="423"/>
        <v>10665</v>
      </c>
      <c r="AB208" s="44">
        <f t="shared" si="373"/>
        <v>2835</v>
      </c>
      <c r="AC208" s="46">
        <f t="shared" si="374"/>
        <v>0</v>
      </c>
      <c r="AD208" s="47">
        <f t="shared" si="375"/>
        <v>0</v>
      </c>
      <c r="AE208" s="604">
        <f t="shared" si="424"/>
        <v>0</v>
      </c>
      <c r="AF208" s="44">
        <f t="shared" si="425"/>
        <v>0</v>
      </c>
      <c r="AG208" s="44">
        <f t="shared" si="426"/>
        <v>0</v>
      </c>
      <c r="AH208" s="44">
        <f t="shared" si="427"/>
        <v>0</v>
      </c>
      <c r="AI208" s="44">
        <f t="shared" si="428"/>
        <v>13500</v>
      </c>
      <c r="AJ208" s="44">
        <f t="shared" si="429"/>
        <v>13500</v>
      </c>
      <c r="AK208" s="44">
        <f t="shared" si="376"/>
        <v>270</v>
      </c>
      <c r="AL208" s="44">
        <f t="shared" si="430"/>
        <v>270</v>
      </c>
      <c r="AM208" s="44">
        <f t="shared" si="377"/>
        <v>10395</v>
      </c>
      <c r="AN208" s="44">
        <f t="shared" si="431"/>
        <v>10395</v>
      </c>
      <c r="AO208" s="44">
        <f t="shared" si="378"/>
        <v>3105</v>
      </c>
      <c r="AP208" s="46">
        <f t="shared" si="379"/>
        <v>0</v>
      </c>
      <c r="AQ208" s="47">
        <f t="shared" si="380"/>
        <v>0</v>
      </c>
      <c r="AR208" s="604">
        <f t="shared" si="432"/>
        <v>0</v>
      </c>
      <c r="AS208" s="44">
        <f t="shared" si="433"/>
        <v>0</v>
      </c>
      <c r="AT208" s="44">
        <f t="shared" si="434"/>
        <v>0</v>
      </c>
      <c r="AU208" s="44">
        <f t="shared" si="435"/>
        <v>0</v>
      </c>
      <c r="AV208" s="44">
        <f t="shared" si="436"/>
        <v>13500</v>
      </c>
      <c r="AW208" s="44">
        <f t="shared" si="437"/>
        <v>13500</v>
      </c>
      <c r="AX208" s="44">
        <f t="shared" si="381"/>
        <v>270</v>
      </c>
      <c r="AY208" s="44">
        <f t="shared" si="438"/>
        <v>270</v>
      </c>
      <c r="AZ208" s="44">
        <f t="shared" si="382"/>
        <v>10125</v>
      </c>
      <c r="BA208" s="44">
        <f t="shared" si="439"/>
        <v>10125</v>
      </c>
      <c r="BB208" s="44">
        <f t="shared" si="383"/>
        <v>3375</v>
      </c>
      <c r="BC208" s="46">
        <f t="shared" si="384"/>
        <v>0</v>
      </c>
      <c r="BD208" s="47">
        <f t="shared" si="385"/>
        <v>0</v>
      </c>
      <c r="BE208" s="604">
        <f t="shared" si="440"/>
        <v>0</v>
      </c>
      <c r="BF208" s="44">
        <f t="shared" si="441"/>
        <v>0</v>
      </c>
      <c r="BG208" s="44">
        <f t="shared" si="442"/>
        <v>0</v>
      </c>
      <c r="BH208" s="44">
        <f t="shared" si="443"/>
        <v>0</v>
      </c>
      <c r="BI208" s="44">
        <f t="shared" si="444"/>
        <v>13500</v>
      </c>
      <c r="BJ208" s="44">
        <f t="shared" si="445"/>
        <v>13500</v>
      </c>
      <c r="BK208" s="44">
        <f t="shared" si="386"/>
        <v>270</v>
      </c>
      <c r="BL208" s="44">
        <f t="shared" si="446"/>
        <v>270</v>
      </c>
      <c r="BM208" s="44">
        <f t="shared" si="387"/>
        <v>9855</v>
      </c>
      <c r="BN208" s="44">
        <f t="shared" si="447"/>
        <v>9855</v>
      </c>
      <c r="BO208" s="44">
        <f t="shared" si="388"/>
        <v>3645</v>
      </c>
      <c r="BP208" s="46">
        <f t="shared" si="389"/>
        <v>0</v>
      </c>
      <c r="BQ208" s="47">
        <f t="shared" si="390"/>
        <v>0</v>
      </c>
      <c r="BR208" s="604">
        <f t="shared" si="448"/>
        <v>0</v>
      </c>
      <c r="BS208" s="44">
        <f t="shared" si="449"/>
        <v>0</v>
      </c>
      <c r="BT208" s="44">
        <f t="shared" si="450"/>
        <v>0</v>
      </c>
      <c r="BU208" s="44">
        <f t="shared" si="451"/>
        <v>0</v>
      </c>
      <c r="BV208" s="44">
        <f t="shared" si="452"/>
        <v>13500</v>
      </c>
      <c r="BW208" s="44">
        <f t="shared" si="453"/>
        <v>13500</v>
      </c>
      <c r="BX208" s="44">
        <f t="shared" si="391"/>
        <v>270</v>
      </c>
      <c r="BY208" s="44">
        <f t="shared" si="454"/>
        <v>270</v>
      </c>
      <c r="BZ208" s="44">
        <f t="shared" si="392"/>
        <v>9585</v>
      </c>
      <c r="CA208" s="44">
        <f t="shared" si="455"/>
        <v>9585</v>
      </c>
      <c r="CB208" s="44">
        <f t="shared" si="393"/>
        <v>3915</v>
      </c>
      <c r="CC208" s="46">
        <f t="shared" si="394"/>
        <v>0</v>
      </c>
      <c r="CD208" s="47">
        <f t="shared" si="395"/>
        <v>0</v>
      </c>
      <c r="CE208" s="604">
        <f t="shared" si="456"/>
        <v>0</v>
      </c>
      <c r="CF208" s="44">
        <f t="shared" si="457"/>
        <v>0</v>
      </c>
      <c r="CG208" s="44">
        <f t="shared" si="458"/>
        <v>0</v>
      </c>
      <c r="CH208" s="44">
        <f t="shared" si="459"/>
        <v>0</v>
      </c>
      <c r="CI208" s="44">
        <f t="shared" si="460"/>
        <v>13500</v>
      </c>
      <c r="CJ208" s="44">
        <f t="shared" si="461"/>
        <v>13500</v>
      </c>
      <c r="CK208" s="44">
        <f t="shared" si="396"/>
        <v>270</v>
      </c>
      <c r="CL208" s="44">
        <f t="shared" si="462"/>
        <v>270</v>
      </c>
      <c r="CM208" s="44">
        <f t="shared" si="397"/>
        <v>9315</v>
      </c>
      <c r="CN208" s="44">
        <f t="shared" si="463"/>
        <v>9315</v>
      </c>
      <c r="CO208" s="44">
        <f t="shared" si="398"/>
        <v>4185</v>
      </c>
      <c r="CP208" s="46">
        <f t="shared" si="399"/>
        <v>0</v>
      </c>
      <c r="CQ208" s="47">
        <f t="shared" si="400"/>
        <v>0</v>
      </c>
      <c r="CR208" s="604">
        <f t="shared" si="464"/>
        <v>0</v>
      </c>
      <c r="CS208" s="44">
        <f t="shared" si="465"/>
        <v>0</v>
      </c>
      <c r="CT208" s="44">
        <f t="shared" si="466"/>
        <v>0</v>
      </c>
      <c r="CU208" s="44">
        <f t="shared" si="467"/>
        <v>0</v>
      </c>
      <c r="CV208" s="44">
        <f t="shared" si="468"/>
        <v>13500</v>
      </c>
      <c r="CW208" s="44">
        <f t="shared" si="469"/>
        <v>13500</v>
      </c>
      <c r="CX208" s="44">
        <f t="shared" si="401"/>
        <v>270</v>
      </c>
      <c r="CY208" s="44">
        <f t="shared" si="470"/>
        <v>270</v>
      </c>
      <c r="CZ208" s="44">
        <f t="shared" si="402"/>
        <v>9045</v>
      </c>
      <c r="DA208" s="44">
        <f t="shared" si="471"/>
        <v>9045</v>
      </c>
      <c r="DB208" s="44">
        <f t="shared" si="403"/>
        <v>4455</v>
      </c>
      <c r="DC208" s="46">
        <f t="shared" si="404"/>
        <v>0</v>
      </c>
      <c r="DD208" s="47">
        <f t="shared" si="405"/>
        <v>0</v>
      </c>
      <c r="DE208" s="604">
        <f t="shared" si="472"/>
        <v>0</v>
      </c>
      <c r="DF208" s="44">
        <f t="shared" si="473"/>
        <v>0</v>
      </c>
      <c r="DG208" s="44">
        <f t="shared" si="474"/>
        <v>0</v>
      </c>
      <c r="DH208" s="44">
        <f t="shared" si="475"/>
        <v>0</v>
      </c>
      <c r="DI208" s="44">
        <f t="shared" si="476"/>
        <v>13500</v>
      </c>
      <c r="DJ208" s="44">
        <f t="shared" si="477"/>
        <v>13500</v>
      </c>
      <c r="DK208" s="44">
        <f t="shared" si="406"/>
        <v>270</v>
      </c>
      <c r="DL208" s="44">
        <f t="shared" si="478"/>
        <v>270</v>
      </c>
      <c r="DM208" s="44">
        <f t="shared" si="407"/>
        <v>8775</v>
      </c>
      <c r="DN208" s="44">
        <f t="shared" si="479"/>
        <v>8775</v>
      </c>
      <c r="DO208" s="44">
        <f t="shared" si="408"/>
        <v>4725</v>
      </c>
      <c r="DP208" s="46">
        <f t="shared" si="409"/>
        <v>0</v>
      </c>
      <c r="DQ208" s="47">
        <f t="shared" si="410"/>
        <v>0</v>
      </c>
      <c r="DR208" s="604">
        <f t="shared" si="480"/>
        <v>0</v>
      </c>
      <c r="DS208" s="44">
        <f t="shared" si="481"/>
        <v>0</v>
      </c>
      <c r="DT208" s="44">
        <f t="shared" si="482"/>
        <v>0</v>
      </c>
      <c r="DU208" s="44">
        <f t="shared" si="483"/>
        <v>0</v>
      </c>
      <c r="DV208" s="44">
        <f t="shared" si="484"/>
        <v>13500</v>
      </c>
      <c r="DW208" s="44">
        <f t="shared" si="485"/>
        <v>13500</v>
      </c>
      <c r="DX208" s="44">
        <f t="shared" si="411"/>
        <v>270</v>
      </c>
      <c r="DY208" s="44">
        <f t="shared" si="486"/>
        <v>270</v>
      </c>
      <c r="DZ208" s="44">
        <f t="shared" si="412"/>
        <v>8505</v>
      </c>
      <c r="EA208" s="44">
        <f t="shared" si="487"/>
        <v>8505</v>
      </c>
      <c r="EB208" s="44">
        <f t="shared" si="413"/>
        <v>4995</v>
      </c>
      <c r="EC208" s="46">
        <f t="shared" si="414"/>
        <v>0</v>
      </c>
      <c r="ED208" s="47">
        <f t="shared" si="415"/>
        <v>0</v>
      </c>
    </row>
    <row r="209" spans="1:134" x14ac:dyDescent="0.35">
      <c r="A209" s="81">
        <v>2003</v>
      </c>
      <c r="B209" s="82" t="s">
        <v>364</v>
      </c>
      <c r="C209" s="82"/>
      <c r="D209" s="83" t="s">
        <v>66</v>
      </c>
      <c r="E209" s="87">
        <v>10500</v>
      </c>
      <c r="F209" s="85">
        <v>37803</v>
      </c>
      <c r="G209" s="86">
        <v>50</v>
      </c>
      <c r="H209" s="179"/>
      <c r="I209" s="180"/>
      <c r="J209" s="181"/>
      <c r="K209" s="42">
        <f t="shared" si="366"/>
        <v>0.02</v>
      </c>
      <c r="L209" s="43">
        <f t="shared" si="367"/>
        <v>210</v>
      </c>
      <c r="M209" s="44">
        <f t="shared" si="368"/>
        <v>8715</v>
      </c>
      <c r="N209" s="44"/>
      <c r="O209" s="44">
        <f t="shared" si="369"/>
        <v>1785</v>
      </c>
      <c r="P209" s="45"/>
      <c r="Q209" s="44">
        <f t="shared" si="370"/>
        <v>10500</v>
      </c>
      <c r="R209" s="604">
        <f t="shared" si="416"/>
        <v>0</v>
      </c>
      <c r="S209" s="44">
        <f t="shared" si="417"/>
        <v>0</v>
      </c>
      <c r="T209" s="44">
        <f t="shared" si="418"/>
        <v>0</v>
      </c>
      <c r="U209" s="44">
        <f t="shared" si="419"/>
        <v>0</v>
      </c>
      <c r="V209" s="44">
        <f t="shared" si="420"/>
        <v>10500</v>
      </c>
      <c r="W209" s="44">
        <f t="shared" si="421"/>
        <v>10500</v>
      </c>
      <c r="X209" s="44">
        <f t="shared" si="371"/>
        <v>210</v>
      </c>
      <c r="Y209" s="44">
        <f t="shared" si="422"/>
        <v>210</v>
      </c>
      <c r="Z209" s="44">
        <f t="shared" si="372"/>
        <v>8505</v>
      </c>
      <c r="AA209" s="44">
        <f t="shared" si="423"/>
        <v>8505</v>
      </c>
      <c r="AB209" s="44">
        <f t="shared" si="373"/>
        <v>1995</v>
      </c>
      <c r="AC209" s="46">
        <f t="shared" si="374"/>
        <v>0</v>
      </c>
      <c r="AD209" s="47">
        <f t="shared" si="375"/>
        <v>0</v>
      </c>
      <c r="AE209" s="604">
        <f t="shared" si="424"/>
        <v>0</v>
      </c>
      <c r="AF209" s="44">
        <f t="shared" si="425"/>
        <v>0</v>
      </c>
      <c r="AG209" s="44">
        <f t="shared" si="426"/>
        <v>0</v>
      </c>
      <c r="AH209" s="44">
        <f t="shared" si="427"/>
        <v>0</v>
      </c>
      <c r="AI209" s="44">
        <f t="shared" si="428"/>
        <v>10500</v>
      </c>
      <c r="AJ209" s="44">
        <f t="shared" si="429"/>
        <v>10500</v>
      </c>
      <c r="AK209" s="44">
        <f t="shared" si="376"/>
        <v>210</v>
      </c>
      <c r="AL209" s="44">
        <f t="shared" si="430"/>
        <v>210</v>
      </c>
      <c r="AM209" s="44">
        <f t="shared" si="377"/>
        <v>8295</v>
      </c>
      <c r="AN209" s="44">
        <f t="shared" si="431"/>
        <v>8295</v>
      </c>
      <c r="AO209" s="44">
        <f t="shared" si="378"/>
        <v>2205</v>
      </c>
      <c r="AP209" s="46">
        <f t="shared" si="379"/>
        <v>0</v>
      </c>
      <c r="AQ209" s="47">
        <f t="shared" si="380"/>
        <v>0</v>
      </c>
      <c r="AR209" s="604">
        <f t="shared" si="432"/>
        <v>0</v>
      </c>
      <c r="AS209" s="44">
        <f t="shared" si="433"/>
        <v>0</v>
      </c>
      <c r="AT209" s="44">
        <f t="shared" si="434"/>
        <v>0</v>
      </c>
      <c r="AU209" s="44">
        <f t="shared" si="435"/>
        <v>0</v>
      </c>
      <c r="AV209" s="44">
        <f t="shared" si="436"/>
        <v>10500</v>
      </c>
      <c r="AW209" s="44">
        <f t="shared" si="437"/>
        <v>10500</v>
      </c>
      <c r="AX209" s="44">
        <f t="shared" si="381"/>
        <v>210</v>
      </c>
      <c r="AY209" s="44">
        <f t="shared" si="438"/>
        <v>210</v>
      </c>
      <c r="AZ209" s="44">
        <f t="shared" si="382"/>
        <v>8085</v>
      </c>
      <c r="BA209" s="44">
        <f t="shared" si="439"/>
        <v>8085</v>
      </c>
      <c r="BB209" s="44">
        <f t="shared" si="383"/>
        <v>2415</v>
      </c>
      <c r="BC209" s="46">
        <f t="shared" si="384"/>
        <v>0</v>
      </c>
      <c r="BD209" s="47">
        <f t="shared" si="385"/>
        <v>0</v>
      </c>
      <c r="BE209" s="604">
        <f t="shared" si="440"/>
        <v>0</v>
      </c>
      <c r="BF209" s="44">
        <f t="shared" si="441"/>
        <v>0</v>
      </c>
      <c r="BG209" s="44">
        <f t="shared" si="442"/>
        <v>0</v>
      </c>
      <c r="BH209" s="44">
        <f t="shared" si="443"/>
        <v>0</v>
      </c>
      <c r="BI209" s="44">
        <f t="shared" si="444"/>
        <v>10500</v>
      </c>
      <c r="BJ209" s="44">
        <f t="shared" si="445"/>
        <v>10500</v>
      </c>
      <c r="BK209" s="44">
        <f t="shared" si="386"/>
        <v>210</v>
      </c>
      <c r="BL209" s="44">
        <f t="shared" si="446"/>
        <v>210</v>
      </c>
      <c r="BM209" s="44">
        <f t="shared" si="387"/>
        <v>7875</v>
      </c>
      <c r="BN209" s="44">
        <f t="shared" si="447"/>
        <v>7875</v>
      </c>
      <c r="BO209" s="44">
        <f t="shared" si="388"/>
        <v>2625</v>
      </c>
      <c r="BP209" s="46">
        <f t="shared" si="389"/>
        <v>0</v>
      </c>
      <c r="BQ209" s="47">
        <f t="shared" si="390"/>
        <v>0</v>
      </c>
      <c r="BR209" s="604">
        <f t="shared" si="448"/>
        <v>0</v>
      </c>
      <c r="BS209" s="44">
        <f t="shared" si="449"/>
        <v>0</v>
      </c>
      <c r="BT209" s="44">
        <f t="shared" si="450"/>
        <v>0</v>
      </c>
      <c r="BU209" s="44">
        <f t="shared" si="451"/>
        <v>0</v>
      </c>
      <c r="BV209" s="44">
        <f t="shared" si="452"/>
        <v>10500</v>
      </c>
      <c r="BW209" s="44">
        <f t="shared" si="453"/>
        <v>10500</v>
      </c>
      <c r="BX209" s="44">
        <f t="shared" si="391"/>
        <v>210</v>
      </c>
      <c r="BY209" s="44">
        <f t="shared" si="454"/>
        <v>210</v>
      </c>
      <c r="BZ209" s="44">
        <f t="shared" si="392"/>
        <v>7665</v>
      </c>
      <c r="CA209" s="44">
        <f t="shared" si="455"/>
        <v>7665</v>
      </c>
      <c r="CB209" s="44">
        <f t="shared" si="393"/>
        <v>2835</v>
      </c>
      <c r="CC209" s="46">
        <f t="shared" si="394"/>
        <v>0</v>
      </c>
      <c r="CD209" s="47">
        <f t="shared" si="395"/>
        <v>0</v>
      </c>
      <c r="CE209" s="604">
        <f t="shared" si="456"/>
        <v>0</v>
      </c>
      <c r="CF209" s="44">
        <f t="shared" si="457"/>
        <v>0</v>
      </c>
      <c r="CG209" s="44">
        <f t="shared" si="458"/>
        <v>0</v>
      </c>
      <c r="CH209" s="44">
        <f t="shared" si="459"/>
        <v>0</v>
      </c>
      <c r="CI209" s="44">
        <f t="shared" si="460"/>
        <v>10500</v>
      </c>
      <c r="CJ209" s="44">
        <f t="shared" si="461"/>
        <v>10500</v>
      </c>
      <c r="CK209" s="44">
        <f t="shared" si="396"/>
        <v>210</v>
      </c>
      <c r="CL209" s="44">
        <f t="shared" si="462"/>
        <v>210</v>
      </c>
      <c r="CM209" s="44">
        <f t="shared" si="397"/>
        <v>7455</v>
      </c>
      <c r="CN209" s="44">
        <f t="shared" si="463"/>
        <v>7455</v>
      </c>
      <c r="CO209" s="44">
        <f t="shared" si="398"/>
        <v>3045</v>
      </c>
      <c r="CP209" s="46">
        <f t="shared" si="399"/>
        <v>0</v>
      </c>
      <c r="CQ209" s="47">
        <f t="shared" si="400"/>
        <v>0</v>
      </c>
      <c r="CR209" s="604">
        <f t="shared" si="464"/>
        <v>0</v>
      </c>
      <c r="CS209" s="44">
        <f t="shared" si="465"/>
        <v>0</v>
      </c>
      <c r="CT209" s="44">
        <f t="shared" si="466"/>
        <v>0</v>
      </c>
      <c r="CU209" s="44">
        <f t="shared" si="467"/>
        <v>0</v>
      </c>
      <c r="CV209" s="44">
        <f t="shared" si="468"/>
        <v>10500</v>
      </c>
      <c r="CW209" s="44">
        <f t="shared" si="469"/>
        <v>10500</v>
      </c>
      <c r="CX209" s="44">
        <f t="shared" si="401"/>
        <v>210</v>
      </c>
      <c r="CY209" s="44">
        <f t="shared" si="470"/>
        <v>210</v>
      </c>
      <c r="CZ209" s="44">
        <f t="shared" si="402"/>
        <v>7245</v>
      </c>
      <c r="DA209" s="44">
        <f t="shared" si="471"/>
        <v>7245</v>
      </c>
      <c r="DB209" s="44">
        <f t="shared" si="403"/>
        <v>3255</v>
      </c>
      <c r="DC209" s="46">
        <f t="shared" si="404"/>
        <v>0</v>
      </c>
      <c r="DD209" s="47">
        <f t="shared" si="405"/>
        <v>0</v>
      </c>
      <c r="DE209" s="604">
        <f t="shared" si="472"/>
        <v>0</v>
      </c>
      <c r="DF209" s="44">
        <f t="shared" si="473"/>
        <v>0</v>
      </c>
      <c r="DG209" s="44">
        <f t="shared" si="474"/>
        <v>0</v>
      </c>
      <c r="DH209" s="44">
        <f t="shared" si="475"/>
        <v>0</v>
      </c>
      <c r="DI209" s="44">
        <f t="shared" si="476"/>
        <v>10500</v>
      </c>
      <c r="DJ209" s="44">
        <f t="shared" si="477"/>
        <v>10500</v>
      </c>
      <c r="DK209" s="44">
        <f t="shared" si="406"/>
        <v>210</v>
      </c>
      <c r="DL209" s="44">
        <f t="shared" si="478"/>
        <v>210</v>
      </c>
      <c r="DM209" s="44">
        <f t="shared" si="407"/>
        <v>7035</v>
      </c>
      <c r="DN209" s="44">
        <f t="shared" si="479"/>
        <v>7035</v>
      </c>
      <c r="DO209" s="44">
        <f t="shared" si="408"/>
        <v>3465</v>
      </c>
      <c r="DP209" s="46">
        <f t="shared" si="409"/>
        <v>0</v>
      </c>
      <c r="DQ209" s="47">
        <f t="shared" si="410"/>
        <v>0</v>
      </c>
      <c r="DR209" s="604">
        <f t="shared" si="480"/>
        <v>0</v>
      </c>
      <c r="DS209" s="44">
        <f t="shared" si="481"/>
        <v>0</v>
      </c>
      <c r="DT209" s="44">
        <f t="shared" si="482"/>
        <v>0</v>
      </c>
      <c r="DU209" s="44">
        <f t="shared" si="483"/>
        <v>0</v>
      </c>
      <c r="DV209" s="44">
        <f t="shared" si="484"/>
        <v>10500</v>
      </c>
      <c r="DW209" s="44">
        <f t="shared" si="485"/>
        <v>10500</v>
      </c>
      <c r="DX209" s="44">
        <f t="shared" si="411"/>
        <v>210</v>
      </c>
      <c r="DY209" s="44">
        <f t="shared" si="486"/>
        <v>210</v>
      </c>
      <c r="DZ209" s="44">
        <f t="shared" si="412"/>
        <v>6825</v>
      </c>
      <c r="EA209" s="44">
        <f t="shared" si="487"/>
        <v>6825</v>
      </c>
      <c r="EB209" s="44">
        <f t="shared" si="413"/>
        <v>3675</v>
      </c>
      <c r="EC209" s="46">
        <f t="shared" si="414"/>
        <v>0</v>
      </c>
      <c r="ED209" s="47">
        <f t="shared" si="415"/>
        <v>0</v>
      </c>
    </row>
    <row r="210" spans="1:134" x14ac:dyDescent="0.35">
      <c r="A210" s="81">
        <v>2006</v>
      </c>
      <c r="B210" s="82" t="s">
        <v>365</v>
      </c>
      <c r="C210" s="82"/>
      <c r="D210" s="83" t="s">
        <v>66</v>
      </c>
      <c r="E210" s="87">
        <v>90000</v>
      </c>
      <c r="F210" s="85">
        <v>38899</v>
      </c>
      <c r="G210" s="86">
        <v>50</v>
      </c>
      <c r="H210" s="179"/>
      <c r="I210" s="180"/>
      <c r="J210" s="181"/>
      <c r="K210" s="42">
        <f t="shared" si="366"/>
        <v>0.02</v>
      </c>
      <c r="L210" s="43">
        <f t="shared" si="367"/>
        <v>1800</v>
      </c>
      <c r="M210" s="44">
        <f t="shared" si="368"/>
        <v>80100</v>
      </c>
      <c r="N210" s="44"/>
      <c r="O210" s="44">
        <f t="shared" si="369"/>
        <v>9900</v>
      </c>
      <c r="P210" s="45"/>
      <c r="Q210" s="44">
        <f t="shared" si="370"/>
        <v>90000</v>
      </c>
      <c r="R210" s="604">
        <f t="shared" si="416"/>
        <v>0</v>
      </c>
      <c r="S210" s="44">
        <f t="shared" si="417"/>
        <v>0</v>
      </c>
      <c r="T210" s="44">
        <f t="shared" si="418"/>
        <v>0</v>
      </c>
      <c r="U210" s="44">
        <f t="shared" si="419"/>
        <v>0</v>
      </c>
      <c r="V210" s="44">
        <f t="shared" si="420"/>
        <v>90000</v>
      </c>
      <c r="W210" s="44">
        <f t="shared" si="421"/>
        <v>90000</v>
      </c>
      <c r="X210" s="44">
        <f t="shared" si="371"/>
        <v>1800</v>
      </c>
      <c r="Y210" s="44">
        <f t="shared" si="422"/>
        <v>1800</v>
      </c>
      <c r="Z210" s="44">
        <f t="shared" si="372"/>
        <v>78300</v>
      </c>
      <c r="AA210" s="44">
        <f t="shared" si="423"/>
        <v>78300</v>
      </c>
      <c r="AB210" s="44">
        <f t="shared" si="373"/>
        <v>11700</v>
      </c>
      <c r="AC210" s="46">
        <f t="shared" si="374"/>
        <v>0</v>
      </c>
      <c r="AD210" s="47">
        <f t="shared" si="375"/>
        <v>0</v>
      </c>
      <c r="AE210" s="604">
        <f t="shared" si="424"/>
        <v>0</v>
      </c>
      <c r="AF210" s="44">
        <f t="shared" si="425"/>
        <v>0</v>
      </c>
      <c r="AG210" s="44">
        <f t="shared" si="426"/>
        <v>0</v>
      </c>
      <c r="AH210" s="44">
        <f t="shared" si="427"/>
        <v>0</v>
      </c>
      <c r="AI210" s="44">
        <f t="shared" si="428"/>
        <v>90000</v>
      </c>
      <c r="AJ210" s="44">
        <f t="shared" si="429"/>
        <v>90000</v>
      </c>
      <c r="AK210" s="44">
        <f t="shared" si="376"/>
        <v>1800</v>
      </c>
      <c r="AL210" s="44">
        <f t="shared" si="430"/>
        <v>1800</v>
      </c>
      <c r="AM210" s="44">
        <f t="shared" si="377"/>
        <v>76500</v>
      </c>
      <c r="AN210" s="44">
        <f t="shared" si="431"/>
        <v>76500</v>
      </c>
      <c r="AO210" s="44">
        <f t="shared" si="378"/>
        <v>13500</v>
      </c>
      <c r="AP210" s="46">
        <f t="shared" si="379"/>
        <v>0</v>
      </c>
      <c r="AQ210" s="47">
        <f t="shared" si="380"/>
        <v>0</v>
      </c>
      <c r="AR210" s="604">
        <f t="shared" si="432"/>
        <v>0</v>
      </c>
      <c r="AS210" s="44">
        <f t="shared" si="433"/>
        <v>0</v>
      </c>
      <c r="AT210" s="44">
        <f t="shared" si="434"/>
        <v>0</v>
      </c>
      <c r="AU210" s="44">
        <f t="shared" si="435"/>
        <v>0</v>
      </c>
      <c r="AV210" s="44">
        <f t="shared" si="436"/>
        <v>90000</v>
      </c>
      <c r="AW210" s="44">
        <f t="shared" si="437"/>
        <v>90000</v>
      </c>
      <c r="AX210" s="44">
        <f t="shared" si="381"/>
        <v>1800</v>
      </c>
      <c r="AY210" s="44">
        <f t="shared" si="438"/>
        <v>1800</v>
      </c>
      <c r="AZ210" s="44">
        <f t="shared" si="382"/>
        <v>74700</v>
      </c>
      <c r="BA210" s="44">
        <f t="shared" si="439"/>
        <v>74700</v>
      </c>
      <c r="BB210" s="44">
        <f t="shared" si="383"/>
        <v>15300</v>
      </c>
      <c r="BC210" s="46">
        <f t="shared" si="384"/>
        <v>0</v>
      </c>
      <c r="BD210" s="47">
        <f t="shared" si="385"/>
        <v>0</v>
      </c>
      <c r="BE210" s="604">
        <f t="shared" si="440"/>
        <v>0</v>
      </c>
      <c r="BF210" s="44">
        <f t="shared" si="441"/>
        <v>0</v>
      </c>
      <c r="BG210" s="44">
        <f t="shared" si="442"/>
        <v>0</v>
      </c>
      <c r="BH210" s="44">
        <f t="shared" si="443"/>
        <v>0</v>
      </c>
      <c r="BI210" s="44">
        <f t="shared" si="444"/>
        <v>90000</v>
      </c>
      <c r="BJ210" s="44">
        <f t="shared" si="445"/>
        <v>90000</v>
      </c>
      <c r="BK210" s="44">
        <f t="shared" si="386"/>
        <v>1800</v>
      </c>
      <c r="BL210" s="44">
        <f t="shared" si="446"/>
        <v>1800</v>
      </c>
      <c r="BM210" s="44">
        <f t="shared" si="387"/>
        <v>72900</v>
      </c>
      <c r="BN210" s="44">
        <f t="shared" si="447"/>
        <v>72900</v>
      </c>
      <c r="BO210" s="44">
        <f t="shared" si="388"/>
        <v>17100</v>
      </c>
      <c r="BP210" s="46">
        <f t="shared" si="389"/>
        <v>0</v>
      </c>
      <c r="BQ210" s="47">
        <f t="shared" si="390"/>
        <v>0</v>
      </c>
      <c r="BR210" s="604">
        <f t="shared" si="448"/>
        <v>0</v>
      </c>
      <c r="BS210" s="44">
        <f t="shared" si="449"/>
        <v>0</v>
      </c>
      <c r="BT210" s="44">
        <f t="shared" si="450"/>
        <v>0</v>
      </c>
      <c r="BU210" s="44">
        <f t="shared" si="451"/>
        <v>0</v>
      </c>
      <c r="BV210" s="44">
        <f t="shared" si="452"/>
        <v>90000</v>
      </c>
      <c r="BW210" s="44">
        <f t="shared" si="453"/>
        <v>90000</v>
      </c>
      <c r="BX210" s="44">
        <f t="shared" si="391"/>
        <v>1800</v>
      </c>
      <c r="BY210" s="44">
        <f t="shared" si="454"/>
        <v>1800</v>
      </c>
      <c r="BZ210" s="44">
        <f t="shared" si="392"/>
        <v>71100</v>
      </c>
      <c r="CA210" s="44">
        <f t="shared" si="455"/>
        <v>71100</v>
      </c>
      <c r="CB210" s="44">
        <f t="shared" si="393"/>
        <v>18900</v>
      </c>
      <c r="CC210" s="46">
        <f t="shared" si="394"/>
        <v>0</v>
      </c>
      <c r="CD210" s="47">
        <f t="shared" si="395"/>
        <v>0</v>
      </c>
      <c r="CE210" s="604">
        <f t="shared" si="456"/>
        <v>0</v>
      </c>
      <c r="CF210" s="44">
        <f t="shared" si="457"/>
        <v>0</v>
      </c>
      <c r="CG210" s="44">
        <f t="shared" si="458"/>
        <v>0</v>
      </c>
      <c r="CH210" s="44">
        <f t="shared" si="459"/>
        <v>0</v>
      </c>
      <c r="CI210" s="44">
        <f t="shared" si="460"/>
        <v>90000</v>
      </c>
      <c r="CJ210" s="44">
        <f t="shared" si="461"/>
        <v>90000</v>
      </c>
      <c r="CK210" s="44">
        <f t="shared" si="396"/>
        <v>1800</v>
      </c>
      <c r="CL210" s="44">
        <f t="shared" si="462"/>
        <v>1800</v>
      </c>
      <c r="CM210" s="44">
        <f t="shared" si="397"/>
        <v>69300</v>
      </c>
      <c r="CN210" s="44">
        <f t="shared" si="463"/>
        <v>69300</v>
      </c>
      <c r="CO210" s="44">
        <f t="shared" si="398"/>
        <v>20700</v>
      </c>
      <c r="CP210" s="46">
        <f t="shared" si="399"/>
        <v>0</v>
      </c>
      <c r="CQ210" s="47">
        <f t="shared" si="400"/>
        <v>0</v>
      </c>
      <c r="CR210" s="604">
        <f t="shared" si="464"/>
        <v>0</v>
      </c>
      <c r="CS210" s="44">
        <f t="shared" si="465"/>
        <v>0</v>
      </c>
      <c r="CT210" s="44">
        <f t="shared" si="466"/>
        <v>0</v>
      </c>
      <c r="CU210" s="44">
        <f t="shared" si="467"/>
        <v>0</v>
      </c>
      <c r="CV210" s="44">
        <f t="shared" si="468"/>
        <v>90000</v>
      </c>
      <c r="CW210" s="44">
        <f t="shared" si="469"/>
        <v>90000</v>
      </c>
      <c r="CX210" s="44">
        <f t="shared" si="401"/>
        <v>1800</v>
      </c>
      <c r="CY210" s="44">
        <f t="shared" si="470"/>
        <v>1800</v>
      </c>
      <c r="CZ210" s="44">
        <f t="shared" si="402"/>
        <v>67500</v>
      </c>
      <c r="DA210" s="44">
        <f t="shared" si="471"/>
        <v>67500</v>
      </c>
      <c r="DB210" s="44">
        <f t="shared" si="403"/>
        <v>22500</v>
      </c>
      <c r="DC210" s="46">
        <f t="shared" si="404"/>
        <v>0</v>
      </c>
      <c r="DD210" s="47">
        <f t="shared" si="405"/>
        <v>0</v>
      </c>
      <c r="DE210" s="604">
        <f t="shared" si="472"/>
        <v>0</v>
      </c>
      <c r="DF210" s="44">
        <f t="shared" si="473"/>
        <v>0</v>
      </c>
      <c r="DG210" s="44">
        <f t="shared" si="474"/>
        <v>0</v>
      </c>
      <c r="DH210" s="44">
        <f t="shared" si="475"/>
        <v>0</v>
      </c>
      <c r="DI210" s="44">
        <f t="shared" si="476"/>
        <v>90000</v>
      </c>
      <c r="DJ210" s="44">
        <f t="shared" si="477"/>
        <v>90000</v>
      </c>
      <c r="DK210" s="44">
        <f t="shared" si="406"/>
        <v>1800</v>
      </c>
      <c r="DL210" s="44">
        <f t="shared" si="478"/>
        <v>1800</v>
      </c>
      <c r="DM210" s="44">
        <f t="shared" si="407"/>
        <v>65700</v>
      </c>
      <c r="DN210" s="44">
        <f t="shared" si="479"/>
        <v>65700</v>
      </c>
      <c r="DO210" s="44">
        <f t="shared" si="408"/>
        <v>24300</v>
      </c>
      <c r="DP210" s="46">
        <f t="shared" si="409"/>
        <v>0</v>
      </c>
      <c r="DQ210" s="47">
        <f t="shared" si="410"/>
        <v>0</v>
      </c>
      <c r="DR210" s="604">
        <f t="shared" si="480"/>
        <v>0</v>
      </c>
      <c r="DS210" s="44">
        <f t="shared" si="481"/>
        <v>0</v>
      </c>
      <c r="DT210" s="44">
        <f t="shared" si="482"/>
        <v>0</v>
      </c>
      <c r="DU210" s="44">
        <f t="shared" si="483"/>
        <v>0</v>
      </c>
      <c r="DV210" s="44">
        <f t="shared" si="484"/>
        <v>90000</v>
      </c>
      <c r="DW210" s="44">
        <f t="shared" si="485"/>
        <v>90000</v>
      </c>
      <c r="DX210" s="44">
        <f t="shared" si="411"/>
        <v>1800</v>
      </c>
      <c r="DY210" s="44">
        <f t="shared" si="486"/>
        <v>1800</v>
      </c>
      <c r="DZ210" s="44">
        <f t="shared" si="412"/>
        <v>63900</v>
      </c>
      <c r="EA210" s="44">
        <f t="shared" si="487"/>
        <v>63900</v>
      </c>
      <c r="EB210" s="44">
        <f t="shared" si="413"/>
        <v>26100</v>
      </c>
      <c r="EC210" s="46">
        <f t="shared" si="414"/>
        <v>0</v>
      </c>
      <c r="ED210" s="47">
        <f t="shared" si="415"/>
        <v>0</v>
      </c>
    </row>
    <row r="211" spans="1:134" x14ac:dyDescent="0.35">
      <c r="A211" s="81">
        <v>2008</v>
      </c>
      <c r="B211" s="82" t="s">
        <v>366</v>
      </c>
      <c r="C211" s="82"/>
      <c r="D211" s="83" t="s">
        <v>66</v>
      </c>
      <c r="E211" s="87">
        <v>22500</v>
      </c>
      <c r="F211" s="85">
        <v>39630</v>
      </c>
      <c r="G211" s="86">
        <v>50</v>
      </c>
      <c r="H211" s="179"/>
      <c r="I211" s="180"/>
      <c r="J211" s="181"/>
      <c r="K211" s="42">
        <f t="shared" si="366"/>
        <v>0.02</v>
      </c>
      <c r="L211" s="43">
        <f t="shared" si="367"/>
        <v>450</v>
      </c>
      <c r="M211" s="44">
        <f t="shared" si="368"/>
        <v>20925</v>
      </c>
      <c r="N211" s="44"/>
      <c r="O211" s="44">
        <f t="shared" si="369"/>
        <v>1575</v>
      </c>
      <c r="P211" s="45"/>
      <c r="Q211" s="44">
        <f t="shared" si="370"/>
        <v>22500</v>
      </c>
      <c r="R211" s="604">
        <f t="shared" si="416"/>
        <v>0</v>
      </c>
      <c r="S211" s="44">
        <f t="shared" si="417"/>
        <v>0</v>
      </c>
      <c r="T211" s="44">
        <f t="shared" si="418"/>
        <v>0</v>
      </c>
      <c r="U211" s="44">
        <f t="shared" si="419"/>
        <v>0</v>
      </c>
      <c r="V211" s="44">
        <f t="shared" si="420"/>
        <v>22500</v>
      </c>
      <c r="W211" s="44">
        <f t="shared" si="421"/>
        <v>22500</v>
      </c>
      <c r="X211" s="44">
        <f t="shared" si="371"/>
        <v>450</v>
      </c>
      <c r="Y211" s="44">
        <f t="shared" si="422"/>
        <v>450</v>
      </c>
      <c r="Z211" s="44">
        <f t="shared" si="372"/>
        <v>20475</v>
      </c>
      <c r="AA211" s="44">
        <f t="shared" si="423"/>
        <v>20475</v>
      </c>
      <c r="AB211" s="44">
        <f t="shared" si="373"/>
        <v>2025</v>
      </c>
      <c r="AC211" s="46">
        <f t="shared" si="374"/>
        <v>0</v>
      </c>
      <c r="AD211" s="47">
        <f t="shared" si="375"/>
        <v>0</v>
      </c>
      <c r="AE211" s="604">
        <f t="shared" si="424"/>
        <v>0</v>
      </c>
      <c r="AF211" s="44">
        <f t="shared" si="425"/>
        <v>0</v>
      </c>
      <c r="AG211" s="44">
        <f t="shared" si="426"/>
        <v>0</v>
      </c>
      <c r="AH211" s="44">
        <f t="shared" si="427"/>
        <v>0</v>
      </c>
      <c r="AI211" s="44">
        <f t="shared" si="428"/>
        <v>22500</v>
      </c>
      <c r="AJ211" s="44">
        <f t="shared" si="429"/>
        <v>22500</v>
      </c>
      <c r="AK211" s="44">
        <f t="shared" si="376"/>
        <v>450</v>
      </c>
      <c r="AL211" s="44">
        <f t="shared" si="430"/>
        <v>450</v>
      </c>
      <c r="AM211" s="44">
        <f t="shared" si="377"/>
        <v>20025</v>
      </c>
      <c r="AN211" s="44">
        <f t="shared" si="431"/>
        <v>20025</v>
      </c>
      <c r="AO211" s="44">
        <f t="shared" si="378"/>
        <v>2475</v>
      </c>
      <c r="AP211" s="46">
        <f t="shared" si="379"/>
        <v>0</v>
      </c>
      <c r="AQ211" s="47">
        <f t="shared" si="380"/>
        <v>0</v>
      </c>
      <c r="AR211" s="604">
        <f t="shared" si="432"/>
        <v>0</v>
      </c>
      <c r="AS211" s="44">
        <f t="shared" si="433"/>
        <v>0</v>
      </c>
      <c r="AT211" s="44">
        <f t="shared" si="434"/>
        <v>0</v>
      </c>
      <c r="AU211" s="44">
        <f t="shared" si="435"/>
        <v>0</v>
      </c>
      <c r="AV211" s="44">
        <f t="shared" si="436"/>
        <v>22500</v>
      </c>
      <c r="AW211" s="44">
        <f t="shared" si="437"/>
        <v>22500</v>
      </c>
      <c r="AX211" s="44">
        <f t="shared" si="381"/>
        <v>450</v>
      </c>
      <c r="AY211" s="44">
        <f t="shared" si="438"/>
        <v>450</v>
      </c>
      <c r="AZ211" s="44">
        <f t="shared" si="382"/>
        <v>19575</v>
      </c>
      <c r="BA211" s="44">
        <f t="shared" si="439"/>
        <v>19575</v>
      </c>
      <c r="BB211" s="44">
        <f t="shared" si="383"/>
        <v>2925</v>
      </c>
      <c r="BC211" s="46">
        <f t="shared" si="384"/>
        <v>0</v>
      </c>
      <c r="BD211" s="47">
        <f t="shared" si="385"/>
        <v>0</v>
      </c>
      <c r="BE211" s="604">
        <f t="shared" si="440"/>
        <v>0</v>
      </c>
      <c r="BF211" s="44">
        <f t="shared" si="441"/>
        <v>0</v>
      </c>
      <c r="BG211" s="44">
        <f t="shared" si="442"/>
        <v>0</v>
      </c>
      <c r="BH211" s="44">
        <f t="shared" si="443"/>
        <v>0</v>
      </c>
      <c r="BI211" s="44">
        <f t="shared" si="444"/>
        <v>22500</v>
      </c>
      <c r="BJ211" s="44">
        <f t="shared" si="445"/>
        <v>22500</v>
      </c>
      <c r="BK211" s="44">
        <f t="shared" si="386"/>
        <v>450</v>
      </c>
      <c r="BL211" s="44">
        <f t="shared" si="446"/>
        <v>450</v>
      </c>
      <c r="BM211" s="44">
        <f t="shared" si="387"/>
        <v>19125</v>
      </c>
      <c r="BN211" s="44">
        <f t="shared" si="447"/>
        <v>19125</v>
      </c>
      <c r="BO211" s="44">
        <f t="shared" si="388"/>
        <v>3375</v>
      </c>
      <c r="BP211" s="46">
        <f t="shared" si="389"/>
        <v>0</v>
      </c>
      <c r="BQ211" s="47">
        <f t="shared" si="390"/>
        <v>0</v>
      </c>
      <c r="BR211" s="604">
        <f t="shared" si="448"/>
        <v>0</v>
      </c>
      <c r="BS211" s="44">
        <f t="shared" si="449"/>
        <v>0</v>
      </c>
      <c r="BT211" s="44">
        <f t="shared" si="450"/>
        <v>0</v>
      </c>
      <c r="BU211" s="44">
        <f t="shared" si="451"/>
        <v>0</v>
      </c>
      <c r="BV211" s="44">
        <f t="shared" si="452"/>
        <v>22500</v>
      </c>
      <c r="BW211" s="44">
        <f t="shared" si="453"/>
        <v>22500</v>
      </c>
      <c r="BX211" s="44">
        <f t="shared" si="391"/>
        <v>450</v>
      </c>
      <c r="BY211" s="44">
        <f t="shared" si="454"/>
        <v>450</v>
      </c>
      <c r="BZ211" s="44">
        <f t="shared" si="392"/>
        <v>18675</v>
      </c>
      <c r="CA211" s="44">
        <f t="shared" si="455"/>
        <v>18675</v>
      </c>
      <c r="CB211" s="44">
        <f t="shared" si="393"/>
        <v>3825</v>
      </c>
      <c r="CC211" s="46">
        <f t="shared" si="394"/>
        <v>0</v>
      </c>
      <c r="CD211" s="47">
        <f t="shared" si="395"/>
        <v>0</v>
      </c>
      <c r="CE211" s="604">
        <f t="shared" si="456"/>
        <v>0</v>
      </c>
      <c r="CF211" s="44">
        <f t="shared" si="457"/>
        <v>0</v>
      </c>
      <c r="CG211" s="44">
        <f t="shared" si="458"/>
        <v>0</v>
      </c>
      <c r="CH211" s="44">
        <f t="shared" si="459"/>
        <v>0</v>
      </c>
      <c r="CI211" s="44">
        <f t="shared" si="460"/>
        <v>22500</v>
      </c>
      <c r="CJ211" s="44">
        <f t="shared" si="461"/>
        <v>22500</v>
      </c>
      <c r="CK211" s="44">
        <f t="shared" si="396"/>
        <v>450</v>
      </c>
      <c r="CL211" s="44">
        <f t="shared" si="462"/>
        <v>450</v>
      </c>
      <c r="CM211" s="44">
        <f t="shared" si="397"/>
        <v>18225</v>
      </c>
      <c r="CN211" s="44">
        <f t="shared" si="463"/>
        <v>18225</v>
      </c>
      <c r="CO211" s="44">
        <f t="shared" si="398"/>
        <v>4275</v>
      </c>
      <c r="CP211" s="46">
        <f t="shared" si="399"/>
        <v>0</v>
      </c>
      <c r="CQ211" s="47">
        <f t="shared" si="400"/>
        <v>0</v>
      </c>
      <c r="CR211" s="604">
        <f t="shared" si="464"/>
        <v>0</v>
      </c>
      <c r="CS211" s="44">
        <f t="shared" si="465"/>
        <v>0</v>
      </c>
      <c r="CT211" s="44">
        <f t="shared" si="466"/>
        <v>0</v>
      </c>
      <c r="CU211" s="44">
        <f t="shared" si="467"/>
        <v>0</v>
      </c>
      <c r="CV211" s="44">
        <f t="shared" si="468"/>
        <v>22500</v>
      </c>
      <c r="CW211" s="44">
        <f t="shared" si="469"/>
        <v>22500</v>
      </c>
      <c r="CX211" s="44">
        <f t="shared" si="401"/>
        <v>450</v>
      </c>
      <c r="CY211" s="44">
        <f t="shared" si="470"/>
        <v>450</v>
      </c>
      <c r="CZ211" s="44">
        <f t="shared" si="402"/>
        <v>17775</v>
      </c>
      <c r="DA211" s="44">
        <f t="shared" si="471"/>
        <v>17775</v>
      </c>
      <c r="DB211" s="44">
        <f t="shared" si="403"/>
        <v>4725</v>
      </c>
      <c r="DC211" s="46">
        <f t="shared" si="404"/>
        <v>0</v>
      </c>
      <c r="DD211" s="47">
        <f t="shared" si="405"/>
        <v>0</v>
      </c>
      <c r="DE211" s="604">
        <f t="shared" si="472"/>
        <v>0</v>
      </c>
      <c r="DF211" s="44">
        <f t="shared" si="473"/>
        <v>0</v>
      </c>
      <c r="DG211" s="44">
        <f t="shared" si="474"/>
        <v>0</v>
      </c>
      <c r="DH211" s="44">
        <f t="shared" si="475"/>
        <v>0</v>
      </c>
      <c r="DI211" s="44">
        <f t="shared" si="476"/>
        <v>22500</v>
      </c>
      <c r="DJ211" s="44">
        <f t="shared" si="477"/>
        <v>22500</v>
      </c>
      <c r="DK211" s="44">
        <f t="shared" si="406"/>
        <v>450</v>
      </c>
      <c r="DL211" s="44">
        <f t="shared" si="478"/>
        <v>450</v>
      </c>
      <c r="DM211" s="44">
        <f t="shared" si="407"/>
        <v>17325</v>
      </c>
      <c r="DN211" s="44">
        <f t="shared" si="479"/>
        <v>17325</v>
      </c>
      <c r="DO211" s="44">
        <f t="shared" si="408"/>
        <v>5175</v>
      </c>
      <c r="DP211" s="46">
        <f t="shared" si="409"/>
        <v>0</v>
      </c>
      <c r="DQ211" s="47">
        <f t="shared" si="410"/>
        <v>0</v>
      </c>
      <c r="DR211" s="604">
        <f t="shared" si="480"/>
        <v>0</v>
      </c>
      <c r="DS211" s="44">
        <f t="shared" si="481"/>
        <v>0</v>
      </c>
      <c r="DT211" s="44">
        <f t="shared" si="482"/>
        <v>0</v>
      </c>
      <c r="DU211" s="44">
        <f t="shared" si="483"/>
        <v>0</v>
      </c>
      <c r="DV211" s="44">
        <f t="shared" si="484"/>
        <v>22500</v>
      </c>
      <c r="DW211" s="44">
        <f t="shared" si="485"/>
        <v>22500</v>
      </c>
      <c r="DX211" s="44">
        <f t="shared" si="411"/>
        <v>450</v>
      </c>
      <c r="DY211" s="44">
        <f t="shared" si="486"/>
        <v>450</v>
      </c>
      <c r="DZ211" s="44">
        <f t="shared" si="412"/>
        <v>16875</v>
      </c>
      <c r="EA211" s="44">
        <f t="shared" si="487"/>
        <v>16875</v>
      </c>
      <c r="EB211" s="44">
        <f t="shared" si="413"/>
        <v>5625</v>
      </c>
      <c r="EC211" s="46">
        <f t="shared" si="414"/>
        <v>0</v>
      </c>
      <c r="ED211" s="47">
        <f t="shared" si="415"/>
        <v>0</v>
      </c>
    </row>
    <row r="212" spans="1:134" x14ac:dyDescent="0.35">
      <c r="A212" s="81">
        <v>2009</v>
      </c>
      <c r="B212" s="82" t="s">
        <v>367</v>
      </c>
      <c r="C212" s="82"/>
      <c r="D212" s="83" t="s">
        <v>66</v>
      </c>
      <c r="E212" s="87">
        <v>33000</v>
      </c>
      <c r="F212" s="85">
        <v>39995</v>
      </c>
      <c r="G212" s="86">
        <v>50</v>
      </c>
      <c r="H212" s="179"/>
      <c r="I212" s="180"/>
      <c r="J212" s="181"/>
      <c r="K212" s="42">
        <f t="shared" si="366"/>
        <v>0.02</v>
      </c>
      <c r="L212" s="43">
        <f t="shared" si="367"/>
        <v>660</v>
      </c>
      <c r="M212" s="44">
        <f t="shared" si="368"/>
        <v>31350</v>
      </c>
      <c r="N212" s="44"/>
      <c r="O212" s="44">
        <f t="shared" si="369"/>
        <v>1650</v>
      </c>
      <c r="P212" s="45"/>
      <c r="Q212" s="44">
        <f t="shared" si="370"/>
        <v>33000</v>
      </c>
      <c r="R212" s="604">
        <f t="shared" si="416"/>
        <v>0</v>
      </c>
      <c r="S212" s="44">
        <f t="shared" si="417"/>
        <v>0</v>
      </c>
      <c r="T212" s="44">
        <f t="shared" si="418"/>
        <v>0</v>
      </c>
      <c r="U212" s="44">
        <f t="shared" si="419"/>
        <v>0</v>
      </c>
      <c r="V212" s="44">
        <f t="shared" si="420"/>
        <v>33000</v>
      </c>
      <c r="W212" s="44">
        <f t="shared" si="421"/>
        <v>33000</v>
      </c>
      <c r="X212" s="44">
        <f t="shared" si="371"/>
        <v>660</v>
      </c>
      <c r="Y212" s="44">
        <f t="shared" si="422"/>
        <v>660</v>
      </c>
      <c r="Z212" s="44">
        <f t="shared" si="372"/>
        <v>30690</v>
      </c>
      <c r="AA212" s="44">
        <f t="shared" si="423"/>
        <v>30690</v>
      </c>
      <c r="AB212" s="44">
        <f t="shared" si="373"/>
        <v>2310</v>
      </c>
      <c r="AC212" s="46">
        <f t="shared" si="374"/>
        <v>0</v>
      </c>
      <c r="AD212" s="47">
        <f t="shared" si="375"/>
        <v>0</v>
      </c>
      <c r="AE212" s="604">
        <f t="shared" si="424"/>
        <v>0</v>
      </c>
      <c r="AF212" s="44">
        <f t="shared" si="425"/>
        <v>0</v>
      </c>
      <c r="AG212" s="44">
        <f t="shared" si="426"/>
        <v>0</v>
      </c>
      <c r="AH212" s="44">
        <f t="shared" si="427"/>
        <v>0</v>
      </c>
      <c r="AI212" s="44">
        <f t="shared" si="428"/>
        <v>33000</v>
      </c>
      <c r="AJ212" s="44">
        <f t="shared" si="429"/>
        <v>33000</v>
      </c>
      <c r="AK212" s="44">
        <f t="shared" si="376"/>
        <v>660</v>
      </c>
      <c r="AL212" s="44">
        <f t="shared" si="430"/>
        <v>660</v>
      </c>
      <c r="AM212" s="44">
        <f t="shared" si="377"/>
        <v>30030</v>
      </c>
      <c r="AN212" s="44">
        <f t="shared" si="431"/>
        <v>30030</v>
      </c>
      <c r="AO212" s="44">
        <f t="shared" si="378"/>
        <v>2970</v>
      </c>
      <c r="AP212" s="46">
        <f t="shared" si="379"/>
        <v>0</v>
      </c>
      <c r="AQ212" s="47">
        <f t="shared" si="380"/>
        <v>0</v>
      </c>
      <c r="AR212" s="604">
        <f t="shared" si="432"/>
        <v>0</v>
      </c>
      <c r="AS212" s="44">
        <f t="shared" si="433"/>
        <v>0</v>
      </c>
      <c r="AT212" s="44">
        <f t="shared" si="434"/>
        <v>0</v>
      </c>
      <c r="AU212" s="44">
        <f t="shared" si="435"/>
        <v>0</v>
      </c>
      <c r="AV212" s="44">
        <f t="shared" si="436"/>
        <v>33000</v>
      </c>
      <c r="AW212" s="44">
        <f t="shared" si="437"/>
        <v>33000</v>
      </c>
      <c r="AX212" s="44">
        <f t="shared" si="381"/>
        <v>660</v>
      </c>
      <c r="AY212" s="44">
        <f t="shared" si="438"/>
        <v>660</v>
      </c>
      <c r="AZ212" s="44">
        <f t="shared" si="382"/>
        <v>29370</v>
      </c>
      <c r="BA212" s="44">
        <f t="shared" si="439"/>
        <v>29370</v>
      </c>
      <c r="BB212" s="44">
        <f t="shared" si="383"/>
        <v>3630</v>
      </c>
      <c r="BC212" s="46">
        <f t="shared" si="384"/>
        <v>0</v>
      </c>
      <c r="BD212" s="47">
        <f t="shared" si="385"/>
        <v>0</v>
      </c>
      <c r="BE212" s="604">
        <f t="shared" si="440"/>
        <v>0</v>
      </c>
      <c r="BF212" s="44">
        <f t="shared" si="441"/>
        <v>0</v>
      </c>
      <c r="BG212" s="44">
        <f t="shared" si="442"/>
        <v>0</v>
      </c>
      <c r="BH212" s="44">
        <f t="shared" si="443"/>
        <v>0</v>
      </c>
      <c r="BI212" s="44">
        <f t="shared" si="444"/>
        <v>33000</v>
      </c>
      <c r="BJ212" s="44">
        <f t="shared" si="445"/>
        <v>33000</v>
      </c>
      <c r="BK212" s="44">
        <f t="shared" si="386"/>
        <v>660</v>
      </c>
      <c r="BL212" s="44">
        <f t="shared" si="446"/>
        <v>660</v>
      </c>
      <c r="BM212" s="44">
        <f t="shared" si="387"/>
        <v>28710</v>
      </c>
      <c r="BN212" s="44">
        <f t="shared" si="447"/>
        <v>28710</v>
      </c>
      <c r="BO212" s="44">
        <f t="shared" si="388"/>
        <v>4290</v>
      </c>
      <c r="BP212" s="46">
        <f t="shared" si="389"/>
        <v>0</v>
      </c>
      <c r="BQ212" s="47">
        <f t="shared" si="390"/>
        <v>0</v>
      </c>
      <c r="BR212" s="604">
        <f t="shared" si="448"/>
        <v>0</v>
      </c>
      <c r="BS212" s="44">
        <f t="shared" si="449"/>
        <v>0</v>
      </c>
      <c r="BT212" s="44">
        <f t="shared" si="450"/>
        <v>0</v>
      </c>
      <c r="BU212" s="44">
        <f t="shared" si="451"/>
        <v>0</v>
      </c>
      <c r="BV212" s="44">
        <f t="shared" si="452"/>
        <v>33000</v>
      </c>
      <c r="BW212" s="44">
        <f t="shared" si="453"/>
        <v>33000</v>
      </c>
      <c r="BX212" s="44">
        <f t="shared" si="391"/>
        <v>660</v>
      </c>
      <c r="BY212" s="44">
        <f t="shared" si="454"/>
        <v>660</v>
      </c>
      <c r="BZ212" s="44">
        <f t="shared" si="392"/>
        <v>28050</v>
      </c>
      <c r="CA212" s="44">
        <f t="shared" si="455"/>
        <v>28050</v>
      </c>
      <c r="CB212" s="44">
        <f t="shared" si="393"/>
        <v>4950</v>
      </c>
      <c r="CC212" s="46">
        <f t="shared" si="394"/>
        <v>0</v>
      </c>
      <c r="CD212" s="47">
        <f t="shared" si="395"/>
        <v>0</v>
      </c>
      <c r="CE212" s="604">
        <f t="shared" si="456"/>
        <v>0</v>
      </c>
      <c r="CF212" s="44">
        <f t="shared" si="457"/>
        <v>0</v>
      </c>
      <c r="CG212" s="44">
        <f t="shared" si="458"/>
        <v>0</v>
      </c>
      <c r="CH212" s="44">
        <f t="shared" si="459"/>
        <v>0</v>
      </c>
      <c r="CI212" s="44">
        <f t="shared" si="460"/>
        <v>33000</v>
      </c>
      <c r="CJ212" s="44">
        <f t="shared" si="461"/>
        <v>33000</v>
      </c>
      <c r="CK212" s="44">
        <f t="shared" si="396"/>
        <v>660</v>
      </c>
      <c r="CL212" s="44">
        <f t="shared" si="462"/>
        <v>660</v>
      </c>
      <c r="CM212" s="44">
        <f t="shared" si="397"/>
        <v>27390</v>
      </c>
      <c r="CN212" s="44">
        <f t="shared" si="463"/>
        <v>27390</v>
      </c>
      <c r="CO212" s="44">
        <f t="shared" si="398"/>
        <v>5610</v>
      </c>
      <c r="CP212" s="46">
        <f t="shared" si="399"/>
        <v>0</v>
      </c>
      <c r="CQ212" s="47">
        <f t="shared" si="400"/>
        <v>0</v>
      </c>
      <c r="CR212" s="604">
        <f t="shared" si="464"/>
        <v>0</v>
      </c>
      <c r="CS212" s="44">
        <f t="shared" si="465"/>
        <v>0</v>
      </c>
      <c r="CT212" s="44">
        <f t="shared" si="466"/>
        <v>0</v>
      </c>
      <c r="CU212" s="44">
        <f t="shared" si="467"/>
        <v>0</v>
      </c>
      <c r="CV212" s="44">
        <f t="shared" si="468"/>
        <v>33000</v>
      </c>
      <c r="CW212" s="44">
        <f t="shared" si="469"/>
        <v>33000</v>
      </c>
      <c r="CX212" s="44">
        <f t="shared" si="401"/>
        <v>660</v>
      </c>
      <c r="CY212" s="44">
        <f t="shared" si="470"/>
        <v>660</v>
      </c>
      <c r="CZ212" s="44">
        <f t="shared" si="402"/>
        <v>26730</v>
      </c>
      <c r="DA212" s="44">
        <f t="shared" si="471"/>
        <v>26730</v>
      </c>
      <c r="DB212" s="44">
        <f t="shared" si="403"/>
        <v>6270</v>
      </c>
      <c r="DC212" s="46">
        <f t="shared" si="404"/>
        <v>0</v>
      </c>
      <c r="DD212" s="47">
        <f t="shared" si="405"/>
        <v>0</v>
      </c>
      <c r="DE212" s="604">
        <f t="shared" si="472"/>
        <v>0</v>
      </c>
      <c r="DF212" s="44">
        <f t="shared" si="473"/>
        <v>0</v>
      </c>
      <c r="DG212" s="44">
        <f t="shared" si="474"/>
        <v>0</v>
      </c>
      <c r="DH212" s="44">
        <f t="shared" si="475"/>
        <v>0</v>
      </c>
      <c r="DI212" s="44">
        <f t="shared" si="476"/>
        <v>33000</v>
      </c>
      <c r="DJ212" s="44">
        <f t="shared" si="477"/>
        <v>33000</v>
      </c>
      <c r="DK212" s="44">
        <f t="shared" si="406"/>
        <v>660</v>
      </c>
      <c r="DL212" s="44">
        <f t="shared" si="478"/>
        <v>660</v>
      </c>
      <c r="DM212" s="44">
        <f t="shared" si="407"/>
        <v>26070</v>
      </c>
      <c r="DN212" s="44">
        <f t="shared" si="479"/>
        <v>26070</v>
      </c>
      <c r="DO212" s="44">
        <f t="shared" si="408"/>
        <v>6930</v>
      </c>
      <c r="DP212" s="46">
        <f t="shared" si="409"/>
        <v>0</v>
      </c>
      <c r="DQ212" s="47">
        <f t="shared" si="410"/>
        <v>0</v>
      </c>
      <c r="DR212" s="604">
        <f t="shared" si="480"/>
        <v>0</v>
      </c>
      <c r="DS212" s="44">
        <f t="shared" si="481"/>
        <v>0</v>
      </c>
      <c r="DT212" s="44">
        <f t="shared" si="482"/>
        <v>0</v>
      </c>
      <c r="DU212" s="44">
        <f t="shared" si="483"/>
        <v>0</v>
      </c>
      <c r="DV212" s="44">
        <f t="shared" si="484"/>
        <v>33000</v>
      </c>
      <c r="DW212" s="44">
        <f t="shared" si="485"/>
        <v>33000</v>
      </c>
      <c r="DX212" s="44">
        <f t="shared" si="411"/>
        <v>660</v>
      </c>
      <c r="DY212" s="44">
        <f t="shared" si="486"/>
        <v>660</v>
      </c>
      <c r="DZ212" s="44">
        <f t="shared" si="412"/>
        <v>25410</v>
      </c>
      <c r="EA212" s="44">
        <f t="shared" si="487"/>
        <v>25410</v>
      </c>
      <c r="EB212" s="44">
        <f t="shared" si="413"/>
        <v>7590</v>
      </c>
      <c r="EC212" s="46">
        <f t="shared" si="414"/>
        <v>0</v>
      </c>
      <c r="ED212" s="47">
        <f t="shared" si="415"/>
        <v>0</v>
      </c>
    </row>
    <row r="213" spans="1:134" x14ac:dyDescent="0.35">
      <c r="A213" s="81"/>
      <c r="B213" s="82"/>
      <c r="C213" s="82"/>
      <c r="D213" s="83"/>
      <c r="E213" s="87"/>
      <c r="F213" s="85"/>
      <c r="G213" s="86"/>
      <c r="H213" s="179"/>
      <c r="I213" s="180"/>
      <c r="J213" s="181"/>
      <c r="K213" s="42">
        <f t="shared" si="366"/>
        <v>0</v>
      </c>
      <c r="L213" s="43">
        <f t="shared" si="367"/>
        <v>0</v>
      </c>
      <c r="M213" s="44">
        <f t="shared" si="368"/>
        <v>0</v>
      </c>
      <c r="N213" s="44"/>
      <c r="O213" s="44">
        <f t="shared" si="369"/>
        <v>0</v>
      </c>
      <c r="P213" s="45"/>
      <c r="Q213" s="44">
        <f t="shared" si="370"/>
        <v>0</v>
      </c>
      <c r="R213" s="604">
        <f t="shared" si="416"/>
        <v>0</v>
      </c>
      <c r="S213" s="44">
        <f t="shared" si="417"/>
        <v>0</v>
      </c>
      <c r="T213" s="44">
        <f t="shared" si="418"/>
        <v>0</v>
      </c>
      <c r="U213" s="44">
        <f t="shared" si="419"/>
        <v>0</v>
      </c>
      <c r="V213" s="44">
        <f t="shared" si="420"/>
        <v>0</v>
      </c>
      <c r="W213" s="44">
        <f t="shared" si="421"/>
        <v>0</v>
      </c>
      <c r="X213" s="44">
        <f t="shared" si="371"/>
        <v>0</v>
      </c>
      <c r="Y213" s="44">
        <f t="shared" si="422"/>
        <v>0</v>
      </c>
      <c r="Z213" s="44">
        <f t="shared" si="372"/>
        <v>0</v>
      </c>
      <c r="AA213" s="44">
        <f t="shared" si="423"/>
        <v>0</v>
      </c>
      <c r="AB213" s="44">
        <f t="shared" si="373"/>
        <v>0</v>
      </c>
      <c r="AC213" s="46">
        <f t="shared" si="374"/>
        <v>0</v>
      </c>
      <c r="AD213" s="47">
        <f t="shared" si="375"/>
        <v>0</v>
      </c>
      <c r="AE213" s="604">
        <f t="shared" si="424"/>
        <v>0</v>
      </c>
      <c r="AF213" s="44">
        <f t="shared" si="425"/>
        <v>0</v>
      </c>
      <c r="AG213" s="44">
        <f t="shared" si="426"/>
        <v>0</v>
      </c>
      <c r="AH213" s="44">
        <f t="shared" si="427"/>
        <v>0</v>
      </c>
      <c r="AI213" s="44">
        <f t="shared" si="428"/>
        <v>0</v>
      </c>
      <c r="AJ213" s="44">
        <f t="shared" si="429"/>
        <v>0</v>
      </c>
      <c r="AK213" s="44">
        <f t="shared" si="376"/>
        <v>0</v>
      </c>
      <c r="AL213" s="44">
        <f t="shared" si="430"/>
        <v>0</v>
      </c>
      <c r="AM213" s="44">
        <f t="shared" si="377"/>
        <v>0</v>
      </c>
      <c r="AN213" s="44">
        <f t="shared" si="431"/>
        <v>0</v>
      </c>
      <c r="AO213" s="44">
        <f t="shared" si="378"/>
        <v>0</v>
      </c>
      <c r="AP213" s="46">
        <f t="shared" si="379"/>
        <v>0</v>
      </c>
      <c r="AQ213" s="47">
        <f t="shared" si="380"/>
        <v>0</v>
      </c>
      <c r="AR213" s="604">
        <f t="shared" si="432"/>
        <v>0</v>
      </c>
      <c r="AS213" s="44">
        <f t="shared" si="433"/>
        <v>0</v>
      </c>
      <c r="AT213" s="44">
        <f t="shared" si="434"/>
        <v>0</v>
      </c>
      <c r="AU213" s="44">
        <f t="shared" si="435"/>
        <v>0</v>
      </c>
      <c r="AV213" s="44">
        <f t="shared" si="436"/>
        <v>0</v>
      </c>
      <c r="AW213" s="44">
        <f t="shared" si="437"/>
        <v>0</v>
      </c>
      <c r="AX213" s="44">
        <f t="shared" si="381"/>
        <v>0</v>
      </c>
      <c r="AY213" s="44">
        <f t="shared" si="438"/>
        <v>0</v>
      </c>
      <c r="AZ213" s="44">
        <f t="shared" si="382"/>
        <v>0</v>
      </c>
      <c r="BA213" s="44">
        <f t="shared" si="439"/>
        <v>0</v>
      </c>
      <c r="BB213" s="44">
        <f t="shared" si="383"/>
        <v>0</v>
      </c>
      <c r="BC213" s="46">
        <f t="shared" si="384"/>
        <v>0</v>
      </c>
      <c r="BD213" s="47">
        <f t="shared" si="385"/>
        <v>0</v>
      </c>
      <c r="BE213" s="604">
        <f t="shared" si="440"/>
        <v>0</v>
      </c>
      <c r="BF213" s="44">
        <f t="shared" si="441"/>
        <v>0</v>
      </c>
      <c r="BG213" s="44">
        <f t="shared" si="442"/>
        <v>0</v>
      </c>
      <c r="BH213" s="44">
        <f t="shared" si="443"/>
        <v>0</v>
      </c>
      <c r="BI213" s="44">
        <f t="shared" si="444"/>
        <v>0</v>
      </c>
      <c r="BJ213" s="44">
        <f t="shared" si="445"/>
        <v>0</v>
      </c>
      <c r="BK213" s="44">
        <f t="shared" si="386"/>
        <v>0</v>
      </c>
      <c r="BL213" s="44">
        <f t="shared" si="446"/>
        <v>0</v>
      </c>
      <c r="BM213" s="44">
        <f t="shared" si="387"/>
        <v>0</v>
      </c>
      <c r="BN213" s="44">
        <f t="shared" si="447"/>
        <v>0</v>
      </c>
      <c r="BO213" s="44">
        <f t="shared" si="388"/>
        <v>0</v>
      </c>
      <c r="BP213" s="46">
        <f t="shared" si="389"/>
        <v>0</v>
      </c>
      <c r="BQ213" s="47">
        <f t="shared" si="390"/>
        <v>0</v>
      </c>
      <c r="BR213" s="604">
        <f t="shared" si="448"/>
        <v>0</v>
      </c>
      <c r="BS213" s="44">
        <f t="shared" si="449"/>
        <v>0</v>
      </c>
      <c r="BT213" s="44">
        <f t="shared" si="450"/>
        <v>0</v>
      </c>
      <c r="BU213" s="44">
        <f t="shared" si="451"/>
        <v>0</v>
      </c>
      <c r="BV213" s="44">
        <f t="shared" si="452"/>
        <v>0</v>
      </c>
      <c r="BW213" s="44">
        <f t="shared" si="453"/>
        <v>0</v>
      </c>
      <c r="BX213" s="44">
        <f t="shared" si="391"/>
        <v>0</v>
      </c>
      <c r="BY213" s="44">
        <f t="shared" si="454"/>
        <v>0</v>
      </c>
      <c r="BZ213" s="44">
        <f t="shared" si="392"/>
        <v>0</v>
      </c>
      <c r="CA213" s="44">
        <f t="shared" si="455"/>
        <v>0</v>
      </c>
      <c r="CB213" s="44">
        <f t="shared" si="393"/>
        <v>0</v>
      </c>
      <c r="CC213" s="46">
        <f t="shared" si="394"/>
        <v>0</v>
      </c>
      <c r="CD213" s="47">
        <f t="shared" si="395"/>
        <v>0</v>
      </c>
      <c r="CE213" s="604">
        <f t="shared" si="456"/>
        <v>0</v>
      </c>
      <c r="CF213" s="44">
        <f t="shared" si="457"/>
        <v>0</v>
      </c>
      <c r="CG213" s="44">
        <f t="shared" si="458"/>
        <v>0</v>
      </c>
      <c r="CH213" s="44">
        <f t="shared" si="459"/>
        <v>0</v>
      </c>
      <c r="CI213" s="44">
        <f t="shared" si="460"/>
        <v>0</v>
      </c>
      <c r="CJ213" s="44">
        <f t="shared" si="461"/>
        <v>0</v>
      </c>
      <c r="CK213" s="44">
        <f t="shared" si="396"/>
        <v>0</v>
      </c>
      <c r="CL213" s="44">
        <f t="shared" si="462"/>
        <v>0</v>
      </c>
      <c r="CM213" s="44">
        <f t="shared" si="397"/>
        <v>0</v>
      </c>
      <c r="CN213" s="44">
        <f t="shared" si="463"/>
        <v>0</v>
      </c>
      <c r="CO213" s="44">
        <f t="shared" si="398"/>
        <v>0</v>
      </c>
      <c r="CP213" s="46">
        <f t="shared" si="399"/>
        <v>0</v>
      </c>
      <c r="CQ213" s="47">
        <f t="shared" si="400"/>
        <v>0</v>
      </c>
      <c r="CR213" s="604">
        <f t="shared" si="464"/>
        <v>0</v>
      </c>
      <c r="CS213" s="44">
        <f t="shared" si="465"/>
        <v>0</v>
      </c>
      <c r="CT213" s="44">
        <f t="shared" si="466"/>
        <v>0</v>
      </c>
      <c r="CU213" s="44">
        <f t="shared" si="467"/>
        <v>0</v>
      </c>
      <c r="CV213" s="44">
        <f t="shared" si="468"/>
        <v>0</v>
      </c>
      <c r="CW213" s="44">
        <f t="shared" si="469"/>
        <v>0</v>
      </c>
      <c r="CX213" s="44">
        <f t="shared" si="401"/>
        <v>0</v>
      </c>
      <c r="CY213" s="44">
        <f t="shared" si="470"/>
        <v>0</v>
      </c>
      <c r="CZ213" s="44">
        <f t="shared" si="402"/>
        <v>0</v>
      </c>
      <c r="DA213" s="44">
        <f t="shared" si="471"/>
        <v>0</v>
      </c>
      <c r="DB213" s="44">
        <f t="shared" si="403"/>
        <v>0</v>
      </c>
      <c r="DC213" s="46">
        <f t="shared" si="404"/>
        <v>0</v>
      </c>
      <c r="DD213" s="47">
        <f t="shared" si="405"/>
        <v>0</v>
      </c>
      <c r="DE213" s="604">
        <f t="shared" si="472"/>
        <v>0</v>
      </c>
      <c r="DF213" s="44">
        <f t="shared" si="473"/>
        <v>0</v>
      </c>
      <c r="DG213" s="44">
        <f t="shared" si="474"/>
        <v>0</v>
      </c>
      <c r="DH213" s="44">
        <f t="shared" si="475"/>
        <v>0</v>
      </c>
      <c r="DI213" s="44">
        <f t="shared" si="476"/>
        <v>0</v>
      </c>
      <c r="DJ213" s="44">
        <f t="shared" si="477"/>
        <v>0</v>
      </c>
      <c r="DK213" s="44">
        <f t="shared" si="406"/>
        <v>0</v>
      </c>
      <c r="DL213" s="44">
        <f t="shared" si="478"/>
        <v>0</v>
      </c>
      <c r="DM213" s="44">
        <f t="shared" si="407"/>
        <v>0</v>
      </c>
      <c r="DN213" s="44">
        <f t="shared" si="479"/>
        <v>0</v>
      </c>
      <c r="DO213" s="44">
        <f t="shared" si="408"/>
        <v>0</v>
      </c>
      <c r="DP213" s="46">
        <f t="shared" si="409"/>
        <v>0</v>
      </c>
      <c r="DQ213" s="47">
        <f t="shared" si="410"/>
        <v>0</v>
      </c>
      <c r="DR213" s="604">
        <f t="shared" si="480"/>
        <v>0</v>
      </c>
      <c r="DS213" s="44">
        <f t="shared" si="481"/>
        <v>0</v>
      </c>
      <c r="DT213" s="44">
        <f t="shared" si="482"/>
        <v>0</v>
      </c>
      <c r="DU213" s="44">
        <f t="shared" si="483"/>
        <v>0</v>
      </c>
      <c r="DV213" s="44">
        <f t="shared" si="484"/>
        <v>0</v>
      </c>
      <c r="DW213" s="44">
        <f t="shared" si="485"/>
        <v>0</v>
      </c>
      <c r="DX213" s="44">
        <f t="shared" si="411"/>
        <v>0</v>
      </c>
      <c r="DY213" s="44">
        <f t="shared" si="486"/>
        <v>0</v>
      </c>
      <c r="DZ213" s="44">
        <f t="shared" si="412"/>
        <v>0</v>
      </c>
      <c r="EA213" s="44">
        <f t="shared" si="487"/>
        <v>0</v>
      </c>
      <c r="EB213" s="44">
        <f t="shared" si="413"/>
        <v>0</v>
      </c>
      <c r="EC213" s="46">
        <f t="shared" si="414"/>
        <v>0</v>
      </c>
      <c r="ED213" s="47">
        <f t="shared" si="415"/>
        <v>0</v>
      </c>
    </row>
    <row r="214" spans="1:134" x14ac:dyDescent="0.35">
      <c r="A214" s="81"/>
      <c r="B214" s="82" t="s">
        <v>368</v>
      </c>
      <c r="C214" s="82"/>
      <c r="D214" s="83"/>
      <c r="E214" s="87"/>
      <c r="F214" s="85"/>
      <c r="G214" s="86"/>
      <c r="H214" s="179"/>
      <c r="I214" s="180"/>
      <c r="J214" s="181"/>
      <c r="K214" s="42">
        <f t="shared" si="366"/>
        <v>0</v>
      </c>
      <c r="L214" s="43">
        <f t="shared" si="367"/>
        <v>0</v>
      </c>
      <c r="M214" s="44">
        <f t="shared" si="368"/>
        <v>0</v>
      </c>
      <c r="N214" s="44"/>
      <c r="O214" s="44">
        <f t="shared" si="369"/>
        <v>0</v>
      </c>
      <c r="P214" s="45"/>
      <c r="Q214" s="44">
        <f t="shared" si="370"/>
        <v>0</v>
      </c>
      <c r="R214" s="604">
        <f t="shared" si="416"/>
        <v>0</v>
      </c>
      <c r="S214" s="44">
        <f t="shared" si="417"/>
        <v>0</v>
      </c>
      <c r="T214" s="44">
        <f t="shared" si="418"/>
        <v>0</v>
      </c>
      <c r="U214" s="44">
        <f t="shared" si="419"/>
        <v>0</v>
      </c>
      <c r="V214" s="44">
        <f t="shared" si="420"/>
        <v>0</v>
      </c>
      <c r="W214" s="44">
        <f t="shared" si="421"/>
        <v>0</v>
      </c>
      <c r="X214" s="44">
        <f t="shared" si="371"/>
        <v>0</v>
      </c>
      <c r="Y214" s="44">
        <f t="shared" si="422"/>
        <v>0</v>
      </c>
      <c r="Z214" s="44">
        <f t="shared" si="372"/>
        <v>0</v>
      </c>
      <c r="AA214" s="44">
        <f t="shared" si="423"/>
        <v>0</v>
      </c>
      <c r="AB214" s="44">
        <f t="shared" si="373"/>
        <v>0</v>
      </c>
      <c r="AC214" s="46">
        <f t="shared" si="374"/>
        <v>0</v>
      </c>
      <c r="AD214" s="47">
        <f t="shared" si="375"/>
        <v>0</v>
      </c>
      <c r="AE214" s="604">
        <f t="shared" si="424"/>
        <v>0</v>
      </c>
      <c r="AF214" s="44">
        <f t="shared" si="425"/>
        <v>0</v>
      </c>
      <c r="AG214" s="44">
        <f t="shared" si="426"/>
        <v>0</v>
      </c>
      <c r="AH214" s="44">
        <f t="shared" si="427"/>
        <v>0</v>
      </c>
      <c r="AI214" s="44">
        <f t="shared" si="428"/>
        <v>0</v>
      </c>
      <c r="AJ214" s="44">
        <f t="shared" si="429"/>
        <v>0</v>
      </c>
      <c r="AK214" s="44">
        <f t="shared" si="376"/>
        <v>0</v>
      </c>
      <c r="AL214" s="44">
        <f t="shared" si="430"/>
        <v>0</v>
      </c>
      <c r="AM214" s="44">
        <f t="shared" si="377"/>
        <v>0</v>
      </c>
      <c r="AN214" s="44">
        <f t="shared" si="431"/>
        <v>0</v>
      </c>
      <c r="AO214" s="44">
        <f t="shared" si="378"/>
        <v>0</v>
      </c>
      <c r="AP214" s="46">
        <f t="shared" si="379"/>
        <v>0</v>
      </c>
      <c r="AQ214" s="47">
        <f t="shared" si="380"/>
        <v>0</v>
      </c>
      <c r="AR214" s="604">
        <f t="shared" si="432"/>
        <v>0</v>
      </c>
      <c r="AS214" s="44">
        <f t="shared" si="433"/>
        <v>0</v>
      </c>
      <c r="AT214" s="44">
        <f t="shared" si="434"/>
        <v>0</v>
      </c>
      <c r="AU214" s="44">
        <f t="shared" si="435"/>
        <v>0</v>
      </c>
      <c r="AV214" s="44">
        <f t="shared" si="436"/>
        <v>0</v>
      </c>
      <c r="AW214" s="44">
        <f t="shared" si="437"/>
        <v>0</v>
      </c>
      <c r="AX214" s="44">
        <f t="shared" si="381"/>
        <v>0</v>
      </c>
      <c r="AY214" s="44">
        <f t="shared" si="438"/>
        <v>0</v>
      </c>
      <c r="AZ214" s="44">
        <f t="shared" si="382"/>
        <v>0</v>
      </c>
      <c r="BA214" s="44">
        <f t="shared" si="439"/>
        <v>0</v>
      </c>
      <c r="BB214" s="44">
        <f t="shared" si="383"/>
        <v>0</v>
      </c>
      <c r="BC214" s="46">
        <f t="shared" si="384"/>
        <v>0</v>
      </c>
      <c r="BD214" s="47">
        <f t="shared" si="385"/>
        <v>0</v>
      </c>
      <c r="BE214" s="604">
        <f t="shared" si="440"/>
        <v>0</v>
      </c>
      <c r="BF214" s="44">
        <f t="shared" si="441"/>
        <v>0</v>
      </c>
      <c r="BG214" s="44">
        <f t="shared" si="442"/>
        <v>0</v>
      </c>
      <c r="BH214" s="44">
        <f t="shared" si="443"/>
        <v>0</v>
      </c>
      <c r="BI214" s="44">
        <f t="shared" si="444"/>
        <v>0</v>
      </c>
      <c r="BJ214" s="44">
        <f t="shared" si="445"/>
        <v>0</v>
      </c>
      <c r="BK214" s="44">
        <f t="shared" si="386"/>
        <v>0</v>
      </c>
      <c r="BL214" s="44">
        <f t="shared" si="446"/>
        <v>0</v>
      </c>
      <c r="BM214" s="44">
        <f t="shared" si="387"/>
        <v>0</v>
      </c>
      <c r="BN214" s="44">
        <f t="shared" si="447"/>
        <v>0</v>
      </c>
      <c r="BO214" s="44">
        <f t="shared" si="388"/>
        <v>0</v>
      </c>
      <c r="BP214" s="46">
        <f t="shared" si="389"/>
        <v>0</v>
      </c>
      <c r="BQ214" s="47">
        <f t="shared" si="390"/>
        <v>0</v>
      </c>
      <c r="BR214" s="604">
        <f t="shared" si="448"/>
        <v>0</v>
      </c>
      <c r="BS214" s="44">
        <f t="shared" si="449"/>
        <v>0</v>
      </c>
      <c r="BT214" s="44">
        <f t="shared" si="450"/>
        <v>0</v>
      </c>
      <c r="BU214" s="44">
        <f t="shared" si="451"/>
        <v>0</v>
      </c>
      <c r="BV214" s="44">
        <f t="shared" si="452"/>
        <v>0</v>
      </c>
      <c r="BW214" s="44">
        <f t="shared" si="453"/>
        <v>0</v>
      </c>
      <c r="BX214" s="44">
        <f t="shared" si="391"/>
        <v>0</v>
      </c>
      <c r="BY214" s="44">
        <f t="shared" si="454"/>
        <v>0</v>
      </c>
      <c r="BZ214" s="44">
        <f t="shared" si="392"/>
        <v>0</v>
      </c>
      <c r="CA214" s="44">
        <f t="shared" si="455"/>
        <v>0</v>
      </c>
      <c r="CB214" s="44">
        <f t="shared" si="393"/>
        <v>0</v>
      </c>
      <c r="CC214" s="46">
        <f t="shared" si="394"/>
        <v>0</v>
      </c>
      <c r="CD214" s="47">
        <f t="shared" si="395"/>
        <v>0</v>
      </c>
      <c r="CE214" s="604">
        <f t="shared" si="456"/>
        <v>0</v>
      </c>
      <c r="CF214" s="44">
        <f t="shared" si="457"/>
        <v>0</v>
      </c>
      <c r="CG214" s="44">
        <f t="shared" si="458"/>
        <v>0</v>
      </c>
      <c r="CH214" s="44">
        <f t="shared" si="459"/>
        <v>0</v>
      </c>
      <c r="CI214" s="44">
        <f t="shared" si="460"/>
        <v>0</v>
      </c>
      <c r="CJ214" s="44">
        <f t="shared" si="461"/>
        <v>0</v>
      </c>
      <c r="CK214" s="44">
        <f t="shared" si="396"/>
        <v>0</v>
      </c>
      <c r="CL214" s="44">
        <f t="shared" si="462"/>
        <v>0</v>
      </c>
      <c r="CM214" s="44">
        <f t="shared" si="397"/>
        <v>0</v>
      </c>
      <c r="CN214" s="44">
        <f t="shared" si="463"/>
        <v>0</v>
      </c>
      <c r="CO214" s="44">
        <f t="shared" si="398"/>
        <v>0</v>
      </c>
      <c r="CP214" s="46">
        <f t="shared" si="399"/>
        <v>0</v>
      </c>
      <c r="CQ214" s="47">
        <f t="shared" si="400"/>
        <v>0</v>
      </c>
      <c r="CR214" s="604">
        <f t="shared" si="464"/>
        <v>0</v>
      </c>
      <c r="CS214" s="44">
        <f t="shared" si="465"/>
        <v>0</v>
      </c>
      <c r="CT214" s="44">
        <f t="shared" si="466"/>
        <v>0</v>
      </c>
      <c r="CU214" s="44">
        <f t="shared" si="467"/>
        <v>0</v>
      </c>
      <c r="CV214" s="44">
        <f t="shared" si="468"/>
        <v>0</v>
      </c>
      <c r="CW214" s="44">
        <f t="shared" si="469"/>
        <v>0</v>
      </c>
      <c r="CX214" s="44">
        <f t="shared" si="401"/>
        <v>0</v>
      </c>
      <c r="CY214" s="44">
        <f t="shared" si="470"/>
        <v>0</v>
      </c>
      <c r="CZ214" s="44">
        <f t="shared" si="402"/>
        <v>0</v>
      </c>
      <c r="DA214" s="44">
        <f t="shared" si="471"/>
        <v>0</v>
      </c>
      <c r="DB214" s="44">
        <f t="shared" si="403"/>
        <v>0</v>
      </c>
      <c r="DC214" s="46">
        <f t="shared" si="404"/>
        <v>0</v>
      </c>
      <c r="DD214" s="47">
        <f t="shared" si="405"/>
        <v>0</v>
      </c>
      <c r="DE214" s="604">
        <f t="shared" si="472"/>
        <v>0</v>
      </c>
      <c r="DF214" s="44">
        <f t="shared" si="473"/>
        <v>0</v>
      </c>
      <c r="DG214" s="44">
        <f t="shared" si="474"/>
        <v>0</v>
      </c>
      <c r="DH214" s="44">
        <f t="shared" si="475"/>
        <v>0</v>
      </c>
      <c r="DI214" s="44">
        <f t="shared" si="476"/>
        <v>0</v>
      </c>
      <c r="DJ214" s="44">
        <f t="shared" si="477"/>
        <v>0</v>
      </c>
      <c r="DK214" s="44">
        <f t="shared" si="406"/>
        <v>0</v>
      </c>
      <c r="DL214" s="44">
        <f t="shared" si="478"/>
        <v>0</v>
      </c>
      <c r="DM214" s="44">
        <f t="shared" si="407"/>
        <v>0</v>
      </c>
      <c r="DN214" s="44">
        <f t="shared" si="479"/>
        <v>0</v>
      </c>
      <c r="DO214" s="44">
        <f t="shared" si="408"/>
        <v>0</v>
      </c>
      <c r="DP214" s="46">
        <f t="shared" si="409"/>
        <v>0</v>
      </c>
      <c r="DQ214" s="47">
        <f t="shared" si="410"/>
        <v>0</v>
      </c>
      <c r="DR214" s="604">
        <f t="shared" si="480"/>
        <v>0</v>
      </c>
      <c r="DS214" s="44">
        <f t="shared" si="481"/>
        <v>0</v>
      </c>
      <c r="DT214" s="44">
        <f t="shared" si="482"/>
        <v>0</v>
      </c>
      <c r="DU214" s="44">
        <f t="shared" si="483"/>
        <v>0</v>
      </c>
      <c r="DV214" s="44">
        <f t="shared" si="484"/>
        <v>0</v>
      </c>
      <c r="DW214" s="44">
        <f t="shared" si="485"/>
        <v>0</v>
      </c>
      <c r="DX214" s="44">
        <f t="shared" si="411"/>
        <v>0</v>
      </c>
      <c r="DY214" s="44">
        <f t="shared" si="486"/>
        <v>0</v>
      </c>
      <c r="DZ214" s="44">
        <f t="shared" si="412"/>
        <v>0</v>
      </c>
      <c r="EA214" s="44">
        <f t="shared" si="487"/>
        <v>0</v>
      </c>
      <c r="EB214" s="44">
        <f t="shared" si="413"/>
        <v>0</v>
      </c>
      <c r="EC214" s="46">
        <f t="shared" si="414"/>
        <v>0</v>
      </c>
      <c r="ED214" s="47">
        <f t="shared" si="415"/>
        <v>0</v>
      </c>
    </row>
    <row r="215" spans="1:134" x14ac:dyDescent="0.35">
      <c r="A215" s="81">
        <v>1998</v>
      </c>
      <c r="B215" s="82" t="s">
        <v>369</v>
      </c>
      <c r="C215" s="82"/>
      <c r="D215" s="83" t="s">
        <v>60</v>
      </c>
      <c r="E215" s="87">
        <v>63000</v>
      </c>
      <c r="F215" s="85">
        <v>35977</v>
      </c>
      <c r="G215" s="86">
        <v>50</v>
      </c>
      <c r="H215" s="179"/>
      <c r="I215" s="180"/>
      <c r="J215" s="181"/>
      <c r="K215" s="42">
        <f t="shared" si="366"/>
        <v>0.02</v>
      </c>
      <c r="L215" s="43">
        <f t="shared" si="367"/>
        <v>1260</v>
      </c>
      <c r="M215" s="44">
        <f t="shared" si="368"/>
        <v>45990</v>
      </c>
      <c r="N215" s="44"/>
      <c r="O215" s="44">
        <f t="shared" si="369"/>
        <v>17010</v>
      </c>
      <c r="P215" s="45"/>
      <c r="Q215" s="44">
        <f t="shared" si="370"/>
        <v>63000</v>
      </c>
      <c r="R215" s="604">
        <f t="shared" si="416"/>
        <v>0</v>
      </c>
      <c r="S215" s="44">
        <f t="shared" si="417"/>
        <v>0</v>
      </c>
      <c r="T215" s="44">
        <f t="shared" si="418"/>
        <v>0</v>
      </c>
      <c r="U215" s="44">
        <f t="shared" si="419"/>
        <v>0</v>
      </c>
      <c r="V215" s="44">
        <f t="shared" si="420"/>
        <v>63000</v>
      </c>
      <c r="W215" s="44">
        <f t="shared" si="421"/>
        <v>63000</v>
      </c>
      <c r="X215" s="44">
        <f t="shared" si="371"/>
        <v>1260</v>
      </c>
      <c r="Y215" s="44">
        <f t="shared" si="422"/>
        <v>1260</v>
      </c>
      <c r="Z215" s="44">
        <f t="shared" si="372"/>
        <v>44730</v>
      </c>
      <c r="AA215" s="44">
        <f t="shared" si="423"/>
        <v>44730</v>
      </c>
      <c r="AB215" s="44">
        <f t="shared" si="373"/>
        <v>18270</v>
      </c>
      <c r="AC215" s="46">
        <f t="shared" si="374"/>
        <v>0</v>
      </c>
      <c r="AD215" s="47">
        <f t="shared" si="375"/>
        <v>0</v>
      </c>
      <c r="AE215" s="604">
        <f t="shared" si="424"/>
        <v>0</v>
      </c>
      <c r="AF215" s="44">
        <f t="shared" si="425"/>
        <v>0</v>
      </c>
      <c r="AG215" s="44">
        <f t="shared" si="426"/>
        <v>0</v>
      </c>
      <c r="AH215" s="44">
        <f t="shared" si="427"/>
        <v>0</v>
      </c>
      <c r="AI215" s="44">
        <f t="shared" si="428"/>
        <v>63000</v>
      </c>
      <c r="AJ215" s="44">
        <f t="shared" si="429"/>
        <v>63000</v>
      </c>
      <c r="AK215" s="44">
        <f t="shared" si="376"/>
        <v>1260</v>
      </c>
      <c r="AL215" s="44">
        <f t="shared" si="430"/>
        <v>1260</v>
      </c>
      <c r="AM215" s="44">
        <f t="shared" si="377"/>
        <v>43470</v>
      </c>
      <c r="AN215" s="44">
        <f t="shared" si="431"/>
        <v>43470</v>
      </c>
      <c r="AO215" s="44">
        <f t="shared" si="378"/>
        <v>19530</v>
      </c>
      <c r="AP215" s="46">
        <f t="shared" si="379"/>
        <v>0</v>
      </c>
      <c r="AQ215" s="47">
        <f t="shared" si="380"/>
        <v>0</v>
      </c>
      <c r="AR215" s="604">
        <f t="shared" si="432"/>
        <v>0</v>
      </c>
      <c r="AS215" s="44">
        <f t="shared" si="433"/>
        <v>0</v>
      </c>
      <c r="AT215" s="44">
        <f t="shared" si="434"/>
        <v>0</v>
      </c>
      <c r="AU215" s="44">
        <f t="shared" si="435"/>
        <v>0</v>
      </c>
      <c r="AV215" s="44">
        <f t="shared" si="436"/>
        <v>63000</v>
      </c>
      <c r="AW215" s="44">
        <f t="shared" si="437"/>
        <v>63000</v>
      </c>
      <c r="AX215" s="44">
        <f t="shared" si="381"/>
        <v>1260</v>
      </c>
      <c r="AY215" s="44">
        <f t="shared" si="438"/>
        <v>1260</v>
      </c>
      <c r="AZ215" s="44">
        <f t="shared" si="382"/>
        <v>42210</v>
      </c>
      <c r="BA215" s="44">
        <f t="shared" si="439"/>
        <v>42210</v>
      </c>
      <c r="BB215" s="44">
        <f t="shared" si="383"/>
        <v>20790</v>
      </c>
      <c r="BC215" s="46">
        <f t="shared" si="384"/>
        <v>0</v>
      </c>
      <c r="BD215" s="47">
        <f t="shared" si="385"/>
        <v>0</v>
      </c>
      <c r="BE215" s="604">
        <f t="shared" si="440"/>
        <v>0</v>
      </c>
      <c r="BF215" s="44">
        <f t="shared" si="441"/>
        <v>0</v>
      </c>
      <c r="BG215" s="44">
        <f t="shared" si="442"/>
        <v>0</v>
      </c>
      <c r="BH215" s="44">
        <f t="shared" si="443"/>
        <v>0</v>
      </c>
      <c r="BI215" s="44">
        <f t="shared" si="444"/>
        <v>63000</v>
      </c>
      <c r="BJ215" s="44">
        <f t="shared" si="445"/>
        <v>63000</v>
      </c>
      <c r="BK215" s="44">
        <f t="shared" si="386"/>
        <v>1260</v>
      </c>
      <c r="BL215" s="44">
        <f t="shared" si="446"/>
        <v>1260</v>
      </c>
      <c r="BM215" s="44">
        <f t="shared" si="387"/>
        <v>40950</v>
      </c>
      <c r="BN215" s="44">
        <f t="shared" si="447"/>
        <v>40950</v>
      </c>
      <c r="BO215" s="44">
        <f t="shared" si="388"/>
        <v>22050</v>
      </c>
      <c r="BP215" s="46">
        <f t="shared" si="389"/>
        <v>0</v>
      </c>
      <c r="BQ215" s="47">
        <f t="shared" si="390"/>
        <v>0</v>
      </c>
      <c r="BR215" s="604">
        <f t="shared" si="448"/>
        <v>0</v>
      </c>
      <c r="BS215" s="44">
        <f t="shared" si="449"/>
        <v>0</v>
      </c>
      <c r="BT215" s="44">
        <f t="shared" si="450"/>
        <v>0</v>
      </c>
      <c r="BU215" s="44">
        <f t="shared" si="451"/>
        <v>0</v>
      </c>
      <c r="BV215" s="44">
        <f t="shared" si="452"/>
        <v>63000</v>
      </c>
      <c r="BW215" s="44">
        <f t="shared" si="453"/>
        <v>63000</v>
      </c>
      <c r="BX215" s="44">
        <f t="shared" si="391"/>
        <v>1260</v>
      </c>
      <c r="BY215" s="44">
        <f t="shared" si="454"/>
        <v>1260</v>
      </c>
      <c r="BZ215" s="44">
        <f t="shared" si="392"/>
        <v>39690</v>
      </c>
      <c r="CA215" s="44">
        <f t="shared" si="455"/>
        <v>39690</v>
      </c>
      <c r="CB215" s="44">
        <f t="shared" si="393"/>
        <v>23310</v>
      </c>
      <c r="CC215" s="46">
        <f t="shared" si="394"/>
        <v>0</v>
      </c>
      <c r="CD215" s="47">
        <f t="shared" si="395"/>
        <v>0</v>
      </c>
      <c r="CE215" s="604">
        <f t="shared" si="456"/>
        <v>0</v>
      </c>
      <c r="CF215" s="44">
        <f t="shared" si="457"/>
        <v>0</v>
      </c>
      <c r="CG215" s="44">
        <f t="shared" si="458"/>
        <v>0</v>
      </c>
      <c r="CH215" s="44">
        <f t="shared" si="459"/>
        <v>0</v>
      </c>
      <c r="CI215" s="44">
        <f t="shared" si="460"/>
        <v>63000</v>
      </c>
      <c r="CJ215" s="44">
        <f t="shared" si="461"/>
        <v>63000</v>
      </c>
      <c r="CK215" s="44">
        <f t="shared" si="396"/>
        <v>1260</v>
      </c>
      <c r="CL215" s="44">
        <f t="shared" si="462"/>
        <v>1260</v>
      </c>
      <c r="CM215" s="44">
        <f t="shared" si="397"/>
        <v>38430</v>
      </c>
      <c r="CN215" s="44">
        <f t="shared" si="463"/>
        <v>38430</v>
      </c>
      <c r="CO215" s="44">
        <f t="shared" si="398"/>
        <v>24570</v>
      </c>
      <c r="CP215" s="46">
        <f t="shared" si="399"/>
        <v>0</v>
      </c>
      <c r="CQ215" s="47">
        <f t="shared" si="400"/>
        <v>0</v>
      </c>
      <c r="CR215" s="604">
        <f t="shared" si="464"/>
        <v>0</v>
      </c>
      <c r="CS215" s="44">
        <f t="shared" si="465"/>
        <v>0</v>
      </c>
      <c r="CT215" s="44">
        <f t="shared" si="466"/>
        <v>0</v>
      </c>
      <c r="CU215" s="44">
        <f t="shared" si="467"/>
        <v>0</v>
      </c>
      <c r="CV215" s="44">
        <f t="shared" si="468"/>
        <v>63000</v>
      </c>
      <c r="CW215" s="44">
        <f t="shared" si="469"/>
        <v>63000</v>
      </c>
      <c r="CX215" s="44">
        <f t="shared" si="401"/>
        <v>1260</v>
      </c>
      <c r="CY215" s="44">
        <f t="shared" si="470"/>
        <v>1260</v>
      </c>
      <c r="CZ215" s="44">
        <f t="shared" si="402"/>
        <v>37170</v>
      </c>
      <c r="DA215" s="44">
        <f t="shared" si="471"/>
        <v>37170</v>
      </c>
      <c r="DB215" s="44">
        <f t="shared" si="403"/>
        <v>25830</v>
      </c>
      <c r="DC215" s="46">
        <f t="shared" si="404"/>
        <v>0</v>
      </c>
      <c r="DD215" s="47">
        <f t="shared" si="405"/>
        <v>0</v>
      </c>
      <c r="DE215" s="604">
        <f t="shared" si="472"/>
        <v>0</v>
      </c>
      <c r="DF215" s="44">
        <f t="shared" si="473"/>
        <v>0</v>
      </c>
      <c r="DG215" s="44">
        <f t="shared" si="474"/>
        <v>0</v>
      </c>
      <c r="DH215" s="44">
        <f t="shared" si="475"/>
        <v>0</v>
      </c>
      <c r="DI215" s="44">
        <f t="shared" si="476"/>
        <v>63000</v>
      </c>
      <c r="DJ215" s="44">
        <f t="shared" si="477"/>
        <v>63000</v>
      </c>
      <c r="DK215" s="44">
        <f t="shared" si="406"/>
        <v>1260</v>
      </c>
      <c r="DL215" s="44">
        <f t="shared" si="478"/>
        <v>1260</v>
      </c>
      <c r="DM215" s="44">
        <f t="shared" si="407"/>
        <v>35910</v>
      </c>
      <c r="DN215" s="44">
        <f t="shared" si="479"/>
        <v>35910</v>
      </c>
      <c r="DO215" s="44">
        <f t="shared" si="408"/>
        <v>27090</v>
      </c>
      <c r="DP215" s="46">
        <f t="shared" si="409"/>
        <v>0</v>
      </c>
      <c r="DQ215" s="47">
        <f t="shared" si="410"/>
        <v>0</v>
      </c>
      <c r="DR215" s="604">
        <f t="shared" si="480"/>
        <v>0</v>
      </c>
      <c r="DS215" s="44">
        <f t="shared" si="481"/>
        <v>0</v>
      </c>
      <c r="DT215" s="44">
        <f t="shared" si="482"/>
        <v>0</v>
      </c>
      <c r="DU215" s="44">
        <f t="shared" si="483"/>
        <v>0</v>
      </c>
      <c r="DV215" s="44">
        <f t="shared" si="484"/>
        <v>63000</v>
      </c>
      <c r="DW215" s="44">
        <f t="shared" si="485"/>
        <v>63000</v>
      </c>
      <c r="DX215" s="44">
        <f t="shared" si="411"/>
        <v>1260</v>
      </c>
      <c r="DY215" s="44">
        <f t="shared" si="486"/>
        <v>1260</v>
      </c>
      <c r="DZ215" s="44">
        <f t="shared" si="412"/>
        <v>34650</v>
      </c>
      <c r="EA215" s="44">
        <f t="shared" si="487"/>
        <v>34650</v>
      </c>
      <c r="EB215" s="44">
        <f t="shared" si="413"/>
        <v>28350</v>
      </c>
      <c r="EC215" s="46">
        <f t="shared" si="414"/>
        <v>0</v>
      </c>
      <c r="ED215" s="47">
        <f t="shared" si="415"/>
        <v>0</v>
      </c>
    </row>
    <row r="216" spans="1:134" x14ac:dyDescent="0.35">
      <c r="A216" s="81">
        <v>2000</v>
      </c>
      <c r="B216" s="82" t="s">
        <v>370</v>
      </c>
      <c r="C216" s="82"/>
      <c r="D216" s="83" t="s">
        <v>60</v>
      </c>
      <c r="E216" s="87">
        <v>19500</v>
      </c>
      <c r="F216" s="85">
        <v>36708</v>
      </c>
      <c r="G216" s="86">
        <v>50</v>
      </c>
      <c r="H216" s="179"/>
      <c r="I216" s="180"/>
      <c r="J216" s="181"/>
      <c r="K216" s="42">
        <f t="shared" si="366"/>
        <v>0.02</v>
      </c>
      <c r="L216" s="43">
        <f t="shared" si="367"/>
        <v>390</v>
      </c>
      <c r="M216" s="44">
        <f t="shared" si="368"/>
        <v>15015</v>
      </c>
      <c r="N216" s="44"/>
      <c r="O216" s="44">
        <f t="shared" si="369"/>
        <v>4485</v>
      </c>
      <c r="P216" s="45"/>
      <c r="Q216" s="44">
        <f t="shared" si="370"/>
        <v>19500</v>
      </c>
      <c r="R216" s="604">
        <f t="shared" si="416"/>
        <v>0</v>
      </c>
      <c r="S216" s="44">
        <f t="shared" si="417"/>
        <v>0</v>
      </c>
      <c r="T216" s="44">
        <f t="shared" si="418"/>
        <v>0</v>
      </c>
      <c r="U216" s="44">
        <f t="shared" si="419"/>
        <v>0</v>
      </c>
      <c r="V216" s="44">
        <f t="shared" si="420"/>
        <v>19500</v>
      </c>
      <c r="W216" s="44">
        <f t="shared" si="421"/>
        <v>19500</v>
      </c>
      <c r="X216" s="44">
        <f t="shared" si="371"/>
        <v>390</v>
      </c>
      <c r="Y216" s="44">
        <f t="shared" si="422"/>
        <v>390</v>
      </c>
      <c r="Z216" s="44">
        <f t="shared" si="372"/>
        <v>14625</v>
      </c>
      <c r="AA216" s="44">
        <f t="shared" si="423"/>
        <v>14625</v>
      </c>
      <c r="AB216" s="44">
        <f t="shared" si="373"/>
        <v>4875</v>
      </c>
      <c r="AC216" s="46">
        <f t="shared" si="374"/>
        <v>0</v>
      </c>
      <c r="AD216" s="47">
        <f t="shared" si="375"/>
        <v>0</v>
      </c>
      <c r="AE216" s="604">
        <f t="shared" si="424"/>
        <v>0</v>
      </c>
      <c r="AF216" s="44">
        <f t="shared" si="425"/>
        <v>0</v>
      </c>
      <c r="AG216" s="44">
        <f t="shared" si="426"/>
        <v>0</v>
      </c>
      <c r="AH216" s="44">
        <f t="shared" si="427"/>
        <v>0</v>
      </c>
      <c r="AI216" s="44">
        <f t="shared" si="428"/>
        <v>19500</v>
      </c>
      <c r="AJ216" s="44">
        <f t="shared" si="429"/>
        <v>19500</v>
      </c>
      <c r="AK216" s="44">
        <f t="shared" si="376"/>
        <v>390</v>
      </c>
      <c r="AL216" s="44">
        <f t="shared" si="430"/>
        <v>390</v>
      </c>
      <c r="AM216" s="44">
        <f t="shared" si="377"/>
        <v>14235</v>
      </c>
      <c r="AN216" s="44">
        <f t="shared" si="431"/>
        <v>14235</v>
      </c>
      <c r="AO216" s="44">
        <f t="shared" si="378"/>
        <v>5265</v>
      </c>
      <c r="AP216" s="46">
        <f t="shared" si="379"/>
        <v>0</v>
      </c>
      <c r="AQ216" s="47">
        <f t="shared" si="380"/>
        <v>0</v>
      </c>
      <c r="AR216" s="604">
        <f t="shared" si="432"/>
        <v>0</v>
      </c>
      <c r="AS216" s="44">
        <f t="shared" si="433"/>
        <v>0</v>
      </c>
      <c r="AT216" s="44">
        <f t="shared" si="434"/>
        <v>0</v>
      </c>
      <c r="AU216" s="44">
        <f t="shared" si="435"/>
        <v>0</v>
      </c>
      <c r="AV216" s="44">
        <f t="shared" si="436"/>
        <v>19500</v>
      </c>
      <c r="AW216" s="44">
        <f t="shared" si="437"/>
        <v>19500</v>
      </c>
      <c r="AX216" s="44">
        <f t="shared" si="381"/>
        <v>390</v>
      </c>
      <c r="AY216" s="44">
        <f t="shared" si="438"/>
        <v>390</v>
      </c>
      <c r="AZ216" s="44">
        <f t="shared" si="382"/>
        <v>13845</v>
      </c>
      <c r="BA216" s="44">
        <f t="shared" si="439"/>
        <v>13845</v>
      </c>
      <c r="BB216" s="44">
        <f t="shared" si="383"/>
        <v>5655</v>
      </c>
      <c r="BC216" s="46">
        <f t="shared" si="384"/>
        <v>0</v>
      </c>
      <c r="BD216" s="47">
        <f t="shared" si="385"/>
        <v>0</v>
      </c>
      <c r="BE216" s="604">
        <f t="shared" si="440"/>
        <v>0</v>
      </c>
      <c r="BF216" s="44">
        <f t="shared" si="441"/>
        <v>0</v>
      </c>
      <c r="BG216" s="44">
        <f t="shared" si="442"/>
        <v>0</v>
      </c>
      <c r="BH216" s="44">
        <f t="shared" si="443"/>
        <v>0</v>
      </c>
      <c r="BI216" s="44">
        <f t="shared" si="444"/>
        <v>19500</v>
      </c>
      <c r="BJ216" s="44">
        <f t="shared" si="445"/>
        <v>19500</v>
      </c>
      <c r="BK216" s="44">
        <f t="shared" si="386"/>
        <v>390</v>
      </c>
      <c r="BL216" s="44">
        <f t="shared" si="446"/>
        <v>390</v>
      </c>
      <c r="BM216" s="44">
        <f t="shared" si="387"/>
        <v>13455</v>
      </c>
      <c r="BN216" s="44">
        <f t="shared" si="447"/>
        <v>13455</v>
      </c>
      <c r="BO216" s="44">
        <f t="shared" si="388"/>
        <v>6045</v>
      </c>
      <c r="BP216" s="46">
        <f t="shared" si="389"/>
        <v>0</v>
      </c>
      <c r="BQ216" s="47">
        <f t="shared" si="390"/>
        <v>0</v>
      </c>
      <c r="BR216" s="604">
        <f t="shared" si="448"/>
        <v>0</v>
      </c>
      <c r="BS216" s="44">
        <f t="shared" si="449"/>
        <v>0</v>
      </c>
      <c r="BT216" s="44">
        <f t="shared" si="450"/>
        <v>0</v>
      </c>
      <c r="BU216" s="44">
        <f t="shared" si="451"/>
        <v>0</v>
      </c>
      <c r="BV216" s="44">
        <f t="shared" si="452"/>
        <v>19500</v>
      </c>
      <c r="BW216" s="44">
        <f t="shared" si="453"/>
        <v>19500</v>
      </c>
      <c r="BX216" s="44">
        <f t="shared" si="391"/>
        <v>390</v>
      </c>
      <c r="BY216" s="44">
        <f t="shared" si="454"/>
        <v>390</v>
      </c>
      <c r="BZ216" s="44">
        <f t="shared" si="392"/>
        <v>13065</v>
      </c>
      <c r="CA216" s="44">
        <f t="shared" si="455"/>
        <v>13065</v>
      </c>
      <c r="CB216" s="44">
        <f t="shared" si="393"/>
        <v>6435</v>
      </c>
      <c r="CC216" s="46">
        <f t="shared" si="394"/>
        <v>0</v>
      </c>
      <c r="CD216" s="47">
        <f t="shared" si="395"/>
        <v>0</v>
      </c>
      <c r="CE216" s="604">
        <f t="shared" si="456"/>
        <v>0</v>
      </c>
      <c r="CF216" s="44">
        <f t="shared" si="457"/>
        <v>0</v>
      </c>
      <c r="CG216" s="44">
        <f t="shared" si="458"/>
        <v>0</v>
      </c>
      <c r="CH216" s="44">
        <f t="shared" si="459"/>
        <v>0</v>
      </c>
      <c r="CI216" s="44">
        <f t="shared" si="460"/>
        <v>19500</v>
      </c>
      <c r="CJ216" s="44">
        <f t="shared" si="461"/>
        <v>19500</v>
      </c>
      <c r="CK216" s="44">
        <f t="shared" si="396"/>
        <v>390</v>
      </c>
      <c r="CL216" s="44">
        <f t="shared" si="462"/>
        <v>390</v>
      </c>
      <c r="CM216" s="44">
        <f t="shared" si="397"/>
        <v>12675</v>
      </c>
      <c r="CN216" s="44">
        <f t="shared" si="463"/>
        <v>12675</v>
      </c>
      <c r="CO216" s="44">
        <f t="shared" si="398"/>
        <v>6825</v>
      </c>
      <c r="CP216" s="46">
        <f t="shared" si="399"/>
        <v>0</v>
      </c>
      <c r="CQ216" s="47">
        <f t="shared" si="400"/>
        <v>0</v>
      </c>
      <c r="CR216" s="604">
        <f t="shared" si="464"/>
        <v>0</v>
      </c>
      <c r="CS216" s="44">
        <f t="shared" si="465"/>
        <v>0</v>
      </c>
      <c r="CT216" s="44">
        <f t="shared" si="466"/>
        <v>0</v>
      </c>
      <c r="CU216" s="44">
        <f t="shared" si="467"/>
        <v>0</v>
      </c>
      <c r="CV216" s="44">
        <f t="shared" si="468"/>
        <v>19500</v>
      </c>
      <c r="CW216" s="44">
        <f t="shared" si="469"/>
        <v>19500</v>
      </c>
      <c r="CX216" s="44">
        <f t="shared" si="401"/>
        <v>390</v>
      </c>
      <c r="CY216" s="44">
        <f t="shared" si="470"/>
        <v>390</v>
      </c>
      <c r="CZ216" s="44">
        <f t="shared" si="402"/>
        <v>12285</v>
      </c>
      <c r="DA216" s="44">
        <f t="shared" si="471"/>
        <v>12285</v>
      </c>
      <c r="DB216" s="44">
        <f t="shared" si="403"/>
        <v>7215</v>
      </c>
      <c r="DC216" s="46">
        <f t="shared" si="404"/>
        <v>0</v>
      </c>
      <c r="DD216" s="47">
        <f t="shared" si="405"/>
        <v>0</v>
      </c>
      <c r="DE216" s="604">
        <f t="shared" si="472"/>
        <v>0</v>
      </c>
      <c r="DF216" s="44">
        <f t="shared" si="473"/>
        <v>0</v>
      </c>
      <c r="DG216" s="44">
        <f t="shared" si="474"/>
        <v>0</v>
      </c>
      <c r="DH216" s="44">
        <f t="shared" si="475"/>
        <v>0</v>
      </c>
      <c r="DI216" s="44">
        <f t="shared" si="476"/>
        <v>19500</v>
      </c>
      <c r="DJ216" s="44">
        <f t="shared" si="477"/>
        <v>19500</v>
      </c>
      <c r="DK216" s="44">
        <f t="shared" si="406"/>
        <v>390</v>
      </c>
      <c r="DL216" s="44">
        <f t="shared" si="478"/>
        <v>390</v>
      </c>
      <c r="DM216" s="44">
        <f t="shared" si="407"/>
        <v>11895</v>
      </c>
      <c r="DN216" s="44">
        <f t="shared" si="479"/>
        <v>11895</v>
      </c>
      <c r="DO216" s="44">
        <f t="shared" si="408"/>
        <v>7605</v>
      </c>
      <c r="DP216" s="46">
        <f t="shared" si="409"/>
        <v>0</v>
      </c>
      <c r="DQ216" s="47">
        <f t="shared" si="410"/>
        <v>0</v>
      </c>
      <c r="DR216" s="604">
        <f t="shared" si="480"/>
        <v>0</v>
      </c>
      <c r="DS216" s="44">
        <f t="shared" si="481"/>
        <v>0</v>
      </c>
      <c r="DT216" s="44">
        <f t="shared" si="482"/>
        <v>0</v>
      </c>
      <c r="DU216" s="44">
        <f t="shared" si="483"/>
        <v>0</v>
      </c>
      <c r="DV216" s="44">
        <f t="shared" si="484"/>
        <v>19500</v>
      </c>
      <c r="DW216" s="44">
        <f t="shared" si="485"/>
        <v>19500</v>
      </c>
      <c r="DX216" s="44">
        <f t="shared" si="411"/>
        <v>390</v>
      </c>
      <c r="DY216" s="44">
        <f t="shared" si="486"/>
        <v>390</v>
      </c>
      <c r="DZ216" s="44">
        <f t="shared" si="412"/>
        <v>11505</v>
      </c>
      <c r="EA216" s="44">
        <f t="shared" si="487"/>
        <v>11505</v>
      </c>
      <c r="EB216" s="44">
        <f t="shared" si="413"/>
        <v>7995</v>
      </c>
      <c r="EC216" s="46">
        <f t="shared" si="414"/>
        <v>0</v>
      </c>
      <c r="ED216" s="47">
        <f t="shared" si="415"/>
        <v>0</v>
      </c>
    </row>
    <row r="217" spans="1:134" x14ac:dyDescent="0.35">
      <c r="A217" s="81">
        <v>2002</v>
      </c>
      <c r="B217" s="82" t="s">
        <v>371</v>
      </c>
      <c r="C217" s="82"/>
      <c r="D217" s="83" t="s">
        <v>60</v>
      </c>
      <c r="E217" s="87">
        <v>27000</v>
      </c>
      <c r="F217" s="85">
        <v>37438</v>
      </c>
      <c r="G217" s="86">
        <v>50</v>
      </c>
      <c r="H217" s="179"/>
      <c r="I217" s="180"/>
      <c r="J217" s="181"/>
      <c r="K217" s="42">
        <f t="shared" si="366"/>
        <v>0.02</v>
      </c>
      <c r="L217" s="43">
        <f t="shared" si="367"/>
        <v>540</v>
      </c>
      <c r="M217" s="44">
        <f t="shared" si="368"/>
        <v>21870</v>
      </c>
      <c r="N217" s="44"/>
      <c r="O217" s="44">
        <f t="shared" si="369"/>
        <v>5130</v>
      </c>
      <c r="P217" s="45"/>
      <c r="Q217" s="44">
        <f t="shared" si="370"/>
        <v>27000</v>
      </c>
      <c r="R217" s="604">
        <f t="shared" si="416"/>
        <v>0</v>
      </c>
      <c r="S217" s="44">
        <f t="shared" si="417"/>
        <v>0</v>
      </c>
      <c r="T217" s="44">
        <f t="shared" si="418"/>
        <v>0</v>
      </c>
      <c r="U217" s="44">
        <f t="shared" si="419"/>
        <v>0</v>
      </c>
      <c r="V217" s="44">
        <f t="shared" si="420"/>
        <v>27000</v>
      </c>
      <c r="W217" s="44">
        <f t="shared" si="421"/>
        <v>27000</v>
      </c>
      <c r="X217" s="44">
        <f t="shared" si="371"/>
        <v>540</v>
      </c>
      <c r="Y217" s="44">
        <f t="shared" si="422"/>
        <v>540</v>
      </c>
      <c r="Z217" s="44">
        <f t="shared" si="372"/>
        <v>21330</v>
      </c>
      <c r="AA217" s="44">
        <f t="shared" si="423"/>
        <v>21330</v>
      </c>
      <c r="AB217" s="44">
        <f t="shared" si="373"/>
        <v>5670</v>
      </c>
      <c r="AC217" s="46">
        <f t="shared" si="374"/>
        <v>0</v>
      </c>
      <c r="AD217" s="47">
        <f t="shared" si="375"/>
        <v>0</v>
      </c>
      <c r="AE217" s="604">
        <f t="shared" si="424"/>
        <v>0</v>
      </c>
      <c r="AF217" s="44">
        <f t="shared" si="425"/>
        <v>0</v>
      </c>
      <c r="AG217" s="44">
        <f t="shared" si="426"/>
        <v>0</v>
      </c>
      <c r="AH217" s="44">
        <f t="shared" si="427"/>
        <v>0</v>
      </c>
      <c r="AI217" s="44">
        <f t="shared" si="428"/>
        <v>27000</v>
      </c>
      <c r="AJ217" s="44">
        <f t="shared" si="429"/>
        <v>27000</v>
      </c>
      <c r="AK217" s="44">
        <f t="shared" si="376"/>
        <v>540</v>
      </c>
      <c r="AL217" s="44">
        <f t="shared" si="430"/>
        <v>540</v>
      </c>
      <c r="AM217" s="44">
        <f t="shared" si="377"/>
        <v>20790</v>
      </c>
      <c r="AN217" s="44">
        <f t="shared" si="431"/>
        <v>20790</v>
      </c>
      <c r="AO217" s="44">
        <f t="shared" si="378"/>
        <v>6210</v>
      </c>
      <c r="AP217" s="46">
        <f t="shared" si="379"/>
        <v>0</v>
      </c>
      <c r="AQ217" s="47">
        <f t="shared" si="380"/>
        <v>0</v>
      </c>
      <c r="AR217" s="604">
        <f t="shared" si="432"/>
        <v>0</v>
      </c>
      <c r="AS217" s="44">
        <f t="shared" si="433"/>
        <v>0</v>
      </c>
      <c r="AT217" s="44">
        <f t="shared" si="434"/>
        <v>0</v>
      </c>
      <c r="AU217" s="44">
        <f t="shared" si="435"/>
        <v>0</v>
      </c>
      <c r="AV217" s="44">
        <f t="shared" si="436"/>
        <v>27000</v>
      </c>
      <c r="AW217" s="44">
        <f t="shared" si="437"/>
        <v>27000</v>
      </c>
      <c r="AX217" s="44">
        <f t="shared" si="381"/>
        <v>540</v>
      </c>
      <c r="AY217" s="44">
        <f t="shared" si="438"/>
        <v>540</v>
      </c>
      <c r="AZ217" s="44">
        <f t="shared" si="382"/>
        <v>20250</v>
      </c>
      <c r="BA217" s="44">
        <f t="shared" si="439"/>
        <v>20250</v>
      </c>
      <c r="BB217" s="44">
        <f t="shared" si="383"/>
        <v>6750</v>
      </c>
      <c r="BC217" s="46">
        <f t="shared" si="384"/>
        <v>0</v>
      </c>
      <c r="BD217" s="47">
        <f t="shared" si="385"/>
        <v>0</v>
      </c>
      <c r="BE217" s="604">
        <f t="shared" si="440"/>
        <v>0</v>
      </c>
      <c r="BF217" s="44">
        <f t="shared" si="441"/>
        <v>0</v>
      </c>
      <c r="BG217" s="44">
        <f t="shared" si="442"/>
        <v>0</v>
      </c>
      <c r="BH217" s="44">
        <f t="shared" si="443"/>
        <v>0</v>
      </c>
      <c r="BI217" s="44">
        <f t="shared" si="444"/>
        <v>27000</v>
      </c>
      <c r="BJ217" s="44">
        <f t="shared" si="445"/>
        <v>27000</v>
      </c>
      <c r="BK217" s="44">
        <f t="shared" si="386"/>
        <v>540</v>
      </c>
      <c r="BL217" s="44">
        <f t="shared" si="446"/>
        <v>540</v>
      </c>
      <c r="BM217" s="44">
        <f t="shared" si="387"/>
        <v>19710</v>
      </c>
      <c r="BN217" s="44">
        <f t="shared" si="447"/>
        <v>19710</v>
      </c>
      <c r="BO217" s="44">
        <f t="shared" si="388"/>
        <v>7290</v>
      </c>
      <c r="BP217" s="46">
        <f t="shared" si="389"/>
        <v>0</v>
      </c>
      <c r="BQ217" s="47">
        <f t="shared" si="390"/>
        <v>0</v>
      </c>
      <c r="BR217" s="604">
        <f t="shared" si="448"/>
        <v>0</v>
      </c>
      <c r="BS217" s="44">
        <f t="shared" si="449"/>
        <v>0</v>
      </c>
      <c r="BT217" s="44">
        <f t="shared" si="450"/>
        <v>0</v>
      </c>
      <c r="BU217" s="44">
        <f t="shared" si="451"/>
        <v>0</v>
      </c>
      <c r="BV217" s="44">
        <f t="shared" si="452"/>
        <v>27000</v>
      </c>
      <c r="BW217" s="44">
        <f t="shared" si="453"/>
        <v>27000</v>
      </c>
      <c r="BX217" s="44">
        <f t="shared" si="391"/>
        <v>540</v>
      </c>
      <c r="BY217" s="44">
        <f t="shared" si="454"/>
        <v>540</v>
      </c>
      <c r="BZ217" s="44">
        <f t="shared" si="392"/>
        <v>19170</v>
      </c>
      <c r="CA217" s="44">
        <f t="shared" si="455"/>
        <v>19170</v>
      </c>
      <c r="CB217" s="44">
        <f t="shared" si="393"/>
        <v>7830</v>
      </c>
      <c r="CC217" s="46">
        <f t="shared" si="394"/>
        <v>0</v>
      </c>
      <c r="CD217" s="47">
        <f t="shared" si="395"/>
        <v>0</v>
      </c>
      <c r="CE217" s="604">
        <f t="shared" si="456"/>
        <v>0</v>
      </c>
      <c r="CF217" s="44">
        <f t="shared" si="457"/>
        <v>0</v>
      </c>
      <c r="CG217" s="44">
        <f t="shared" si="458"/>
        <v>0</v>
      </c>
      <c r="CH217" s="44">
        <f t="shared" si="459"/>
        <v>0</v>
      </c>
      <c r="CI217" s="44">
        <f t="shared" si="460"/>
        <v>27000</v>
      </c>
      <c r="CJ217" s="44">
        <f t="shared" si="461"/>
        <v>27000</v>
      </c>
      <c r="CK217" s="44">
        <f t="shared" si="396"/>
        <v>540</v>
      </c>
      <c r="CL217" s="44">
        <f t="shared" si="462"/>
        <v>540</v>
      </c>
      <c r="CM217" s="44">
        <f t="shared" si="397"/>
        <v>18630</v>
      </c>
      <c r="CN217" s="44">
        <f t="shared" si="463"/>
        <v>18630</v>
      </c>
      <c r="CO217" s="44">
        <f t="shared" si="398"/>
        <v>8370</v>
      </c>
      <c r="CP217" s="46">
        <f t="shared" si="399"/>
        <v>0</v>
      </c>
      <c r="CQ217" s="47">
        <f t="shared" si="400"/>
        <v>0</v>
      </c>
      <c r="CR217" s="604">
        <f t="shared" si="464"/>
        <v>0</v>
      </c>
      <c r="CS217" s="44">
        <f t="shared" si="465"/>
        <v>0</v>
      </c>
      <c r="CT217" s="44">
        <f t="shared" si="466"/>
        <v>0</v>
      </c>
      <c r="CU217" s="44">
        <f t="shared" si="467"/>
        <v>0</v>
      </c>
      <c r="CV217" s="44">
        <f t="shared" si="468"/>
        <v>27000</v>
      </c>
      <c r="CW217" s="44">
        <f t="shared" si="469"/>
        <v>27000</v>
      </c>
      <c r="CX217" s="44">
        <f t="shared" si="401"/>
        <v>540</v>
      </c>
      <c r="CY217" s="44">
        <f t="shared" si="470"/>
        <v>540</v>
      </c>
      <c r="CZ217" s="44">
        <f t="shared" si="402"/>
        <v>18090</v>
      </c>
      <c r="DA217" s="44">
        <f t="shared" si="471"/>
        <v>18090</v>
      </c>
      <c r="DB217" s="44">
        <f t="shared" si="403"/>
        <v>8910</v>
      </c>
      <c r="DC217" s="46">
        <f t="shared" si="404"/>
        <v>0</v>
      </c>
      <c r="DD217" s="47">
        <f t="shared" si="405"/>
        <v>0</v>
      </c>
      <c r="DE217" s="604">
        <f t="shared" si="472"/>
        <v>0</v>
      </c>
      <c r="DF217" s="44">
        <f t="shared" si="473"/>
        <v>0</v>
      </c>
      <c r="DG217" s="44">
        <f t="shared" si="474"/>
        <v>0</v>
      </c>
      <c r="DH217" s="44">
        <f t="shared" si="475"/>
        <v>0</v>
      </c>
      <c r="DI217" s="44">
        <f t="shared" si="476"/>
        <v>27000</v>
      </c>
      <c r="DJ217" s="44">
        <f t="shared" si="477"/>
        <v>27000</v>
      </c>
      <c r="DK217" s="44">
        <f t="shared" si="406"/>
        <v>540</v>
      </c>
      <c r="DL217" s="44">
        <f t="shared" si="478"/>
        <v>540</v>
      </c>
      <c r="DM217" s="44">
        <f t="shared" si="407"/>
        <v>17550</v>
      </c>
      <c r="DN217" s="44">
        <f t="shared" si="479"/>
        <v>17550</v>
      </c>
      <c r="DO217" s="44">
        <f t="shared" si="408"/>
        <v>9450</v>
      </c>
      <c r="DP217" s="46">
        <f t="shared" si="409"/>
        <v>0</v>
      </c>
      <c r="DQ217" s="47">
        <f t="shared" si="410"/>
        <v>0</v>
      </c>
      <c r="DR217" s="604">
        <f t="shared" si="480"/>
        <v>0</v>
      </c>
      <c r="DS217" s="44">
        <f t="shared" si="481"/>
        <v>0</v>
      </c>
      <c r="DT217" s="44">
        <f t="shared" si="482"/>
        <v>0</v>
      </c>
      <c r="DU217" s="44">
        <f t="shared" si="483"/>
        <v>0</v>
      </c>
      <c r="DV217" s="44">
        <f t="shared" si="484"/>
        <v>27000</v>
      </c>
      <c r="DW217" s="44">
        <f t="shared" si="485"/>
        <v>27000</v>
      </c>
      <c r="DX217" s="44">
        <f t="shared" si="411"/>
        <v>540</v>
      </c>
      <c r="DY217" s="44">
        <f t="shared" si="486"/>
        <v>540</v>
      </c>
      <c r="DZ217" s="44">
        <f t="shared" si="412"/>
        <v>17010</v>
      </c>
      <c r="EA217" s="44">
        <f t="shared" si="487"/>
        <v>17010</v>
      </c>
      <c r="EB217" s="44">
        <f t="shared" si="413"/>
        <v>9990</v>
      </c>
      <c r="EC217" s="46">
        <f t="shared" si="414"/>
        <v>0</v>
      </c>
      <c r="ED217" s="47">
        <f t="shared" si="415"/>
        <v>0</v>
      </c>
    </row>
    <row r="218" spans="1:134" x14ac:dyDescent="0.35">
      <c r="A218" s="81">
        <v>2003</v>
      </c>
      <c r="B218" s="82" t="s">
        <v>372</v>
      </c>
      <c r="C218" s="82"/>
      <c r="D218" s="83" t="s">
        <v>60</v>
      </c>
      <c r="E218" s="87">
        <v>19500</v>
      </c>
      <c r="F218" s="85">
        <v>37803</v>
      </c>
      <c r="G218" s="86">
        <v>50</v>
      </c>
      <c r="H218" s="179"/>
      <c r="I218" s="180"/>
      <c r="J218" s="181"/>
      <c r="K218" s="42">
        <f t="shared" si="366"/>
        <v>0.02</v>
      </c>
      <c r="L218" s="43">
        <f t="shared" si="367"/>
        <v>390</v>
      </c>
      <c r="M218" s="44">
        <f t="shared" si="368"/>
        <v>16185</v>
      </c>
      <c r="N218" s="44"/>
      <c r="O218" s="44">
        <f t="shared" si="369"/>
        <v>3315</v>
      </c>
      <c r="P218" s="45"/>
      <c r="Q218" s="44">
        <f t="shared" si="370"/>
        <v>19500</v>
      </c>
      <c r="R218" s="604">
        <f t="shared" si="416"/>
        <v>0</v>
      </c>
      <c r="S218" s="44">
        <f t="shared" si="417"/>
        <v>0</v>
      </c>
      <c r="T218" s="44">
        <f t="shared" si="418"/>
        <v>0</v>
      </c>
      <c r="U218" s="44">
        <f t="shared" si="419"/>
        <v>0</v>
      </c>
      <c r="V218" s="44">
        <f t="shared" si="420"/>
        <v>19500</v>
      </c>
      <c r="W218" s="44">
        <f t="shared" si="421"/>
        <v>19500</v>
      </c>
      <c r="X218" s="44">
        <f t="shared" si="371"/>
        <v>390</v>
      </c>
      <c r="Y218" s="44">
        <f t="shared" si="422"/>
        <v>390</v>
      </c>
      <c r="Z218" s="44">
        <f t="shared" si="372"/>
        <v>15795</v>
      </c>
      <c r="AA218" s="44">
        <f t="shared" si="423"/>
        <v>15795</v>
      </c>
      <c r="AB218" s="44">
        <f t="shared" si="373"/>
        <v>3705</v>
      </c>
      <c r="AC218" s="46">
        <f t="shared" si="374"/>
        <v>0</v>
      </c>
      <c r="AD218" s="47">
        <f t="shared" si="375"/>
        <v>0</v>
      </c>
      <c r="AE218" s="604">
        <f t="shared" si="424"/>
        <v>0</v>
      </c>
      <c r="AF218" s="44">
        <f t="shared" si="425"/>
        <v>0</v>
      </c>
      <c r="AG218" s="44">
        <f t="shared" si="426"/>
        <v>0</v>
      </c>
      <c r="AH218" s="44">
        <f t="shared" si="427"/>
        <v>0</v>
      </c>
      <c r="AI218" s="44">
        <f t="shared" si="428"/>
        <v>19500</v>
      </c>
      <c r="AJ218" s="44">
        <f t="shared" si="429"/>
        <v>19500</v>
      </c>
      <c r="AK218" s="44">
        <f t="shared" si="376"/>
        <v>390</v>
      </c>
      <c r="AL218" s="44">
        <f t="shared" si="430"/>
        <v>390</v>
      </c>
      <c r="AM218" s="44">
        <f t="shared" si="377"/>
        <v>15405</v>
      </c>
      <c r="AN218" s="44">
        <f t="shared" si="431"/>
        <v>15405</v>
      </c>
      <c r="AO218" s="44">
        <f t="shared" si="378"/>
        <v>4095</v>
      </c>
      <c r="AP218" s="46">
        <f t="shared" si="379"/>
        <v>0</v>
      </c>
      <c r="AQ218" s="47">
        <f t="shared" si="380"/>
        <v>0</v>
      </c>
      <c r="AR218" s="604">
        <f t="shared" si="432"/>
        <v>0</v>
      </c>
      <c r="AS218" s="44">
        <f t="shared" si="433"/>
        <v>0</v>
      </c>
      <c r="AT218" s="44">
        <f t="shared" si="434"/>
        <v>0</v>
      </c>
      <c r="AU218" s="44">
        <f t="shared" si="435"/>
        <v>0</v>
      </c>
      <c r="AV218" s="44">
        <f t="shared" si="436"/>
        <v>19500</v>
      </c>
      <c r="AW218" s="44">
        <f t="shared" si="437"/>
        <v>19500</v>
      </c>
      <c r="AX218" s="44">
        <f t="shared" si="381"/>
        <v>390</v>
      </c>
      <c r="AY218" s="44">
        <f t="shared" si="438"/>
        <v>390</v>
      </c>
      <c r="AZ218" s="44">
        <f t="shared" si="382"/>
        <v>15015</v>
      </c>
      <c r="BA218" s="44">
        <f t="shared" si="439"/>
        <v>15015</v>
      </c>
      <c r="BB218" s="44">
        <f t="shared" si="383"/>
        <v>4485</v>
      </c>
      <c r="BC218" s="46">
        <f t="shared" si="384"/>
        <v>0</v>
      </c>
      <c r="BD218" s="47">
        <f t="shared" si="385"/>
        <v>0</v>
      </c>
      <c r="BE218" s="604">
        <f t="shared" si="440"/>
        <v>0</v>
      </c>
      <c r="BF218" s="44">
        <f t="shared" si="441"/>
        <v>0</v>
      </c>
      <c r="BG218" s="44">
        <f t="shared" si="442"/>
        <v>0</v>
      </c>
      <c r="BH218" s="44">
        <f t="shared" si="443"/>
        <v>0</v>
      </c>
      <c r="BI218" s="44">
        <f t="shared" si="444"/>
        <v>19500</v>
      </c>
      <c r="BJ218" s="44">
        <f t="shared" si="445"/>
        <v>19500</v>
      </c>
      <c r="BK218" s="44">
        <f t="shared" si="386"/>
        <v>390</v>
      </c>
      <c r="BL218" s="44">
        <f t="shared" si="446"/>
        <v>390</v>
      </c>
      <c r="BM218" s="44">
        <f t="shared" si="387"/>
        <v>14625</v>
      </c>
      <c r="BN218" s="44">
        <f t="shared" si="447"/>
        <v>14625</v>
      </c>
      <c r="BO218" s="44">
        <f t="shared" si="388"/>
        <v>4875</v>
      </c>
      <c r="BP218" s="46">
        <f t="shared" si="389"/>
        <v>0</v>
      </c>
      <c r="BQ218" s="47">
        <f t="shared" si="390"/>
        <v>0</v>
      </c>
      <c r="BR218" s="604">
        <f t="shared" si="448"/>
        <v>0</v>
      </c>
      <c r="BS218" s="44">
        <f t="shared" si="449"/>
        <v>0</v>
      </c>
      <c r="BT218" s="44">
        <f t="shared" si="450"/>
        <v>0</v>
      </c>
      <c r="BU218" s="44">
        <f t="shared" si="451"/>
        <v>0</v>
      </c>
      <c r="BV218" s="44">
        <f t="shared" si="452"/>
        <v>19500</v>
      </c>
      <c r="BW218" s="44">
        <f t="shared" si="453"/>
        <v>19500</v>
      </c>
      <c r="BX218" s="44">
        <f t="shared" si="391"/>
        <v>390</v>
      </c>
      <c r="BY218" s="44">
        <f t="shared" si="454"/>
        <v>390</v>
      </c>
      <c r="BZ218" s="44">
        <f t="shared" si="392"/>
        <v>14235</v>
      </c>
      <c r="CA218" s="44">
        <f t="shared" si="455"/>
        <v>14235</v>
      </c>
      <c r="CB218" s="44">
        <f t="shared" si="393"/>
        <v>5265</v>
      </c>
      <c r="CC218" s="46">
        <f t="shared" si="394"/>
        <v>0</v>
      </c>
      <c r="CD218" s="47">
        <f t="shared" si="395"/>
        <v>0</v>
      </c>
      <c r="CE218" s="604">
        <f t="shared" si="456"/>
        <v>0</v>
      </c>
      <c r="CF218" s="44">
        <f t="shared" si="457"/>
        <v>0</v>
      </c>
      <c r="CG218" s="44">
        <f t="shared" si="458"/>
        <v>0</v>
      </c>
      <c r="CH218" s="44">
        <f t="shared" si="459"/>
        <v>0</v>
      </c>
      <c r="CI218" s="44">
        <f t="shared" si="460"/>
        <v>19500</v>
      </c>
      <c r="CJ218" s="44">
        <f t="shared" si="461"/>
        <v>19500</v>
      </c>
      <c r="CK218" s="44">
        <f t="shared" si="396"/>
        <v>390</v>
      </c>
      <c r="CL218" s="44">
        <f t="shared" si="462"/>
        <v>390</v>
      </c>
      <c r="CM218" s="44">
        <f t="shared" si="397"/>
        <v>13845</v>
      </c>
      <c r="CN218" s="44">
        <f t="shared" si="463"/>
        <v>13845</v>
      </c>
      <c r="CO218" s="44">
        <f t="shared" si="398"/>
        <v>5655</v>
      </c>
      <c r="CP218" s="46">
        <f t="shared" si="399"/>
        <v>0</v>
      </c>
      <c r="CQ218" s="47">
        <f t="shared" si="400"/>
        <v>0</v>
      </c>
      <c r="CR218" s="604">
        <f t="shared" si="464"/>
        <v>0</v>
      </c>
      <c r="CS218" s="44">
        <f t="shared" si="465"/>
        <v>0</v>
      </c>
      <c r="CT218" s="44">
        <f t="shared" si="466"/>
        <v>0</v>
      </c>
      <c r="CU218" s="44">
        <f t="shared" si="467"/>
        <v>0</v>
      </c>
      <c r="CV218" s="44">
        <f t="shared" si="468"/>
        <v>19500</v>
      </c>
      <c r="CW218" s="44">
        <f t="shared" si="469"/>
        <v>19500</v>
      </c>
      <c r="CX218" s="44">
        <f t="shared" si="401"/>
        <v>390</v>
      </c>
      <c r="CY218" s="44">
        <f t="shared" si="470"/>
        <v>390</v>
      </c>
      <c r="CZ218" s="44">
        <f t="shared" si="402"/>
        <v>13455</v>
      </c>
      <c r="DA218" s="44">
        <f t="shared" si="471"/>
        <v>13455</v>
      </c>
      <c r="DB218" s="44">
        <f t="shared" si="403"/>
        <v>6045</v>
      </c>
      <c r="DC218" s="46">
        <f t="shared" si="404"/>
        <v>0</v>
      </c>
      <c r="DD218" s="47">
        <f t="shared" si="405"/>
        <v>0</v>
      </c>
      <c r="DE218" s="604">
        <f t="shared" si="472"/>
        <v>0</v>
      </c>
      <c r="DF218" s="44">
        <f t="shared" si="473"/>
        <v>0</v>
      </c>
      <c r="DG218" s="44">
        <f t="shared" si="474"/>
        <v>0</v>
      </c>
      <c r="DH218" s="44">
        <f t="shared" si="475"/>
        <v>0</v>
      </c>
      <c r="DI218" s="44">
        <f t="shared" si="476"/>
        <v>19500</v>
      </c>
      <c r="DJ218" s="44">
        <f t="shared" si="477"/>
        <v>19500</v>
      </c>
      <c r="DK218" s="44">
        <f t="shared" si="406"/>
        <v>390</v>
      </c>
      <c r="DL218" s="44">
        <f t="shared" si="478"/>
        <v>390</v>
      </c>
      <c r="DM218" s="44">
        <f t="shared" si="407"/>
        <v>13065</v>
      </c>
      <c r="DN218" s="44">
        <f t="shared" si="479"/>
        <v>13065</v>
      </c>
      <c r="DO218" s="44">
        <f t="shared" si="408"/>
        <v>6435</v>
      </c>
      <c r="DP218" s="46">
        <f t="shared" si="409"/>
        <v>0</v>
      </c>
      <c r="DQ218" s="47">
        <f t="shared" si="410"/>
        <v>0</v>
      </c>
      <c r="DR218" s="604">
        <f t="shared" si="480"/>
        <v>0</v>
      </c>
      <c r="DS218" s="44">
        <f t="shared" si="481"/>
        <v>0</v>
      </c>
      <c r="DT218" s="44">
        <f t="shared" si="482"/>
        <v>0</v>
      </c>
      <c r="DU218" s="44">
        <f t="shared" si="483"/>
        <v>0</v>
      </c>
      <c r="DV218" s="44">
        <f t="shared" si="484"/>
        <v>19500</v>
      </c>
      <c r="DW218" s="44">
        <f t="shared" si="485"/>
        <v>19500</v>
      </c>
      <c r="DX218" s="44">
        <f t="shared" si="411"/>
        <v>390</v>
      </c>
      <c r="DY218" s="44">
        <f t="shared" si="486"/>
        <v>390</v>
      </c>
      <c r="DZ218" s="44">
        <f t="shared" si="412"/>
        <v>12675</v>
      </c>
      <c r="EA218" s="44">
        <f t="shared" si="487"/>
        <v>12675</v>
      </c>
      <c r="EB218" s="44">
        <f t="shared" si="413"/>
        <v>6825</v>
      </c>
      <c r="EC218" s="46">
        <f t="shared" si="414"/>
        <v>0</v>
      </c>
      <c r="ED218" s="47">
        <f t="shared" si="415"/>
        <v>0</v>
      </c>
    </row>
    <row r="219" spans="1:134" x14ac:dyDescent="0.35">
      <c r="A219" s="81">
        <v>2006</v>
      </c>
      <c r="B219" s="82" t="s">
        <v>373</v>
      </c>
      <c r="C219" s="82"/>
      <c r="D219" s="83" t="s">
        <v>60</v>
      </c>
      <c r="E219" s="87">
        <v>165000</v>
      </c>
      <c r="F219" s="85">
        <v>38899</v>
      </c>
      <c r="G219" s="86">
        <v>50</v>
      </c>
      <c r="H219" s="179"/>
      <c r="I219" s="180"/>
      <c r="J219" s="181"/>
      <c r="K219" s="42">
        <f t="shared" si="366"/>
        <v>0.02</v>
      </c>
      <c r="L219" s="43">
        <f t="shared" si="367"/>
        <v>3300</v>
      </c>
      <c r="M219" s="44">
        <f t="shared" si="368"/>
        <v>146850</v>
      </c>
      <c r="N219" s="44"/>
      <c r="O219" s="44">
        <f t="shared" si="369"/>
        <v>18150</v>
      </c>
      <c r="P219" s="45"/>
      <c r="Q219" s="44">
        <f t="shared" si="370"/>
        <v>165000</v>
      </c>
      <c r="R219" s="604">
        <f t="shared" si="416"/>
        <v>0</v>
      </c>
      <c r="S219" s="44">
        <f t="shared" si="417"/>
        <v>0</v>
      </c>
      <c r="T219" s="44">
        <f t="shared" si="418"/>
        <v>0</v>
      </c>
      <c r="U219" s="44">
        <f t="shared" si="419"/>
        <v>0</v>
      </c>
      <c r="V219" s="44">
        <f t="shared" si="420"/>
        <v>165000</v>
      </c>
      <c r="W219" s="44">
        <f t="shared" si="421"/>
        <v>165000</v>
      </c>
      <c r="X219" s="44">
        <f t="shared" si="371"/>
        <v>3300</v>
      </c>
      <c r="Y219" s="44">
        <f t="shared" si="422"/>
        <v>3300</v>
      </c>
      <c r="Z219" s="44">
        <f t="shared" si="372"/>
        <v>143550</v>
      </c>
      <c r="AA219" s="44">
        <f t="shared" si="423"/>
        <v>143550</v>
      </c>
      <c r="AB219" s="44">
        <f t="shared" si="373"/>
        <v>21450</v>
      </c>
      <c r="AC219" s="46">
        <f t="shared" si="374"/>
        <v>0</v>
      </c>
      <c r="AD219" s="47">
        <f t="shared" si="375"/>
        <v>0</v>
      </c>
      <c r="AE219" s="604">
        <f t="shared" si="424"/>
        <v>0</v>
      </c>
      <c r="AF219" s="44">
        <f t="shared" si="425"/>
        <v>0</v>
      </c>
      <c r="AG219" s="44">
        <f t="shared" si="426"/>
        <v>0</v>
      </c>
      <c r="AH219" s="44">
        <f t="shared" si="427"/>
        <v>0</v>
      </c>
      <c r="AI219" s="44">
        <f t="shared" si="428"/>
        <v>165000</v>
      </c>
      <c r="AJ219" s="44">
        <f t="shared" si="429"/>
        <v>165000</v>
      </c>
      <c r="AK219" s="44">
        <f t="shared" si="376"/>
        <v>3300</v>
      </c>
      <c r="AL219" s="44">
        <f t="shared" si="430"/>
        <v>3300</v>
      </c>
      <c r="AM219" s="44">
        <f t="shared" si="377"/>
        <v>140250</v>
      </c>
      <c r="AN219" s="44">
        <f t="shared" si="431"/>
        <v>140250</v>
      </c>
      <c r="AO219" s="44">
        <f t="shared" si="378"/>
        <v>24750</v>
      </c>
      <c r="AP219" s="46">
        <f t="shared" si="379"/>
        <v>0</v>
      </c>
      <c r="AQ219" s="47">
        <f t="shared" si="380"/>
        <v>0</v>
      </c>
      <c r="AR219" s="604">
        <f t="shared" si="432"/>
        <v>0</v>
      </c>
      <c r="AS219" s="44">
        <f t="shared" si="433"/>
        <v>0</v>
      </c>
      <c r="AT219" s="44">
        <f t="shared" si="434"/>
        <v>0</v>
      </c>
      <c r="AU219" s="44">
        <f t="shared" si="435"/>
        <v>0</v>
      </c>
      <c r="AV219" s="44">
        <f t="shared" si="436"/>
        <v>165000</v>
      </c>
      <c r="AW219" s="44">
        <f t="shared" si="437"/>
        <v>165000</v>
      </c>
      <c r="AX219" s="44">
        <f t="shared" si="381"/>
        <v>3300</v>
      </c>
      <c r="AY219" s="44">
        <f t="shared" si="438"/>
        <v>3300</v>
      </c>
      <c r="AZ219" s="44">
        <f t="shared" si="382"/>
        <v>136950</v>
      </c>
      <c r="BA219" s="44">
        <f t="shared" si="439"/>
        <v>136950</v>
      </c>
      <c r="BB219" s="44">
        <f t="shared" si="383"/>
        <v>28050</v>
      </c>
      <c r="BC219" s="46">
        <f t="shared" si="384"/>
        <v>0</v>
      </c>
      <c r="BD219" s="47">
        <f t="shared" si="385"/>
        <v>0</v>
      </c>
      <c r="BE219" s="604">
        <f t="shared" si="440"/>
        <v>0</v>
      </c>
      <c r="BF219" s="44">
        <f t="shared" si="441"/>
        <v>0</v>
      </c>
      <c r="BG219" s="44">
        <f t="shared" si="442"/>
        <v>0</v>
      </c>
      <c r="BH219" s="44">
        <f t="shared" si="443"/>
        <v>0</v>
      </c>
      <c r="BI219" s="44">
        <f t="shared" si="444"/>
        <v>165000</v>
      </c>
      <c r="BJ219" s="44">
        <f t="shared" si="445"/>
        <v>165000</v>
      </c>
      <c r="BK219" s="44">
        <f t="shared" si="386"/>
        <v>3300</v>
      </c>
      <c r="BL219" s="44">
        <f t="shared" si="446"/>
        <v>3300</v>
      </c>
      <c r="BM219" s="44">
        <f t="shared" si="387"/>
        <v>133650</v>
      </c>
      <c r="BN219" s="44">
        <f t="shared" si="447"/>
        <v>133650</v>
      </c>
      <c r="BO219" s="44">
        <f t="shared" si="388"/>
        <v>31350</v>
      </c>
      <c r="BP219" s="46">
        <f t="shared" si="389"/>
        <v>0</v>
      </c>
      <c r="BQ219" s="47">
        <f t="shared" si="390"/>
        <v>0</v>
      </c>
      <c r="BR219" s="604">
        <f t="shared" si="448"/>
        <v>0</v>
      </c>
      <c r="BS219" s="44">
        <f t="shared" si="449"/>
        <v>0</v>
      </c>
      <c r="BT219" s="44">
        <f t="shared" si="450"/>
        <v>0</v>
      </c>
      <c r="BU219" s="44">
        <f t="shared" si="451"/>
        <v>0</v>
      </c>
      <c r="BV219" s="44">
        <f t="shared" si="452"/>
        <v>165000</v>
      </c>
      <c r="BW219" s="44">
        <f t="shared" si="453"/>
        <v>165000</v>
      </c>
      <c r="BX219" s="44">
        <f t="shared" si="391"/>
        <v>3300</v>
      </c>
      <c r="BY219" s="44">
        <f t="shared" si="454"/>
        <v>3300</v>
      </c>
      <c r="BZ219" s="44">
        <f t="shared" si="392"/>
        <v>130350</v>
      </c>
      <c r="CA219" s="44">
        <f t="shared" si="455"/>
        <v>130350</v>
      </c>
      <c r="CB219" s="44">
        <f t="shared" si="393"/>
        <v>34650</v>
      </c>
      <c r="CC219" s="46">
        <f t="shared" si="394"/>
        <v>0</v>
      </c>
      <c r="CD219" s="47">
        <f t="shared" si="395"/>
        <v>0</v>
      </c>
      <c r="CE219" s="604">
        <f t="shared" si="456"/>
        <v>0</v>
      </c>
      <c r="CF219" s="44">
        <f t="shared" si="457"/>
        <v>0</v>
      </c>
      <c r="CG219" s="44">
        <f t="shared" si="458"/>
        <v>0</v>
      </c>
      <c r="CH219" s="44">
        <f t="shared" si="459"/>
        <v>0</v>
      </c>
      <c r="CI219" s="44">
        <f t="shared" si="460"/>
        <v>165000</v>
      </c>
      <c r="CJ219" s="44">
        <f t="shared" si="461"/>
        <v>165000</v>
      </c>
      <c r="CK219" s="44">
        <f t="shared" si="396"/>
        <v>3300</v>
      </c>
      <c r="CL219" s="44">
        <f t="shared" si="462"/>
        <v>3300</v>
      </c>
      <c r="CM219" s="44">
        <f t="shared" si="397"/>
        <v>127050</v>
      </c>
      <c r="CN219" s="44">
        <f t="shared" si="463"/>
        <v>127050</v>
      </c>
      <c r="CO219" s="44">
        <f t="shared" si="398"/>
        <v>37950</v>
      </c>
      <c r="CP219" s="46">
        <f t="shared" si="399"/>
        <v>0</v>
      </c>
      <c r="CQ219" s="47">
        <f t="shared" si="400"/>
        <v>0</v>
      </c>
      <c r="CR219" s="604">
        <f t="shared" si="464"/>
        <v>0</v>
      </c>
      <c r="CS219" s="44">
        <f t="shared" si="465"/>
        <v>0</v>
      </c>
      <c r="CT219" s="44">
        <f t="shared" si="466"/>
        <v>0</v>
      </c>
      <c r="CU219" s="44">
        <f t="shared" si="467"/>
        <v>0</v>
      </c>
      <c r="CV219" s="44">
        <f t="shared" si="468"/>
        <v>165000</v>
      </c>
      <c r="CW219" s="44">
        <f t="shared" si="469"/>
        <v>165000</v>
      </c>
      <c r="CX219" s="44">
        <f t="shared" si="401"/>
        <v>3300</v>
      </c>
      <c r="CY219" s="44">
        <f t="shared" si="470"/>
        <v>3300</v>
      </c>
      <c r="CZ219" s="44">
        <f t="shared" si="402"/>
        <v>123750</v>
      </c>
      <c r="DA219" s="44">
        <f t="shared" si="471"/>
        <v>123750</v>
      </c>
      <c r="DB219" s="44">
        <f t="shared" si="403"/>
        <v>41250</v>
      </c>
      <c r="DC219" s="46">
        <f t="shared" si="404"/>
        <v>0</v>
      </c>
      <c r="DD219" s="47">
        <f t="shared" si="405"/>
        <v>0</v>
      </c>
      <c r="DE219" s="604">
        <f t="shared" si="472"/>
        <v>0</v>
      </c>
      <c r="DF219" s="44">
        <f t="shared" si="473"/>
        <v>0</v>
      </c>
      <c r="DG219" s="44">
        <f t="shared" si="474"/>
        <v>0</v>
      </c>
      <c r="DH219" s="44">
        <f t="shared" si="475"/>
        <v>0</v>
      </c>
      <c r="DI219" s="44">
        <f t="shared" si="476"/>
        <v>165000</v>
      </c>
      <c r="DJ219" s="44">
        <f t="shared" si="477"/>
        <v>165000</v>
      </c>
      <c r="DK219" s="44">
        <f t="shared" si="406"/>
        <v>3300</v>
      </c>
      <c r="DL219" s="44">
        <f t="shared" si="478"/>
        <v>3300</v>
      </c>
      <c r="DM219" s="44">
        <f t="shared" si="407"/>
        <v>120450</v>
      </c>
      <c r="DN219" s="44">
        <f t="shared" si="479"/>
        <v>120450</v>
      </c>
      <c r="DO219" s="44">
        <f t="shared" si="408"/>
        <v>44550</v>
      </c>
      <c r="DP219" s="46">
        <f t="shared" si="409"/>
        <v>0</v>
      </c>
      <c r="DQ219" s="47">
        <f t="shared" si="410"/>
        <v>0</v>
      </c>
      <c r="DR219" s="604">
        <f t="shared" si="480"/>
        <v>0</v>
      </c>
      <c r="DS219" s="44">
        <f t="shared" si="481"/>
        <v>0</v>
      </c>
      <c r="DT219" s="44">
        <f t="shared" si="482"/>
        <v>0</v>
      </c>
      <c r="DU219" s="44">
        <f t="shared" si="483"/>
        <v>0</v>
      </c>
      <c r="DV219" s="44">
        <f t="shared" si="484"/>
        <v>165000</v>
      </c>
      <c r="DW219" s="44">
        <f t="shared" si="485"/>
        <v>165000</v>
      </c>
      <c r="DX219" s="44">
        <f t="shared" si="411"/>
        <v>3300</v>
      </c>
      <c r="DY219" s="44">
        <f t="shared" si="486"/>
        <v>3300</v>
      </c>
      <c r="DZ219" s="44">
        <f t="shared" si="412"/>
        <v>117150</v>
      </c>
      <c r="EA219" s="44">
        <f t="shared" si="487"/>
        <v>117150</v>
      </c>
      <c r="EB219" s="44">
        <f t="shared" si="413"/>
        <v>47850</v>
      </c>
      <c r="EC219" s="46">
        <f t="shared" si="414"/>
        <v>0</v>
      </c>
      <c r="ED219" s="47">
        <f t="shared" si="415"/>
        <v>0</v>
      </c>
    </row>
    <row r="220" spans="1:134" x14ac:dyDescent="0.35">
      <c r="A220" s="81">
        <v>2008</v>
      </c>
      <c r="B220" s="82" t="s">
        <v>374</v>
      </c>
      <c r="C220" s="82"/>
      <c r="D220" s="83" t="s">
        <v>60</v>
      </c>
      <c r="E220" s="87">
        <v>40500</v>
      </c>
      <c r="F220" s="85">
        <v>39630</v>
      </c>
      <c r="G220" s="86">
        <v>50</v>
      </c>
      <c r="H220" s="179"/>
      <c r="I220" s="180"/>
      <c r="J220" s="181"/>
      <c r="K220" s="42">
        <f t="shared" si="366"/>
        <v>0.02</v>
      </c>
      <c r="L220" s="43">
        <f t="shared" si="367"/>
        <v>810</v>
      </c>
      <c r="M220" s="44">
        <f t="shared" si="368"/>
        <v>37665</v>
      </c>
      <c r="N220" s="44"/>
      <c r="O220" s="44">
        <f t="shared" si="369"/>
        <v>2835</v>
      </c>
      <c r="P220" s="45"/>
      <c r="Q220" s="44">
        <f t="shared" si="370"/>
        <v>40500</v>
      </c>
      <c r="R220" s="604">
        <f t="shared" si="416"/>
        <v>0</v>
      </c>
      <c r="S220" s="44">
        <f t="shared" si="417"/>
        <v>0</v>
      </c>
      <c r="T220" s="44">
        <f t="shared" si="418"/>
        <v>0</v>
      </c>
      <c r="U220" s="44">
        <f t="shared" si="419"/>
        <v>0</v>
      </c>
      <c r="V220" s="44">
        <f t="shared" si="420"/>
        <v>40500</v>
      </c>
      <c r="W220" s="44">
        <f t="shared" si="421"/>
        <v>40500</v>
      </c>
      <c r="X220" s="44">
        <f t="shared" si="371"/>
        <v>810</v>
      </c>
      <c r="Y220" s="44">
        <f t="shared" si="422"/>
        <v>810</v>
      </c>
      <c r="Z220" s="44">
        <f t="shared" si="372"/>
        <v>36855</v>
      </c>
      <c r="AA220" s="44">
        <f t="shared" si="423"/>
        <v>36855</v>
      </c>
      <c r="AB220" s="44">
        <f t="shared" si="373"/>
        <v>3645</v>
      </c>
      <c r="AC220" s="46">
        <f t="shared" si="374"/>
        <v>0</v>
      </c>
      <c r="AD220" s="47">
        <f t="shared" si="375"/>
        <v>0</v>
      </c>
      <c r="AE220" s="604">
        <f t="shared" si="424"/>
        <v>0</v>
      </c>
      <c r="AF220" s="44">
        <f t="shared" si="425"/>
        <v>0</v>
      </c>
      <c r="AG220" s="44">
        <f t="shared" si="426"/>
        <v>0</v>
      </c>
      <c r="AH220" s="44">
        <f t="shared" si="427"/>
        <v>0</v>
      </c>
      <c r="AI220" s="44">
        <f t="shared" si="428"/>
        <v>40500</v>
      </c>
      <c r="AJ220" s="44">
        <f t="shared" si="429"/>
        <v>40500</v>
      </c>
      <c r="AK220" s="44">
        <f t="shared" si="376"/>
        <v>810</v>
      </c>
      <c r="AL220" s="44">
        <f t="shared" si="430"/>
        <v>810</v>
      </c>
      <c r="AM220" s="44">
        <f t="shared" si="377"/>
        <v>36045</v>
      </c>
      <c r="AN220" s="44">
        <f t="shared" si="431"/>
        <v>36045</v>
      </c>
      <c r="AO220" s="44">
        <f t="shared" si="378"/>
        <v>4455</v>
      </c>
      <c r="AP220" s="46">
        <f t="shared" si="379"/>
        <v>0</v>
      </c>
      <c r="AQ220" s="47">
        <f t="shared" si="380"/>
        <v>0</v>
      </c>
      <c r="AR220" s="604">
        <f t="shared" si="432"/>
        <v>0</v>
      </c>
      <c r="AS220" s="44">
        <f t="shared" si="433"/>
        <v>0</v>
      </c>
      <c r="AT220" s="44">
        <f t="shared" si="434"/>
        <v>0</v>
      </c>
      <c r="AU220" s="44">
        <f t="shared" si="435"/>
        <v>0</v>
      </c>
      <c r="AV220" s="44">
        <f t="shared" si="436"/>
        <v>40500</v>
      </c>
      <c r="AW220" s="44">
        <f t="shared" si="437"/>
        <v>40500</v>
      </c>
      <c r="AX220" s="44">
        <f t="shared" si="381"/>
        <v>810</v>
      </c>
      <c r="AY220" s="44">
        <f t="shared" si="438"/>
        <v>810</v>
      </c>
      <c r="AZ220" s="44">
        <f t="shared" si="382"/>
        <v>35235</v>
      </c>
      <c r="BA220" s="44">
        <f t="shared" si="439"/>
        <v>35235</v>
      </c>
      <c r="BB220" s="44">
        <f t="shared" si="383"/>
        <v>5265</v>
      </c>
      <c r="BC220" s="46">
        <f t="shared" si="384"/>
        <v>0</v>
      </c>
      <c r="BD220" s="47">
        <f t="shared" si="385"/>
        <v>0</v>
      </c>
      <c r="BE220" s="604">
        <f t="shared" si="440"/>
        <v>0</v>
      </c>
      <c r="BF220" s="44">
        <f t="shared" si="441"/>
        <v>0</v>
      </c>
      <c r="BG220" s="44">
        <f t="shared" si="442"/>
        <v>0</v>
      </c>
      <c r="BH220" s="44">
        <f t="shared" si="443"/>
        <v>0</v>
      </c>
      <c r="BI220" s="44">
        <f t="shared" si="444"/>
        <v>40500</v>
      </c>
      <c r="BJ220" s="44">
        <f t="shared" si="445"/>
        <v>40500</v>
      </c>
      <c r="BK220" s="44">
        <f t="shared" si="386"/>
        <v>810</v>
      </c>
      <c r="BL220" s="44">
        <f t="shared" si="446"/>
        <v>810</v>
      </c>
      <c r="BM220" s="44">
        <f t="shared" si="387"/>
        <v>34425</v>
      </c>
      <c r="BN220" s="44">
        <f t="shared" si="447"/>
        <v>34425</v>
      </c>
      <c r="BO220" s="44">
        <f t="shared" si="388"/>
        <v>6075</v>
      </c>
      <c r="BP220" s="46">
        <f t="shared" si="389"/>
        <v>0</v>
      </c>
      <c r="BQ220" s="47">
        <f t="shared" si="390"/>
        <v>0</v>
      </c>
      <c r="BR220" s="604">
        <f t="shared" si="448"/>
        <v>0</v>
      </c>
      <c r="BS220" s="44">
        <f t="shared" si="449"/>
        <v>0</v>
      </c>
      <c r="BT220" s="44">
        <f t="shared" si="450"/>
        <v>0</v>
      </c>
      <c r="BU220" s="44">
        <f t="shared" si="451"/>
        <v>0</v>
      </c>
      <c r="BV220" s="44">
        <f t="shared" si="452"/>
        <v>40500</v>
      </c>
      <c r="BW220" s="44">
        <f t="shared" si="453"/>
        <v>40500</v>
      </c>
      <c r="BX220" s="44">
        <f t="shared" si="391"/>
        <v>810</v>
      </c>
      <c r="BY220" s="44">
        <f t="shared" si="454"/>
        <v>810</v>
      </c>
      <c r="BZ220" s="44">
        <f t="shared" si="392"/>
        <v>33615</v>
      </c>
      <c r="CA220" s="44">
        <f t="shared" si="455"/>
        <v>33615</v>
      </c>
      <c r="CB220" s="44">
        <f t="shared" si="393"/>
        <v>6885</v>
      </c>
      <c r="CC220" s="46">
        <f t="shared" si="394"/>
        <v>0</v>
      </c>
      <c r="CD220" s="47">
        <f t="shared" si="395"/>
        <v>0</v>
      </c>
      <c r="CE220" s="604">
        <f t="shared" si="456"/>
        <v>0</v>
      </c>
      <c r="CF220" s="44">
        <f t="shared" si="457"/>
        <v>0</v>
      </c>
      <c r="CG220" s="44">
        <f t="shared" si="458"/>
        <v>0</v>
      </c>
      <c r="CH220" s="44">
        <f t="shared" si="459"/>
        <v>0</v>
      </c>
      <c r="CI220" s="44">
        <f t="shared" si="460"/>
        <v>40500</v>
      </c>
      <c r="CJ220" s="44">
        <f t="shared" si="461"/>
        <v>40500</v>
      </c>
      <c r="CK220" s="44">
        <f t="shared" si="396"/>
        <v>810</v>
      </c>
      <c r="CL220" s="44">
        <f t="shared" si="462"/>
        <v>810</v>
      </c>
      <c r="CM220" s="44">
        <f t="shared" si="397"/>
        <v>32805</v>
      </c>
      <c r="CN220" s="44">
        <f t="shared" si="463"/>
        <v>32805</v>
      </c>
      <c r="CO220" s="44">
        <f t="shared" si="398"/>
        <v>7695</v>
      </c>
      <c r="CP220" s="46">
        <f t="shared" si="399"/>
        <v>0</v>
      </c>
      <c r="CQ220" s="47">
        <f t="shared" si="400"/>
        <v>0</v>
      </c>
      <c r="CR220" s="604">
        <f t="shared" si="464"/>
        <v>0</v>
      </c>
      <c r="CS220" s="44">
        <f t="shared" si="465"/>
        <v>0</v>
      </c>
      <c r="CT220" s="44">
        <f t="shared" si="466"/>
        <v>0</v>
      </c>
      <c r="CU220" s="44">
        <f t="shared" si="467"/>
        <v>0</v>
      </c>
      <c r="CV220" s="44">
        <f t="shared" si="468"/>
        <v>40500</v>
      </c>
      <c r="CW220" s="44">
        <f t="shared" si="469"/>
        <v>40500</v>
      </c>
      <c r="CX220" s="44">
        <f t="shared" si="401"/>
        <v>810</v>
      </c>
      <c r="CY220" s="44">
        <f t="shared" si="470"/>
        <v>810</v>
      </c>
      <c r="CZ220" s="44">
        <f t="shared" si="402"/>
        <v>31995</v>
      </c>
      <c r="DA220" s="44">
        <f t="shared" si="471"/>
        <v>31995</v>
      </c>
      <c r="DB220" s="44">
        <f t="shared" si="403"/>
        <v>8505</v>
      </c>
      <c r="DC220" s="46">
        <f t="shared" si="404"/>
        <v>0</v>
      </c>
      <c r="DD220" s="47">
        <f t="shared" si="405"/>
        <v>0</v>
      </c>
      <c r="DE220" s="604">
        <f t="shared" si="472"/>
        <v>0</v>
      </c>
      <c r="DF220" s="44">
        <f t="shared" si="473"/>
        <v>0</v>
      </c>
      <c r="DG220" s="44">
        <f t="shared" si="474"/>
        <v>0</v>
      </c>
      <c r="DH220" s="44">
        <f t="shared" si="475"/>
        <v>0</v>
      </c>
      <c r="DI220" s="44">
        <f t="shared" si="476"/>
        <v>40500</v>
      </c>
      <c r="DJ220" s="44">
        <f t="shared" si="477"/>
        <v>40500</v>
      </c>
      <c r="DK220" s="44">
        <f t="shared" si="406"/>
        <v>810</v>
      </c>
      <c r="DL220" s="44">
        <f t="shared" si="478"/>
        <v>810</v>
      </c>
      <c r="DM220" s="44">
        <f t="shared" si="407"/>
        <v>31185</v>
      </c>
      <c r="DN220" s="44">
        <f t="shared" si="479"/>
        <v>31185</v>
      </c>
      <c r="DO220" s="44">
        <f t="shared" si="408"/>
        <v>9315</v>
      </c>
      <c r="DP220" s="46">
        <f t="shared" si="409"/>
        <v>0</v>
      </c>
      <c r="DQ220" s="47">
        <f t="shared" si="410"/>
        <v>0</v>
      </c>
      <c r="DR220" s="604">
        <f t="shared" si="480"/>
        <v>0</v>
      </c>
      <c r="DS220" s="44">
        <f t="shared" si="481"/>
        <v>0</v>
      </c>
      <c r="DT220" s="44">
        <f t="shared" si="482"/>
        <v>0</v>
      </c>
      <c r="DU220" s="44">
        <f t="shared" si="483"/>
        <v>0</v>
      </c>
      <c r="DV220" s="44">
        <f t="shared" si="484"/>
        <v>40500</v>
      </c>
      <c r="DW220" s="44">
        <f t="shared" si="485"/>
        <v>40500</v>
      </c>
      <c r="DX220" s="44">
        <f t="shared" si="411"/>
        <v>810</v>
      </c>
      <c r="DY220" s="44">
        <f t="shared" si="486"/>
        <v>810</v>
      </c>
      <c r="DZ220" s="44">
        <f t="shared" si="412"/>
        <v>30375</v>
      </c>
      <c r="EA220" s="44">
        <f t="shared" si="487"/>
        <v>30375</v>
      </c>
      <c r="EB220" s="44">
        <f t="shared" si="413"/>
        <v>10125</v>
      </c>
      <c r="EC220" s="46">
        <f t="shared" si="414"/>
        <v>0</v>
      </c>
      <c r="ED220" s="47">
        <f t="shared" si="415"/>
        <v>0</v>
      </c>
    </row>
    <row r="221" spans="1:134" x14ac:dyDescent="0.35">
      <c r="A221" s="81">
        <v>2009</v>
      </c>
      <c r="B221" s="82" t="s">
        <v>375</v>
      </c>
      <c r="C221" s="82"/>
      <c r="D221" s="83" t="s">
        <v>60</v>
      </c>
      <c r="E221" s="87">
        <v>57000</v>
      </c>
      <c r="F221" s="85">
        <v>39995</v>
      </c>
      <c r="G221" s="86">
        <v>50</v>
      </c>
      <c r="H221" s="179"/>
      <c r="I221" s="180"/>
      <c r="J221" s="181"/>
      <c r="K221" s="42">
        <f t="shared" si="366"/>
        <v>0.02</v>
      </c>
      <c r="L221" s="43">
        <f t="shared" si="367"/>
        <v>1140</v>
      </c>
      <c r="M221" s="44">
        <f t="shared" si="368"/>
        <v>54150</v>
      </c>
      <c r="N221" s="44"/>
      <c r="O221" s="44">
        <f t="shared" si="369"/>
        <v>2850</v>
      </c>
      <c r="P221" s="45"/>
      <c r="Q221" s="44">
        <f t="shared" si="370"/>
        <v>57000</v>
      </c>
      <c r="R221" s="604">
        <f t="shared" si="416"/>
        <v>0</v>
      </c>
      <c r="S221" s="44">
        <f t="shared" si="417"/>
        <v>0</v>
      </c>
      <c r="T221" s="44">
        <f t="shared" si="418"/>
        <v>0</v>
      </c>
      <c r="U221" s="44">
        <f t="shared" si="419"/>
        <v>0</v>
      </c>
      <c r="V221" s="44">
        <f t="shared" si="420"/>
        <v>57000</v>
      </c>
      <c r="W221" s="44">
        <f t="shared" si="421"/>
        <v>57000</v>
      </c>
      <c r="X221" s="44">
        <f t="shared" si="371"/>
        <v>1140</v>
      </c>
      <c r="Y221" s="44">
        <f t="shared" si="422"/>
        <v>1140</v>
      </c>
      <c r="Z221" s="44">
        <f t="shared" si="372"/>
        <v>53010</v>
      </c>
      <c r="AA221" s="44">
        <f t="shared" si="423"/>
        <v>53010</v>
      </c>
      <c r="AB221" s="44">
        <f t="shared" si="373"/>
        <v>3990</v>
      </c>
      <c r="AC221" s="46">
        <f t="shared" si="374"/>
        <v>0</v>
      </c>
      <c r="AD221" s="47">
        <f t="shared" si="375"/>
        <v>0</v>
      </c>
      <c r="AE221" s="604">
        <f t="shared" si="424"/>
        <v>0</v>
      </c>
      <c r="AF221" s="44">
        <f t="shared" si="425"/>
        <v>0</v>
      </c>
      <c r="AG221" s="44">
        <f t="shared" si="426"/>
        <v>0</v>
      </c>
      <c r="AH221" s="44">
        <f t="shared" si="427"/>
        <v>0</v>
      </c>
      <c r="AI221" s="44">
        <f t="shared" si="428"/>
        <v>57000</v>
      </c>
      <c r="AJ221" s="44">
        <f t="shared" si="429"/>
        <v>57000</v>
      </c>
      <c r="AK221" s="44">
        <f t="shared" si="376"/>
        <v>1140</v>
      </c>
      <c r="AL221" s="44">
        <f t="shared" si="430"/>
        <v>1140</v>
      </c>
      <c r="AM221" s="44">
        <f t="shared" si="377"/>
        <v>51870</v>
      </c>
      <c r="AN221" s="44">
        <f t="shared" si="431"/>
        <v>51870</v>
      </c>
      <c r="AO221" s="44">
        <f t="shared" si="378"/>
        <v>5130</v>
      </c>
      <c r="AP221" s="46">
        <f t="shared" si="379"/>
        <v>0</v>
      </c>
      <c r="AQ221" s="47">
        <f t="shared" si="380"/>
        <v>0</v>
      </c>
      <c r="AR221" s="604">
        <f t="shared" si="432"/>
        <v>0</v>
      </c>
      <c r="AS221" s="44">
        <f t="shared" si="433"/>
        <v>0</v>
      </c>
      <c r="AT221" s="44">
        <f t="shared" si="434"/>
        <v>0</v>
      </c>
      <c r="AU221" s="44">
        <f t="shared" si="435"/>
        <v>0</v>
      </c>
      <c r="AV221" s="44">
        <f t="shared" si="436"/>
        <v>57000</v>
      </c>
      <c r="AW221" s="44">
        <f t="shared" si="437"/>
        <v>57000</v>
      </c>
      <c r="AX221" s="44">
        <f t="shared" si="381"/>
        <v>1140</v>
      </c>
      <c r="AY221" s="44">
        <f t="shared" si="438"/>
        <v>1140</v>
      </c>
      <c r="AZ221" s="44">
        <f t="shared" si="382"/>
        <v>50730</v>
      </c>
      <c r="BA221" s="44">
        <f t="shared" si="439"/>
        <v>50730</v>
      </c>
      <c r="BB221" s="44">
        <f t="shared" si="383"/>
        <v>6270</v>
      </c>
      <c r="BC221" s="46">
        <f t="shared" si="384"/>
        <v>0</v>
      </c>
      <c r="BD221" s="47">
        <f t="shared" si="385"/>
        <v>0</v>
      </c>
      <c r="BE221" s="604">
        <f t="shared" si="440"/>
        <v>0</v>
      </c>
      <c r="BF221" s="44">
        <f t="shared" si="441"/>
        <v>0</v>
      </c>
      <c r="BG221" s="44">
        <f t="shared" si="442"/>
        <v>0</v>
      </c>
      <c r="BH221" s="44">
        <f t="shared" si="443"/>
        <v>0</v>
      </c>
      <c r="BI221" s="44">
        <f t="shared" si="444"/>
        <v>57000</v>
      </c>
      <c r="BJ221" s="44">
        <f t="shared" si="445"/>
        <v>57000</v>
      </c>
      <c r="BK221" s="44">
        <f t="shared" si="386"/>
        <v>1140</v>
      </c>
      <c r="BL221" s="44">
        <f t="shared" si="446"/>
        <v>1140</v>
      </c>
      <c r="BM221" s="44">
        <f t="shared" si="387"/>
        <v>49590</v>
      </c>
      <c r="BN221" s="44">
        <f t="shared" si="447"/>
        <v>49590</v>
      </c>
      <c r="BO221" s="44">
        <f t="shared" si="388"/>
        <v>7410</v>
      </c>
      <c r="BP221" s="46">
        <f t="shared" si="389"/>
        <v>0</v>
      </c>
      <c r="BQ221" s="47">
        <f t="shared" si="390"/>
        <v>0</v>
      </c>
      <c r="BR221" s="604">
        <f t="shared" si="448"/>
        <v>0</v>
      </c>
      <c r="BS221" s="44">
        <f t="shared" si="449"/>
        <v>0</v>
      </c>
      <c r="BT221" s="44">
        <f t="shared" si="450"/>
        <v>0</v>
      </c>
      <c r="BU221" s="44">
        <f t="shared" si="451"/>
        <v>0</v>
      </c>
      <c r="BV221" s="44">
        <f t="shared" si="452"/>
        <v>57000</v>
      </c>
      <c r="BW221" s="44">
        <f t="shared" si="453"/>
        <v>57000</v>
      </c>
      <c r="BX221" s="44">
        <f t="shared" si="391"/>
        <v>1140</v>
      </c>
      <c r="BY221" s="44">
        <f t="shared" si="454"/>
        <v>1140</v>
      </c>
      <c r="BZ221" s="44">
        <f t="shared" si="392"/>
        <v>48450</v>
      </c>
      <c r="CA221" s="44">
        <f t="shared" si="455"/>
        <v>48450</v>
      </c>
      <c r="CB221" s="44">
        <f t="shared" si="393"/>
        <v>8550</v>
      </c>
      <c r="CC221" s="46">
        <f t="shared" si="394"/>
        <v>0</v>
      </c>
      <c r="CD221" s="47">
        <f t="shared" si="395"/>
        <v>0</v>
      </c>
      <c r="CE221" s="604">
        <f t="shared" si="456"/>
        <v>0</v>
      </c>
      <c r="CF221" s="44">
        <f t="shared" si="457"/>
        <v>0</v>
      </c>
      <c r="CG221" s="44">
        <f t="shared" si="458"/>
        <v>0</v>
      </c>
      <c r="CH221" s="44">
        <f t="shared" si="459"/>
        <v>0</v>
      </c>
      <c r="CI221" s="44">
        <f t="shared" si="460"/>
        <v>57000</v>
      </c>
      <c r="CJ221" s="44">
        <f t="shared" si="461"/>
        <v>57000</v>
      </c>
      <c r="CK221" s="44">
        <f t="shared" si="396"/>
        <v>1140</v>
      </c>
      <c r="CL221" s="44">
        <f t="shared" si="462"/>
        <v>1140</v>
      </c>
      <c r="CM221" s="44">
        <f t="shared" si="397"/>
        <v>47310</v>
      </c>
      <c r="CN221" s="44">
        <f t="shared" si="463"/>
        <v>47310</v>
      </c>
      <c r="CO221" s="44">
        <f t="shared" si="398"/>
        <v>9690</v>
      </c>
      <c r="CP221" s="46">
        <f t="shared" si="399"/>
        <v>0</v>
      </c>
      <c r="CQ221" s="47">
        <f t="shared" si="400"/>
        <v>0</v>
      </c>
      <c r="CR221" s="604">
        <f t="shared" si="464"/>
        <v>0</v>
      </c>
      <c r="CS221" s="44">
        <f t="shared" si="465"/>
        <v>0</v>
      </c>
      <c r="CT221" s="44">
        <f t="shared" si="466"/>
        <v>0</v>
      </c>
      <c r="CU221" s="44">
        <f t="shared" si="467"/>
        <v>0</v>
      </c>
      <c r="CV221" s="44">
        <f t="shared" si="468"/>
        <v>57000</v>
      </c>
      <c r="CW221" s="44">
        <f t="shared" si="469"/>
        <v>57000</v>
      </c>
      <c r="CX221" s="44">
        <f t="shared" si="401"/>
        <v>1140</v>
      </c>
      <c r="CY221" s="44">
        <f t="shared" si="470"/>
        <v>1140</v>
      </c>
      <c r="CZ221" s="44">
        <f t="shared" si="402"/>
        <v>46170</v>
      </c>
      <c r="DA221" s="44">
        <f t="shared" si="471"/>
        <v>46170</v>
      </c>
      <c r="DB221" s="44">
        <f t="shared" si="403"/>
        <v>10830</v>
      </c>
      <c r="DC221" s="46">
        <f t="shared" si="404"/>
        <v>0</v>
      </c>
      <c r="DD221" s="47">
        <f t="shared" si="405"/>
        <v>0</v>
      </c>
      <c r="DE221" s="604">
        <f t="shared" si="472"/>
        <v>0</v>
      </c>
      <c r="DF221" s="44">
        <f t="shared" si="473"/>
        <v>0</v>
      </c>
      <c r="DG221" s="44">
        <f t="shared" si="474"/>
        <v>0</v>
      </c>
      <c r="DH221" s="44">
        <f t="shared" si="475"/>
        <v>0</v>
      </c>
      <c r="DI221" s="44">
        <f t="shared" si="476"/>
        <v>57000</v>
      </c>
      <c r="DJ221" s="44">
        <f t="shared" si="477"/>
        <v>57000</v>
      </c>
      <c r="DK221" s="44">
        <f t="shared" si="406"/>
        <v>1140</v>
      </c>
      <c r="DL221" s="44">
        <f t="shared" si="478"/>
        <v>1140</v>
      </c>
      <c r="DM221" s="44">
        <f t="shared" si="407"/>
        <v>45030</v>
      </c>
      <c r="DN221" s="44">
        <f t="shared" si="479"/>
        <v>45030</v>
      </c>
      <c r="DO221" s="44">
        <f t="shared" si="408"/>
        <v>11970</v>
      </c>
      <c r="DP221" s="46">
        <f t="shared" si="409"/>
        <v>0</v>
      </c>
      <c r="DQ221" s="47">
        <f t="shared" si="410"/>
        <v>0</v>
      </c>
      <c r="DR221" s="604">
        <f t="shared" si="480"/>
        <v>0</v>
      </c>
      <c r="DS221" s="44">
        <f t="shared" si="481"/>
        <v>0</v>
      </c>
      <c r="DT221" s="44">
        <f t="shared" si="482"/>
        <v>0</v>
      </c>
      <c r="DU221" s="44">
        <f t="shared" si="483"/>
        <v>0</v>
      </c>
      <c r="DV221" s="44">
        <f t="shared" si="484"/>
        <v>57000</v>
      </c>
      <c r="DW221" s="44">
        <f t="shared" si="485"/>
        <v>57000</v>
      </c>
      <c r="DX221" s="44">
        <f t="shared" si="411"/>
        <v>1140</v>
      </c>
      <c r="DY221" s="44">
        <f t="shared" si="486"/>
        <v>1140</v>
      </c>
      <c r="DZ221" s="44">
        <f t="shared" si="412"/>
        <v>43890</v>
      </c>
      <c r="EA221" s="44">
        <f t="shared" si="487"/>
        <v>43890</v>
      </c>
      <c r="EB221" s="44">
        <f t="shared" si="413"/>
        <v>13110</v>
      </c>
      <c r="EC221" s="46">
        <f t="shared" si="414"/>
        <v>0</v>
      </c>
      <c r="ED221" s="47">
        <f t="shared" si="415"/>
        <v>0</v>
      </c>
    </row>
    <row r="222" spans="1:134" x14ac:dyDescent="0.35">
      <c r="A222" s="172"/>
      <c r="B222" s="173"/>
      <c r="C222" s="174"/>
      <c r="D222" s="175"/>
      <c r="E222" s="176"/>
      <c r="F222" s="177"/>
      <c r="G222" s="178"/>
      <c r="H222" s="179"/>
      <c r="I222" s="180"/>
      <c r="J222" s="181"/>
      <c r="K222" s="42">
        <f t="shared" si="366"/>
        <v>0</v>
      </c>
      <c r="L222" s="43">
        <f t="shared" si="367"/>
        <v>0</v>
      </c>
      <c r="M222" s="44">
        <f t="shared" si="368"/>
        <v>0</v>
      </c>
      <c r="N222" s="44"/>
      <c r="O222" s="44">
        <f t="shared" si="369"/>
        <v>0</v>
      </c>
      <c r="P222" s="45"/>
      <c r="Q222" s="44">
        <f t="shared" si="370"/>
        <v>0</v>
      </c>
      <c r="R222" s="604">
        <f t="shared" si="416"/>
        <v>0</v>
      </c>
      <c r="S222" s="44">
        <f t="shared" si="417"/>
        <v>0</v>
      </c>
      <c r="T222" s="44">
        <f t="shared" si="418"/>
        <v>0</v>
      </c>
      <c r="U222" s="44">
        <f t="shared" si="419"/>
        <v>0</v>
      </c>
      <c r="V222" s="44">
        <f t="shared" si="420"/>
        <v>0</v>
      </c>
      <c r="W222" s="44">
        <f t="shared" si="421"/>
        <v>0</v>
      </c>
      <c r="X222" s="44">
        <f t="shared" si="371"/>
        <v>0</v>
      </c>
      <c r="Y222" s="44">
        <f t="shared" si="422"/>
        <v>0</v>
      </c>
      <c r="Z222" s="44">
        <f t="shared" si="372"/>
        <v>0</v>
      </c>
      <c r="AA222" s="44">
        <f t="shared" si="423"/>
        <v>0</v>
      </c>
      <c r="AB222" s="44">
        <f t="shared" si="373"/>
        <v>0</v>
      </c>
      <c r="AC222" s="46">
        <f t="shared" si="374"/>
        <v>0</v>
      </c>
      <c r="AD222" s="47">
        <f t="shared" si="375"/>
        <v>0</v>
      </c>
      <c r="AE222" s="604">
        <f t="shared" si="424"/>
        <v>0</v>
      </c>
      <c r="AF222" s="44">
        <f t="shared" si="425"/>
        <v>0</v>
      </c>
      <c r="AG222" s="44">
        <f t="shared" si="426"/>
        <v>0</v>
      </c>
      <c r="AH222" s="44">
        <f t="shared" si="427"/>
        <v>0</v>
      </c>
      <c r="AI222" s="44">
        <f t="shared" si="428"/>
        <v>0</v>
      </c>
      <c r="AJ222" s="44">
        <f t="shared" si="429"/>
        <v>0</v>
      </c>
      <c r="AK222" s="44">
        <f t="shared" si="376"/>
        <v>0</v>
      </c>
      <c r="AL222" s="44">
        <f t="shared" si="430"/>
        <v>0</v>
      </c>
      <c r="AM222" s="44">
        <f t="shared" si="377"/>
        <v>0</v>
      </c>
      <c r="AN222" s="44">
        <f t="shared" si="431"/>
        <v>0</v>
      </c>
      <c r="AO222" s="44">
        <f t="shared" si="378"/>
        <v>0</v>
      </c>
      <c r="AP222" s="46">
        <f t="shared" si="379"/>
        <v>0</v>
      </c>
      <c r="AQ222" s="47">
        <f t="shared" si="380"/>
        <v>0</v>
      </c>
      <c r="AR222" s="604">
        <f t="shared" si="432"/>
        <v>0</v>
      </c>
      <c r="AS222" s="44">
        <f t="shared" si="433"/>
        <v>0</v>
      </c>
      <c r="AT222" s="44">
        <f t="shared" si="434"/>
        <v>0</v>
      </c>
      <c r="AU222" s="44">
        <f t="shared" si="435"/>
        <v>0</v>
      </c>
      <c r="AV222" s="44">
        <f t="shared" si="436"/>
        <v>0</v>
      </c>
      <c r="AW222" s="44">
        <f t="shared" si="437"/>
        <v>0</v>
      </c>
      <c r="AX222" s="44">
        <f t="shared" si="381"/>
        <v>0</v>
      </c>
      <c r="AY222" s="44">
        <f t="shared" si="438"/>
        <v>0</v>
      </c>
      <c r="AZ222" s="44">
        <f t="shared" si="382"/>
        <v>0</v>
      </c>
      <c r="BA222" s="44">
        <f t="shared" si="439"/>
        <v>0</v>
      </c>
      <c r="BB222" s="44">
        <f t="shared" si="383"/>
        <v>0</v>
      </c>
      <c r="BC222" s="46">
        <f t="shared" si="384"/>
        <v>0</v>
      </c>
      <c r="BD222" s="47">
        <f t="shared" si="385"/>
        <v>0</v>
      </c>
      <c r="BE222" s="604">
        <f t="shared" si="440"/>
        <v>0</v>
      </c>
      <c r="BF222" s="44">
        <f t="shared" si="441"/>
        <v>0</v>
      </c>
      <c r="BG222" s="44">
        <f t="shared" si="442"/>
        <v>0</v>
      </c>
      <c r="BH222" s="44">
        <f t="shared" si="443"/>
        <v>0</v>
      </c>
      <c r="BI222" s="44">
        <f t="shared" si="444"/>
        <v>0</v>
      </c>
      <c r="BJ222" s="44">
        <f t="shared" si="445"/>
        <v>0</v>
      </c>
      <c r="BK222" s="44">
        <f t="shared" si="386"/>
        <v>0</v>
      </c>
      <c r="BL222" s="44">
        <f t="shared" si="446"/>
        <v>0</v>
      </c>
      <c r="BM222" s="44">
        <f t="shared" si="387"/>
        <v>0</v>
      </c>
      <c r="BN222" s="44">
        <f t="shared" si="447"/>
        <v>0</v>
      </c>
      <c r="BO222" s="44">
        <f t="shared" si="388"/>
        <v>0</v>
      </c>
      <c r="BP222" s="46">
        <f t="shared" si="389"/>
        <v>0</v>
      </c>
      <c r="BQ222" s="47">
        <f t="shared" si="390"/>
        <v>0</v>
      </c>
      <c r="BR222" s="604">
        <f t="shared" si="448"/>
        <v>0</v>
      </c>
      <c r="BS222" s="44">
        <f t="shared" si="449"/>
        <v>0</v>
      </c>
      <c r="BT222" s="44">
        <f t="shared" si="450"/>
        <v>0</v>
      </c>
      <c r="BU222" s="44">
        <f t="shared" si="451"/>
        <v>0</v>
      </c>
      <c r="BV222" s="44">
        <f t="shared" si="452"/>
        <v>0</v>
      </c>
      <c r="BW222" s="44">
        <f t="shared" si="453"/>
        <v>0</v>
      </c>
      <c r="BX222" s="44">
        <f t="shared" si="391"/>
        <v>0</v>
      </c>
      <c r="BY222" s="44">
        <f t="shared" si="454"/>
        <v>0</v>
      </c>
      <c r="BZ222" s="44">
        <f t="shared" si="392"/>
        <v>0</v>
      </c>
      <c r="CA222" s="44">
        <f t="shared" si="455"/>
        <v>0</v>
      </c>
      <c r="CB222" s="44">
        <f t="shared" si="393"/>
        <v>0</v>
      </c>
      <c r="CC222" s="46">
        <f t="shared" si="394"/>
        <v>0</v>
      </c>
      <c r="CD222" s="47">
        <f t="shared" si="395"/>
        <v>0</v>
      </c>
      <c r="CE222" s="604">
        <f t="shared" si="456"/>
        <v>0</v>
      </c>
      <c r="CF222" s="44">
        <f t="shared" si="457"/>
        <v>0</v>
      </c>
      <c r="CG222" s="44">
        <f t="shared" si="458"/>
        <v>0</v>
      </c>
      <c r="CH222" s="44">
        <f t="shared" si="459"/>
        <v>0</v>
      </c>
      <c r="CI222" s="44">
        <f t="shared" si="460"/>
        <v>0</v>
      </c>
      <c r="CJ222" s="44">
        <f t="shared" si="461"/>
        <v>0</v>
      </c>
      <c r="CK222" s="44">
        <f t="shared" si="396"/>
        <v>0</v>
      </c>
      <c r="CL222" s="44">
        <f t="shared" si="462"/>
        <v>0</v>
      </c>
      <c r="CM222" s="44">
        <f t="shared" si="397"/>
        <v>0</v>
      </c>
      <c r="CN222" s="44">
        <f t="shared" si="463"/>
        <v>0</v>
      </c>
      <c r="CO222" s="44">
        <f t="shared" si="398"/>
        <v>0</v>
      </c>
      <c r="CP222" s="46">
        <f t="shared" si="399"/>
        <v>0</v>
      </c>
      <c r="CQ222" s="47">
        <f t="shared" si="400"/>
        <v>0</v>
      </c>
      <c r="CR222" s="604">
        <f t="shared" si="464"/>
        <v>0</v>
      </c>
      <c r="CS222" s="44">
        <f t="shared" si="465"/>
        <v>0</v>
      </c>
      <c r="CT222" s="44">
        <f t="shared" si="466"/>
        <v>0</v>
      </c>
      <c r="CU222" s="44">
        <f t="shared" si="467"/>
        <v>0</v>
      </c>
      <c r="CV222" s="44">
        <f t="shared" si="468"/>
        <v>0</v>
      </c>
      <c r="CW222" s="44">
        <f t="shared" si="469"/>
        <v>0</v>
      </c>
      <c r="CX222" s="44">
        <f t="shared" si="401"/>
        <v>0</v>
      </c>
      <c r="CY222" s="44">
        <f t="shared" si="470"/>
        <v>0</v>
      </c>
      <c r="CZ222" s="44">
        <f t="shared" si="402"/>
        <v>0</v>
      </c>
      <c r="DA222" s="44">
        <f t="shared" si="471"/>
        <v>0</v>
      </c>
      <c r="DB222" s="44">
        <f t="shared" si="403"/>
        <v>0</v>
      </c>
      <c r="DC222" s="46">
        <f t="shared" si="404"/>
        <v>0</v>
      </c>
      <c r="DD222" s="47">
        <f t="shared" si="405"/>
        <v>0</v>
      </c>
      <c r="DE222" s="604">
        <f t="shared" si="472"/>
        <v>0</v>
      </c>
      <c r="DF222" s="44">
        <f t="shared" si="473"/>
        <v>0</v>
      </c>
      <c r="DG222" s="44">
        <f t="shared" si="474"/>
        <v>0</v>
      </c>
      <c r="DH222" s="44">
        <f t="shared" si="475"/>
        <v>0</v>
      </c>
      <c r="DI222" s="44">
        <f t="shared" si="476"/>
        <v>0</v>
      </c>
      <c r="DJ222" s="44">
        <f t="shared" si="477"/>
        <v>0</v>
      </c>
      <c r="DK222" s="44">
        <f t="shared" si="406"/>
        <v>0</v>
      </c>
      <c r="DL222" s="44">
        <f t="shared" si="478"/>
        <v>0</v>
      </c>
      <c r="DM222" s="44">
        <f t="shared" si="407"/>
        <v>0</v>
      </c>
      <c r="DN222" s="44">
        <f t="shared" si="479"/>
        <v>0</v>
      </c>
      <c r="DO222" s="44">
        <f t="shared" si="408"/>
        <v>0</v>
      </c>
      <c r="DP222" s="46">
        <f t="shared" si="409"/>
        <v>0</v>
      </c>
      <c r="DQ222" s="47">
        <f t="shared" si="410"/>
        <v>0</v>
      </c>
      <c r="DR222" s="604">
        <f t="shared" si="480"/>
        <v>0</v>
      </c>
      <c r="DS222" s="44">
        <f t="shared" si="481"/>
        <v>0</v>
      </c>
      <c r="DT222" s="44">
        <f t="shared" si="482"/>
        <v>0</v>
      </c>
      <c r="DU222" s="44">
        <f t="shared" si="483"/>
        <v>0</v>
      </c>
      <c r="DV222" s="44">
        <f t="shared" si="484"/>
        <v>0</v>
      </c>
      <c r="DW222" s="44">
        <f t="shared" si="485"/>
        <v>0</v>
      </c>
      <c r="DX222" s="44">
        <f t="shared" si="411"/>
        <v>0</v>
      </c>
      <c r="DY222" s="44">
        <f t="shared" si="486"/>
        <v>0</v>
      </c>
      <c r="DZ222" s="44">
        <f t="shared" si="412"/>
        <v>0</v>
      </c>
      <c r="EA222" s="44">
        <f t="shared" si="487"/>
        <v>0</v>
      </c>
      <c r="EB222" s="44">
        <f t="shared" si="413"/>
        <v>0</v>
      </c>
      <c r="EC222" s="46">
        <f t="shared" si="414"/>
        <v>0</v>
      </c>
      <c r="ED222" s="47">
        <f t="shared" si="415"/>
        <v>0</v>
      </c>
    </row>
    <row r="223" spans="1:134" x14ac:dyDescent="0.35">
      <c r="A223" s="172"/>
      <c r="B223" s="173"/>
      <c r="C223" s="174"/>
      <c r="D223" s="175"/>
      <c r="E223" s="176"/>
      <c r="F223" s="177"/>
      <c r="G223" s="178"/>
      <c r="H223" s="179"/>
      <c r="I223" s="180"/>
      <c r="J223" s="181"/>
      <c r="K223" s="42">
        <f t="shared" si="366"/>
        <v>0</v>
      </c>
      <c r="L223" s="43">
        <f t="shared" si="367"/>
        <v>0</v>
      </c>
      <c r="M223" s="44">
        <f t="shared" si="368"/>
        <v>0</v>
      </c>
      <c r="N223" s="44"/>
      <c r="O223" s="44">
        <f t="shared" si="369"/>
        <v>0</v>
      </c>
      <c r="P223" s="45"/>
      <c r="Q223" s="44">
        <f t="shared" si="370"/>
        <v>0</v>
      </c>
      <c r="R223" s="604">
        <f t="shared" si="416"/>
        <v>0</v>
      </c>
      <c r="S223" s="44">
        <f t="shared" si="417"/>
        <v>0</v>
      </c>
      <c r="T223" s="44">
        <f t="shared" si="418"/>
        <v>0</v>
      </c>
      <c r="U223" s="44">
        <f t="shared" si="419"/>
        <v>0</v>
      </c>
      <c r="V223" s="44">
        <f t="shared" si="420"/>
        <v>0</v>
      </c>
      <c r="W223" s="44">
        <f t="shared" si="421"/>
        <v>0</v>
      </c>
      <c r="X223" s="44">
        <f t="shared" si="371"/>
        <v>0</v>
      </c>
      <c r="Y223" s="44">
        <f t="shared" si="422"/>
        <v>0</v>
      </c>
      <c r="Z223" s="44">
        <f t="shared" si="372"/>
        <v>0</v>
      </c>
      <c r="AA223" s="44">
        <f t="shared" si="423"/>
        <v>0</v>
      </c>
      <c r="AB223" s="44">
        <f t="shared" si="373"/>
        <v>0</v>
      </c>
      <c r="AC223" s="46">
        <f t="shared" si="374"/>
        <v>0</v>
      </c>
      <c r="AD223" s="47">
        <f t="shared" si="375"/>
        <v>0</v>
      </c>
      <c r="AE223" s="604">
        <f t="shared" si="424"/>
        <v>0</v>
      </c>
      <c r="AF223" s="44">
        <f t="shared" si="425"/>
        <v>0</v>
      </c>
      <c r="AG223" s="44">
        <f t="shared" si="426"/>
        <v>0</v>
      </c>
      <c r="AH223" s="44">
        <f t="shared" si="427"/>
        <v>0</v>
      </c>
      <c r="AI223" s="44">
        <f t="shared" si="428"/>
        <v>0</v>
      </c>
      <c r="AJ223" s="44">
        <f t="shared" si="429"/>
        <v>0</v>
      </c>
      <c r="AK223" s="44">
        <f t="shared" si="376"/>
        <v>0</v>
      </c>
      <c r="AL223" s="44">
        <f t="shared" si="430"/>
        <v>0</v>
      </c>
      <c r="AM223" s="44">
        <f t="shared" si="377"/>
        <v>0</v>
      </c>
      <c r="AN223" s="44">
        <f t="shared" si="431"/>
        <v>0</v>
      </c>
      <c r="AO223" s="44">
        <f t="shared" si="378"/>
        <v>0</v>
      </c>
      <c r="AP223" s="46">
        <f t="shared" si="379"/>
        <v>0</v>
      </c>
      <c r="AQ223" s="47">
        <f t="shared" si="380"/>
        <v>0</v>
      </c>
      <c r="AR223" s="604">
        <f t="shared" si="432"/>
        <v>0</v>
      </c>
      <c r="AS223" s="44">
        <f t="shared" si="433"/>
        <v>0</v>
      </c>
      <c r="AT223" s="44">
        <f t="shared" si="434"/>
        <v>0</v>
      </c>
      <c r="AU223" s="44">
        <f t="shared" si="435"/>
        <v>0</v>
      </c>
      <c r="AV223" s="44">
        <f t="shared" si="436"/>
        <v>0</v>
      </c>
      <c r="AW223" s="44">
        <f t="shared" si="437"/>
        <v>0</v>
      </c>
      <c r="AX223" s="44">
        <f t="shared" si="381"/>
        <v>0</v>
      </c>
      <c r="AY223" s="44">
        <f t="shared" si="438"/>
        <v>0</v>
      </c>
      <c r="AZ223" s="44">
        <f t="shared" si="382"/>
        <v>0</v>
      </c>
      <c r="BA223" s="44">
        <f t="shared" si="439"/>
        <v>0</v>
      </c>
      <c r="BB223" s="44">
        <f t="shared" si="383"/>
        <v>0</v>
      </c>
      <c r="BC223" s="46">
        <f t="shared" si="384"/>
        <v>0</v>
      </c>
      <c r="BD223" s="47">
        <f t="shared" si="385"/>
        <v>0</v>
      </c>
      <c r="BE223" s="604">
        <f t="shared" si="440"/>
        <v>0</v>
      </c>
      <c r="BF223" s="44">
        <f t="shared" si="441"/>
        <v>0</v>
      </c>
      <c r="BG223" s="44">
        <f t="shared" si="442"/>
        <v>0</v>
      </c>
      <c r="BH223" s="44">
        <f t="shared" si="443"/>
        <v>0</v>
      </c>
      <c r="BI223" s="44">
        <f t="shared" si="444"/>
        <v>0</v>
      </c>
      <c r="BJ223" s="44">
        <f t="shared" si="445"/>
        <v>0</v>
      </c>
      <c r="BK223" s="44">
        <f t="shared" si="386"/>
        <v>0</v>
      </c>
      <c r="BL223" s="44">
        <f t="shared" si="446"/>
        <v>0</v>
      </c>
      <c r="BM223" s="44">
        <f t="shared" si="387"/>
        <v>0</v>
      </c>
      <c r="BN223" s="44">
        <f t="shared" si="447"/>
        <v>0</v>
      </c>
      <c r="BO223" s="44">
        <f t="shared" si="388"/>
        <v>0</v>
      </c>
      <c r="BP223" s="46">
        <f t="shared" si="389"/>
        <v>0</v>
      </c>
      <c r="BQ223" s="47">
        <f t="shared" si="390"/>
        <v>0</v>
      </c>
      <c r="BR223" s="604">
        <f t="shared" si="448"/>
        <v>0</v>
      </c>
      <c r="BS223" s="44">
        <f t="shared" si="449"/>
        <v>0</v>
      </c>
      <c r="BT223" s="44">
        <f t="shared" si="450"/>
        <v>0</v>
      </c>
      <c r="BU223" s="44">
        <f t="shared" si="451"/>
        <v>0</v>
      </c>
      <c r="BV223" s="44">
        <f t="shared" si="452"/>
        <v>0</v>
      </c>
      <c r="BW223" s="44">
        <f t="shared" si="453"/>
        <v>0</v>
      </c>
      <c r="BX223" s="44">
        <f t="shared" si="391"/>
        <v>0</v>
      </c>
      <c r="BY223" s="44">
        <f t="shared" si="454"/>
        <v>0</v>
      </c>
      <c r="BZ223" s="44">
        <f t="shared" si="392"/>
        <v>0</v>
      </c>
      <c r="CA223" s="44">
        <f t="shared" si="455"/>
        <v>0</v>
      </c>
      <c r="CB223" s="44">
        <f t="shared" si="393"/>
        <v>0</v>
      </c>
      <c r="CC223" s="46">
        <f t="shared" si="394"/>
        <v>0</v>
      </c>
      <c r="CD223" s="47">
        <f t="shared" si="395"/>
        <v>0</v>
      </c>
      <c r="CE223" s="604">
        <f t="shared" si="456"/>
        <v>0</v>
      </c>
      <c r="CF223" s="44">
        <f t="shared" si="457"/>
        <v>0</v>
      </c>
      <c r="CG223" s="44">
        <f t="shared" si="458"/>
        <v>0</v>
      </c>
      <c r="CH223" s="44">
        <f t="shared" si="459"/>
        <v>0</v>
      </c>
      <c r="CI223" s="44">
        <f t="shared" si="460"/>
        <v>0</v>
      </c>
      <c r="CJ223" s="44">
        <f t="shared" si="461"/>
        <v>0</v>
      </c>
      <c r="CK223" s="44">
        <f t="shared" si="396"/>
        <v>0</v>
      </c>
      <c r="CL223" s="44">
        <f t="shared" si="462"/>
        <v>0</v>
      </c>
      <c r="CM223" s="44">
        <f t="shared" si="397"/>
        <v>0</v>
      </c>
      <c r="CN223" s="44">
        <f t="shared" si="463"/>
        <v>0</v>
      </c>
      <c r="CO223" s="44">
        <f t="shared" si="398"/>
        <v>0</v>
      </c>
      <c r="CP223" s="46">
        <f t="shared" si="399"/>
        <v>0</v>
      </c>
      <c r="CQ223" s="47">
        <f t="shared" si="400"/>
        <v>0</v>
      </c>
      <c r="CR223" s="604">
        <f t="shared" si="464"/>
        <v>0</v>
      </c>
      <c r="CS223" s="44">
        <f t="shared" si="465"/>
        <v>0</v>
      </c>
      <c r="CT223" s="44">
        <f t="shared" si="466"/>
        <v>0</v>
      </c>
      <c r="CU223" s="44">
        <f t="shared" si="467"/>
        <v>0</v>
      </c>
      <c r="CV223" s="44">
        <f t="shared" si="468"/>
        <v>0</v>
      </c>
      <c r="CW223" s="44">
        <f t="shared" si="469"/>
        <v>0</v>
      </c>
      <c r="CX223" s="44">
        <f t="shared" si="401"/>
        <v>0</v>
      </c>
      <c r="CY223" s="44">
        <f t="shared" si="470"/>
        <v>0</v>
      </c>
      <c r="CZ223" s="44">
        <f t="shared" si="402"/>
        <v>0</v>
      </c>
      <c r="DA223" s="44">
        <f t="shared" si="471"/>
        <v>0</v>
      </c>
      <c r="DB223" s="44">
        <f t="shared" si="403"/>
        <v>0</v>
      </c>
      <c r="DC223" s="46">
        <f t="shared" si="404"/>
        <v>0</v>
      </c>
      <c r="DD223" s="47">
        <f t="shared" si="405"/>
        <v>0</v>
      </c>
      <c r="DE223" s="604">
        <f t="shared" si="472"/>
        <v>0</v>
      </c>
      <c r="DF223" s="44">
        <f t="shared" si="473"/>
        <v>0</v>
      </c>
      <c r="DG223" s="44">
        <f t="shared" si="474"/>
        <v>0</v>
      </c>
      <c r="DH223" s="44">
        <f t="shared" si="475"/>
        <v>0</v>
      </c>
      <c r="DI223" s="44">
        <f t="shared" si="476"/>
        <v>0</v>
      </c>
      <c r="DJ223" s="44">
        <f t="shared" si="477"/>
        <v>0</v>
      </c>
      <c r="DK223" s="44">
        <f t="shared" si="406"/>
        <v>0</v>
      </c>
      <c r="DL223" s="44">
        <f t="shared" si="478"/>
        <v>0</v>
      </c>
      <c r="DM223" s="44">
        <f t="shared" si="407"/>
        <v>0</v>
      </c>
      <c r="DN223" s="44">
        <f t="shared" si="479"/>
        <v>0</v>
      </c>
      <c r="DO223" s="44">
        <f t="shared" si="408"/>
        <v>0</v>
      </c>
      <c r="DP223" s="46">
        <f t="shared" si="409"/>
        <v>0</v>
      </c>
      <c r="DQ223" s="47">
        <f t="shared" si="410"/>
        <v>0</v>
      </c>
      <c r="DR223" s="604">
        <f t="shared" si="480"/>
        <v>0</v>
      </c>
      <c r="DS223" s="44">
        <f t="shared" si="481"/>
        <v>0</v>
      </c>
      <c r="DT223" s="44">
        <f t="shared" si="482"/>
        <v>0</v>
      </c>
      <c r="DU223" s="44">
        <f t="shared" si="483"/>
        <v>0</v>
      </c>
      <c r="DV223" s="44">
        <f t="shared" si="484"/>
        <v>0</v>
      </c>
      <c r="DW223" s="44">
        <f t="shared" si="485"/>
        <v>0</v>
      </c>
      <c r="DX223" s="44">
        <f t="shared" si="411"/>
        <v>0</v>
      </c>
      <c r="DY223" s="44">
        <f t="shared" si="486"/>
        <v>0</v>
      </c>
      <c r="DZ223" s="44">
        <f t="shared" si="412"/>
        <v>0</v>
      </c>
      <c r="EA223" s="44">
        <f t="shared" si="487"/>
        <v>0</v>
      </c>
      <c r="EB223" s="44">
        <f t="shared" si="413"/>
        <v>0</v>
      </c>
      <c r="EC223" s="46">
        <f t="shared" si="414"/>
        <v>0</v>
      </c>
      <c r="ED223" s="47">
        <f t="shared" si="415"/>
        <v>0</v>
      </c>
    </row>
    <row r="224" spans="1:134" x14ac:dyDescent="0.35">
      <c r="A224" s="172"/>
      <c r="B224" s="173"/>
      <c r="C224" s="174"/>
      <c r="D224" s="175"/>
      <c r="E224" s="176"/>
      <c r="F224" s="177"/>
      <c r="G224" s="178"/>
      <c r="H224" s="179"/>
      <c r="I224" s="180"/>
      <c r="J224" s="181"/>
      <c r="K224" s="42">
        <f t="shared" si="366"/>
        <v>0</v>
      </c>
      <c r="L224" s="43">
        <f t="shared" si="367"/>
        <v>0</v>
      </c>
      <c r="M224" s="44">
        <f t="shared" si="368"/>
        <v>0</v>
      </c>
      <c r="N224" s="44"/>
      <c r="O224" s="44">
        <f t="shared" si="369"/>
        <v>0</v>
      </c>
      <c r="P224" s="45"/>
      <c r="Q224" s="44">
        <f t="shared" si="370"/>
        <v>0</v>
      </c>
      <c r="R224" s="604">
        <f t="shared" si="416"/>
        <v>0</v>
      </c>
      <c r="S224" s="44">
        <f t="shared" si="417"/>
        <v>0</v>
      </c>
      <c r="T224" s="44">
        <f t="shared" si="418"/>
        <v>0</v>
      </c>
      <c r="U224" s="44">
        <f t="shared" si="419"/>
        <v>0</v>
      </c>
      <c r="V224" s="44">
        <f t="shared" si="420"/>
        <v>0</v>
      </c>
      <c r="W224" s="44">
        <f t="shared" si="421"/>
        <v>0</v>
      </c>
      <c r="X224" s="44">
        <f t="shared" si="371"/>
        <v>0</v>
      </c>
      <c r="Y224" s="44">
        <f t="shared" si="422"/>
        <v>0</v>
      </c>
      <c r="Z224" s="44">
        <f t="shared" si="372"/>
        <v>0</v>
      </c>
      <c r="AA224" s="44">
        <f t="shared" si="423"/>
        <v>0</v>
      </c>
      <c r="AB224" s="44">
        <f t="shared" si="373"/>
        <v>0</v>
      </c>
      <c r="AC224" s="46">
        <f t="shared" si="374"/>
        <v>0</v>
      </c>
      <c r="AD224" s="47">
        <f t="shared" si="375"/>
        <v>0</v>
      </c>
      <c r="AE224" s="604">
        <f t="shared" si="424"/>
        <v>0</v>
      </c>
      <c r="AF224" s="44">
        <f t="shared" si="425"/>
        <v>0</v>
      </c>
      <c r="AG224" s="44">
        <f t="shared" si="426"/>
        <v>0</v>
      </c>
      <c r="AH224" s="44">
        <f t="shared" si="427"/>
        <v>0</v>
      </c>
      <c r="AI224" s="44">
        <f t="shared" si="428"/>
        <v>0</v>
      </c>
      <c r="AJ224" s="44">
        <f t="shared" si="429"/>
        <v>0</v>
      </c>
      <c r="AK224" s="44">
        <f t="shared" si="376"/>
        <v>0</v>
      </c>
      <c r="AL224" s="44">
        <f t="shared" si="430"/>
        <v>0</v>
      </c>
      <c r="AM224" s="44">
        <f t="shared" si="377"/>
        <v>0</v>
      </c>
      <c r="AN224" s="44">
        <f t="shared" si="431"/>
        <v>0</v>
      </c>
      <c r="AO224" s="44">
        <f t="shared" si="378"/>
        <v>0</v>
      </c>
      <c r="AP224" s="46">
        <f t="shared" si="379"/>
        <v>0</v>
      </c>
      <c r="AQ224" s="47">
        <f t="shared" si="380"/>
        <v>0</v>
      </c>
      <c r="AR224" s="604">
        <f t="shared" si="432"/>
        <v>0</v>
      </c>
      <c r="AS224" s="44">
        <f t="shared" si="433"/>
        <v>0</v>
      </c>
      <c r="AT224" s="44">
        <f t="shared" si="434"/>
        <v>0</v>
      </c>
      <c r="AU224" s="44">
        <f t="shared" si="435"/>
        <v>0</v>
      </c>
      <c r="AV224" s="44">
        <f t="shared" si="436"/>
        <v>0</v>
      </c>
      <c r="AW224" s="44">
        <f t="shared" si="437"/>
        <v>0</v>
      </c>
      <c r="AX224" s="44">
        <f t="shared" si="381"/>
        <v>0</v>
      </c>
      <c r="AY224" s="44">
        <f t="shared" si="438"/>
        <v>0</v>
      </c>
      <c r="AZ224" s="44">
        <f t="shared" si="382"/>
        <v>0</v>
      </c>
      <c r="BA224" s="44">
        <f t="shared" si="439"/>
        <v>0</v>
      </c>
      <c r="BB224" s="44">
        <f t="shared" si="383"/>
        <v>0</v>
      </c>
      <c r="BC224" s="46">
        <f t="shared" si="384"/>
        <v>0</v>
      </c>
      <c r="BD224" s="47">
        <f t="shared" si="385"/>
        <v>0</v>
      </c>
      <c r="BE224" s="604">
        <f t="shared" si="440"/>
        <v>0</v>
      </c>
      <c r="BF224" s="44">
        <f t="shared" si="441"/>
        <v>0</v>
      </c>
      <c r="BG224" s="44">
        <f t="shared" si="442"/>
        <v>0</v>
      </c>
      <c r="BH224" s="44">
        <f t="shared" si="443"/>
        <v>0</v>
      </c>
      <c r="BI224" s="44">
        <f t="shared" si="444"/>
        <v>0</v>
      </c>
      <c r="BJ224" s="44">
        <f t="shared" si="445"/>
        <v>0</v>
      </c>
      <c r="BK224" s="44">
        <f t="shared" si="386"/>
        <v>0</v>
      </c>
      <c r="BL224" s="44">
        <f t="shared" si="446"/>
        <v>0</v>
      </c>
      <c r="BM224" s="44">
        <f t="shared" si="387"/>
        <v>0</v>
      </c>
      <c r="BN224" s="44">
        <f t="shared" si="447"/>
        <v>0</v>
      </c>
      <c r="BO224" s="44">
        <f t="shared" si="388"/>
        <v>0</v>
      </c>
      <c r="BP224" s="46">
        <f t="shared" si="389"/>
        <v>0</v>
      </c>
      <c r="BQ224" s="47">
        <f t="shared" si="390"/>
        <v>0</v>
      </c>
      <c r="BR224" s="604">
        <f t="shared" si="448"/>
        <v>0</v>
      </c>
      <c r="BS224" s="44">
        <f t="shared" si="449"/>
        <v>0</v>
      </c>
      <c r="BT224" s="44">
        <f t="shared" si="450"/>
        <v>0</v>
      </c>
      <c r="BU224" s="44">
        <f t="shared" si="451"/>
        <v>0</v>
      </c>
      <c r="BV224" s="44">
        <f t="shared" si="452"/>
        <v>0</v>
      </c>
      <c r="BW224" s="44">
        <f t="shared" si="453"/>
        <v>0</v>
      </c>
      <c r="BX224" s="44">
        <f t="shared" si="391"/>
        <v>0</v>
      </c>
      <c r="BY224" s="44">
        <f t="shared" si="454"/>
        <v>0</v>
      </c>
      <c r="BZ224" s="44">
        <f t="shared" si="392"/>
        <v>0</v>
      </c>
      <c r="CA224" s="44">
        <f t="shared" si="455"/>
        <v>0</v>
      </c>
      <c r="CB224" s="44">
        <f t="shared" si="393"/>
        <v>0</v>
      </c>
      <c r="CC224" s="46">
        <f t="shared" si="394"/>
        <v>0</v>
      </c>
      <c r="CD224" s="47">
        <f t="shared" si="395"/>
        <v>0</v>
      </c>
      <c r="CE224" s="604">
        <f t="shared" si="456"/>
        <v>0</v>
      </c>
      <c r="CF224" s="44">
        <f t="shared" si="457"/>
        <v>0</v>
      </c>
      <c r="CG224" s="44">
        <f t="shared" si="458"/>
        <v>0</v>
      </c>
      <c r="CH224" s="44">
        <f t="shared" si="459"/>
        <v>0</v>
      </c>
      <c r="CI224" s="44">
        <f t="shared" si="460"/>
        <v>0</v>
      </c>
      <c r="CJ224" s="44">
        <f t="shared" si="461"/>
        <v>0</v>
      </c>
      <c r="CK224" s="44">
        <f t="shared" si="396"/>
        <v>0</v>
      </c>
      <c r="CL224" s="44">
        <f t="shared" si="462"/>
        <v>0</v>
      </c>
      <c r="CM224" s="44">
        <f t="shared" si="397"/>
        <v>0</v>
      </c>
      <c r="CN224" s="44">
        <f t="shared" si="463"/>
        <v>0</v>
      </c>
      <c r="CO224" s="44">
        <f t="shared" si="398"/>
        <v>0</v>
      </c>
      <c r="CP224" s="46">
        <f t="shared" si="399"/>
        <v>0</v>
      </c>
      <c r="CQ224" s="47">
        <f t="shared" si="400"/>
        <v>0</v>
      </c>
      <c r="CR224" s="604">
        <f t="shared" si="464"/>
        <v>0</v>
      </c>
      <c r="CS224" s="44">
        <f t="shared" si="465"/>
        <v>0</v>
      </c>
      <c r="CT224" s="44">
        <f t="shared" si="466"/>
        <v>0</v>
      </c>
      <c r="CU224" s="44">
        <f t="shared" si="467"/>
        <v>0</v>
      </c>
      <c r="CV224" s="44">
        <f t="shared" si="468"/>
        <v>0</v>
      </c>
      <c r="CW224" s="44">
        <f t="shared" si="469"/>
        <v>0</v>
      </c>
      <c r="CX224" s="44">
        <f t="shared" si="401"/>
        <v>0</v>
      </c>
      <c r="CY224" s="44">
        <f t="shared" si="470"/>
        <v>0</v>
      </c>
      <c r="CZ224" s="44">
        <f t="shared" si="402"/>
        <v>0</v>
      </c>
      <c r="DA224" s="44">
        <f t="shared" si="471"/>
        <v>0</v>
      </c>
      <c r="DB224" s="44">
        <f t="shared" si="403"/>
        <v>0</v>
      </c>
      <c r="DC224" s="46">
        <f t="shared" si="404"/>
        <v>0</v>
      </c>
      <c r="DD224" s="47">
        <f t="shared" si="405"/>
        <v>0</v>
      </c>
      <c r="DE224" s="604">
        <f t="shared" si="472"/>
        <v>0</v>
      </c>
      <c r="DF224" s="44">
        <f t="shared" si="473"/>
        <v>0</v>
      </c>
      <c r="DG224" s="44">
        <f t="shared" si="474"/>
        <v>0</v>
      </c>
      <c r="DH224" s="44">
        <f t="shared" si="475"/>
        <v>0</v>
      </c>
      <c r="DI224" s="44">
        <f t="shared" si="476"/>
        <v>0</v>
      </c>
      <c r="DJ224" s="44">
        <f t="shared" si="477"/>
        <v>0</v>
      </c>
      <c r="DK224" s="44">
        <f t="shared" si="406"/>
        <v>0</v>
      </c>
      <c r="DL224" s="44">
        <f t="shared" si="478"/>
        <v>0</v>
      </c>
      <c r="DM224" s="44">
        <f t="shared" si="407"/>
        <v>0</v>
      </c>
      <c r="DN224" s="44">
        <f t="shared" si="479"/>
        <v>0</v>
      </c>
      <c r="DO224" s="44">
        <f t="shared" si="408"/>
        <v>0</v>
      </c>
      <c r="DP224" s="46">
        <f t="shared" si="409"/>
        <v>0</v>
      </c>
      <c r="DQ224" s="47">
        <f t="shared" si="410"/>
        <v>0</v>
      </c>
      <c r="DR224" s="604">
        <f t="shared" si="480"/>
        <v>0</v>
      </c>
      <c r="DS224" s="44">
        <f t="shared" si="481"/>
        <v>0</v>
      </c>
      <c r="DT224" s="44">
        <f t="shared" si="482"/>
        <v>0</v>
      </c>
      <c r="DU224" s="44">
        <f t="shared" si="483"/>
        <v>0</v>
      </c>
      <c r="DV224" s="44">
        <f t="shared" si="484"/>
        <v>0</v>
      </c>
      <c r="DW224" s="44">
        <f t="shared" si="485"/>
        <v>0</v>
      </c>
      <c r="DX224" s="44">
        <f t="shared" si="411"/>
        <v>0</v>
      </c>
      <c r="DY224" s="44">
        <f t="shared" si="486"/>
        <v>0</v>
      </c>
      <c r="DZ224" s="44">
        <f t="shared" si="412"/>
        <v>0</v>
      </c>
      <c r="EA224" s="44">
        <f t="shared" si="487"/>
        <v>0</v>
      </c>
      <c r="EB224" s="44">
        <f t="shared" si="413"/>
        <v>0</v>
      </c>
      <c r="EC224" s="46">
        <f t="shared" si="414"/>
        <v>0</v>
      </c>
      <c r="ED224" s="47">
        <f t="shared" si="415"/>
        <v>0</v>
      </c>
    </row>
    <row r="225" spans="1:134" x14ac:dyDescent="0.35">
      <c r="A225" s="172"/>
      <c r="B225" s="173"/>
      <c r="C225" s="174"/>
      <c r="D225" s="175"/>
      <c r="E225" s="176"/>
      <c r="F225" s="177"/>
      <c r="G225" s="178"/>
      <c r="H225" s="179"/>
      <c r="I225" s="180"/>
      <c r="J225" s="181"/>
      <c r="K225" s="42">
        <f t="shared" si="366"/>
        <v>0</v>
      </c>
      <c r="L225" s="43">
        <f t="shared" si="367"/>
        <v>0</v>
      </c>
      <c r="M225" s="44">
        <f t="shared" si="368"/>
        <v>0</v>
      </c>
      <c r="N225" s="44"/>
      <c r="O225" s="44">
        <f t="shared" si="369"/>
        <v>0</v>
      </c>
      <c r="P225" s="45"/>
      <c r="Q225" s="44">
        <f t="shared" si="370"/>
        <v>0</v>
      </c>
      <c r="R225" s="604">
        <f t="shared" si="416"/>
        <v>0</v>
      </c>
      <c r="S225" s="44">
        <f t="shared" si="417"/>
        <v>0</v>
      </c>
      <c r="T225" s="44">
        <f t="shared" si="418"/>
        <v>0</v>
      </c>
      <c r="U225" s="44">
        <f t="shared" si="419"/>
        <v>0</v>
      </c>
      <c r="V225" s="44">
        <f t="shared" si="420"/>
        <v>0</v>
      </c>
      <c r="W225" s="44">
        <f t="shared" si="421"/>
        <v>0</v>
      </c>
      <c r="X225" s="44">
        <f t="shared" si="371"/>
        <v>0</v>
      </c>
      <c r="Y225" s="44">
        <f t="shared" si="422"/>
        <v>0</v>
      </c>
      <c r="Z225" s="44">
        <f t="shared" si="372"/>
        <v>0</v>
      </c>
      <c r="AA225" s="44">
        <f t="shared" si="423"/>
        <v>0</v>
      </c>
      <c r="AB225" s="44">
        <f t="shared" si="373"/>
        <v>0</v>
      </c>
      <c r="AC225" s="46">
        <f t="shared" si="374"/>
        <v>0</v>
      </c>
      <c r="AD225" s="47">
        <f t="shared" si="375"/>
        <v>0</v>
      </c>
      <c r="AE225" s="604">
        <f t="shared" si="424"/>
        <v>0</v>
      </c>
      <c r="AF225" s="44">
        <f t="shared" si="425"/>
        <v>0</v>
      </c>
      <c r="AG225" s="44">
        <f t="shared" si="426"/>
        <v>0</v>
      </c>
      <c r="AH225" s="44">
        <f t="shared" si="427"/>
        <v>0</v>
      </c>
      <c r="AI225" s="44">
        <f t="shared" si="428"/>
        <v>0</v>
      </c>
      <c r="AJ225" s="44">
        <f t="shared" si="429"/>
        <v>0</v>
      </c>
      <c r="AK225" s="44">
        <f t="shared" si="376"/>
        <v>0</v>
      </c>
      <c r="AL225" s="44">
        <f t="shared" si="430"/>
        <v>0</v>
      </c>
      <c r="AM225" s="44">
        <f t="shared" si="377"/>
        <v>0</v>
      </c>
      <c r="AN225" s="44">
        <f t="shared" si="431"/>
        <v>0</v>
      </c>
      <c r="AO225" s="44">
        <f t="shared" si="378"/>
        <v>0</v>
      </c>
      <c r="AP225" s="46">
        <f t="shared" si="379"/>
        <v>0</v>
      </c>
      <c r="AQ225" s="47">
        <f t="shared" si="380"/>
        <v>0</v>
      </c>
      <c r="AR225" s="604">
        <f t="shared" si="432"/>
        <v>0</v>
      </c>
      <c r="AS225" s="44">
        <f t="shared" si="433"/>
        <v>0</v>
      </c>
      <c r="AT225" s="44">
        <f t="shared" si="434"/>
        <v>0</v>
      </c>
      <c r="AU225" s="44">
        <f t="shared" si="435"/>
        <v>0</v>
      </c>
      <c r="AV225" s="44">
        <f t="shared" si="436"/>
        <v>0</v>
      </c>
      <c r="AW225" s="44">
        <f t="shared" si="437"/>
        <v>0</v>
      </c>
      <c r="AX225" s="44">
        <f t="shared" si="381"/>
        <v>0</v>
      </c>
      <c r="AY225" s="44">
        <f t="shared" si="438"/>
        <v>0</v>
      </c>
      <c r="AZ225" s="44">
        <f t="shared" si="382"/>
        <v>0</v>
      </c>
      <c r="BA225" s="44">
        <f t="shared" si="439"/>
        <v>0</v>
      </c>
      <c r="BB225" s="44">
        <f t="shared" si="383"/>
        <v>0</v>
      </c>
      <c r="BC225" s="46">
        <f t="shared" si="384"/>
        <v>0</v>
      </c>
      <c r="BD225" s="47">
        <f t="shared" si="385"/>
        <v>0</v>
      </c>
      <c r="BE225" s="604">
        <f t="shared" si="440"/>
        <v>0</v>
      </c>
      <c r="BF225" s="44">
        <f t="shared" si="441"/>
        <v>0</v>
      </c>
      <c r="BG225" s="44">
        <f t="shared" si="442"/>
        <v>0</v>
      </c>
      <c r="BH225" s="44">
        <f t="shared" si="443"/>
        <v>0</v>
      </c>
      <c r="BI225" s="44">
        <f t="shared" si="444"/>
        <v>0</v>
      </c>
      <c r="BJ225" s="44">
        <f t="shared" si="445"/>
        <v>0</v>
      </c>
      <c r="BK225" s="44">
        <f t="shared" si="386"/>
        <v>0</v>
      </c>
      <c r="BL225" s="44">
        <f t="shared" si="446"/>
        <v>0</v>
      </c>
      <c r="BM225" s="44">
        <f t="shared" si="387"/>
        <v>0</v>
      </c>
      <c r="BN225" s="44">
        <f t="shared" si="447"/>
        <v>0</v>
      </c>
      <c r="BO225" s="44">
        <f t="shared" si="388"/>
        <v>0</v>
      </c>
      <c r="BP225" s="46">
        <f t="shared" si="389"/>
        <v>0</v>
      </c>
      <c r="BQ225" s="47">
        <f t="shared" si="390"/>
        <v>0</v>
      </c>
      <c r="BR225" s="604">
        <f t="shared" si="448"/>
        <v>0</v>
      </c>
      <c r="BS225" s="44">
        <f t="shared" si="449"/>
        <v>0</v>
      </c>
      <c r="BT225" s="44">
        <f t="shared" si="450"/>
        <v>0</v>
      </c>
      <c r="BU225" s="44">
        <f t="shared" si="451"/>
        <v>0</v>
      </c>
      <c r="BV225" s="44">
        <f t="shared" si="452"/>
        <v>0</v>
      </c>
      <c r="BW225" s="44">
        <f t="shared" si="453"/>
        <v>0</v>
      </c>
      <c r="BX225" s="44">
        <f t="shared" si="391"/>
        <v>0</v>
      </c>
      <c r="BY225" s="44">
        <f t="shared" si="454"/>
        <v>0</v>
      </c>
      <c r="BZ225" s="44">
        <f t="shared" si="392"/>
        <v>0</v>
      </c>
      <c r="CA225" s="44">
        <f t="shared" si="455"/>
        <v>0</v>
      </c>
      <c r="CB225" s="44">
        <f t="shared" si="393"/>
        <v>0</v>
      </c>
      <c r="CC225" s="46">
        <f t="shared" si="394"/>
        <v>0</v>
      </c>
      <c r="CD225" s="47">
        <f t="shared" si="395"/>
        <v>0</v>
      </c>
      <c r="CE225" s="604">
        <f t="shared" si="456"/>
        <v>0</v>
      </c>
      <c r="CF225" s="44">
        <f t="shared" si="457"/>
        <v>0</v>
      </c>
      <c r="CG225" s="44">
        <f t="shared" si="458"/>
        <v>0</v>
      </c>
      <c r="CH225" s="44">
        <f t="shared" si="459"/>
        <v>0</v>
      </c>
      <c r="CI225" s="44">
        <f t="shared" si="460"/>
        <v>0</v>
      </c>
      <c r="CJ225" s="44">
        <f t="shared" si="461"/>
        <v>0</v>
      </c>
      <c r="CK225" s="44">
        <f t="shared" si="396"/>
        <v>0</v>
      </c>
      <c r="CL225" s="44">
        <f t="shared" si="462"/>
        <v>0</v>
      </c>
      <c r="CM225" s="44">
        <f t="shared" si="397"/>
        <v>0</v>
      </c>
      <c r="CN225" s="44">
        <f t="shared" si="463"/>
        <v>0</v>
      </c>
      <c r="CO225" s="44">
        <f t="shared" si="398"/>
        <v>0</v>
      </c>
      <c r="CP225" s="46">
        <f t="shared" si="399"/>
        <v>0</v>
      </c>
      <c r="CQ225" s="47">
        <f t="shared" si="400"/>
        <v>0</v>
      </c>
      <c r="CR225" s="604">
        <f t="shared" si="464"/>
        <v>0</v>
      </c>
      <c r="CS225" s="44">
        <f t="shared" si="465"/>
        <v>0</v>
      </c>
      <c r="CT225" s="44">
        <f t="shared" si="466"/>
        <v>0</v>
      </c>
      <c r="CU225" s="44">
        <f t="shared" si="467"/>
        <v>0</v>
      </c>
      <c r="CV225" s="44">
        <f t="shared" si="468"/>
        <v>0</v>
      </c>
      <c r="CW225" s="44">
        <f t="shared" si="469"/>
        <v>0</v>
      </c>
      <c r="CX225" s="44">
        <f t="shared" si="401"/>
        <v>0</v>
      </c>
      <c r="CY225" s="44">
        <f t="shared" si="470"/>
        <v>0</v>
      </c>
      <c r="CZ225" s="44">
        <f t="shared" si="402"/>
        <v>0</v>
      </c>
      <c r="DA225" s="44">
        <f t="shared" si="471"/>
        <v>0</v>
      </c>
      <c r="DB225" s="44">
        <f t="shared" si="403"/>
        <v>0</v>
      </c>
      <c r="DC225" s="46">
        <f t="shared" si="404"/>
        <v>0</v>
      </c>
      <c r="DD225" s="47">
        <f t="shared" si="405"/>
        <v>0</v>
      </c>
      <c r="DE225" s="604">
        <f t="shared" si="472"/>
        <v>0</v>
      </c>
      <c r="DF225" s="44">
        <f t="shared" si="473"/>
        <v>0</v>
      </c>
      <c r="DG225" s="44">
        <f t="shared" si="474"/>
        <v>0</v>
      </c>
      <c r="DH225" s="44">
        <f t="shared" si="475"/>
        <v>0</v>
      </c>
      <c r="DI225" s="44">
        <f t="shared" si="476"/>
        <v>0</v>
      </c>
      <c r="DJ225" s="44">
        <f t="shared" si="477"/>
        <v>0</v>
      </c>
      <c r="DK225" s="44">
        <f t="shared" si="406"/>
        <v>0</v>
      </c>
      <c r="DL225" s="44">
        <f t="shared" si="478"/>
        <v>0</v>
      </c>
      <c r="DM225" s="44">
        <f t="shared" si="407"/>
        <v>0</v>
      </c>
      <c r="DN225" s="44">
        <f t="shared" si="479"/>
        <v>0</v>
      </c>
      <c r="DO225" s="44">
        <f t="shared" si="408"/>
        <v>0</v>
      </c>
      <c r="DP225" s="46">
        <f t="shared" si="409"/>
        <v>0</v>
      </c>
      <c r="DQ225" s="47">
        <f t="shared" si="410"/>
        <v>0</v>
      </c>
      <c r="DR225" s="604">
        <f t="shared" si="480"/>
        <v>0</v>
      </c>
      <c r="DS225" s="44">
        <f t="shared" si="481"/>
        <v>0</v>
      </c>
      <c r="DT225" s="44">
        <f t="shared" si="482"/>
        <v>0</v>
      </c>
      <c r="DU225" s="44">
        <f t="shared" si="483"/>
        <v>0</v>
      </c>
      <c r="DV225" s="44">
        <f t="shared" si="484"/>
        <v>0</v>
      </c>
      <c r="DW225" s="44">
        <f t="shared" si="485"/>
        <v>0</v>
      </c>
      <c r="DX225" s="44">
        <f t="shared" si="411"/>
        <v>0</v>
      </c>
      <c r="DY225" s="44">
        <f t="shared" si="486"/>
        <v>0</v>
      </c>
      <c r="DZ225" s="44">
        <f t="shared" si="412"/>
        <v>0</v>
      </c>
      <c r="EA225" s="44">
        <f t="shared" si="487"/>
        <v>0</v>
      </c>
      <c r="EB225" s="44">
        <f t="shared" si="413"/>
        <v>0</v>
      </c>
      <c r="EC225" s="46">
        <f t="shared" si="414"/>
        <v>0</v>
      </c>
      <c r="ED225" s="47">
        <f t="shared" si="415"/>
        <v>0</v>
      </c>
    </row>
    <row r="226" spans="1:134" x14ac:dyDescent="0.35">
      <c r="A226" s="172"/>
      <c r="B226" s="173"/>
      <c r="C226" s="174"/>
      <c r="D226" s="175"/>
      <c r="E226" s="176"/>
      <c r="F226" s="177"/>
      <c r="G226" s="178"/>
      <c r="H226" s="179"/>
      <c r="I226" s="180"/>
      <c r="J226" s="181"/>
      <c r="K226" s="42">
        <f t="shared" si="366"/>
        <v>0</v>
      </c>
      <c r="L226" s="43">
        <f t="shared" si="367"/>
        <v>0</v>
      </c>
      <c r="M226" s="44">
        <f t="shared" si="368"/>
        <v>0</v>
      </c>
      <c r="N226" s="44"/>
      <c r="O226" s="44">
        <f t="shared" si="369"/>
        <v>0</v>
      </c>
      <c r="P226" s="45"/>
      <c r="Q226" s="44">
        <f t="shared" si="370"/>
        <v>0</v>
      </c>
      <c r="R226" s="604">
        <f t="shared" si="416"/>
        <v>0</v>
      </c>
      <c r="S226" s="44">
        <f t="shared" si="417"/>
        <v>0</v>
      </c>
      <c r="T226" s="44">
        <f t="shared" si="418"/>
        <v>0</v>
      </c>
      <c r="U226" s="44">
        <f t="shared" si="419"/>
        <v>0</v>
      </c>
      <c r="V226" s="44">
        <f t="shared" si="420"/>
        <v>0</v>
      </c>
      <c r="W226" s="44">
        <f t="shared" si="421"/>
        <v>0</v>
      </c>
      <c r="X226" s="44">
        <f t="shared" si="371"/>
        <v>0</v>
      </c>
      <c r="Y226" s="44">
        <f t="shared" si="422"/>
        <v>0</v>
      </c>
      <c r="Z226" s="44">
        <f t="shared" si="372"/>
        <v>0</v>
      </c>
      <c r="AA226" s="44">
        <f t="shared" si="423"/>
        <v>0</v>
      </c>
      <c r="AB226" s="44">
        <f t="shared" si="373"/>
        <v>0</v>
      </c>
      <c r="AC226" s="46">
        <f t="shared" si="374"/>
        <v>0</v>
      </c>
      <c r="AD226" s="47">
        <f t="shared" si="375"/>
        <v>0</v>
      </c>
      <c r="AE226" s="604">
        <f t="shared" si="424"/>
        <v>0</v>
      </c>
      <c r="AF226" s="44">
        <f t="shared" si="425"/>
        <v>0</v>
      </c>
      <c r="AG226" s="44">
        <f t="shared" si="426"/>
        <v>0</v>
      </c>
      <c r="AH226" s="44">
        <f t="shared" si="427"/>
        <v>0</v>
      </c>
      <c r="AI226" s="44">
        <f t="shared" si="428"/>
        <v>0</v>
      </c>
      <c r="AJ226" s="44">
        <f t="shared" si="429"/>
        <v>0</v>
      </c>
      <c r="AK226" s="44">
        <f t="shared" si="376"/>
        <v>0</v>
      </c>
      <c r="AL226" s="44">
        <f t="shared" si="430"/>
        <v>0</v>
      </c>
      <c r="AM226" s="44">
        <f t="shared" si="377"/>
        <v>0</v>
      </c>
      <c r="AN226" s="44">
        <f t="shared" si="431"/>
        <v>0</v>
      </c>
      <c r="AO226" s="44">
        <f t="shared" si="378"/>
        <v>0</v>
      </c>
      <c r="AP226" s="46">
        <f t="shared" si="379"/>
        <v>0</v>
      </c>
      <c r="AQ226" s="47">
        <f t="shared" si="380"/>
        <v>0</v>
      </c>
      <c r="AR226" s="604">
        <f t="shared" si="432"/>
        <v>0</v>
      </c>
      <c r="AS226" s="44">
        <f t="shared" si="433"/>
        <v>0</v>
      </c>
      <c r="AT226" s="44">
        <f t="shared" si="434"/>
        <v>0</v>
      </c>
      <c r="AU226" s="44">
        <f t="shared" si="435"/>
        <v>0</v>
      </c>
      <c r="AV226" s="44">
        <f t="shared" si="436"/>
        <v>0</v>
      </c>
      <c r="AW226" s="44">
        <f t="shared" si="437"/>
        <v>0</v>
      </c>
      <c r="AX226" s="44">
        <f t="shared" si="381"/>
        <v>0</v>
      </c>
      <c r="AY226" s="44">
        <f t="shared" si="438"/>
        <v>0</v>
      </c>
      <c r="AZ226" s="44">
        <f t="shared" si="382"/>
        <v>0</v>
      </c>
      <c r="BA226" s="44">
        <f t="shared" si="439"/>
        <v>0</v>
      </c>
      <c r="BB226" s="44">
        <f t="shared" si="383"/>
        <v>0</v>
      </c>
      <c r="BC226" s="46">
        <f t="shared" si="384"/>
        <v>0</v>
      </c>
      <c r="BD226" s="47">
        <f t="shared" si="385"/>
        <v>0</v>
      </c>
      <c r="BE226" s="604">
        <f t="shared" si="440"/>
        <v>0</v>
      </c>
      <c r="BF226" s="44">
        <f t="shared" si="441"/>
        <v>0</v>
      </c>
      <c r="BG226" s="44">
        <f t="shared" si="442"/>
        <v>0</v>
      </c>
      <c r="BH226" s="44">
        <f t="shared" si="443"/>
        <v>0</v>
      </c>
      <c r="BI226" s="44">
        <f t="shared" si="444"/>
        <v>0</v>
      </c>
      <c r="BJ226" s="44">
        <f t="shared" si="445"/>
        <v>0</v>
      </c>
      <c r="BK226" s="44">
        <f t="shared" si="386"/>
        <v>0</v>
      </c>
      <c r="BL226" s="44">
        <f t="shared" si="446"/>
        <v>0</v>
      </c>
      <c r="BM226" s="44">
        <f t="shared" si="387"/>
        <v>0</v>
      </c>
      <c r="BN226" s="44">
        <f t="shared" si="447"/>
        <v>0</v>
      </c>
      <c r="BO226" s="44">
        <f t="shared" si="388"/>
        <v>0</v>
      </c>
      <c r="BP226" s="46">
        <f t="shared" si="389"/>
        <v>0</v>
      </c>
      <c r="BQ226" s="47">
        <f t="shared" si="390"/>
        <v>0</v>
      </c>
      <c r="BR226" s="604">
        <f t="shared" si="448"/>
        <v>0</v>
      </c>
      <c r="BS226" s="44">
        <f t="shared" si="449"/>
        <v>0</v>
      </c>
      <c r="BT226" s="44">
        <f t="shared" si="450"/>
        <v>0</v>
      </c>
      <c r="BU226" s="44">
        <f t="shared" si="451"/>
        <v>0</v>
      </c>
      <c r="BV226" s="44">
        <f t="shared" si="452"/>
        <v>0</v>
      </c>
      <c r="BW226" s="44">
        <f t="shared" si="453"/>
        <v>0</v>
      </c>
      <c r="BX226" s="44">
        <f t="shared" si="391"/>
        <v>0</v>
      </c>
      <c r="BY226" s="44">
        <f t="shared" si="454"/>
        <v>0</v>
      </c>
      <c r="BZ226" s="44">
        <f t="shared" si="392"/>
        <v>0</v>
      </c>
      <c r="CA226" s="44">
        <f t="shared" si="455"/>
        <v>0</v>
      </c>
      <c r="CB226" s="44">
        <f t="shared" si="393"/>
        <v>0</v>
      </c>
      <c r="CC226" s="46">
        <f t="shared" si="394"/>
        <v>0</v>
      </c>
      <c r="CD226" s="47">
        <f t="shared" si="395"/>
        <v>0</v>
      </c>
      <c r="CE226" s="604">
        <f t="shared" si="456"/>
        <v>0</v>
      </c>
      <c r="CF226" s="44">
        <f t="shared" si="457"/>
        <v>0</v>
      </c>
      <c r="CG226" s="44">
        <f t="shared" si="458"/>
        <v>0</v>
      </c>
      <c r="CH226" s="44">
        <f t="shared" si="459"/>
        <v>0</v>
      </c>
      <c r="CI226" s="44">
        <f t="shared" si="460"/>
        <v>0</v>
      </c>
      <c r="CJ226" s="44">
        <f t="shared" si="461"/>
        <v>0</v>
      </c>
      <c r="CK226" s="44">
        <f t="shared" si="396"/>
        <v>0</v>
      </c>
      <c r="CL226" s="44">
        <f t="shared" si="462"/>
        <v>0</v>
      </c>
      <c r="CM226" s="44">
        <f t="shared" si="397"/>
        <v>0</v>
      </c>
      <c r="CN226" s="44">
        <f t="shared" si="463"/>
        <v>0</v>
      </c>
      <c r="CO226" s="44">
        <f t="shared" si="398"/>
        <v>0</v>
      </c>
      <c r="CP226" s="46">
        <f t="shared" si="399"/>
        <v>0</v>
      </c>
      <c r="CQ226" s="47">
        <f t="shared" si="400"/>
        <v>0</v>
      </c>
      <c r="CR226" s="604">
        <f t="shared" si="464"/>
        <v>0</v>
      </c>
      <c r="CS226" s="44">
        <f t="shared" si="465"/>
        <v>0</v>
      </c>
      <c r="CT226" s="44">
        <f t="shared" si="466"/>
        <v>0</v>
      </c>
      <c r="CU226" s="44">
        <f t="shared" si="467"/>
        <v>0</v>
      </c>
      <c r="CV226" s="44">
        <f t="shared" si="468"/>
        <v>0</v>
      </c>
      <c r="CW226" s="44">
        <f t="shared" si="469"/>
        <v>0</v>
      </c>
      <c r="CX226" s="44">
        <f t="shared" si="401"/>
        <v>0</v>
      </c>
      <c r="CY226" s="44">
        <f t="shared" si="470"/>
        <v>0</v>
      </c>
      <c r="CZ226" s="44">
        <f t="shared" si="402"/>
        <v>0</v>
      </c>
      <c r="DA226" s="44">
        <f t="shared" si="471"/>
        <v>0</v>
      </c>
      <c r="DB226" s="44">
        <f t="shared" si="403"/>
        <v>0</v>
      </c>
      <c r="DC226" s="46">
        <f t="shared" si="404"/>
        <v>0</v>
      </c>
      <c r="DD226" s="47">
        <f t="shared" si="405"/>
        <v>0</v>
      </c>
      <c r="DE226" s="604">
        <f t="shared" si="472"/>
        <v>0</v>
      </c>
      <c r="DF226" s="44">
        <f t="shared" si="473"/>
        <v>0</v>
      </c>
      <c r="DG226" s="44">
        <f t="shared" si="474"/>
        <v>0</v>
      </c>
      <c r="DH226" s="44">
        <f t="shared" si="475"/>
        <v>0</v>
      </c>
      <c r="DI226" s="44">
        <f t="shared" si="476"/>
        <v>0</v>
      </c>
      <c r="DJ226" s="44">
        <f t="shared" si="477"/>
        <v>0</v>
      </c>
      <c r="DK226" s="44">
        <f t="shared" si="406"/>
        <v>0</v>
      </c>
      <c r="DL226" s="44">
        <f t="shared" si="478"/>
        <v>0</v>
      </c>
      <c r="DM226" s="44">
        <f t="shared" si="407"/>
        <v>0</v>
      </c>
      <c r="DN226" s="44">
        <f t="shared" si="479"/>
        <v>0</v>
      </c>
      <c r="DO226" s="44">
        <f t="shared" si="408"/>
        <v>0</v>
      </c>
      <c r="DP226" s="46">
        <f t="shared" si="409"/>
        <v>0</v>
      </c>
      <c r="DQ226" s="47">
        <f t="shared" si="410"/>
        <v>0</v>
      </c>
      <c r="DR226" s="604">
        <f t="shared" si="480"/>
        <v>0</v>
      </c>
      <c r="DS226" s="44">
        <f t="shared" si="481"/>
        <v>0</v>
      </c>
      <c r="DT226" s="44">
        <f t="shared" si="482"/>
        <v>0</v>
      </c>
      <c r="DU226" s="44">
        <f t="shared" si="483"/>
        <v>0</v>
      </c>
      <c r="DV226" s="44">
        <f t="shared" si="484"/>
        <v>0</v>
      </c>
      <c r="DW226" s="44">
        <f t="shared" si="485"/>
        <v>0</v>
      </c>
      <c r="DX226" s="44">
        <f t="shared" si="411"/>
        <v>0</v>
      </c>
      <c r="DY226" s="44">
        <f t="shared" si="486"/>
        <v>0</v>
      </c>
      <c r="DZ226" s="44">
        <f t="shared" si="412"/>
        <v>0</v>
      </c>
      <c r="EA226" s="44">
        <f t="shared" si="487"/>
        <v>0</v>
      </c>
      <c r="EB226" s="44">
        <f t="shared" si="413"/>
        <v>0</v>
      </c>
      <c r="EC226" s="46">
        <f t="shared" si="414"/>
        <v>0</v>
      </c>
      <c r="ED226" s="47">
        <f t="shared" si="415"/>
        <v>0</v>
      </c>
    </row>
    <row r="227" spans="1:134" x14ac:dyDescent="0.35">
      <c r="A227" s="172"/>
      <c r="B227" s="173"/>
      <c r="C227" s="174"/>
      <c r="D227" s="175"/>
      <c r="E227" s="176"/>
      <c r="F227" s="177"/>
      <c r="G227" s="178"/>
      <c r="H227" s="179"/>
      <c r="I227" s="180"/>
      <c r="J227" s="181"/>
      <c r="K227" s="42">
        <f t="shared" si="366"/>
        <v>0</v>
      </c>
      <c r="L227" s="43">
        <f t="shared" si="367"/>
        <v>0</v>
      </c>
      <c r="M227" s="44">
        <f t="shared" si="368"/>
        <v>0</v>
      </c>
      <c r="N227" s="44"/>
      <c r="O227" s="44">
        <f t="shared" si="369"/>
        <v>0</v>
      </c>
      <c r="P227" s="45"/>
      <c r="Q227" s="44">
        <f t="shared" si="370"/>
        <v>0</v>
      </c>
      <c r="R227" s="604">
        <f t="shared" si="416"/>
        <v>0</v>
      </c>
      <c r="S227" s="44">
        <f t="shared" si="417"/>
        <v>0</v>
      </c>
      <c r="T227" s="44">
        <f t="shared" si="418"/>
        <v>0</v>
      </c>
      <c r="U227" s="44">
        <f t="shared" si="419"/>
        <v>0</v>
      </c>
      <c r="V227" s="44">
        <f t="shared" si="420"/>
        <v>0</v>
      </c>
      <c r="W227" s="44">
        <f t="shared" si="421"/>
        <v>0</v>
      </c>
      <c r="X227" s="44">
        <f t="shared" si="371"/>
        <v>0</v>
      </c>
      <c r="Y227" s="44">
        <f t="shared" si="422"/>
        <v>0</v>
      </c>
      <c r="Z227" s="44">
        <f t="shared" si="372"/>
        <v>0</v>
      </c>
      <c r="AA227" s="44">
        <f t="shared" si="423"/>
        <v>0</v>
      </c>
      <c r="AB227" s="44">
        <f t="shared" si="373"/>
        <v>0</v>
      </c>
      <c r="AC227" s="46">
        <f t="shared" si="374"/>
        <v>0</v>
      </c>
      <c r="AD227" s="47">
        <f t="shared" si="375"/>
        <v>0</v>
      </c>
      <c r="AE227" s="604">
        <f t="shared" si="424"/>
        <v>0</v>
      </c>
      <c r="AF227" s="44">
        <f t="shared" si="425"/>
        <v>0</v>
      </c>
      <c r="AG227" s="44">
        <f t="shared" si="426"/>
        <v>0</v>
      </c>
      <c r="AH227" s="44">
        <f t="shared" si="427"/>
        <v>0</v>
      </c>
      <c r="AI227" s="44">
        <f t="shared" si="428"/>
        <v>0</v>
      </c>
      <c r="AJ227" s="44">
        <f t="shared" si="429"/>
        <v>0</v>
      </c>
      <c r="AK227" s="44">
        <f t="shared" si="376"/>
        <v>0</v>
      </c>
      <c r="AL227" s="44">
        <f t="shared" si="430"/>
        <v>0</v>
      </c>
      <c r="AM227" s="44">
        <f t="shared" si="377"/>
        <v>0</v>
      </c>
      <c r="AN227" s="44">
        <f t="shared" si="431"/>
        <v>0</v>
      </c>
      <c r="AO227" s="44">
        <f t="shared" si="378"/>
        <v>0</v>
      </c>
      <c r="AP227" s="46">
        <f t="shared" si="379"/>
        <v>0</v>
      </c>
      <c r="AQ227" s="47">
        <f t="shared" si="380"/>
        <v>0</v>
      </c>
      <c r="AR227" s="604">
        <f t="shared" si="432"/>
        <v>0</v>
      </c>
      <c r="AS227" s="44">
        <f t="shared" si="433"/>
        <v>0</v>
      </c>
      <c r="AT227" s="44">
        <f t="shared" si="434"/>
        <v>0</v>
      </c>
      <c r="AU227" s="44">
        <f t="shared" si="435"/>
        <v>0</v>
      </c>
      <c r="AV227" s="44">
        <f t="shared" si="436"/>
        <v>0</v>
      </c>
      <c r="AW227" s="44">
        <f t="shared" si="437"/>
        <v>0</v>
      </c>
      <c r="AX227" s="44">
        <f t="shared" si="381"/>
        <v>0</v>
      </c>
      <c r="AY227" s="44">
        <f t="shared" si="438"/>
        <v>0</v>
      </c>
      <c r="AZ227" s="44">
        <f t="shared" si="382"/>
        <v>0</v>
      </c>
      <c r="BA227" s="44">
        <f t="shared" si="439"/>
        <v>0</v>
      </c>
      <c r="BB227" s="44">
        <f t="shared" si="383"/>
        <v>0</v>
      </c>
      <c r="BC227" s="46">
        <f t="shared" si="384"/>
        <v>0</v>
      </c>
      <c r="BD227" s="47">
        <f t="shared" si="385"/>
        <v>0</v>
      </c>
      <c r="BE227" s="604">
        <f t="shared" si="440"/>
        <v>0</v>
      </c>
      <c r="BF227" s="44">
        <f t="shared" si="441"/>
        <v>0</v>
      </c>
      <c r="BG227" s="44">
        <f t="shared" si="442"/>
        <v>0</v>
      </c>
      <c r="BH227" s="44">
        <f t="shared" si="443"/>
        <v>0</v>
      </c>
      <c r="BI227" s="44">
        <f t="shared" si="444"/>
        <v>0</v>
      </c>
      <c r="BJ227" s="44">
        <f t="shared" si="445"/>
        <v>0</v>
      </c>
      <c r="BK227" s="44">
        <f t="shared" si="386"/>
        <v>0</v>
      </c>
      <c r="BL227" s="44">
        <f t="shared" si="446"/>
        <v>0</v>
      </c>
      <c r="BM227" s="44">
        <f t="shared" si="387"/>
        <v>0</v>
      </c>
      <c r="BN227" s="44">
        <f t="shared" si="447"/>
        <v>0</v>
      </c>
      <c r="BO227" s="44">
        <f t="shared" si="388"/>
        <v>0</v>
      </c>
      <c r="BP227" s="46">
        <f t="shared" si="389"/>
        <v>0</v>
      </c>
      <c r="BQ227" s="47">
        <f t="shared" si="390"/>
        <v>0</v>
      </c>
      <c r="BR227" s="604">
        <f t="shared" si="448"/>
        <v>0</v>
      </c>
      <c r="BS227" s="44">
        <f t="shared" si="449"/>
        <v>0</v>
      </c>
      <c r="BT227" s="44">
        <f t="shared" si="450"/>
        <v>0</v>
      </c>
      <c r="BU227" s="44">
        <f t="shared" si="451"/>
        <v>0</v>
      </c>
      <c r="BV227" s="44">
        <f t="shared" si="452"/>
        <v>0</v>
      </c>
      <c r="BW227" s="44">
        <f t="shared" si="453"/>
        <v>0</v>
      </c>
      <c r="BX227" s="44">
        <f t="shared" si="391"/>
        <v>0</v>
      </c>
      <c r="BY227" s="44">
        <f t="shared" si="454"/>
        <v>0</v>
      </c>
      <c r="BZ227" s="44">
        <f t="shared" si="392"/>
        <v>0</v>
      </c>
      <c r="CA227" s="44">
        <f t="shared" si="455"/>
        <v>0</v>
      </c>
      <c r="CB227" s="44">
        <f t="shared" si="393"/>
        <v>0</v>
      </c>
      <c r="CC227" s="46">
        <f t="shared" si="394"/>
        <v>0</v>
      </c>
      <c r="CD227" s="47">
        <f t="shared" si="395"/>
        <v>0</v>
      </c>
      <c r="CE227" s="604">
        <f t="shared" si="456"/>
        <v>0</v>
      </c>
      <c r="CF227" s="44">
        <f t="shared" si="457"/>
        <v>0</v>
      </c>
      <c r="CG227" s="44">
        <f t="shared" si="458"/>
        <v>0</v>
      </c>
      <c r="CH227" s="44">
        <f t="shared" si="459"/>
        <v>0</v>
      </c>
      <c r="CI227" s="44">
        <f t="shared" si="460"/>
        <v>0</v>
      </c>
      <c r="CJ227" s="44">
        <f t="shared" si="461"/>
        <v>0</v>
      </c>
      <c r="CK227" s="44">
        <f t="shared" si="396"/>
        <v>0</v>
      </c>
      <c r="CL227" s="44">
        <f t="shared" si="462"/>
        <v>0</v>
      </c>
      <c r="CM227" s="44">
        <f t="shared" si="397"/>
        <v>0</v>
      </c>
      <c r="CN227" s="44">
        <f t="shared" si="463"/>
        <v>0</v>
      </c>
      <c r="CO227" s="44">
        <f t="shared" si="398"/>
        <v>0</v>
      </c>
      <c r="CP227" s="46">
        <f t="shared" si="399"/>
        <v>0</v>
      </c>
      <c r="CQ227" s="47">
        <f t="shared" si="400"/>
        <v>0</v>
      </c>
      <c r="CR227" s="604">
        <f t="shared" si="464"/>
        <v>0</v>
      </c>
      <c r="CS227" s="44">
        <f t="shared" si="465"/>
        <v>0</v>
      </c>
      <c r="CT227" s="44">
        <f t="shared" si="466"/>
        <v>0</v>
      </c>
      <c r="CU227" s="44">
        <f t="shared" si="467"/>
        <v>0</v>
      </c>
      <c r="CV227" s="44">
        <f t="shared" si="468"/>
        <v>0</v>
      </c>
      <c r="CW227" s="44">
        <f t="shared" si="469"/>
        <v>0</v>
      </c>
      <c r="CX227" s="44">
        <f t="shared" si="401"/>
        <v>0</v>
      </c>
      <c r="CY227" s="44">
        <f t="shared" si="470"/>
        <v>0</v>
      </c>
      <c r="CZ227" s="44">
        <f t="shared" si="402"/>
        <v>0</v>
      </c>
      <c r="DA227" s="44">
        <f t="shared" si="471"/>
        <v>0</v>
      </c>
      <c r="DB227" s="44">
        <f t="shared" si="403"/>
        <v>0</v>
      </c>
      <c r="DC227" s="46">
        <f t="shared" si="404"/>
        <v>0</v>
      </c>
      <c r="DD227" s="47">
        <f t="shared" si="405"/>
        <v>0</v>
      </c>
      <c r="DE227" s="604">
        <f t="shared" si="472"/>
        <v>0</v>
      </c>
      <c r="DF227" s="44">
        <f t="shared" si="473"/>
        <v>0</v>
      </c>
      <c r="DG227" s="44">
        <f t="shared" si="474"/>
        <v>0</v>
      </c>
      <c r="DH227" s="44">
        <f t="shared" si="475"/>
        <v>0</v>
      </c>
      <c r="DI227" s="44">
        <f t="shared" si="476"/>
        <v>0</v>
      </c>
      <c r="DJ227" s="44">
        <f t="shared" si="477"/>
        <v>0</v>
      </c>
      <c r="DK227" s="44">
        <f t="shared" si="406"/>
        <v>0</v>
      </c>
      <c r="DL227" s="44">
        <f t="shared" si="478"/>
        <v>0</v>
      </c>
      <c r="DM227" s="44">
        <f t="shared" si="407"/>
        <v>0</v>
      </c>
      <c r="DN227" s="44">
        <f t="shared" si="479"/>
        <v>0</v>
      </c>
      <c r="DO227" s="44">
        <f t="shared" si="408"/>
        <v>0</v>
      </c>
      <c r="DP227" s="46">
        <f t="shared" si="409"/>
        <v>0</v>
      </c>
      <c r="DQ227" s="47">
        <f t="shared" si="410"/>
        <v>0</v>
      </c>
      <c r="DR227" s="604">
        <f t="shared" si="480"/>
        <v>0</v>
      </c>
      <c r="DS227" s="44">
        <f t="shared" si="481"/>
        <v>0</v>
      </c>
      <c r="DT227" s="44">
        <f t="shared" si="482"/>
        <v>0</v>
      </c>
      <c r="DU227" s="44">
        <f t="shared" si="483"/>
        <v>0</v>
      </c>
      <c r="DV227" s="44">
        <f t="shared" si="484"/>
        <v>0</v>
      </c>
      <c r="DW227" s="44">
        <f t="shared" si="485"/>
        <v>0</v>
      </c>
      <c r="DX227" s="44">
        <f t="shared" si="411"/>
        <v>0</v>
      </c>
      <c r="DY227" s="44">
        <f t="shared" si="486"/>
        <v>0</v>
      </c>
      <c r="DZ227" s="44">
        <f t="shared" si="412"/>
        <v>0</v>
      </c>
      <c r="EA227" s="44">
        <f t="shared" si="487"/>
        <v>0</v>
      </c>
      <c r="EB227" s="44">
        <f t="shared" si="413"/>
        <v>0</v>
      </c>
      <c r="EC227" s="46">
        <f t="shared" si="414"/>
        <v>0</v>
      </c>
      <c r="ED227" s="47">
        <f t="shared" si="415"/>
        <v>0</v>
      </c>
    </row>
    <row r="228" spans="1:134" x14ac:dyDescent="0.35">
      <c r="A228" s="172"/>
      <c r="B228" s="173"/>
      <c r="C228" s="174"/>
      <c r="D228" s="175"/>
      <c r="E228" s="176"/>
      <c r="F228" s="177"/>
      <c r="G228" s="178"/>
      <c r="H228" s="179"/>
      <c r="I228" s="180"/>
      <c r="J228" s="181"/>
      <c r="K228" s="42">
        <f t="shared" si="366"/>
        <v>0</v>
      </c>
      <c r="L228" s="43">
        <f t="shared" si="367"/>
        <v>0</v>
      </c>
      <c r="M228" s="44">
        <f t="shared" si="368"/>
        <v>0</v>
      </c>
      <c r="N228" s="44"/>
      <c r="O228" s="44">
        <f t="shared" si="369"/>
        <v>0</v>
      </c>
      <c r="P228" s="45"/>
      <c r="Q228" s="44">
        <f t="shared" si="370"/>
        <v>0</v>
      </c>
      <c r="R228" s="604">
        <f t="shared" si="416"/>
        <v>0</v>
      </c>
      <c r="S228" s="44">
        <f t="shared" si="417"/>
        <v>0</v>
      </c>
      <c r="T228" s="44">
        <f t="shared" si="418"/>
        <v>0</v>
      </c>
      <c r="U228" s="44">
        <f t="shared" si="419"/>
        <v>0</v>
      </c>
      <c r="V228" s="44">
        <f t="shared" si="420"/>
        <v>0</v>
      </c>
      <c r="W228" s="44">
        <f t="shared" si="421"/>
        <v>0</v>
      </c>
      <c r="X228" s="44">
        <f t="shared" si="371"/>
        <v>0</v>
      </c>
      <c r="Y228" s="44">
        <f t="shared" si="422"/>
        <v>0</v>
      </c>
      <c r="Z228" s="44">
        <f t="shared" si="372"/>
        <v>0</v>
      </c>
      <c r="AA228" s="44">
        <f t="shared" si="423"/>
        <v>0</v>
      </c>
      <c r="AB228" s="44">
        <f t="shared" si="373"/>
        <v>0</v>
      </c>
      <c r="AC228" s="46">
        <f t="shared" si="374"/>
        <v>0</v>
      </c>
      <c r="AD228" s="47">
        <f t="shared" si="375"/>
        <v>0</v>
      </c>
      <c r="AE228" s="604">
        <f t="shared" si="424"/>
        <v>0</v>
      </c>
      <c r="AF228" s="44">
        <f t="shared" si="425"/>
        <v>0</v>
      </c>
      <c r="AG228" s="44">
        <f t="shared" si="426"/>
        <v>0</v>
      </c>
      <c r="AH228" s="44">
        <f t="shared" si="427"/>
        <v>0</v>
      </c>
      <c r="AI228" s="44">
        <f t="shared" si="428"/>
        <v>0</v>
      </c>
      <c r="AJ228" s="44">
        <f t="shared" si="429"/>
        <v>0</v>
      </c>
      <c r="AK228" s="44">
        <f t="shared" si="376"/>
        <v>0</v>
      </c>
      <c r="AL228" s="44">
        <f t="shared" si="430"/>
        <v>0</v>
      </c>
      <c r="AM228" s="44">
        <f t="shared" si="377"/>
        <v>0</v>
      </c>
      <c r="AN228" s="44">
        <f t="shared" si="431"/>
        <v>0</v>
      </c>
      <c r="AO228" s="44">
        <f t="shared" si="378"/>
        <v>0</v>
      </c>
      <c r="AP228" s="46">
        <f t="shared" si="379"/>
        <v>0</v>
      </c>
      <c r="AQ228" s="47">
        <f t="shared" si="380"/>
        <v>0</v>
      </c>
      <c r="AR228" s="604">
        <f t="shared" si="432"/>
        <v>0</v>
      </c>
      <c r="AS228" s="44">
        <f t="shared" si="433"/>
        <v>0</v>
      </c>
      <c r="AT228" s="44">
        <f t="shared" si="434"/>
        <v>0</v>
      </c>
      <c r="AU228" s="44">
        <f t="shared" si="435"/>
        <v>0</v>
      </c>
      <c r="AV228" s="44">
        <f t="shared" si="436"/>
        <v>0</v>
      </c>
      <c r="AW228" s="44">
        <f t="shared" si="437"/>
        <v>0</v>
      </c>
      <c r="AX228" s="44">
        <f t="shared" si="381"/>
        <v>0</v>
      </c>
      <c r="AY228" s="44">
        <f t="shared" si="438"/>
        <v>0</v>
      </c>
      <c r="AZ228" s="44">
        <f t="shared" si="382"/>
        <v>0</v>
      </c>
      <c r="BA228" s="44">
        <f t="shared" si="439"/>
        <v>0</v>
      </c>
      <c r="BB228" s="44">
        <f t="shared" si="383"/>
        <v>0</v>
      </c>
      <c r="BC228" s="46">
        <f t="shared" si="384"/>
        <v>0</v>
      </c>
      <c r="BD228" s="47">
        <f t="shared" si="385"/>
        <v>0</v>
      </c>
      <c r="BE228" s="604">
        <f t="shared" si="440"/>
        <v>0</v>
      </c>
      <c r="BF228" s="44">
        <f t="shared" si="441"/>
        <v>0</v>
      </c>
      <c r="BG228" s="44">
        <f t="shared" si="442"/>
        <v>0</v>
      </c>
      <c r="BH228" s="44">
        <f t="shared" si="443"/>
        <v>0</v>
      </c>
      <c r="BI228" s="44">
        <f t="shared" si="444"/>
        <v>0</v>
      </c>
      <c r="BJ228" s="44">
        <f t="shared" si="445"/>
        <v>0</v>
      </c>
      <c r="BK228" s="44">
        <f t="shared" si="386"/>
        <v>0</v>
      </c>
      <c r="BL228" s="44">
        <f t="shared" si="446"/>
        <v>0</v>
      </c>
      <c r="BM228" s="44">
        <f t="shared" si="387"/>
        <v>0</v>
      </c>
      <c r="BN228" s="44">
        <f t="shared" si="447"/>
        <v>0</v>
      </c>
      <c r="BO228" s="44">
        <f t="shared" si="388"/>
        <v>0</v>
      </c>
      <c r="BP228" s="46">
        <f t="shared" si="389"/>
        <v>0</v>
      </c>
      <c r="BQ228" s="47">
        <f t="shared" si="390"/>
        <v>0</v>
      </c>
      <c r="BR228" s="604">
        <f t="shared" si="448"/>
        <v>0</v>
      </c>
      <c r="BS228" s="44">
        <f t="shared" si="449"/>
        <v>0</v>
      </c>
      <c r="BT228" s="44">
        <f t="shared" si="450"/>
        <v>0</v>
      </c>
      <c r="BU228" s="44">
        <f t="shared" si="451"/>
        <v>0</v>
      </c>
      <c r="BV228" s="44">
        <f t="shared" si="452"/>
        <v>0</v>
      </c>
      <c r="BW228" s="44">
        <f t="shared" si="453"/>
        <v>0</v>
      </c>
      <c r="BX228" s="44">
        <f t="shared" si="391"/>
        <v>0</v>
      </c>
      <c r="BY228" s="44">
        <f t="shared" si="454"/>
        <v>0</v>
      </c>
      <c r="BZ228" s="44">
        <f t="shared" si="392"/>
        <v>0</v>
      </c>
      <c r="CA228" s="44">
        <f t="shared" si="455"/>
        <v>0</v>
      </c>
      <c r="CB228" s="44">
        <f t="shared" si="393"/>
        <v>0</v>
      </c>
      <c r="CC228" s="46">
        <f t="shared" si="394"/>
        <v>0</v>
      </c>
      <c r="CD228" s="47">
        <f t="shared" si="395"/>
        <v>0</v>
      </c>
      <c r="CE228" s="604">
        <f t="shared" si="456"/>
        <v>0</v>
      </c>
      <c r="CF228" s="44">
        <f t="shared" si="457"/>
        <v>0</v>
      </c>
      <c r="CG228" s="44">
        <f t="shared" si="458"/>
        <v>0</v>
      </c>
      <c r="CH228" s="44">
        <f t="shared" si="459"/>
        <v>0</v>
      </c>
      <c r="CI228" s="44">
        <f t="shared" si="460"/>
        <v>0</v>
      </c>
      <c r="CJ228" s="44">
        <f t="shared" si="461"/>
        <v>0</v>
      </c>
      <c r="CK228" s="44">
        <f t="shared" si="396"/>
        <v>0</v>
      </c>
      <c r="CL228" s="44">
        <f t="shared" si="462"/>
        <v>0</v>
      </c>
      <c r="CM228" s="44">
        <f t="shared" si="397"/>
        <v>0</v>
      </c>
      <c r="CN228" s="44">
        <f t="shared" si="463"/>
        <v>0</v>
      </c>
      <c r="CO228" s="44">
        <f t="shared" si="398"/>
        <v>0</v>
      </c>
      <c r="CP228" s="46">
        <f t="shared" si="399"/>
        <v>0</v>
      </c>
      <c r="CQ228" s="47">
        <f t="shared" si="400"/>
        <v>0</v>
      </c>
      <c r="CR228" s="604">
        <f t="shared" si="464"/>
        <v>0</v>
      </c>
      <c r="CS228" s="44">
        <f t="shared" si="465"/>
        <v>0</v>
      </c>
      <c r="CT228" s="44">
        <f t="shared" si="466"/>
        <v>0</v>
      </c>
      <c r="CU228" s="44">
        <f t="shared" si="467"/>
        <v>0</v>
      </c>
      <c r="CV228" s="44">
        <f t="shared" si="468"/>
        <v>0</v>
      </c>
      <c r="CW228" s="44">
        <f t="shared" si="469"/>
        <v>0</v>
      </c>
      <c r="CX228" s="44">
        <f t="shared" si="401"/>
        <v>0</v>
      </c>
      <c r="CY228" s="44">
        <f t="shared" si="470"/>
        <v>0</v>
      </c>
      <c r="CZ228" s="44">
        <f t="shared" si="402"/>
        <v>0</v>
      </c>
      <c r="DA228" s="44">
        <f t="shared" si="471"/>
        <v>0</v>
      </c>
      <c r="DB228" s="44">
        <f t="shared" si="403"/>
        <v>0</v>
      </c>
      <c r="DC228" s="46">
        <f t="shared" si="404"/>
        <v>0</v>
      </c>
      <c r="DD228" s="47">
        <f t="shared" si="405"/>
        <v>0</v>
      </c>
      <c r="DE228" s="604">
        <f t="shared" si="472"/>
        <v>0</v>
      </c>
      <c r="DF228" s="44">
        <f t="shared" si="473"/>
        <v>0</v>
      </c>
      <c r="DG228" s="44">
        <f t="shared" si="474"/>
        <v>0</v>
      </c>
      <c r="DH228" s="44">
        <f t="shared" si="475"/>
        <v>0</v>
      </c>
      <c r="DI228" s="44">
        <f t="shared" si="476"/>
        <v>0</v>
      </c>
      <c r="DJ228" s="44">
        <f t="shared" si="477"/>
        <v>0</v>
      </c>
      <c r="DK228" s="44">
        <f t="shared" si="406"/>
        <v>0</v>
      </c>
      <c r="DL228" s="44">
        <f t="shared" si="478"/>
        <v>0</v>
      </c>
      <c r="DM228" s="44">
        <f t="shared" si="407"/>
        <v>0</v>
      </c>
      <c r="DN228" s="44">
        <f t="shared" si="479"/>
        <v>0</v>
      </c>
      <c r="DO228" s="44">
        <f t="shared" si="408"/>
        <v>0</v>
      </c>
      <c r="DP228" s="46">
        <f t="shared" si="409"/>
        <v>0</v>
      </c>
      <c r="DQ228" s="47">
        <f t="shared" si="410"/>
        <v>0</v>
      </c>
      <c r="DR228" s="604">
        <f t="shared" si="480"/>
        <v>0</v>
      </c>
      <c r="DS228" s="44">
        <f t="shared" si="481"/>
        <v>0</v>
      </c>
      <c r="DT228" s="44">
        <f t="shared" si="482"/>
        <v>0</v>
      </c>
      <c r="DU228" s="44">
        <f t="shared" si="483"/>
        <v>0</v>
      </c>
      <c r="DV228" s="44">
        <f t="shared" si="484"/>
        <v>0</v>
      </c>
      <c r="DW228" s="44">
        <f t="shared" si="485"/>
        <v>0</v>
      </c>
      <c r="DX228" s="44">
        <f t="shared" si="411"/>
        <v>0</v>
      </c>
      <c r="DY228" s="44">
        <f t="shared" si="486"/>
        <v>0</v>
      </c>
      <c r="DZ228" s="44">
        <f t="shared" si="412"/>
        <v>0</v>
      </c>
      <c r="EA228" s="44">
        <f t="shared" si="487"/>
        <v>0</v>
      </c>
      <c r="EB228" s="44">
        <f t="shared" si="413"/>
        <v>0</v>
      </c>
      <c r="EC228" s="46">
        <f t="shared" si="414"/>
        <v>0</v>
      </c>
      <c r="ED228" s="47">
        <f t="shared" si="415"/>
        <v>0</v>
      </c>
    </row>
    <row r="229" spans="1:134" x14ac:dyDescent="0.35">
      <c r="A229" s="172"/>
      <c r="B229" s="173"/>
      <c r="C229" s="174"/>
      <c r="D229" s="175"/>
      <c r="E229" s="176"/>
      <c r="F229" s="177"/>
      <c r="G229" s="178"/>
      <c r="H229" s="179"/>
      <c r="I229" s="180"/>
      <c r="J229" s="181"/>
      <c r="K229" s="42">
        <f t="shared" si="366"/>
        <v>0</v>
      </c>
      <c r="L229" s="43">
        <f t="shared" si="367"/>
        <v>0</v>
      </c>
      <c r="M229" s="44">
        <f t="shared" si="368"/>
        <v>0</v>
      </c>
      <c r="N229" s="44"/>
      <c r="O229" s="44">
        <f t="shared" si="369"/>
        <v>0</v>
      </c>
      <c r="P229" s="45"/>
      <c r="Q229" s="44">
        <f t="shared" si="370"/>
        <v>0</v>
      </c>
      <c r="R229" s="604">
        <f t="shared" si="416"/>
        <v>0</v>
      </c>
      <c r="S229" s="44">
        <f t="shared" si="417"/>
        <v>0</v>
      </c>
      <c r="T229" s="44">
        <f t="shared" si="418"/>
        <v>0</v>
      </c>
      <c r="U229" s="44">
        <f t="shared" si="419"/>
        <v>0</v>
      </c>
      <c r="V229" s="44">
        <f t="shared" si="420"/>
        <v>0</v>
      </c>
      <c r="W229" s="44">
        <f t="shared" si="421"/>
        <v>0</v>
      </c>
      <c r="X229" s="44">
        <f t="shared" si="371"/>
        <v>0</v>
      </c>
      <c r="Y229" s="44">
        <f t="shared" si="422"/>
        <v>0</v>
      </c>
      <c r="Z229" s="44">
        <f t="shared" si="372"/>
        <v>0</v>
      </c>
      <c r="AA229" s="44">
        <f t="shared" si="423"/>
        <v>0</v>
      </c>
      <c r="AB229" s="44">
        <f t="shared" si="373"/>
        <v>0</v>
      </c>
      <c r="AC229" s="46">
        <f t="shared" si="374"/>
        <v>0</v>
      </c>
      <c r="AD229" s="47">
        <f t="shared" si="375"/>
        <v>0</v>
      </c>
      <c r="AE229" s="604">
        <f t="shared" si="424"/>
        <v>0</v>
      </c>
      <c r="AF229" s="44">
        <f t="shared" si="425"/>
        <v>0</v>
      </c>
      <c r="AG229" s="44">
        <f t="shared" si="426"/>
        <v>0</v>
      </c>
      <c r="AH229" s="44">
        <f t="shared" si="427"/>
        <v>0</v>
      </c>
      <c r="AI229" s="44">
        <f t="shared" si="428"/>
        <v>0</v>
      </c>
      <c r="AJ229" s="44">
        <f t="shared" si="429"/>
        <v>0</v>
      </c>
      <c r="AK229" s="44">
        <f t="shared" si="376"/>
        <v>0</v>
      </c>
      <c r="AL229" s="44">
        <f t="shared" si="430"/>
        <v>0</v>
      </c>
      <c r="AM229" s="44">
        <f t="shared" si="377"/>
        <v>0</v>
      </c>
      <c r="AN229" s="44">
        <f t="shared" si="431"/>
        <v>0</v>
      </c>
      <c r="AO229" s="44">
        <f t="shared" si="378"/>
        <v>0</v>
      </c>
      <c r="AP229" s="46">
        <f t="shared" si="379"/>
        <v>0</v>
      </c>
      <c r="AQ229" s="47">
        <f t="shared" si="380"/>
        <v>0</v>
      </c>
      <c r="AR229" s="604">
        <f t="shared" si="432"/>
        <v>0</v>
      </c>
      <c r="AS229" s="44">
        <f t="shared" si="433"/>
        <v>0</v>
      </c>
      <c r="AT229" s="44">
        <f t="shared" si="434"/>
        <v>0</v>
      </c>
      <c r="AU229" s="44">
        <f t="shared" si="435"/>
        <v>0</v>
      </c>
      <c r="AV229" s="44">
        <f t="shared" si="436"/>
        <v>0</v>
      </c>
      <c r="AW229" s="44">
        <f t="shared" si="437"/>
        <v>0</v>
      </c>
      <c r="AX229" s="44">
        <f t="shared" si="381"/>
        <v>0</v>
      </c>
      <c r="AY229" s="44">
        <f t="shared" si="438"/>
        <v>0</v>
      </c>
      <c r="AZ229" s="44">
        <f t="shared" si="382"/>
        <v>0</v>
      </c>
      <c r="BA229" s="44">
        <f t="shared" si="439"/>
        <v>0</v>
      </c>
      <c r="BB229" s="44">
        <f t="shared" si="383"/>
        <v>0</v>
      </c>
      <c r="BC229" s="46">
        <f t="shared" si="384"/>
        <v>0</v>
      </c>
      <c r="BD229" s="47">
        <f t="shared" si="385"/>
        <v>0</v>
      </c>
      <c r="BE229" s="604">
        <f t="shared" si="440"/>
        <v>0</v>
      </c>
      <c r="BF229" s="44">
        <f t="shared" si="441"/>
        <v>0</v>
      </c>
      <c r="BG229" s="44">
        <f t="shared" si="442"/>
        <v>0</v>
      </c>
      <c r="BH229" s="44">
        <f t="shared" si="443"/>
        <v>0</v>
      </c>
      <c r="BI229" s="44">
        <f t="shared" si="444"/>
        <v>0</v>
      </c>
      <c r="BJ229" s="44">
        <f t="shared" si="445"/>
        <v>0</v>
      </c>
      <c r="BK229" s="44">
        <f t="shared" si="386"/>
        <v>0</v>
      </c>
      <c r="BL229" s="44">
        <f t="shared" si="446"/>
        <v>0</v>
      </c>
      <c r="BM229" s="44">
        <f t="shared" si="387"/>
        <v>0</v>
      </c>
      <c r="BN229" s="44">
        <f t="shared" si="447"/>
        <v>0</v>
      </c>
      <c r="BO229" s="44">
        <f t="shared" si="388"/>
        <v>0</v>
      </c>
      <c r="BP229" s="46">
        <f t="shared" si="389"/>
        <v>0</v>
      </c>
      <c r="BQ229" s="47">
        <f t="shared" si="390"/>
        <v>0</v>
      </c>
      <c r="BR229" s="604">
        <f t="shared" si="448"/>
        <v>0</v>
      </c>
      <c r="BS229" s="44">
        <f t="shared" si="449"/>
        <v>0</v>
      </c>
      <c r="BT229" s="44">
        <f t="shared" si="450"/>
        <v>0</v>
      </c>
      <c r="BU229" s="44">
        <f t="shared" si="451"/>
        <v>0</v>
      </c>
      <c r="BV229" s="44">
        <f t="shared" si="452"/>
        <v>0</v>
      </c>
      <c r="BW229" s="44">
        <f t="shared" si="453"/>
        <v>0</v>
      </c>
      <c r="BX229" s="44">
        <f t="shared" si="391"/>
        <v>0</v>
      </c>
      <c r="BY229" s="44">
        <f t="shared" si="454"/>
        <v>0</v>
      </c>
      <c r="BZ229" s="44">
        <f t="shared" si="392"/>
        <v>0</v>
      </c>
      <c r="CA229" s="44">
        <f t="shared" si="455"/>
        <v>0</v>
      </c>
      <c r="CB229" s="44">
        <f t="shared" si="393"/>
        <v>0</v>
      </c>
      <c r="CC229" s="46">
        <f t="shared" si="394"/>
        <v>0</v>
      </c>
      <c r="CD229" s="47">
        <f t="shared" si="395"/>
        <v>0</v>
      </c>
      <c r="CE229" s="604">
        <f t="shared" si="456"/>
        <v>0</v>
      </c>
      <c r="CF229" s="44">
        <f t="shared" si="457"/>
        <v>0</v>
      </c>
      <c r="CG229" s="44">
        <f t="shared" si="458"/>
        <v>0</v>
      </c>
      <c r="CH229" s="44">
        <f t="shared" si="459"/>
        <v>0</v>
      </c>
      <c r="CI229" s="44">
        <f t="shared" si="460"/>
        <v>0</v>
      </c>
      <c r="CJ229" s="44">
        <f t="shared" si="461"/>
        <v>0</v>
      </c>
      <c r="CK229" s="44">
        <f t="shared" si="396"/>
        <v>0</v>
      </c>
      <c r="CL229" s="44">
        <f t="shared" si="462"/>
        <v>0</v>
      </c>
      <c r="CM229" s="44">
        <f t="shared" si="397"/>
        <v>0</v>
      </c>
      <c r="CN229" s="44">
        <f t="shared" si="463"/>
        <v>0</v>
      </c>
      <c r="CO229" s="44">
        <f t="shared" si="398"/>
        <v>0</v>
      </c>
      <c r="CP229" s="46">
        <f t="shared" si="399"/>
        <v>0</v>
      </c>
      <c r="CQ229" s="47">
        <f t="shared" si="400"/>
        <v>0</v>
      </c>
      <c r="CR229" s="604">
        <f t="shared" si="464"/>
        <v>0</v>
      </c>
      <c r="CS229" s="44">
        <f t="shared" si="465"/>
        <v>0</v>
      </c>
      <c r="CT229" s="44">
        <f t="shared" si="466"/>
        <v>0</v>
      </c>
      <c r="CU229" s="44">
        <f t="shared" si="467"/>
        <v>0</v>
      </c>
      <c r="CV229" s="44">
        <f t="shared" si="468"/>
        <v>0</v>
      </c>
      <c r="CW229" s="44">
        <f t="shared" si="469"/>
        <v>0</v>
      </c>
      <c r="CX229" s="44">
        <f t="shared" si="401"/>
        <v>0</v>
      </c>
      <c r="CY229" s="44">
        <f t="shared" si="470"/>
        <v>0</v>
      </c>
      <c r="CZ229" s="44">
        <f t="shared" si="402"/>
        <v>0</v>
      </c>
      <c r="DA229" s="44">
        <f t="shared" si="471"/>
        <v>0</v>
      </c>
      <c r="DB229" s="44">
        <f t="shared" si="403"/>
        <v>0</v>
      </c>
      <c r="DC229" s="46">
        <f t="shared" si="404"/>
        <v>0</v>
      </c>
      <c r="DD229" s="47">
        <f t="shared" si="405"/>
        <v>0</v>
      </c>
      <c r="DE229" s="604">
        <f t="shared" si="472"/>
        <v>0</v>
      </c>
      <c r="DF229" s="44">
        <f t="shared" si="473"/>
        <v>0</v>
      </c>
      <c r="DG229" s="44">
        <f t="shared" si="474"/>
        <v>0</v>
      </c>
      <c r="DH229" s="44">
        <f t="shared" si="475"/>
        <v>0</v>
      </c>
      <c r="DI229" s="44">
        <f t="shared" si="476"/>
        <v>0</v>
      </c>
      <c r="DJ229" s="44">
        <f t="shared" si="477"/>
        <v>0</v>
      </c>
      <c r="DK229" s="44">
        <f t="shared" si="406"/>
        <v>0</v>
      </c>
      <c r="DL229" s="44">
        <f t="shared" si="478"/>
        <v>0</v>
      </c>
      <c r="DM229" s="44">
        <f t="shared" si="407"/>
        <v>0</v>
      </c>
      <c r="DN229" s="44">
        <f t="shared" si="479"/>
        <v>0</v>
      </c>
      <c r="DO229" s="44">
        <f t="shared" si="408"/>
        <v>0</v>
      </c>
      <c r="DP229" s="46">
        <f t="shared" si="409"/>
        <v>0</v>
      </c>
      <c r="DQ229" s="47">
        <f t="shared" si="410"/>
        <v>0</v>
      </c>
      <c r="DR229" s="604">
        <f t="shared" si="480"/>
        <v>0</v>
      </c>
      <c r="DS229" s="44">
        <f t="shared" si="481"/>
        <v>0</v>
      </c>
      <c r="DT229" s="44">
        <f t="shared" si="482"/>
        <v>0</v>
      </c>
      <c r="DU229" s="44">
        <f t="shared" si="483"/>
        <v>0</v>
      </c>
      <c r="DV229" s="44">
        <f t="shared" si="484"/>
        <v>0</v>
      </c>
      <c r="DW229" s="44">
        <f t="shared" si="485"/>
        <v>0</v>
      </c>
      <c r="DX229" s="44">
        <f t="shared" si="411"/>
        <v>0</v>
      </c>
      <c r="DY229" s="44">
        <f t="shared" si="486"/>
        <v>0</v>
      </c>
      <c r="DZ229" s="44">
        <f t="shared" si="412"/>
        <v>0</v>
      </c>
      <c r="EA229" s="44">
        <f t="shared" si="487"/>
        <v>0</v>
      </c>
      <c r="EB229" s="44">
        <f t="shared" si="413"/>
        <v>0</v>
      </c>
      <c r="EC229" s="46">
        <f t="shared" si="414"/>
        <v>0</v>
      </c>
      <c r="ED229" s="47">
        <f t="shared" si="415"/>
        <v>0</v>
      </c>
    </row>
    <row r="230" spans="1:134" x14ac:dyDescent="0.35">
      <c r="A230" s="172"/>
      <c r="B230" s="173"/>
      <c r="C230" s="174"/>
      <c r="D230" s="175"/>
      <c r="E230" s="176"/>
      <c r="F230" s="177"/>
      <c r="G230" s="178"/>
      <c r="H230" s="179"/>
      <c r="I230" s="180"/>
      <c r="J230" s="181"/>
      <c r="K230" s="42">
        <f t="shared" si="366"/>
        <v>0</v>
      </c>
      <c r="L230" s="43">
        <f t="shared" si="367"/>
        <v>0</v>
      </c>
      <c r="M230" s="44">
        <f t="shared" si="368"/>
        <v>0</v>
      </c>
      <c r="N230" s="44"/>
      <c r="O230" s="44">
        <f t="shared" si="369"/>
        <v>0</v>
      </c>
      <c r="P230" s="45"/>
      <c r="Q230" s="44">
        <f t="shared" si="370"/>
        <v>0</v>
      </c>
      <c r="R230" s="604">
        <f t="shared" si="416"/>
        <v>0</v>
      </c>
      <c r="S230" s="44">
        <f t="shared" si="417"/>
        <v>0</v>
      </c>
      <c r="T230" s="44">
        <f t="shared" si="418"/>
        <v>0</v>
      </c>
      <c r="U230" s="44">
        <f t="shared" si="419"/>
        <v>0</v>
      </c>
      <c r="V230" s="44">
        <f t="shared" si="420"/>
        <v>0</v>
      </c>
      <c r="W230" s="44">
        <f t="shared" si="421"/>
        <v>0</v>
      </c>
      <c r="X230" s="44">
        <f t="shared" si="371"/>
        <v>0</v>
      </c>
      <c r="Y230" s="44">
        <f t="shared" si="422"/>
        <v>0</v>
      </c>
      <c r="Z230" s="44">
        <f t="shared" si="372"/>
        <v>0</v>
      </c>
      <c r="AA230" s="44">
        <f t="shared" si="423"/>
        <v>0</v>
      </c>
      <c r="AB230" s="44">
        <f t="shared" si="373"/>
        <v>0</v>
      </c>
      <c r="AC230" s="46">
        <f t="shared" si="374"/>
        <v>0</v>
      </c>
      <c r="AD230" s="47">
        <f t="shared" si="375"/>
        <v>0</v>
      </c>
      <c r="AE230" s="604">
        <f t="shared" si="424"/>
        <v>0</v>
      </c>
      <c r="AF230" s="44">
        <f t="shared" si="425"/>
        <v>0</v>
      </c>
      <c r="AG230" s="44">
        <f t="shared" si="426"/>
        <v>0</v>
      </c>
      <c r="AH230" s="44">
        <f t="shared" si="427"/>
        <v>0</v>
      </c>
      <c r="AI230" s="44">
        <f t="shared" si="428"/>
        <v>0</v>
      </c>
      <c r="AJ230" s="44">
        <f t="shared" si="429"/>
        <v>0</v>
      </c>
      <c r="AK230" s="44">
        <f t="shared" si="376"/>
        <v>0</v>
      </c>
      <c r="AL230" s="44">
        <f t="shared" si="430"/>
        <v>0</v>
      </c>
      <c r="AM230" s="44">
        <f t="shared" si="377"/>
        <v>0</v>
      </c>
      <c r="AN230" s="44">
        <f t="shared" si="431"/>
        <v>0</v>
      </c>
      <c r="AO230" s="44">
        <f t="shared" si="378"/>
        <v>0</v>
      </c>
      <c r="AP230" s="46">
        <f t="shared" si="379"/>
        <v>0</v>
      </c>
      <c r="AQ230" s="47">
        <f t="shared" si="380"/>
        <v>0</v>
      </c>
      <c r="AR230" s="604">
        <f t="shared" si="432"/>
        <v>0</v>
      </c>
      <c r="AS230" s="44">
        <f t="shared" si="433"/>
        <v>0</v>
      </c>
      <c r="AT230" s="44">
        <f t="shared" si="434"/>
        <v>0</v>
      </c>
      <c r="AU230" s="44">
        <f t="shared" si="435"/>
        <v>0</v>
      </c>
      <c r="AV230" s="44">
        <f t="shared" si="436"/>
        <v>0</v>
      </c>
      <c r="AW230" s="44">
        <f t="shared" si="437"/>
        <v>0</v>
      </c>
      <c r="AX230" s="44">
        <f t="shared" si="381"/>
        <v>0</v>
      </c>
      <c r="AY230" s="44">
        <f t="shared" si="438"/>
        <v>0</v>
      </c>
      <c r="AZ230" s="44">
        <f t="shared" si="382"/>
        <v>0</v>
      </c>
      <c r="BA230" s="44">
        <f t="shared" si="439"/>
        <v>0</v>
      </c>
      <c r="BB230" s="44">
        <f t="shared" si="383"/>
        <v>0</v>
      </c>
      <c r="BC230" s="46">
        <f t="shared" si="384"/>
        <v>0</v>
      </c>
      <c r="BD230" s="47">
        <f t="shared" si="385"/>
        <v>0</v>
      </c>
      <c r="BE230" s="604">
        <f t="shared" si="440"/>
        <v>0</v>
      </c>
      <c r="BF230" s="44">
        <f t="shared" si="441"/>
        <v>0</v>
      </c>
      <c r="BG230" s="44">
        <f t="shared" si="442"/>
        <v>0</v>
      </c>
      <c r="BH230" s="44">
        <f t="shared" si="443"/>
        <v>0</v>
      </c>
      <c r="BI230" s="44">
        <f t="shared" si="444"/>
        <v>0</v>
      </c>
      <c r="BJ230" s="44">
        <f t="shared" si="445"/>
        <v>0</v>
      </c>
      <c r="BK230" s="44">
        <f t="shared" si="386"/>
        <v>0</v>
      </c>
      <c r="BL230" s="44">
        <f t="shared" si="446"/>
        <v>0</v>
      </c>
      <c r="BM230" s="44">
        <f t="shared" si="387"/>
        <v>0</v>
      </c>
      <c r="BN230" s="44">
        <f t="shared" si="447"/>
        <v>0</v>
      </c>
      <c r="BO230" s="44">
        <f t="shared" si="388"/>
        <v>0</v>
      </c>
      <c r="BP230" s="46">
        <f t="shared" si="389"/>
        <v>0</v>
      </c>
      <c r="BQ230" s="47">
        <f t="shared" si="390"/>
        <v>0</v>
      </c>
      <c r="BR230" s="604">
        <f t="shared" si="448"/>
        <v>0</v>
      </c>
      <c r="BS230" s="44">
        <f t="shared" si="449"/>
        <v>0</v>
      </c>
      <c r="BT230" s="44">
        <f t="shared" si="450"/>
        <v>0</v>
      </c>
      <c r="BU230" s="44">
        <f t="shared" si="451"/>
        <v>0</v>
      </c>
      <c r="BV230" s="44">
        <f t="shared" si="452"/>
        <v>0</v>
      </c>
      <c r="BW230" s="44">
        <f t="shared" si="453"/>
        <v>0</v>
      </c>
      <c r="BX230" s="44">
        <f t="shared" si="391"/>
        <v>0</v>
      </c>
      <c r="BY230" s="44">
        <f t="shared" si="454"/>
        <v>0</v>
      </c>
      <c r="BZ230" s="44">
        <f t="shared" si="392"/>
        <v>0</v>
      </c>
      <c r="CA230" s="44">
        <f t="shared" si="455"/>
        <v>0</v>
      </c>
      <c r="CB230" s="44">
        <f t="shared" si="393"/>
        <v>0</v>
      </c>
      <c r="CC230" s="46">
        <f t="shared" si="394"/>
        <v>0</v>
      </c>
      <c r="CD230" s="47">
        <f t="shared" si="395"/>
        <v>0</v>
      </c>
      <c r="CE230" s="604">
        <f t="shared" si="456"/>
        <v>0</v>
      </c>
      <c r="CF230" s="44">
        <f t="shared" si="457"/>
        <v>0</v>
      </c>
      <c r="CG230" s="44">
        <f t="shared" si="458"/>
        <v>0</v>
      </c>
      <c r="CH230" s="44">
        <f t="shared" si="459"/>
        <v>0</v>
      </c>
      <c r="CI230" s="44">
        <f t="shared" si="460"/>
        <v>0</v>
      </c>
      <c r="CJ230" s="44">
        <f t="shared" si="461"/>
        <v>0</v>
      </c>
      <c r="CK230" s="44">
        <f t="shared" si="396"/>
        <v>0</v>
      </c>
      <c r="CL230" s="44">
        <f t="shared" si="462"/>
        <v>0</v>
      </c>
      <c r="CM230" s="44">
        <f t="shared" si="397"/>
        <v>0</v>
      </c>
      <c r="CN230" s="44">
        <f t="shared" si="463"/>
        <v>0</v>
      </c>
      <c r="CO230" s="44">
        <f t="shared" si="398"/>
        <v>0</v>
      </c>
      <c r="CP230" s="46">
        <f t="shared" si="399"/>
        <v>0</v>
      </c>
      <c r="CQ230" s="47">
        <f t="shared" si="400"/>
        <v>0</v>
      </c>
      <c r="CR230" s="604">
        <f t="shared" si="464"/>
        <v>0</v>
      </c>
      <c r="CS230" s="44">
        <f t="shared" si="465"/>
        <v>0</v>
      </c>
      <c r="CT230" s="44">
        <f t="shared" si="466"/>
        <v>0</v>
      </c>
      <c r="CU230" s="44">
        <f t="shared" si="467"/>
        <v>0</v>
      </c>
      <c r="CV230" s="44">
        <f t="shared" si="468"/>
        <v>0</v>
      </c>
      <c r="CW230" s="44">
        <f t="shared" si="469"/>
        <v>0</v>
      </c>
      <c r="CX230" s="44">
        <f t="shared" si="401"/>
        <v>0</v>
      </c>
      <c r="CY230" s="44">
        <f t="shared" si="470"/>
        <v>0</v>
      </c>
      <c r="CZ230" s="44">
        <f t="shared" si="402"/>
        <v>0</v>
      </c>
      <c r="DA230" s="44">
        <f t="shared" si="471"/>
        <v>0</v>
      </c>
      <c r="DB230" s="44">
        <f t="shared" si="403"/>
        <v>0</v>
      </c>
      <c r="DC230" s="46">
        <f t="shared" si="404"/>
        <v>0</v>
      </c>
      <c r="DD230" s="47">
        <f t="shared" si="405"/>
        <v>0</v>
      </c>
      <c r="DE230" s="604">
        <f t="shared" si="472"/>
        <v>0</v>
      </c>
      <c r="DF230" s="44">
        <f t="shared" si="473"/>
        <v>0</v>
      </c>
      <c r="DG230" s="44">
        <f t="shared" si="474"/>
        <v>0</v>
      </c>
      <c r="DH230" s="44">
        <f t="shared" si="475"/>
        <v>0</v>
      </c>
      <c r="DI230" s="44">
        <f t="shared" si="476"/>
        <v>0</v>
      </c>
      <c r="DJ230" s="44">
        <f t="shared" si="477"/>
        <v>0</v>
      </c>
      <c r="DK230" s="44">
        <f t="shared" si="406"/>
        <v>0</v>
      </c>
      <c r="DL230" s="44">
        <f t="shared" si="478"/>
        <v>0</v>
      </c>
      <c r="DM230" s="44">
        <f t="shared" si="407"/>
        <v>0</v>
      </c>
      <c r="DN230" s="44">
        <f t="shared" si="479"/>
        <v>0</v>
      </c>
      <c r="DO230" s="44">
        <f t="shared" si="408"/>
        <v>0</v>
      </c>
      <c r="DP230" s="46">
        <f t="shared" si="409"/>
        <v>0</v>
      </c>
      <c r="DQ230" s="47">
        <f t="shared" si="410"/>
        <v>0</v>
      </c>
      <c r="DR230" s="604">
        <f t="shared" si="480"/>
        <v>0</v>
      </c>
      <c r="DS230" s="44">
        <f t="shared" si="481"/>
        <v>0</v>
      </c>
      <c r="DT230" s="44">
        <f t="shared" si="482"/>
        <v>0</v>
      </c>
      <c r="DU230" s="44">
        <f t="shared" si="483"/>
        <v>0</v>
      </c>
      <c r="DV230" s="44">
        <f t="shared" si="484"/>
        <v>0</v>
      </c>
      <c r="DW230" s="44">
        <f t="shared" si="485"/>
        <v>0</v>
      </c>
      <c r="DX230" s="44">
        <f t="shared" si="411"/>
        <v>0</v>
      </c>
      <c r="DY230" s="44">
        <f t="shared" si="486"/>
        <v>0</v>
      </c>
      <c r="DZ230" s="44">
        <f t="shared" si="412"/>
        <v>0</v>
      </c>
      <c r="EA230" s="44">
        <f t="shared" si="487"/>
        <v>0</v>
      </c>
      <c r="EB230" s="44">
        <f t="shared" si="413"/>
        <v>0</v>
      </c>
      <c r="EC230" s="46">
        <f t="shared" si="414"/>
        <v>0</v>
      </c>
      <c r="ED230" s="47">
        <f t="shared" si="415"/>
        <v>0</v>
      </c>
    </row>
    <row r="231" spans="1:134" x14ac:dyDescent="0.35">
      <c r="A231" s="172"/>
      <c r="B231" s="173"/>
      <c r="C231" s="174"/>
      <c r="D231" s="175"/>
      <c r="E231" s="176"/>
      <c r="F231" s="177"/>
      <c r="G231" s="178"/>
      <c r="H231" s="179"/>
      <c r="I231" s="180"/>
      <c r="J231" s="181"/>
      <c r="K231" s="42">
        <f t="shared" si="366"/>
        <v>0</v>
      </c>
      <c r="L231" s="43">
        <f t="shared" si="367"/>
        <v>0</v>
      </c>
      <c r="M231" s="44">
        <f t="shared" si="368"/>
        <v>0</v>
      </c>
      <c r="N231" s="44"/>
      <c r="O231" s="44">
        <f t="shared" si="369"/>
        <v>0</v>
      </c>
      <c r="P231" s="45"/>
      <c r="Q231" s="44">
        <f t="shared" si="370"/>
        <v>0</v>
      </c>
      <c r="R231" s="604">
        <f t="shared" si="416"/>
        <v>0</v>
      </c>
      <c r="S231" s="44">
        <f t="shared" si="417"/>
        <v>0</v>
      </c>
      <c r="T231" s="44">
        <f t="shared" si="418"/>
        <v>0</v>
      </c>
      <c r="U231" s="44">
        <f t="shared" si="419"/>
        <v>0</v>
      </c>
      <c r="V231" s="44">
        <f t="shared" si="420"/>
        <v>0</v>
      </c>
      <c r="W231" s="44">
        <f t="shared" si="421"/>
        <v>0</v>
      </c>
      <c r="X231" s="44">
        <f t="shared" si="371"/>
        <v>0</v>
      </c>
      <c r="Y231" s="44">
        <f t="shared" si="422"/>
        <v>0</v>
      </c>
      <c r="Z231" s="44">
        <f t="shared" si="372"/>
        <v>0</v>
      </c>
      <c r="AA231" s="44">
        <f t="shared" si="423"/>
        <v>0</v>
      </c>
      <c r="AB231" s="44">
        <f t="shared" si="373"/>
        <v>0</v>
      </c>
      <c r="AC231" s="46">
        <f t="shared" si="374"/>
        <v>0</v>
      </c>
      <c r="AD231" s="47">
        <f t="shared" si="375"/>
        <v>0</v>
      </c>
      <c r="AE231" s="604">
        <f t="shared" si="424"/>
        <v>0</v>
      </c>
      <c r="AF231" s="44">
        <f t="shared" si="425"/>
        <v>0</v>
      </c>
      <c r="AG231" s="44">
        <f t="shared" si="426"/>
        <v>0</v>
      </c>
      <c r="AH231" s="44">
        <f t="shared" si="427"/>
        <v>0</v>
      </c>
      <c r="AI231" s="44">
        <f t="shared" si="428"/>
        <v>0</v>
      </c>
      <c r="AJ231" s="44">
        <f t="shared" si="429"/>
        <v>0</v>
      </c>
      <c r="AK231" s="44">
        <f t="shared" si="376"/>
        <v>0</v>
      </c>
      <c r="AL231" s="44">
        <f t="shared" si="430"/>
        <v>0</v>
      </c>
      <c r="AM231" s="44">
        <f t="shared" si="377"/>
        <v>0</v>
      </c>
      <c r="AN231" s="44">
        <f t="shared" si="431"/>
        <v>0</v>
      </c>
      <c r="AO231" s="44">
        <f t="shared" si="378"/>
        <v>0</v>
      </c>
      <c r="AP231" s="46">
        <f t="shared" si="379"/>
        <v>0</v>
      </c>
      <c r="AQ231" s="47">
        <f t="shared" si="380"/>
        <v>0</v>
      </c>
      <c r="AR231" s="604">
        <f t="shared" si="432"/>
        <v>0</v>
      </c>
      <c r="AS231" s="44">
        <f t="shared" si="433"/>
        <v>0</v>
      </c>
      <c r="AT231" s="44">
        <f t="shared" si="434"/>
        <v>0</v>
      </c>
      <c r="AU231" s="44">
        <f t="shared" si="435"/>
        <v>0</v>
      </c>
      <c r="AV231" s="44">
        <f t="shared" si="436"/>
        <v>0</v>
      </c>
      <c r="AW231" s="44">
        <f t="shared" si="437"/>
        <v>0</v>
      </c>
      <c r="AX231" s="44">
        <f t="shared" si="381"/>
        <v>0</v>
      </c>
      <c r="AY231" s="44">
        <f t="shared" si="438"/>
        <v>0</v>
      </c>
      <c r="AZ231" s="44">
        <f t="shared" si="382"/>
        <v>0</v>
      </c>
      <c r="BA231" s="44">
        <f t="shared" si="439"/>
        <v>0</v>
      </c>
      <c r="BB231" s="44">
        <f t="shared" si="383"/>
        <v>0</v>
      </c>
      <c r="BC231" s="46">
        <f t="shared" si="384"/>
        <v>0</v>
      </c>
      <c r="BD231" s="47">
        <f t="shared" si="385"/>
        <v>0</v>
      </c>
      <c r="BE231" s="604">
        <f t="shared" si="440"/>
        <v>0</v>
      </c>
      <c r="BF231" s="44">
        <f t="shared" si="441"/>
        <v>0</v>
      </c>
      <c r="BG231" s="44">
        <f t="shared" si="442"/>
        <v>0</v>
      </c>
      <c r="BH231" s="44">
        <f t="shared" si="443"/>
        <v>0</v>
      </c>
      <c r="BI231" s="44">
        <f t="shared" si="444"/>
        <v>0</v>
      </c>
      <c r="BJ231" s="44">
        <f t="shared" si="445"/>
        <v>0</v>
      </c>
      <c r="BK231" s="44">
        <f t="shared" si="386"/>
        <v>0</v>
      </c>
      <c r="BL231" s="44">
        <f t="shared" si="446"/>
        <v>0</v>
      </c>
      <c r="BM231" s="44">
        <f t="shared" si="387"/>
        <v>0</v>
      </c>
      <c r="BN231" s="44">
        <f t="shared" si="447"/>
        <v>0</v>
      </c>
      <c r="BO231" s="44">
        <f t="shared" si="388"/>
        <v>0</v>
      </c>
      <c r="BP231" s="46">
        <f t="shared" si="389"/>
        <v>0</v>
      </c>
      <c r="BQ231" s="47">
        <f t="shared" si="390"/>
        <v>0</v>
      </c>
      <c r="BR231" s="604">
        <f t="shared" si="448"/>
        <v>0</v>
      </c>
      <c r="BS231" s="44">
        <f t="shared" si="449"/>
        <v>0</v>
      </c>
      <c r="BT231" s="44">
        <f t="shared" si="450"/>
        <v>0</v>
      </c>
      <c r="BU231" s="44">
        <f t="shared" si="451"/>
        <v>0</v>
      </c>
      <c r="BV231" s="44">
        <f t="shared" si="452"/>
        <v>0</v>
      </c>
      <c r="BW231" s="44">
        <f t="shared" si="453"/>
        <v>0</v>
      </c>
      <c r="BX231" s="44">
        <f t="shared" si="391"/>
        <v>0</v>
      </c>
      <c r="BY231" s="44">
        <f t="shared" si="454"/>
        <v>0</v>
      </c>
      <c r="BZ231" s="44">
        <f t="shared" si="392"/>
        <v>0</v>
      </c>
      <c r="CA231" s="44">
        <f t="shared" si="455"/>
        <v>0</v>
      </c>
      <c r="CB231" s="44">
        <f t="shared" si="393"/>
        <v>0</v>
      </c>
      <c r="CC231" s="46">
        <f t="shared" si="394"/>
        <v>0</v>
      </c>
      <c r="CD231" s="47">
        <f t="shared" si="395"/>
        <v>0</v>
      </c>
      <c r="CE231" s="604">
        <f t="shared" si="456"/>
        <v>0</v>
      </c>
      <c r="CF231" s="44">
        <f t="shared" si="457"/>
        <v>0</v>
      </c>
      <c r="CG231" s="44">
        <f t="shared" si="458"/>
        <v>0</v>
      </c>
      <c r="CH231" s="44">
        <f t="shared" si="459"/>
        <v>0</v>
      </c>
      <c r="CI231" s="44">
        <f t="shared" si="460"/>
        <v>0</v>
      </c>
      <c r="CJ231" s="44">
        <f t="shared" si="461"/>
        <v>0</v>
      </c>
      <c r="CK231" s="44">
        <f t="shared" si="396"/>
        <v>0</v>
      </c>
      <c r="CL231" s="44">
        <f t="shared" si="462"/>
        <v>0</v>
      </c>
      <c r="CM231" s="44">
        <f t="shared" si="397"/>
        <v>0</v>
      </c>
      <c r="CN231" s="44">
        <f t="shared" si="463"/>
        <v>0</v>
      </c>
      <c r="CO231" s="44">
        <f t="shared" si="398"/>
        <v>0</v>
      </c>
      <c r="CP231" s="46">
        <f t="shared" si="399"/>
        <v>0</v>
      </c>
      <c r="CQ231" s="47">
        <f t="shared" si="400"/>
        <v>0</v>
      </c>
      <c r="CR231" s="604">
        <f t="shared" si="464"/>
        <v>0</v>
      </c>
      <c r="CS231" s="44">
        <f t="shared" si="465"/>
        <v>0</v>
      </c>
      <c r="CT231" s="44">
        <f t="shared" si="466"/>
        <v>0</v>
      </c>
      <c r="CU231" s="44">
        <f t="shared" si="467"/>
        <v>0</v>
      </c>
      <c r="CV231" s="44">
        <f t="shared" si="468"/>
        <v>0</v>
      </c>
      <c r="CW231" s="44">
        <f t="shared" si="469"/>
        <v>0</v>
      </c>
      <c r="CX231" s="44">
        <f t="shared" si="401"/>
        <v>0</v>
      </c>
      <c r="CY231" s="44">
        <f t="shared" si="470"/>
        <v>0</v>
      </c>
      <c r="CZ231" s="44">
        <f t="shared" si="402"/>
        <v>0</v>
      </c>
      <c r="DA231" s="44">
        <f t="shared" si="471"/>
        <v>0</v>
      </c>
      <c r="DB231" s="44">
        <f t="shared" si="403"/>
        <v>0</v>
      </c>
      <c r="DC231" s="46">
        <f t="shared" si="404"/>
        <v>0</v>
      </c>
      <c r="DD231" s="47">
        <f t="shared" si="405"/>
        <v>0</v>
      </c>
      <c r="DE231" s="604">
        <f t="shared" si="472"/>
        <v>0</v>
      </c>
      <c r="DF231" s="44">
        <f t="shared" si="473"/>
        <v>0</v>
      </c>
      <c r="DG231" s="44">
        <f t="shared" si="474"/>
        <v>0</v>
      </c>
      <c r="DH231" s="44">
        <f t="shared" si="475"/>
        <v>0</v>
      </c>
      <c r="DI231" s="44">
        <f t="shared" si="476"/>
        <v>0</v>
      </c>
      <c r="DJ231" s="44">
        <f t="shared" si="477"/>
        <v>0</v>
      </c>
      <c r="DK231" s="44">
        <f t="shared" si="406"/>
        <v>0</v>
      </c>
      <c r="DL231" s="44">
        <f t="shared" si="478"/>
        <v>0</v>
      </c>
      <c r="DM231" s="44">
        <f t="shared" si="407"/>
        <v>0</v>
      </c>
      <c r="DN231" s="44">
        <f t="shared" si="479"/>
        <v>0</v>
      </c>
      <c r="DO231" s="44">
        <f t="shared" si="408"/>
        <v>0</v>
      </c>
      <c r="DP231" s="46">
        <f t="shared" si="409"/>
        <v>0</v>
      </c>
      <c r="DQ231" s="47">
        <f t="shared" si="410"/>
        <v>0</v>
      </c>
      <c r="DR231" s="604">
        <f t="shared" si="480"/>
        <v>0</v>
      </c>
      <c r="DS231" s="44">
        <f t="shared" si="481"/>
        <v>0</v>
      </c>
      <c r="DT231" s="44">
        <f t="shared" si="482"/>
        <v>0</v>
      </c>
      <c r="DU231" s="44">
        <f t="shared" si="483"/>
        <v>0</v>
      </c>
      <c r="DV231" s="44">
        <f t="shared" si="484"/>
        <v>0</v>
      </c>
      <c r="DW231" s="44">
        <f t="shared" si="485"/>
        <v>0</v>
      </c>
      <c r="DX231" s="44">
        <f t="shared" si="411"/>
        <v>0</v>
      </c>
      <c r="DY231" s="44">
        <f t="shared" si="486"/>
        <v>0</v>
      </c>
      <c r="DZ231" s="44">
        <f t="shared" si="412"/>
        <v>0</v>
      </c>
      <c r="EA231" s="44">
        <f t="shared" si="487"/>
        <v>0</v>
      </c>
      <c r="EB231" s="44">
        <f t="shared" si="413"/>
        <v>0</v>
      </c>
      <c r="EC231" s="46">
        <f t="shared" si="414"/>
        <v>0</v>
      </c>
      <c r="ED231" s="47">
        <f t="shared" si="415"/>
        <v>0</v>
      </c>
    </row>
    <row r="232" spans="1:134" x14ac:dyDescent="0.35">
      <c r="A232" s="172"/>
      <c r="B232" s="173"/>
      <c r="C232" s="174"/>
      <c r="D232" s="175"/>
      <c r="E232" s="176"/>
      <c r="F232" s="177"/>
      <c r="G232" s="178"/>
      <c r="H232" s="179"/>
      <c r="I232" s="180"/>
      <c r="J232" s="181"/>
      <c r="K232" s="42">
        <f t="shared" si="366"/>
        <v>0</v>
      </c>
      <c r="L232" s="43">
        <f t="shared" si="367"/>
        <v>0</v>
      </c>
      <c r="M232" s="44">
        <f t="shared" si="368"/>
        <v>0</v>
      </c>
      <c r="N232" s="44"/>
      <c r="O232" s="44">
        <f t="shared" si="369"/>
        <v>0</v>
      </c>
      <c r="P232" s="45"/>
      <c r="Q232" s="44">
        <f t="shared" si="370"/>
        <v>0</v>
      </c>
      <c r="R232" s="604">
        <f t="shared" si="416"/>
        <v>0</v>
      </c>
      <c r="S232" s="44">
        <f t="shared" si="417"/>
        <v>0</v>
      </c>
      <c r="T232" s="44">
        <f t="shared" si="418"/>
        <v>0</v>
      </c>
      <c r="U232" s="44">
        <f t="shared" si="419"/>
        <v>0</v>
      </c>
      <c r="V232" s="44">
        <f t="shared" si="420"/>
        <v>0</v>
      </c>
      <c r="W232" s="44">
        <f t="shared" si="421"/>
        <v>0</v>
      </c>
      <c r="X232" s="44">
        <f t="shared" si="371"/>
        <v>0</v>
      </c>
      <c r="Y232" s="44">
        <f t="shared" si="422"/>
        <v>0</v>
      </c>
      <c r="Z232" s="44">
        <f t="shared" si="372"/>
        <v>0</v>
      </c>
      <c r="AA232" s="44">
        <f t="shared" si="423"/>
        <v>0</v>
      </c>
      <c r="AB232" s="44">
        <f t="shared" si="373"/>
        <v>0</v>
      </c>
      <c r="AC232" s="46">
        <f t="shared" si="374"/>
        <v>0</v>
      </c>
      <c r="AD232" s="47">
        <f t="shared" si="375"/>
        <v>0</v>
      </c>
      <c r="AE232" s="604">
        <f t="shared" si="424"/>
        <v>0</v>
      </c>
      <c r="AF232" s="44">
        <f t="shared" si="425"/>
        <v>0</v>
      </c>
      <c r="AG232" s="44">
        <f t="shared" si="426"/>
        <v>0</v>
      </c>
      <c r="AH232" s="44">
        <f t="shared" si="427"/>
        <v>0</v>
      </c>
      <c r="AI232" s="44">
        <f t="shared" si="428"/>
        <v>0</v>
      </c>
      <c r="AJ232" s="44">
        <f t="shared" si="429"/>
        <v>0</v>
      </c>
      <c r="AK232" s="44">
        <f t="shared" si="376"/>
        <v>0</v>
      </c>
      <c r="AL232" s="44">
        <f t="shared" si="430"/>
        <v>0</v>
      </c>
      <c r="AM232" s="44">
        <f t="shared" si="377"/>
        <v>0</v>
      </c>
      <c r="AN232" s="44">
        <f t="shared" si="431"/>
        <v>0</v>
      </c>
      <c r="AO232" s="44">
        <f t="shared" si="378"/>
        <v>0</v>
      </c>
      <c r="AP232" s="46">
        <f t="shared" si="379"/>
        <v>0</v>
      </c>
      <c r="AQ232" s="47">
        <f t="shared" si="380"/>
        <v>0</v>
      </c>
      <c r="AR232" s="604">
        <f t="shared" si="432"/>
        <v>0</v>
      </c>
      <c r="AS232" s="44">
        <f t="shared" si="433"/>
        <v>0</v>
      </c>
      <c r="AT232" s="44">
        <f t="shared" si="434"/>
        <v>0</v>
      </c>
      <c r="AU232" s="44">
        <f t="shared" si="435"/>
        <v>0</v>
      </c>
      <c r="AV232" s="44">
        <f t="shared" si="436"/>
        <v>0</v>
      </c>
      <c r="AW232" s="44">
        <f t="shared" si="437"/>
        <v>0</v>
      </c>
      <c r="AX232" s="44">
        <f t="shared" si="381"/>
        <v>0</v>
      </c>
      <c r="AY232" s="44">
        <f t="shared" si="438"/>
        <v>0</v>
      </c>
      <c r="AZ232" s="44">
        <f t="shared" si="382"/>
        <v>0</v>
      </c>
      <c r="BA232" s="44">
        <f t="shared" si="439"/>
        <v>0</v>
      </c>
      <c r="BB232" s="44">
        <f t="shared" si="383"/>
        <v>0</v>
      </c>
      <c r="BC232" s="46">
        <f t="shared" si="384"/>
        <v>0</v>
      </c>
      <c r="BD232" s="47">
        <f t="shared" si="385"/>
        <v>0</v>
      </c>
      <c r="BE232" s="604">
        <f t="shared" si="440"/>
        <v>0</v>
      </c>
      <c r="BF232" s="44">
        <f t="shared" si="441"/>
        <v>0</v>
      </c>
      <c r="BG232" s="44">
        <f t="shared" si="442"/>
        <v>0</v>
      </c>
      <c r="BH232" s="44">
        <f t="shared" si="443"/>
        <v>0</v>
      </c>
      <c r="BI232" s="44">
        <f t="shared" si="444"/>
        <v>0</v>
      </c>
      <c r="BJ232" s="44">
        <f t="shared" si="445"/>
        <v>0</v>
      </c>
      <c r="BK232" s="44">
        <f t="shared" si="386"/>
        <v>0</v>
      </c>
      <c r="BL232" s="44">
        <f t="shared" si="446"/>
        <v>0</v>
      </c>
      <c r="BM232" s="44">
        <f t="shared" si="387"/>
        <v>0</v>
      </c>
      <c r="BN232" s="44">
        <f t="shared" si="447"/>
        <v>0</v>
      </c>
      <c r="BO232" s="44">
        <f t="shared" si="388"/>
        <v>0</v>
      </c>
      <c r="BP232" s="46">
        <f t="shared" si="389"/>
        <v>0</v>
      </c>
      <c r="BQ232" s="47">
        <f t="shared" si="390"/>
        <v>0</v>
      </c>
      <c r="BR232" s="604">
        <f t="shared" si="448"/>
        <v>0</v>
      </c>
      <c r="BS232" s="44">
        <f t="shared" si="449"/>
        <v>0</v>
      </c>
      <c r="BT232" s="44">
        <f t="shared" si="450"/>
        <v>0</v>
      </c>
      <c r="BU232" s="44">
        <f t="shared" si="451"/>
        <v>0</v>
      </c>
      <c r="BV232" s="44">
        <f t="shared" si="452"/>
        <v>0</v>
      </c>
      <c r="BW232" s="44">
        <f t="shared" si="453"/>
        <v>0</v>
      </c>
      <c r="BX232" s="44">
        <f t="shared" si="391"/>
        <v>0</v>
      </c>
      <c r="BY232" s="44">
        <f t="shared" si="454"/>
        <v>0</v>
      </c>
      <c r="BZ232" s="44">
        <f t="shared" si="392"/>
        <v>0</v>
      </c>
      <c r="CA232" s="44">
        <f t="shared" si="455"/>
        <v>0</v>
      </c>
      <c r="CB232" s="44">
        <f t="shared" si="393"/>
        <v>0</v>
      </c>
      <c r="CC232" s="46">
        <f t="shared" si="394"/>
        <v>0</v>
      </c>
      <c r="CD232" s="47">
        <f t="shared" si="395"/>
        <v>0</v>
      </c>
      <c r="CE232" s="604">
        <f t="shared" si="456"/>
        <v>0</v>
      </c>
      <c r="CF232" s="44">
        <f t="shared" si="457"/>
        <v>0</v>
      </c>
      <c r="CG232" s="44">
        <f t="shared" si="458"/>
        <v>0</v>
      </c>
      <c r="CH232" s="44">
        <f t="shared" si="459"/>
        <v>0</v>
      </c>
      <c r="CI232" s="44">
        <f t="shared" si="460"/>
        <v>0</v>
      </c>
      <c r="CJ232" s="44">
        <f t="shared" si="461"/>
        <v>0</v>
      </c>
      <c r="CK232" s="44">
        <f t="shared" si="396"/>
        <v>0</v>
      </c>
      <c r="CL232" s="44">
        <f t="shared" si="462"/>
        <v>0</v>
      </c>
      <c r="CM232" s="44">
        <f t="shared" si="397"/>
        <v>0</v>
      </c>
      <c r="CN232" s="44">
        <f t="shared" si="463"/>
        <v>0</v>
      </c>
      <c r="CO232" s="44">
        <f t="shared" si="398"/>
        <v>0</v>
      </c>
      <c r="CP232" s="46">
        <f t="shared" si="399"/>
        <v>0</v>
      </c>
      <c r="CQ232" s="47">
        <f t="shared" si="400"/>
        <v>0</v>
      </c>
      <c r="CR232" s="604">
        <f t="shared" si="464"/>
        <v>0</v>
      </c>
      <c r="CS232" s="44">
        <f t="shared" si="465"/>
        <v>0</v>
      </c>
      <c r="CT232" s="44">
        <f t="shared" si="466"/>
        <v>0</v>
      </c>
      <c r="CU232" s="44">
        <f t="shared" si="467"/>
        <v>0</v>
      </c>
      <c r="CV232" s="44">
        <f t="shared" si="468"/>
        <v>0</v>
      </c>
      <c r="CW232" s="44">
        <f t="shared" si="469"/>
        <v>0</v>
      </c>
      <c r="CX232" s="44">
        <f t="shared" si="401"/>
        <v>0</v>
      </c>
      <c r="CY232" s="44">
        <f t="shared" si="470"/>
        <v>0</v>
      </c>
      <c r="CZ232" s="44">
        <f t="shared" si="402"/>
        <v>0</v>
      </c>
      <c r="DA232" s="44">
        <f t="shared" si="471"/>
        <v>0</v>
      </c>
      <c r="DB232" s="44">
        <f t="shared" si="403"/>
        <v>0</v>
      </c>
      <c r="DC232" s="46">
        <f t="shared" si="404"/>
        <v>0</v>
      </c>
      <c r="DD232" s="47">
        <f t="shared" si="405"/>
        <v>0</v>
      </c>
      <c r="DE232" s="604">
        <f t="shared" si="472"/>
        <v>0</v>
      </c>
      <c r="DF232" s="44">
        <f t="shared" si="473"/>
        <v>0</v>
      </c>
      <c r="DG232" s="44">
        <f t="shared" si="474"/>
        <v>0</v>
      </c>
      <c r="DH232" s="44">
        <f t="shared" si="475"/>
        <v>0</v>
      </c>
      <c r="DI232" s="44">
        <f t="shared" si="476"/>
        <v>0</v>
      </c>
      <c r="DJ232" s="44">
        <f t="shared" si="477"/>
        <v>0</v>
      </c>
      <c r="DK232" s="44">
        <f t="shared" si="406"/>
        <v>0</v>
      </c>
      <c r="DL232" s="44">
        <f t="shared" si="478"/>
        <v>0</v>
      </c>
      <c r="DM232" s="44">
        <f t="shared" si="407"/>
        <v>0</v>
      </c>
      <c r="DN232" s="44">
        <f t="shared" si="479"/>
        <v>0</v>
      </c>
      <c r="DO232" s="44">
        <f t="shared" si="408"/>
        <v>0</v>
      </c>
      <c r="DP232" s="46">
        <f t="shared" si="409"/>
        <v>0</v>
      </c>
      <c r="DQ232" s="47">
        <f t="shared" si="410"/>
        <v>0</v>
      </c>
      <c r="DR232" s="604">
        <f t="shared" si="480"/>
        <v>0</v>
      </c>
      <c r="DS232" s="44">
        <f t="shared" si="481"/>
        <v>0</v>
      </c>
      <c r="DT232" s="44">
        <f t="shared" si="482"/>
        <v>0</v>
      </c>
      <c r="DU232" s="44">
        <f t="shared" si="483"/>
        <v>0</v>
      </c>
      <c r="DV232" s="44">
        <f t="shared" si="484"/>
        <v>0</v>
      </c>
      <c r="DW232" s="44">
        <f t="shared" si="485"/>
        <v>0</v>
      </c>
      <c r="DX232" s="44">
        <f t="shared" si="411"/>
        <v>0</v>
      </c>
      <c r="DY232" s="44">
        <f t="shared" si="486"/>
        <v>0</v>
      </c>
      <c r="DZ232" s="44">
        <f t="shared" si="412"/>
        <v>0</v>
      </c>
      <c r="EA232" s="44">
        <f t="shared" si="487"/>
        <v>0</v>
      </c>
      <c r="EB232" s="44">
        <f t="shared" si="413"/>
        <v>0</v>
      </c>
      <c r="EC232" s="46">
        <f t="shared" si="414"/>
        <v>0</v>
      </c>
      <c r="ED232" s="47">
        <f t="shared" si="415"/>
        <v>0</v>
      </c>
    </row>
    <row r="233" spans="1:134" x14ac:dyDescent="0.35">
      <c r="A233" s="172"/>
      <c r="B233" s="173"/>
      <c r="C233" s="174"/>
      <c r="D233" s="175"/>
      <c r="E233" s="176"/>
      <c r="F233" s="177"/>
      <c r="G233" s="178"/>
      <c r="H233" s="179"/>
      <c r="I233" s="180"/>
      <c r="J233" s="181"/>
      <c r="K233" s="42">
        <f t="shared" si="366"/>
        <v>0</v>
      </c>
      <c r="L233" s="43">
        <f t="shared" si="367"/>
        <v>0</v>
      </c>
      <c r="M233" s="44">
        <f t="shared" si="368"/>
        <v>0</v>
      </c>
      <c r="N233" s="44"/>
      <c r="O233" s="44">
        <f t="shared" si="369"/>
        <v>0</v>
      </c>
      <c r="P233" s="45"/>
      <c r="Q233" s="44">
        <f t="shared" si="370"/>
        <v>0</v>
      </c>
      <c r="R233" s="604">
        <f t="shared" si="416"/>
        <v>0</v>
      </c>
      <c r="S233" s="44">
        <f t="shared" si="417"/>
        <v>0</v>
      </c>
      <c r="T233" s="44">
        <f t="shared" si="418"/>
        <v>0</v>
      </c>
      <c r="U233" s="44">
        <f t="shared" si="419"/>
        <v>0</v>
      </c>
      <c r="V233" s="44">
        <f t="shared" si="420"/>
        <v>0</v>
      </c>
      <c r="W233" s="44">
        <f t="shared" si="421"/>
        <v>0</v>
      </c>
      <c r="X233" s="44">
        <f t="shared" si="371"/>
        <v>0</v>
      </c>
      <c r="Y233" s="44">
        <f t="shared" si="422"/>
        <v>0</v>
      </c>
      <c r="Z233" s="44">
        <f t="shared" si="372"/>
        <v>0</v>
      </c>
      <c r="AA233" s="44">
        <f t="shared" si="423"/>
        <v>0</v>
      </c>
      <c r="AB233" s="44">
        <f t="shared" si="373"/>
        <v>0</v>
      </c>
      <c r="AC233" s="46">
        <f t="shared" si="374"/>
        <v>0</v>
      </c>
      <c r="AD233" s="47">
        <f t="shared" si="375"/>
        <v>0</v>
      </c>
      <c r="AE233" s="604">
        <f t="shared" si="424"/>
        <v>0</v>
      </c>
      <c r="AF233" s="44">
        <f t="shared" si="425"/>
        <v>0</v>
      </c>
      <c r="AG233" s="44">
        <f t="shared" si="426"/>
        <v>0</v>
      </c>
      <c r="AH233" s="44">
        <f t="shared" si="427"/>
        <v>0</v>
      </c>
      <c r="AI233" s="44">
        <f t="shared" si="428"/>
        <v>0</v>
      </c>
      <c r="AJ233" s="44">
        <f t="shared" si="429"/>
        <v>0</v>
      </c>
      <c r="AK233" s="44">
        <f t="shared" si="376"/>
        <v>0</v>
      </c>
      <c r="AL233" s="44">
        <f t="shared" si="430"/>
        <v>0</v>
      </c>
      <c r="AM233" s="44">
        <f t="shared" si="377"/>
        <v>0</v>
      </c>
      <c r="AN233" s="44">
        <f t="shared" si="431"/>
        <v>0</v>
      </c>
      <c r="AO233" s="44">
        <f t="shared" si="378"/>
        <v>0</v>
      </c>
      <c r="AP233" s="46">
        <f t="shared" si="379"/>
        <v>0</v>
      </c>
      <c r="AQ233" s="47">
        <f t="shared" si="380"/>
        <v>0</v>
      </c>
      <c r="AR233" s="604">
        <f t="shared" si="432"/>
        <v>0</v>
      </c>
      <c r="AS233" s="44">
        <f t="shared" si="433"/>
        <v>0</v>
      </c>
      <c r="AT233" s="44">
        <f t="shared" si="434"/>
        <v>0</v>
      </c>
      <c r="AU233" s="44">
        <f t="shared" si="435"/>
        <v>0</v>
      </c>
      <c r="AV233" s="44">
        <f t="shared" si="436"/>
        <v>0</v>
      </c>
      <c r="AW233" s="44">
        <f t="shared" si="437"/>
        <v>0</v>
      </c>
      <c r="AX233" s="44">
        <f t="shared" si="381"/>
        <v>0</v>
      </c>
      <c r="AY233" s="44">
        <f t="shared" si="438"/>
        <v>0</v>
      </c>
      <c r="AZ233" s="44">
        <f t="shared" si="382"/>
        <v>0</v>
      </c>
      <c r="BA233" s="44">
        <f t="shared" si="439"/>
        <v>0</v>
      </c>
      <c r="BB233" s="44">
        <f t="shared" si="383"/>
        <v>0</v>
      </c>
      <c r="BC233" s="46">
        <f t="shared" si="384"/>
        <v>0</v>
      </c>
      <c r="BD233" s="47">
        <f t="shared" si="385"/>
        <v>0</v>
      </c>
      <c r="BE233" s="604">
        <f t="shared" si="440"/>
        <v>0</v>
      </c>
      <c r="BF233" s="44">
        <f t="shared" si="441"/>
        <v>0</v>
      </c>
      <c r="BG233" s="44">
        <f t="shared" si="442"/>
        <v>0</v>
      </c>
      <c r="BH233" s="44">
        <f t="shared" si="443"/>
        <v>0</v>
      </c>
      <c r="BI233" s="44">
        <f t="shared" si="444"/>
        <v>0</v>
      </c>
      <c r="BJ233" s="44">
        <f t="shared" si="445"/>
        <v>0</v>
      </c>
      <c r="BK233" s="44">
        <f t="shared" si="386"/>
        <v>0</v>
      </c>
      <c r="BL233" s="44">
        <f t="shared" si="446"/>
        <v>0</v>
      </c>
      <c r="BM233" s="44">
        <f t="shared" si="387"/>
        <v>0</v>
      </c>
      <c r="BN233" s="44">
        <f t="shared" si="447"/>
        <v>0</v>
      </c>
      <c r="BO233" s="44">
        <f t="shared" si="388"/>
        <v>0</v>
      </c>
      <c r="BP233" s="46">
        <f t="shared" si="389"/>
        <v>0</v>
      </c>
      <c r="BQ233" s="47">
        <f t="shared" si="390"/>
        <v>0</v>
      </c>
      <c r="BR233" s="604">
        <f t="shared" si="448"/>
        <v>0</v>
      </c>
      <c r="BS233" s="44">
        <f t="shared" si="449"/>
        <v>0</v>
      </c>
      <c r="BT233" s="44">
        <f t="shared" si="450"/>
        <v>0</v>
      </c>
      <c r="BU233" s="44">
        <f t="shared" si="451"/>
        <v>0</v>
      </c>
      <c r="BV233" s="44">
        <f t="shared" si="452"/>
        <v>0</v>
      </c>
      <c r="BW233" s="44">
        <f t="shared" si="453"/>
        <v>0</v>
      </c>
      <c r="BX233" s="44">
        <f t="shared" si="391"/>
        <v>0</v>
      </c>
      <c r="BY233" s="44">
        <f t="shared" si="454"/>
        <v>0</v>
      </c>
      <c r="BZ233" s="44">
        <f t="shared" si="392"/>
        <v>0</v>
      </c>
      <c r="CA233" s="44">
        <f t="shared" si="455"/>
        <v>0</v>
      </c>
      <c r="CB233" s="44">
        <f t="shared" si="393"/>
        <v>0</v>
      </c>
      <c r="CC233" s="46">
        <f t="shared" si="394"/>
        <v>0</v>
      </c>
      <c r="CD233" s="47">
        <f t="shared" si="395"/>
        <v>0</v>
      </c>
      <c r="CE233" s="604">
        <f t="shared" si="456"/>
        <v>0</v>
      </c>
      <c r="CF233" s="44">
        <f t="shared" si="457"/>
        <v>0</v>
      </c>
      <c r="CG233" s="44">
        <f t="shared" si="458"/>
        <v>0</v>
      </c>
      <c r="CH233" s="44">
        <f t="shared" si="459"/>
        <v>0</v>
      </c>
      <c r="CI233" s="44">
        <f t="shared" si="460"/>
        <v>0</v>
      </c>
      <c r="CJ233" s="44">
        <f t="shared" si="461"/>
        <v>0</v>
      </c>
      <c r="CK233" s="44">
        <f t="shared" si="396"/>
        <v>0</v>
      </c>
      <c r="CL233" s="44">
        <f t="shared" si="462"/>
        <v>0</v>
      </c>
      <c r="CM233" s="44">
        <f t="shared" si="397"/>
        <v>0</v>
      </c>
      <c r="CN233" s="44">
        <f t="shared" si="463"/>
        <v>0</v>
      </c>
      <c r="CO233" s="44">
        <f t="shared" si="398"/>
        <v>0</v>
      </c>
      <c r="CP233" s="46">
        <f t="shared" si="399"/>
        <v>0</v>
      </c>
      <c r="CQ233" s="47">
        <f t="shared" si="400"/>
        <v>0</v>
      </c>
      <c r="CR233" s="604">
        <f t="shared" si="464"/>
        <v>0</v>
      </c>
      <c r="CS233" s="44">
        <f t="shared" si="465"/>
        <v>0</v>
      </c>
      <c r="CT233" s="44">
        <f t="shared" si="466"/>
        <v>0</v>
      </c>
      <c r="CU233" s="44">
        <f t="shared" si="467"/>
        <v>0</v>
      </c>
      <c r="CV233" s="44">
        <f t="shared" si="468"/>
        <v>0</v>
      </c>
      <c r="CW233" s="44">
        <f t="shared" si="469"/>
        <v>0</v>
      </c>
      <c r="CX233" s="44">
        <f t="shared" si="401"/>
        <v>0</v>
      </c>
      <c r="CY233" s="44">
        <f t="shared" si="470"/>
        <v>0</v>
      </c>
      <c r="CZ233" s="44">
        <f t="shared" si="402"/>
        <v>0</v>
      </c>
      <c r="DA233" s="44">
        <f t="shared" si="471"/>
        <v>0</v>
      </c>
      <c r="DB233" s="44">
        <f t="shared" si="403"/>
        <v>0</v>
      </c>
      <c r="DC233" s="46">
        <f t="shared" si="404"/>
        <v>0</v>
      </c>
      <c r="DD233" s="47">
        <f t="shared" si="405"/>
        <v>0</v>
      </c>
      <c r="DE233" s="604">
        <f t="shared" si="472"/>
        <v>0</v>
      </c>
      <c r="DF233" s="44">
        <f t="shared" si="473"/>
        <v>0</v>
      </c>
      <c r="DG233" s="44">
        <f t="shared" si="474"/>
        <v>0</v>
      </c>
      <c r="DH233" s="44">
        <f t="shared" si="475"/>
        <v>0</v>
      </c>
      <c r="DI233" s="44">
        <f t="shared" si="476"/>
        <v>0</v>
      </c>
      <c r="DJ233" s="44">
        <f t="shared" si="477"/>
        <v>0</v>
      </c>
      <c r="DK233" s="44">
        <f t="shared" si="406"/>
        <v>0</v>
      </c>
      <c r="DL233" s="44">
        <f t="shared" si="478"/>
        <v>0</v>
      </c>
      <c r="DM233" s="44">
        <f t="shared" si="407"/>
        <v>0</v>
      </c>
      <c r="DN233" s="44">
        <f t="shared" si="479"/>
        <v>0</v>
      </c>
      <c r="DO233" s="44">
        <f t="shared" si="408"/>
        <v>0</v>
      </c>
      <c r="DP233" s="46">
        <f t="shared" si="409"/>
        <v>0</v>
      </c>
      <c r="DQ233" s="47">
        <f t="shared" si="410"/>
        <v>0</v>
      </c>
      <c r="DR233" s="604">
        <f t="shared" si="480"/>
        <v>0</v>
      </c>
      <c r="DS233" s="44">
        <f t="shared" si="481"/>
        <v>0</v>
      </c>
      <c r="DT233" s="44">
        <f t="shared" si="482"/>
        <v>0</v>
      </c>
      <c r="DU233" s="44">
        <f t="shared" si="483"/>
        <v>0</v>
      </c>
      <c r="DV233" s="44">
        <f t="shared" si="484"/>
        <v>0</v>
      </c>
      <c r="DW233" s="44">
        <f t="shared" si="485"/>
        <v>0</v>
      </c>
      <c r="DX233" s="44">
        <f t="shared" si="411"/>
        <v>0</v>
      </c>
      <c r="DY233" s="44">
        <f t="shared" si="486"/>
        <v>0</v>
      </c>
      <c r="DZ233" s="44">
        <f t="shared" si="412"/>
        <v>0</v>
      </c>
      <c r="EA233" s="44">
        <f t="shared" si="487"/>
        <v>0</v>
      </c>
      <c r="EB233" s="44">
        <f t="shared" si="413"/>
        <v>0</v>
      </c>
      <c r="EC233" s="46">
        <f t="shared" si="414"/>
        <v>0</v>
      </c>
      <c r="ED233" s="47">
        <f t="shared" si="415"/>
        <v>0</v>
      </c>
    </row>
    <row r="234" spans="1:134" x14ac:dyDescent="0.35">
      <c r="A234" s="172"/>
      <c r="B234" s="173"/>
      <c r="C234" s="174"/>
      <c r="D234" s="175"/>
      <c r="E234" s="176"/>
      <c r="F234" s="177"/>
      <c r="G234" s="178"/>
      <c r="H234" s="179"/>
      <c r="I234" s="180"/>
      <c r="J234" s="181"/>
      <c r="K234" s="42">
        <f t="shared" si="366"/>
        <v>0</v>
      </c>
      <c r="L234" s="43">
        <f t="shared" si="367"/>
        <v>0</v>
      </c>
      <c r="M234" s="44">
        <f t="shared" si="368"/>
        <v>0</v>
      </c>
      <c r="N234" s="44"/>
      <c r="O234" s="44">
        <f t="shared" si="369"/>
        <v>0</v>
      </c>
      <c r="P234" s="45"/>
      <c r="Q234" s="44">
        <f t="shared" si="370"/>
        <v>0</v>
      </c>
      <c r="R234" s="604">
        <f t="shared" si="416"/>
        <v>0</v>
      </c>
      <c r="S234" s="44">
        <f t="shared" si="417"/>
        <v>0</v>
      </c>
      <c r="T234" s="44">
        <f t="shared" si="418"/>
        <v>0</v>
      </c>
      <c r="U234" s="44">
        <f t="shared" si="419"/>
        <v>0</v>
      </c>
      <c r="V234" s="44">
        <f t="shared" si="420"/>
        <v>0</v>
      </c>
      <c r="W234" s="44">
        <f t="shared" si="421"/>
        <v>0</v>
      </c>
      <c r="X234" s="44">
        <f t="shared" si="371"/>
        <v>0</v>
      </c>
      <c r="Y234" s="44">
        <f t="shared" si="422"/>
        <v>0</v>
      </c>
      <c r="Z234" s="44">
        <f t="shared" si="372"/>
        <v>0</v>
      </c>
      <c r="AA234" s="44">
        <f t="shared" si="423"/>
        <v>0</v>
      </c>
      <c r="AB234" s="44">
        <f t="shared" si="373"/>
        <v>0</v>
      </c>
      <c r="AC234" s="46">
        <f t="shared" si="374"/>
        <v>0</v>
      </c>
      <c r="AD234" s="47">
        <f t="shared" si="375"/>
        <v>0</v>
      </c>
      <c r="AE234" s="604">
        <f t="shared" si="424"/>
        <v>0</v>
      </c>
      <c r="AF234" s="44">
        <f t="shared" si="425"/>
        <v>0</v>
      </c>
      <c r="AG234" s="44">
        <f t="shared" si="426"/>
        <v>0</v>
      </c>
      <c r="AH234" s="44">
        <f t="shared" si="427"/>
        <v>0</v>
      </c>
      <c r="AI234" s="44">
        <f t="shared" si="428"/>
        <v>0</v>
      </c>
      <c r="AJ234" s="44">
        <f t="shared" si="429"/>
        <v>0</v>
      </c>
      <c r="AK234" s="44">
        <f t="shared" si="376"/>
        <v>0</v>
      </c>
      <c r="AL234" s="44">
        <f t="shared" si="430"/>
        <v>0</v>
      </c>
      <c r="AM234" s="44">
        <f t="shared" si="377"/>
        <v>0</v>
      </c>
      <c r="AN234" s="44">
        <f t="shared" si="431"/>
        <v>0</v>
      </c>
      <c r="AO234" s="44">
        <f t="shared" si="378"/>
        <v>0</v>
      </c>
      <c r="AP234" s="46">
        <f t="shared" si="379"/>
        <v>0</v>
      </c>
      <c r="AQ234" s="47">
        <f t="shared" si="380"/>
        <v>0</v>
      </c>
      <c r="AR234" s="604">
        <f t="shared" si="432"/>
        <v>0</v>
      </c>
      <c r="AS234" s="44">
        <f t="shared" si="433"/>
        <v>0</v>
      </c>
      <c r="AT234" s="44">
        <f t="shared" si="434"/>
        <v>0</v>
      </c>
      <c r="AU234" s="44">
        <f t="shared" si="435"/>
        <v>0</v>
      </c>
      <c r="AV234" s="44">
        <f t="shared" si="436"/>
        <v>0</v>
      </c>
      <c r="AW234" s="44">
        <f t="shared" si="437"/>
        <v>0</v>
      </c>
      <c r="AX234" s="44">
        <f t="shared" si="381"/>
        <v>0</v>
      </c>
      <c r="AY234" s="44">
        <f t="shared" si="438"/>
        <v>0</v>
      </c>
      <c r="AZ234" s="44">
        <f t="shared" si="382"/>
        <v>0</v>
      </c>
      <c r="BA234" s="44">
        <f t="shared" si="439"/>
        <v>0</v>
      </c>
      <c r="BB234" s="44">
        <f t="shared" si="383"/>
        <v>0</v>
      </c>
      <c r="BC234" s="46">
        <f t="shared" si="384"/>
        <v>0</v>
      </c>
      <c r="BD234" s="47">
        <f t="shared" si="385"/>
        <v>0</v>
      </c>
      <c r="BE234" s="604">
        <f t="shared" si="440"/>
        <v>0</v>
      </c>
      <c r="BF234" s="44">
        <f t="shared" si="441"/>
        <v>0</v>
      </c>
      <c r="BG234" s="44">
        <f t="shared" si="442"/>
        <v>0</v>
      </c>
      <c r="BH234" s="44">
        <f t="shared" si="443"/>
        <v>0</v>
      </c>
      <c r="BI234" s="44">
        <f t="shared" si="444"/>
        <v>0</v>
      </c>
      <c r="BJ234" s="44">
        <f t="shared" si="445"/>
        <v>0</v>
      </c>
      <c r="BK234" s="44">
        <f t="shared" si="386"/>
        <v>0</v>
      </c>
      <c r="BL234" s="44">
        <f t="shared" si="446"/>
        <v>0</v>
      </c>
      <c r="BM234" s="44">
        <f t="shared" si="387"/>
        <v>0</v>
      </c>
      <c r="BN234" s="44">
        <f t="shared" si="447"/>
        <v>0</v>
      </c>
      <c r="BO234" s="44">
        <f t="shared" si="388"/>
        <v>0</v>
      </c>
      <c r="BP234" s="46">
        <f t="shared" si="389"/>
        <v>0</v>
      </c>
      <c r="BQ234" s="47">
        <f t="shared" si="390"/>
        <v>0</v>
      </c>
      <c r="BR234" s="604">
        <f t="shared" si="448"/>
        <v>0</v>
      </c>
      <c r="BS234" s="44">
        <f t="shared" si="449"/>
        <v>0</v>
      </c>
      <c r="BT234" s="44">
        <f t="shared" si="450"/>
        <v>0</v>
      </c>
      <c r="BU234" s="44">
        <f t="shared" si="451"/>
        <v>0</v>
      </c>
      <c r="BV234" s="44">
        <f t="shared" si="452"/>
        <v>0</v>
      </c>
      <c r="BW234" s="44">
        <f t="shared" si="453"/>
        <v>0</v>
      </c>
      <c r="BX234" s="44">
        <f t="shared" si="391"/>
        <v>0</v>
      </c>
      <c r="BY234" s="44">
        <f t="shared" si="454"/>
        <v>0</v>
      </c>
      <c r="BZ234" s="44">
        <f t="shared" si="392"/>
        <v>0</v>
      </c>
      <c r="CA234" s="44">
        <f t="shared" si="455"/>
        <v>0</v>
      </c>
      <c r="CB234" s="44">
        <f t="shared" si="393"/>
        <v>0</v>
      </c>
      <c r="CC234" s="46">
        <f t="shared" si="394"/>
        <v>0</v>
      </c>
      <c r="CD234" s="47">
        <f t="shared" si="395"/>
        <v>0</v>
      </c>
      <c r="CE234" s="604">
        <f t="shared" si="456"/>
        <v>0</v>
      </c>
      <c r="CF234" s="44">
        <f t="shared" si="457"/>
        <v>0</v>
      </c>
      <c r="CG234" s="44">
        <f t="shared" si="458"/>
        <v>0</v>
      </c>
      <c r="CH234" s="44">
        <f t="shared" si="459"/>
        <v>0</v>
      </c>
      <c r="CI234" s="44">
        <f t="shared" si="460"/>
        <v>0</v>
      </c>
      <c r="CJ234" s="44">
        <f t="shared" si="461"/>
        <v>0</v>
      </c>
      <c r="CK234" s="44">
        <f t="shared" si="396"/>
        <v>0</v>
      </c>
      <c r="CL234" s="44">
        <f t="shared" si="462"/>
        <v>0</v>
      </c>
      <c r="CM234" s="44">
        <f t="shared" si="397"/>
        <v>0</v>
      </c>
      <c r="CN234" s="44">
        <f t="shared" si="463"/>
        <v>0</v>
      </c>
      <c r="CO234" s="44">
        <f t="shared" si="398"/>
        <v>0</v>
      </c>
      <c r="CP234" s="46">
        <f t="shared" si="399"/>
        <v>0</v>
      </c>
      <c r="CQ234" s="47">
        <f t="shared" si="400"/>
        <v>0</v>
      </c>
      <c r="CR234" s="604">
        <f t="shared" si="464"/>
        <v>0</v>
      </c>
      <c r="CS234" s="44">
        <f t="shared" si="465"/>
        <v>0</v>
      </c>
      <c r="CT234" s="44">
        <f t="shared" si="466"/>
        <v>0</v>
      </c>
      <c r="CU234" s="44">
        <f t="shared" si="467"/>
        <v>0</v>
      </c>
      <c r="CV234" s="44">
        <f t="shared" si="468"/>
        <v>0</v>
      </c>
      <c r="CW234" s="44">
        <f t="shared" si="469"/>
        <v>0</v>
      </c>
      <c r="CX234" s="44">
        <f t="shared" si="401"/>
        <v>0</v>
      </c>
      <c r="CY234" s="44">
        <f t="shared" si="470"/>
        <v>0</v>
      </c>
      <c r="CZ234" s="44">
        <f t="shared" si="402"/>
        <v>0</v>
      </c>
      <c r="DA234" s="44">
        <f t="shared" si="471"/>
        <v>0</v>
      </c>
      <c r="DB234" s="44">
        <f t="shared" si="403"/>
        <v>0</v>
      </c>
      <c r="DC234" s="46">
        <f t="shared" si="404"/>
        <v>0</v>
      </c>
      <c r="DD234" s="47">
        <f t="shared" si="405"/>
        <v>0</v>
      </c>
      <c r="DE234" s="604">
        <f t="shared" si="472"/>
        <v>0</v>
      </c>
      <c r="DF234" s="44">
        <f t="shared" si="473"/>
        <v>0</v>
      </c>
      <c r="DG234" s="44">
        <f t="shared" si="474"/>
        <v>0</v>
      </c>
      <c r="DH234" s="44">
        <f t="shared" si="475"/>
        <v>0</v>
      </c>
      <c r="DI234" s="44">
        <f t="shared" si="476"/>
        <v>0</v>
      </c>
      <c r="DJ234" s="44">
        <f t="shared" si="477"/>
        <v>0</v>
      </c>
      <c r="DK234" s="44">
        <f t="shared" si="406"/>
        <v>0</v>
      </c>
      <c r="DL234" s="44">
        <f t="shared" si="478"/>
        <v>0</v>
      </c>
      <c r="DM234" s="44">
        <f t="shared" si="407"/>
        <v>0</v>
      </c>
      <c r="DN234" s="44">
        <f t="shared" si="479"/>
        <v>0</v>
      </c>
      <c r="DO234" s="44">
        <f t="shared" si="408"/>
        <v>0</v>
      </c>
      <c r="DP234" s="46">
        <f t="shared" si="409"/>
        <v>0</v>
      </c>
      <c r="DQ234" s="47">
        <f t="shared" si="410"/>
        <v>0</v>
      </c>
      <c r="DR234" s="604">
        <f t="shared" si="480"/>
        <v>0</v>
      </c>
      <c r="DS234" s="44">
        <f t="shared" si="481"/>
        <v>0</v>
      </c>
      <c r="DT234" s="44">
        <f t="shared" si="482"/>
        <v>0</v>
      </c>
      <c r="DU234" s="44">
        <f t="shared" si="483"/>
        <v>0</v>
      </c>
      <c r="DV234" s="44">
        <f t="shared" si="484"/>
        <v>0</v>
      </c>
      <c r="DW234" s="44">
        <f t="shared" si="485"/>
        <v>0</v>
      </c>
      <c r="DX234" s="44">
        <f t="shared" si="411"/>
        <v>0</v>
      </c>
      <c r="DY234" s="44">
        <f t="shared" si="486"/>
        <v>0</v>
      </c>
      <c r="DZ234" s="44">
        <f t="shared" si="412"/>
        <v>0</v>
      </c>
      <c r="EA234" s="44">
        <f t="shared" si="487"/>
        <v>0</v>
      </c>
      <c r="EB234" s="44">
        <f t="shared" si="413"/>
        <v>0</v>
      </c>
      <c r="EC234" s="46">
        <f t="shared" si="414"/>
        <v>0</v>
      </c>
      <c r="ED234" s="47">
        <f t="shared" si="415"/>
        <v>0</v>
      </c>
    </row>
    <row r="235" spans="1:134" x14ac:dyDescent="0.35">
      <c r="A235" s="172"/>
      <c r="B235" s="173"/>
      <c r="C235" s="174"/>
      <c r="D235" s="175"/>
      <c r="E235" s="176"/>
      <c r="F235" s="177"/>
      <c r="G235" s="178"/>
      <c r="H235" s="179"/>
      <c r="I235" s="180"/>
      <c r="J235" s="181"/>
      <c r="K235" s="42">
        <f t="shared" si="366"/>
        <v>0</v>
      </c>
      <c r="L235" s="43">
        <f t="shared" si="367"/>
        <v>0</v>
      </c>
      <c r="M235" s="44">
        <f t="shared" si="368"/>
        <v>0</v>
      </c>
      <c r="N235" s="44"/>
      <c r="O235" s="44">
        <f t="shared" si="369"/>
        <v>0</v>
      </c>
      <c r="P235" s="45"/>
      <c r="Q235" s="44">
        <f t="shared" si="370"/>
        <v>0</v>
      </c>
      <c r="R235" s="604">
        <f t="shared" si="416"/>
        <v>0</v>
      </c>
      <c r="S235" s="44">
        <f t="shared" si="417"/>
        <v>0</v>
      </c>
      <c r="T235" s="44">
        <f t="shared" si="418"/>
        <v>0</v>
      </c>
      <c r="U235" s="44">
        <f t="shared" si="419"/>
        <v>0</v>
      </c>
      <c r="V235" s="44">
        <f t="shared" si="420"/>
        <v>0</v>
      </c>
      <c r="W235" s="44">
        <f t="shared" si="421"/>
        <v>0</v>
      </c>
      <c r="X235" s="44">
        <f t="shared" si="371"/>
        <v>0</v>
      </c>
      <c r="Y235" s="44">
        <f t="shared" si="422"/>
        <v>0</v>
      </c>
      <c r="Z235" s="44">
        <f t="shared" si="372"/>
        <v>0</v>
      </c>
      <c r="AA235" s="44">
        <f t="shared" si="423"/>
        <v>0</v>
      </c>
      <c r="AB235" s="44">
        <f t="shared" si="373"/>
        <v>0</v>
      </c>
      <c r="AC235" s="46">
        <f t="shared" si="374"/>
        <v>0</v>
      </c>
      <c r="AD235" s="47">
        <f t="shared" si="375"/>
        <v>0</v>
      </c>
      <c r="AE235" s="604">
        <f t="shared" si="424"/>
        <v>0</v>
      </c>
      <c r="AF235" s="44">
        <f t="shared" si="425"/>
        <v>0</v>
      </c>
      <c r="AG235" s="44">
        <f t="shared" si="426"/>
        <v>0</v>
      </c>
      <c r="AH235" s="44">
        <f t="shared" si="427"/>
        <v>0</v>
      </c>
      <c r="AI235" s="44">
        <f t="shared" si="428"/>
        <v>0</v>
      </c>
      <c r="AJ235" s="44">
        <f t="shared" si="429"/>
        <v>0</v>
      </c>
      <c r="AK235" s="44">
        <f t="shared" si="376"/>
        <v>0</v>
      </c>
      <c r="AL235" s="44">
        <f t="shared" si="430"/>
        <v>0</v>
      </c>
      <c r="AM235" s="44">
        <f t="shared" si="377"/>
        <v>0</v>
      </c>
      <c r="AN235" s="44">
        <f t="shared" si="431"/>
        <v>0</v>
      </c>
      <c r="AO235" s="44">
        <f t="shared" si="378"/>
        <v>0</v>
      </c>
      <c r="AP235" s="46">
        <f t="shared" si="379"/>
        <v>0</v>
      </c>
      <c r="AQ235" s="47">
        <f t="shared" si="380"/>
        <v>0</v>
      </c>
      <c r="AR235" s="604">
        <f t="shared" si="432"/>
        <v>0</v>
      </c>
      <c r="AS235" s="44">
        <f t="shared" si="433"/>
        <v>0</v>
      </c>
      <c r="AT235" s="44">
        <f t="shared" si="434"/>
        <v>0</v>
      </c>
      <c r="AU235" s="44">
        <f t="shared" si="435"/>
        <v>0</v>
      </c>
      <c r="AV235" s="44">
        <f t="shared" si="436"/>
        <v>0</v>
      </c>
      <c r="AW235" s="44">
        <f t="shared" si="437"/>
        <v>0</v>
      </c>
      <c r="AX235" s="44">
        <f t="shared" si="381"/>
        <v>0</v>
      </c>
      <c r="AY235" s="44">
        <f t="shared" si="438"/>
        <v>0</v>
      </c>
      <c r="AZ235" s="44">
        <f t="shared" si="382"/>
        <v>0</v>
      </c>
      <c r="BA235" s="44">
        <f t="shared" si="439"/>
        <v>0</v>
      </c>
      <c r="BB235" s="44">
        <f t="shared" si="383"/>
        <v>0</v>
      </c>
      <c r="BC235" s="46">
        <f t="shared" si="384"/>
        <v>0</v>
      </c>
      <c r="BD235" s="47">
        <f t="shared" si="385"/>
        <v>0</v>
      </c>
      <c r="BE235" s="604">
        <f t="shared" si="440"/>
        <v>0</v>
      </c>
      <c r="BF235" s="44">
        <f t="shared" si="441"/>
        <v>0</v>
      </c>
      <c r="BG235" s="44">
        <f t="shared" si="442"/>
        <v>0</v>
      </c>
      <c r="BH235" s="44">
        <f t="shared" si="443"/>
        <v>0</v>
      </c>
      <c r="BI235" s="44">
        <f t="shared" si="444"/>
        <v>0</v>
      </c>
      <c r="BJ235" s="44">
        <f t="shared" si="445"/>
        <v>0</v>
      </c>
      <c r="BK235" s="44">
        <f t="shared" si="386"/>
        <v>0</v>
      </c>
      <c r="BL235" s="44">
        <f t="shared" si="446"/>
        <v>0</v>
      </c>
      <c r="BM235" s="44">
        <f t="shared" si="387"/>
        <v>0</v>
      </c>
      <c r="BN235" s="44">
        <f t="shared" si="447"/>
        <v>0</v>
      </c>
      <c r="BO235" s="44">
        <f t="shared" si="388"/>
        <v>0</v>
      </c>
      <c r="BP235" s="46">
        <f t="shared" si="389"/>
        <v>0</v>
      </c>
      <c r="BQ235" s="47">
        <f t="shared" si="390"/>
        <v>0</v>
      </c>
      <c r="BR235" s="604">
        <f t="shared" si="448"/>
        <v>0</v>
      </c>
      <c r="BS235" s="44">
        <f t="shared" si="449"/>
        <v>0</v>
      </c>
      <c r="BT235" s="44">
        <f t="shared" si="450"/>
        <v>0</v>
      </c>
      <c r="BU235" s="44">
        <f t="shared" si="451"/>
        <v>0</v>
      </c>
      <c r="BV235" s="44">
        <f t="shared" si="452"/>
        <v>0</v>
      </c>
      <c r="BW235" s="44">
        <f t="shared" si="453"/>
        <v>0</v>
      </c>
      <c r="BX235" s="44">
        <f t="shared" si="391"/>
        <v>0</v>
      </c>
      <c r="BY235" s="44">
        <f t="shared" si="454"/>
        <v>0</v>
      </c>
      <c r="BZ235" s="44">
        <f t="shared" si="392"/>
        <v>0</v>
      </c>
      <c r="CA235" s="44">
        <f t="shared" si="455"/>
        <v>0</v>
      </c>
      <c r="CB235" s="44">
        <f t="shared" si="393"/>
        <v>0</v>
      </c>
      <c r="CC235" s="46">
        <f t="shared" si="394"/>
        <v>0</v>
      </c>
      <c r="CD235" s="47">
        <f t="shared" si="395"/>
        <v>0</v>
      </c>
      <c r="CE235" s="604">
        <f t="shared" si="456"/>
        <v>0</v>
      </c>
      <c r="CF235" s="44">
        <f t="shared" si="457"/>
        <v>0</v>
      </c>
      <c r="CG235" s="44">
        <f t="shared" si="458"/>
        <v>0</v>
      </c>
      <c r="CH235" s="44">
        <f t="shared" si="459"/>
        <v>0</v>
      </c>
      <c r="CI235" s="44">
        <f t="shared" si="460"/>
        <v>0</v>
      </c>
      <c r="CJ235" s="44">
        <f t="shared" si="461"/>
        <v>0</v>
      </c>
      <c r="CK235" s="44">
        <f t="shared" si="396"/>
        <v>0</v>
      </c>
      <c r="CL235" s="44">
        <f t="shared" si="462"/>
        <v>0</v>
      </c>
      <c r="CM235" s="44">
        <f t="shared" si="397"/>
        <v>0</v>
      </c>
      <c r="CN235" s="44">
        <f t="shared" si="463"/>
        <v>0</v>
      </c>
      <c r="CO235" s="44">
        <f t="shared" si="398"/>
        <v>0</v>
      </c>
      <c r="CP235" s="46">
        <f t="shared" si="399"/>
        <v>0</v>
      </c>
      <c r="CQ235" s="47">
        <f t="shared" si="400"/>
        <v>0</v>
      </c>
      <c r="CR235" s="604">
        <f t="shared" si="464"/>
        <v>0</v>
      </c>
      <c r="CS235" s="44">
        <f t="shared" si="465"/>
        <v>0</v>
      </c>
      <c r="CT235" s="44">
        <f t="shared" si="466"/>
        <v>0</v>
      </c>
      <c r="CU235" s="44">
        <f t="shared" si="467"/>
        <v>0</v>
      </c>
      <c r="CV235" s="44">
        <f t="shared" si="468"/>
        <v>0</v>
      </c>
      <c r="CW235" s="44">
        <f t="shared" si="469"/>
        <v>0</v>
      </c>
      <c r="CX235" s="44">
        <f t="shared" si="401"/>
        <v>0</v>
      </c>
      <c r="CY235" s="44">
        <f t="shared" si="470"/>
        <v>0</v>
      </c>
      <c r="CZ235" s="44">
        <f t="shared" si="402"/>
        <v>0</v>
      </c>
      <c r="DA235" s="44">
        <f t="shared" si="471"/>
        <v>0</v>
      </c>
      <c r="DB235" s="44">
        <f t="shared" si="403"/>
        <v>0</v>
      </c>
      <c r="DC235" s="46">
        <f t="shared" si="404"/>
        <v>0</v>
      </c>
      <c r="DD235" s="47">
        <f t="shared" si="405"/>
        <v>0</v>
      </c>
      <c r="DE235" s="604">
        <f t="shared" si="472"/>
        <v>0</v>
      </c>
      <c r="DF235" s="44">
        <f t="shared" si="473"/>
        <v>0</v>
      </c>
      <c r="DG235" s="44">
        <f t="shared" si="474"/>
        <v>0</v>
      </c>
      <c r="DH235" s="44">
        <f t="shared" si="475"/>
        <v>0</v>
      </c>
      <c r="DI235" s="44">
        <f t="shared" si="476"/>
        <v>0</v>
      </c>
      <c r="DJ235" s="44">
        <f t="shared" si="477"/>
        <v>0</v>
      </c>
      <c r="DK235" s="44">
        <f t="shared" si="406"/>
        <v>0</v>
      </c>
      <c r="DL235" s="44">
        <f t="shared" si="478"/>
        <v>0</v>
      </c>
      <c r="DM235" s="44">
        <f t="shared" si="407"/>
        <v>0</v>
      </c>
      <c r="DN235" s="44">
        <f t="shared" si="479"/>
        <v>0</v>
      </c>
      <c r="DO235" s="44">
        <f t="shared" si="408"/>
        <v>0</v>
      </c>
      <c r="DP235" s="46">
        <f t="shared" si="409"/>
        <v>0</v>
      </c>
      <c r="DQ235" s="47">
        <f t="shared" si="410"/>
        <v>0</v>
      </c>
      <c r="DR235" s="604">
        <f t="shared" si="480"/>
        <v>0</v>
      </c>
      <c r="DS235" s="44">
        <f t="shared" si="481"/>
        <v>0</v>
      </c>
      <c r="DT235" s="44">
        <f t="shared" si="482"/>
        <v>0</v>
      </c>
      <c r="DU235" s="44">
        <f t="shared" si="483"/>
        <v>0</v>
      </c>
      <c r="DV235" s="44">
        <f t="shared" si="484"/>
        <v>0</v>
      </c>
      <c r="DW235" s="44">
        <f t="shared" si="485"/>
        <v>0</v>
      </c>
      <c r="DX235" s="44">
        <f t="shared" si="411"/>
        <v>0</v>
      </c>
      <c r="DY235" s="44">
        <f t="shared" si="486"/>
        <v>0</v>
      </c>
      <c r="DZ235" s="44">
        <f t="shared" si="412"/>
        <v>0</v>
      </c>
      <c r="EA235" s="44">
        <f t="shared" si="487"/>
        <v>0</v>
      </c>
      <c r="EB235" s="44">
        <f t="shared" si="413"/>
        <v>0</v>
      </c>
      <c r="EC235" s="46">
        <f t="shared" si="414"/>
        <v>0</v>
      </c>
      <c r="ED235" s="47">
        <f t="shared" si="415"/>
        <v>0</v>
      </c>
    </row>
    <row r="236" spans="1:134" x14ac:dyDescent="0.35">
      <c r="A236" s="172"/>
      <c r="B236" s="173"/>
      <c r="C236" s="174"/>
      <c r="D236" s="175"/>
      <c r="E236" s="176"/>
      <c r="F236" s="177"/>
      <c r="G236" s="178"/>
      <c r="H236" s="179"/>
      <c r="I236" s="180"/>
      <c r="J236" s="181"/>
      <c r="K236" s="42">
        <f t="shared" si="366"/>
        <v>0</v>
      </c>
      <c r="L236" s="43">
        <f t="shared" si="367"/>
        <v>0</v>
      </c>
      <c r="M236" s="44">
        <f t="shared" si="368"/>
        <v>0</v>
      </c>
      <c r="N236" s="44"/>
      <c r="O236" s="44">
        <f t="shared" si="369"/>
        <v>0</v>
      </c>
      <c r="P236" s="45"/>
      <c r="Q236" s="44">
        <f t="shared" si="370"/>
        <v>0</v>
      </c>
      <c r="R236" s="604">
        <f t="shared" si="416"/>
        <v>0</v>
      </c>
      <c r="S236" s="44">
        <f t="shared" si="417"/>
        <v>0</v>
      </c>
      <c r="T236" s="44">
        <f t="shared" si="418"/>
        <v>0</v>
      </c>
      <c r="U236" s="44">
        <f t="shared" si="419"/>
        <v>0</v>
      </c>
      <c r="V236" s="44">
        <f t="shared" si="420"/>
        <v>0</v>
      </c>
      <c r="W236" s="44">
        <f t="shared" si="421"/>
        <v>0</v>
      </c>
      <c r="X236" s="44">
        <f t="shared" si="371"/>
        <v>0</v>
      </c>
      <c r="Y236" s="44">
        <f t="shared" si="422"/>
        <v>0</v>
      </c>
      <c r="Z236" s="44">
        <f t="shared" si="372"/>
        <v>0</v>
      </c>
      <c r="AA236" s="44">
        <f t="shared" si="423"/>
        <v>0</v>
      </c>
      <c r="AB236" s="44">
        <f t="shared" si="373"/>
        <v>0</v>
      </c>
      <c r="AC236" s="46">
        <f t="shared" si="374"/>
        <v>0</v>
      </c>
      <c r="AD236" s="47">
        <f t="shared" si="375"/>
        <v>0</v>
      </c>
      <c r="AE236" s="604">
        <f t="shared" si="424"/>
        <v>0</v>
      </c>
      <c r="AF236" s="44">
        <f t="shared" si="425"/>
        <v>0</v>
      </c>
      <c r="AG236" s="44">
        <f t="shared" si="426"/>
        <v>0</v>
      </c>
      <c r="AH236" s="44">
        <f t="shared" si="427"/>
        <v>0</v>
      </c>
      <c r="AI236" s="44">
        <f t="shared" si="428"/>
        <v>0</v>
      </c>
      <c r="AJ236" s="44">
        <f t="shared" si="429"/>
        <v>0</v>
      </c>
      <c r="AK236" s="44">
        <f t="shared" si="376"/>
        <v>0</v>
      </c>
      <c r="AL236" s="44">
        <f t="shared" si="430"/>
        <v>0</v>
      </c>
      <c r="AM236" s="44">
        <f t="shared" si="377"/>
        <v>0</v>
      </c>
      <c r="AN236" s="44">
        <f t="shared" si="431"/>
        <v>0</v>
      </c>
      <c r="AO236" s="44">
        <f t="shared" si="378"/>
        <v>0</v>
      </c>
      <c r="AP236" s="46">
        <f t="shared" si="379"/>
        <v>0</v>
      </c>
      <c r="AQ236" s="47">
        <f t="shared" si="380"/>
        <v>0</v>
      </c>
      <c r="AR236" s="604">
        <f t="shared" si="432"/>
        <v>0</v>
      </c>
      <c r="AS236" s="44">
        <f t="shared" si="433"/>
        <v>0</v>
      </c>
      <c r="AT236" s="44">
        <f t="shared" si="434"/>
        <v>0</v>
      </c>
      <c r="AU236" s="44">
        <f t="shared" si="435"/>
        <v>0</v>
      </c>
      <c r="AV236" s="44">
        <f t="shared" si="436"/>
        <v>0</v>
      </c>
      <c r="AW236" s="44">
        <f t="shared" si="437"/>
        <v>0</v>
      </c>
      <c r="AX236" s="44">
        <f t="shared" si="381"/>
        <v>0</v>
      </c>
      <c r="AY236" s="44">
        <f t="shared" si="438"/>
        <v>0</v>
      </c>
      <c r="AZ236" s="44">
        <f t="shared" si="382"/>
        <v>0</v>
      </c>
      <c r="BA236" s="44">
        <f t="shared" si="439"/>
        <v>0</v>
      </c>
      <c r="BB236" s="44">
        <f t="shared" si="383"/>
        <v>0</v>
      </c>
      <c r="BC236" s="46">
        <f t="shared" si="384"/>
        <v>0</v>
      </c>
      <c r="BD236" s="47">
        <f t="shared" si="385"/>
        <v>0</v>
      </c>
      <c r="BE236" s="604">
        <f t="shared" si="440"/>
        <v>0</v>
      </c>
      <c r="BF236" s="44">
        <f t="shared" si="441"/>
        <v>0</v>
      </c>
      <c r="BG236" s="44">
        <f t="shared" si="442"/>
        <v>0</v>
      </c>
      <c r="BH236" s="44">
        <f t="shared" si="443"/>
        <v>0</v>
      </c>
      <c r="BI236" s="44">
        <f t="shared" si="444"/>
        <v>0</v>
      </c>
      <c r="BJ236" s="44">
        <f t="shared" si="445"/>
        <v>0</v>
      </c>
      <c r="BK236" s="44">
        <f t="shared" si="386"/>
        <v>0</v>
      </c>
      <c r="BL236" s="44">
        <f t="shared" si="446"/>
        <v>0</v>
      </c>
      <c r="BM236" s="44">
        <f t="shared" si="387"/>
        <v>0</v>
      </c>
      <c r="BN236" s="44">
        <f t="shared" si="447"/>
        <v>0</v>
      </c>
      <c r="BO236" s="44">
        <f t="shared" si="388"/>
        <v>0</v>
      </c>
      <c r="BP236" s="46">
        <f t="shared" si="389"/>
        <v>0</v>
      </c>
      <c r="BQ236" s="47">
        <f t="shared" si="390"/>
        <v>0</v>
      </c>
      <c r="BR236" s="604">
        <f t="shared" si="448"/>
        <v>0</v>
      </c>
      <c r="BS236" s="44">
        <f t="shared" si="449"/>
        <v>0</v>
      </c>
      <c r="BT236" s="44">
        <f t="shared" si="450"/>
        <v>0</v>
      </c>
      <c r="BU236" s="44">
        <f t="shared" si="451"/>
        <v>0</v>
      </c>
      <c r="BV236" s="44">
        <f t="shared" si="452"/>
        <v>0</v>
      </c>
      <c r="BW236" s="44">
        <f t="shared" si="453"/>
        <v>0</v>
      </c>
      <c r="BX236" s="44">
        <f t="shared" si="391"/>
        <v>0</v>
      </c>
      <c r="BY236" s="44">
        <f t="shared" si="454"/>
        <v>0</v>
      </c>
      <c r="BZ236" s="44">
        <f t="shared" si="392"/>
        <v>0</v>
      </c>
      <c r="CA236" s="44">
        <f t="shared" si="455"/>
        <v>0</v>
      </c>
      <c r="CB236" s="44">
        <f t="shared" si="393"/>
        <v>0</v>
      </c>
      <c r="CC236" s="46">
        <f t="shared" si="394"/>
        <v>0</v>
      </c>
      <c r="CD236" s="47">
        <f t="shared" si="395"/>
        <v>0</v>
      </c>
      <c r="CE236" s="604">
        <f t="shared" si="456"/>
        <v>0</v>
      </c>
      <c r="CF236" s="44">
        <f t="shared" si="457"/>
        <v>0</v>
      </c>
      <c r="CG236" s="44">
        <f t="shared" si="458"/>
        <v>0</v>
      </c>
      <c r="CH236" s="44">
        <f t="shared" si="459"/>
        <v>0</v>
      </c>
      <c r="CI236" s="44">
        <f t="shared" si="460"/>
        <v>0</v>
      </c>
      <c r="CJ236" s="44">
        <f t="shared" si="461"/>
        <v>0</v>
      </c>
      <c r="CK236" s="44">
        <f t="shared" si="396"/>
        <v>0</v>
      </c>
      <c r="CL236" s="44">
        <f t="shared" si="462"/>
        <v>0</v>
      </c>
      <c r="CM236" s="44">
        <f t="shared" si="397"/>
        <v>0</v>
      </c>
      <c r="CN236" s="44">
        <f t="shared" si="463"/>
        <v>0</v>
      </c>
      <c r="CO236" s="44">
        <f t="shared" si="398"/>
        <v>0</v>
      </c>
      <c r="CP236" s="46">
        <f t="shared" si="399"/>
        <v>0</v>
      </c>
      <c r="CQ236" s="47">
        <f t="shared" si="400"/>
        <v>0</v>
      </c>
      <c r="CR236" s="604">
        <f t="shared" si="464"/>
        <v>0</v>
      </c>
      <c r="CS236" s="44">
        <f t="shared" si="465"/>
        <v>0</v>
      </c>
      <c r="CT236" s="44">
        <f t="shared" si="466"/>
        <v>0</v>
      </c>
      <c r="CU236" s="44">
        <f t="shared" si="467"/>
        <v>0</v>
      </c>
      <c r="CV236" s="44">
        <f t="shared" si="468"/>
        <v>0</v>
      </c>
      <c r="CW236" s="44">
        <f t="shared" si="469"/>
        <v>0</v>
      </c>
      <c r="CX236" s="44">
        <f t="shared" si="401"/>
        <v>0</v>
      </c>
      <c r="CY236" s="44">
        <f t="shared" si="470"/>
        <v>0</v>
      </c>
      <c r="CZ236" s="44">
        <f t="shared" si="402"/>
        <v>0</v>
      </c>
      <c r="DA236" s="44">
        <f t="shared" si="471"/>
        <v>0</v>
      </c>
      <c r="DB236" s="44">
        <f t="shared" si="403"/>
        <v>0</v>
      </c>
      <c r="DC236" s="46">
        <f t="shared" si="404"/>
        <v>0</v>
      </c>
      <c r="DD236" s="47">
        <f t="shared" si="405"/>
        <v>0</v>
      </c>
      <c r="DE236" s="604">
        <f t="shared" si="472"/>
        <v>0</v>
      </c>
      <c r="DF236" s="44">
        <f t="shared" si="473"/>
        <v>0</v>
      </c>
      <c r="DG236" s="44">
        <f t="shared" si="474"/>
        <v>0</v>
      </c>
      <c r="DH236" s="44">
        <f t="shared" si="475"/>
        <v>0</v>
      </c>
      <c r="DI236" s="44">
        <f t="shared" si="476"/>
        <v>0</v>
      </c>
      <c r="DJ236" s="44">
        <f t="shared" si="477"/>
        <v>0</v>
      </c>
      <c r="DK236" s="44">
        <f t="shared" si="406"/>
        <v>0</v>
      </c>
      <c r="DL236" s="44">
        <f t="shared" si="478"/>
        <v>0</v>
      </c>
      <c r="DM236" s="44">
        <f t="shared" si="407"/>
        <v>0</v>
      </c>
      <c r="DN236" s="44">
        <f t="shared" si="479"/>
        <v>0</v>
      </c>
      <c r="DO236" s="44">
        <f t="shared" si="408"/>
        <v>0</v>
      </c>
      <c r="DP236" s="46">
        <f t="shared" si="409"/>
        <v>0</v>
      </c>
      <c r="DQ236" s="47">
        <f t="shared" si="410"/>
        <v>0</v>
      </c>
      <c r="DR236" s="604">
        <f t="shared" si="480"/>
        <v>0</v>
      </c>
      <c r="DS236" s="44">
        <f t="shared" si="481"/>
        <v>0</v>
      </c>
      <c r="DT236" s="44">
        <f t="shared" si="482"/>
        <v>0</v>
      </c>
      <c r="DU236" s="44">
        <f t="shared" si="483"/>
        <v>0</v>
      </c>
      <c r="DV236" s="44">
        <f t="shared" si="484"/>
        <v>0</v>
      </c>
      <c r="DW236" s="44">
        <f t="shared" si="485"/>
        <v>0</v>
      </c>
      <c r="DX236" s="44">
        <f t="shared" si="411"/>
        <v>0</v>
      </c>
      <c r="DY236" s="44">
        <f t="shared" si="486"/>
        <v>0</v>
      </c>
      <c r="DZ236" s="44">
        <f t="shared" si="412"/>
        <v>0</v>
      </c>
      <c r="EA236" s="44">
        <f t="shared" si="487"/>
        <v>0</v>
      </c>
      <c r="EB236" s="44">
        <f t="shared" si="413"/>
        <v>0</v>
      </c>
      <c r="EC236" s="46">
        <f t="shared" si="414"/>
        <v>0</v>
      </c>
      <c r="ED236" s="47">
        <f t="shared" si="415"/>
        <v>0</v>
      </c>
    </row>
    <row r="237" spans="1:134" x14ac:dyDescent="0.35">
      <c r="A237" s="172"/>
      <c r="B237" s="173"/>
      <c r="C237" s="174"/>
      <c r="D237" s="175"/>
      <c r="E237" s="176"/>
      <c r="F237" s="177"/>
      <c r="G237" s="178"/>
      <c r="H237" s="179"/>
      <c r="I237" s="180"/>
      <c r="J237" s="181"/>
      <c r="K237" s="42">
        <f t="shared" si="366"/>
        <v>0</v>
      </c>
      <c r="L237" s="43">
        <f t="shared" si="367"/>
        <v>0</v>
      </c>
      <c r="M237" s="44">
        <f t="shared" si="368"/>
        <v>0</v>
      </c>
      <c r="N237" s="44"/>
      <c r="O237" s="44">
        <f t="shared" si="369"/>
        <v>0</v>
      </c>
      <c r="P237" s="45"/>
      <c r="Q237" s="44">
        <f t="shared" si="370"/>
        <v>0</v>
      </c>
      <c r="R237" s="604">
        <f t="shared" si="416"/>
        <v>0</v>
      </c>
      <c r="S237" s="44">
        <f t="shared" si="417"/>
        <v>0</v>
      </c>
      <c r="T237" s="44">
        <f t="shared" si="418"/>
        <v>0</v>
      </c>
      <c r="U237" s="44">
        <f t="shared" si="419"/>
        <v>0</v>
      </c>
      <c r="V237" s="44">
        <f t="shared" si="420"/>
        <v>0</v>
      </c>
      <c r="W237" s="44">
        <f t="shared" si="421"/>
        <v>0</v>
      </c>
      <c r="X237" s="44">
        <f t="shared" si="371"/>
        <v>0</v>
      </c>
      <c r="Y237" s="44">
        <f t="shared" si="422"/>
        <v>0</v>
      </c>
      <c r="Z237" s="44">
        <f t="shared" si="372"/>
        <v>0</v>
      </c>
      <c r="AA237" s="44">
        <f t="shared" si="423"/>
        <v>0</v>
      </c>
      <c r="AB237" s="44">
        <f t="shared" si="373"/>
        <v>0</v>
      </c>
      <c r="AC237" s="46">
        <f t="shared" si="374"/>
        <v>0</v>
      </c>
      <c r="AD237" s="47">
        <f t="shared" si="375"/>
        <v>0</v>
      </c>
      <c r="AE237" s="604">
        <f t="shared" si="424"/>
        <v>0</v>
      </c>
      <c r="AF237" s="44">
        <f t="shared" si="425"/>
        <v>0</v>
      </c>
      <c r="AG237" s="44">
        <f t="shared" si="426"/>
        <v>0</v>
      </c>
      <c r="AH237" s="44">
        <f t="shared" si="427"/>
        <v>0</v>
      </c>
      <c r="AI237" s="44">
        <f t="shared" si="428"/>
        <v>0</v>
      </c>
      <c r="AJ237" s="44">
        <f t="shared" si="429"/>
        <v>0</v>
      </c>
      <c r="AK237" s="44">
        <f t="shared" si="376"/>
        <v>0</v>
      </c>
      <c r="AL237" s="44">
        <f t="shared" si="430"/>
        <v>0</v>
      </c>
      <c r="AM237" s="44">
        <f t="shared" si="377"/>
        <v>0</v>
      </c>
      <c r="AN237" s="44">
        <f t="shared" si="431"/>
        <v>0</v>
      </c>
      <c r="AO237" s="44">
        <f t="shared" si="378"/>
        <v>0</v>
      </c>
      <c r="AP237" s="46">
        <f t="shared" si="379"/>
        <v>0</v>
      </c>
      <c r="AQ237" s="47">
        <f t="shared" si="380"/>
        <v>0</v>
      </c>
      <c r="AR237" s="604">
        <f t="shared" si="432"/>
        <v>0</v>
      </c>
      <c r="AS237" s="44">
        <f t="shared" si="433"/>
        <v>0</v>
      </c>
      <c r="AT237" s="44">
        <f t="shared" si="434"/>
        <v>0</v>
      </c>
      <c r="AU237" s="44">
        <f t="shared" si="435"/>
        <v>0</v>
      </c>
      <c r="AV237" s="44">
        <f t="shared" si="436"/>
        <v>0</v>
      </c>
      <c r="AW237" s="44">
        <f t="shared" si="437"/>
        <v>0</v>
      </c>
      <c r="AX237" s="44">
        <f t="shared" si="381"/>
        <v>0</v>
      </c>
      <c r="AY237" s="44">
        <f t="shared" si="438"/>
        <v>0</v>
      </c>
      <c r="AZ237" s="44">
        <f t="shared" si="382"/>
        <v>0</v>
      </c>
      <c r="BA237" s="44">
        <f t="shared" si="439"/>
        <v>0</v>
      </c>
      <c r="BB237" s="44">
        <f t="shared" si="383"/>
        <v>0</v>
      </c>
      <c r="BC237" s="46">
        <f t="shared" si="384"/>
        <v>0</v>
      </c>
      <c r="BD237" s="47">
        <f t="shared" si="385"/>
        <v>0</v>
      </c>
      <c r="BE237" s="604">
        <f t="shared" si="440"/>
        <v>0</v>
      </c>
      <c r="BF237" s="44">
        <f t="shared" si="441"/>
        <v>0</v>
      </c>
      <c r="BG237" s="44">
        <f t="shared" si="442"/>
        <v>0</v>
      </c>
      <c r="BH237" s="44">
        <f t="shared" si="443"/>
        <v>0</v>
      </c>
      <c r="BI237" s="44">
        <f t="shared" si="444"/>
        <v>0</v>
      </c>
      <c r="BJ237" s="44">
        <f t="shared" si="445"/>
        <v>0</v>
      </c>
      <c r="BK237" s="44">
        <f t="shared" si="386"/>
        <v>0</v>
      </c>
      <c r="BL237" s="44">
        <f t="shared" si="446"/>
        <v>0</v>
      </c>
      <c r="BM237" s="44">
        <f t="shared" si="387"/>
        <v>0</v>
      </c>
      <c r="BN237" s="44">
        <f t="shared" si="447"/>
        <v>0</v>
      </c>
      <c r="BO237" s="44">
        <f t="shared" si="388"/>
        <v>0</v>
      </c>
      <c r="BP237" s="46">
        <f t="shared" si="389"/>
        <v>0</v>
      </c>
      <c r="BQ237" s="47">
        <f t="shared" si="390"/>
        <v>0</v>
      </c>
      <c r="BR237" s="604">
        <f t="shared" si="448"/>
        <v>0</v>
      </c>
      <c r="BS237" s="44">
        <f t="shared" si="449"/>
        <v>0</v>
      </c>
      <c r="BT237" s="44">
        <f t="shared" si="450"/>
        <v>0</v>
      </c>
      <c r="BU237" s="44">
        <f t="shared" si="451"/>
        <v>0</v>
      </c>
      <c r="BV237" s="44">
        <f t="shared" si="452"/>
        <v>0</v>
      </c>
      <c r="BW237" s="44">
        <f t="shared" si="453"/>
        <v>0</v>
      </c>
      <c r="BX237" s="44">
        <f t="shared" si="391"/>
        <v>0</v>
      </c>
      <c r="BY237" s="44">
        <f t="shared" si="454"/>
        <v>0</v>
      </c>
      <c r="BZ237" s="44">
        <f t="shared" si="392"/>
        <v>0</v>
      </c>
      <c r="CA237" s="44">
        <f t="shared" si="455"/>
        <v>0</v>
      </c>
      <c r="CB237" s="44">
        <f t="shared" si="393"/>
        <v>0</v>
      </c>
      <c r="CC237" s="46">
        <f t="shared" si="394"/>
        <v>0</v>
      </c>
      <c r="CD237" s="47">
        <f t="shared" si="395"/>
        <v>0</v>
      </c>
      <c r="CE237" s="604">
        <f t="shared" si="456"/>
        <v>0</v>
      </c>
      <c r="CF237" s="44">
        <f t="shared" si="457"/>
        <v>0</v>
      </c>
      <c r="CG237" s="44">
        <f t="shared" si="458"/>
        <v>0</v>
      </c>
      <c r="CH237" s="44">
        <f t="shared" si="459"/>
        <v>0</v>
      </c>
      <c r="CI237" s="44">
        <f t="shared" si="460"/>
        <v>0</v>
      </c>
      <c r="CJ237" s="44">
        <f t="shared" si="461"/>
        <v>0</v>
      </c>
      <c r="CK237" s="44">
        <f t="shared" si="396"/>
        <v>0</v>
      </c>
      <c r="CL237" s="44">
        <f t="shared" si="462"/>
        <v>0</v>
      </c>
      <c r="CM237" s="44">
        <f t="shared" si="397"/>
        <v>0</v>
      </c>
      <c r="CN237" s="44">
        <f t="shared" si="463"/>
        <v>0</v>
      </c>
      <c r="CO237" s="44">
        <f t="shared" si="398"/>
        <v>0</v>
      </c>
      <c r="CP237" s="46">
        <f t="shared" si="399"/>
        <v>0</v>
      </c>
      <c r="CQ237" s="47">
        <f t="shared" si="400"/>
        <v>0</v>
      </c>
      <c r="CR237" s="604">
        <f t="shared" si="464"/>
        <v>0</v>
      </c>
      <c r="CS237" s="44">
        <f t="shared" si="465"/>
        <v>0</v>
      </c>
      <c r="CT237" s="44">
        <f t="shared" si="466"/>
        <v>0</v>
      </c>
      <c r="CU237" s="44">
        <f t="shared" si="467"/>
        <v>0</v>
      </c>
      <c r="CV237" s="44">
        <f t="shared" si="468"/>
        <v>0</v>
      </c>
      <c r="CW237" s="44">
        <f t="shared" si="469"/>
        <v>0</v>
      </c>
      <c r="CX237" s="44">
        <f t="shared" si="401"/>
        <v>0</v>
      </c>
      <c r="CY237" s="44">
        <f t="shared" si="470"/>
        <v>0</v>
      </c>
      <c r="CZ237" s="44">
        <f t="shared" si="402"/>
        <v>0</v>
      </c>
      <c r="DA237" s="44">
        <f t="shared" si="471"/>
        <v>0</v>
      </c>
      <c r="DB237" s="44">
        <f t="shared" si="403"/>
        <v>0</v>
      </c>
      <c r="DC237" s="46">
        <f t="shared" si="404"/>
        <v>0</v>
      </c>
      <c r="DD237" s="47">
        <f t="shared" si="405"/>
        <v>0</v>
      </c>
      <c r="DE237" s="604">
        <f t="shared" si="472"/>
        <v>0</v>
      </c>
      <c r="DF237" s="44">
        <f t="shared" si="473"/>
        <v>0</v>
      </c>
      <c r="DG237" s="44">
        <f t="shared" si="474"/>
        <v>0</v>
      </c>
      <c r="DH237" s="44">
        <f t="shared" si="475"/>
        <v>0</v>
      </c>
      <c r="DI237" s="44">
        <f t="shared" si="476"/>
        <v>0</v>
      </c>
      <c r="DJ237" s="44">
        <f t="shared" si="477"/>
        <v>0</v>
      </c>
      <c r="DK237" s="44">
        <f t="shared" si="406"/>
        <v>0</v>
      </c>
      <c r="DL237" s="44">
        <f t="shared" si="478"/>
        <v>0</v>
      </c>
      <c r="DM237" s="44">
        <f t="shared" si="407"/>
        <v>0</v>
      </c>
      <c r="DN237" s="44">
        <f t="shared" si="479"/>
        <v>0</v>
      </c>
      <c r="DO237" s="44">
        <f t="shared" si="408"/>
        <v>0</v>
      </c>
      <c r="DP237" s="46">
        <f t="shared" si="409"/>
        <v>0</v>
      </c>
      <c r="DQ237" s="47">
        <f t="shared" si="410"/>
        <v>0</v>
      </c>
      <c r="DR237" s="604">
        <f t="shared" si="480"/>
        <v>0</v>
      </c>
      <c r="DS237" s="44">
        <f t="shared" si="481"/>
        <v>0</v>
      </c>
      <c r="DT237" s="44">
        <f t="shared" si="482"/>
        <v>0</v>
      </c>
      <c r="DU237" s="44">
        <f t="shared" si="483"/>
        <v>0</v>
      </c>
      <c r="DV237" s="44">
        <f t="shared" si="484"/>
        <v>0</v>
      </c>
      <c r="DW237" s="44">
        <f t="shared" si="485"/>
        <v>0</v>
      </c>
      <c r="DX237" s="44">
        <f t="shared" si="411"/>
        <v>0</v>
      </c>
      <c r="DY237" s="44">
        <f t="shared" si="486"/>
        <v>0</v>
      </c>
      <c r="DZ237" s="44">
        <f t="shared" si="412"/>
        <v>0</v>
      </c>
      <c r="EA237" s="44">
        <f t="shared" si="487"/>
        <v>0</v>
      </c>
      <c r="EB237" s="44">
        <f t="shared" si="413"/>
        <v>0</v>
      </c>
      <c r="EC237" s="46">
        <f t="shared" si="414"/>
        <v>0</v>
      </c>
      <c r="ED237" s="47">
        <f t="shared" si="415"/>
        <v>0</v>
      </c>
    </row>
    <row r="238" spans="1:134" x14ac:dyDescent="0.35">
      <c r="A238" s="172"/>
      <c r="B238" s="173"/>
      <c r="C238" s="174"/>
      <c r="D238" s="175"/>
      <c r="E238" s="176"/>
      <c r="F238" s="177"/>
      <c r="G238" s="178"/>
      <c r="H238" s="179"/>
      <c r="I238" s="180"/>
      <c r="J238" s="181"/>
      <c r="K238" s="42">
        <f t="shared" si="366"/>
        <v>0</v>
      </c>
      <c r="L238" s="43">
        <f t="shared" si="367"/>
        <v>0</v>
      </c>
      <c r="M238" s="44">
        <f t="shared" si="368"/>
        <v>0</v>
      </c>
      <c r="N238" s="44"/>
      <c r="O238" s="44">
        <f t="shared" si="369"/>
        <v>0</v>
      </c>
      <c r="P238" s="45"/>
      <c r="Q238" s="44">
        <f t="shared" si="370"/>
        <v>0</v>
      </c>
      <c r="R238" s="604">
        <f t="shared" si="416"/>
        <v>0</v>
      </c>
      <c r="S238" s="44">
        <f t="shared" si="417"/>
        <v>0</v>
      </c>
      <c r="T238" s="44">
        <f t="shared" si="418"/>
        <v>0</v>
      </c>
      <c r="U238" s="44">
        <f t="shared" si="419"/>
        <v>0</v>
      </c>
      <c r="V238" s="44">
        <f t="shared" si="420"/>
        <v>0</v>
      </c>
      <c r="W238" s="44">
        <f t="shared" si="421"/>
        <v>0</v>
      </c>
      <c r="X238" s="44">
        <f t="shared" si="371"/>
        <v>0</v>
      </c>
      <c r="Y238" s="44">
        <f t="shared" si="422"/>
        <v>0</v>
      </c>
      <c r="Z238" s="44">
        <f t="shared" si="372"/>
        <v>0</v>
      </c>
      <c r="AA238" s="44">
        <f t="shared" si="423"/>
        <v>0</v>
      </c>
      <c r="AB238" s="44">
        <f t="shared" si="373"/>
        <v>0</v>
      </c>
      <c r="AC238" s="46">
        <f t="shared" si="374"/>
        <v>0</v>
      </c>
      <c r="AD238" s="47">
        <f t="shared" si="375"/>
        <v>0</v>
      </c>
      <c r="AE238" s="604">
        <f t="shared" si="424"/>
        <v>0</v>
      </c>
      <c r="AF238" s="44">
        <f t="shared" si="425"/>
        <v>0</v>
      </c>
      <c r="AG238" s="44">
        <f t="shared" si="426"/>
        <v>0</v>
      </c>
      <c r="AH238" s="44">
        <f t="shared" si="427"/>
        <v>0</v>
      </c>
      <c r="AI238" s="44">
        <f t="shared" si="428"/>
        <v>0</v>
      </c>
      <c r="AJ238" s="44">
        <f t="shared" si="429"/>
        <v>0</v>
      </c>
      <c r="AK238" s="44">
        <f t="shared" si="376"/>
        <v>0</v>
      </c>
      <c r="AL238" s="44">
        <f t="shared" si="430"/>
        <v>0</v>
      </c>
      <c r="AM238" s="44">
        <f t="shared" si="377"/>
        <v>0</v>
      </c>
      <c r="AN238" s="44">
        <f t="shared" si="431"/>
        <v>0</v>
      </c>
      <c r="AO238" s="44">
        <f t="shared" si="378"/>
        <v>0</v>
      </c>
      <c r="AP238" s="46">
        <f t="shared" si="379"/>
        <v>0</v>
      </c>
      <c r="AQ238" s="47">
        <f t="shared" si="380"/>
        <v>0</v>
      </c>
      <c r="AR238" s="604">
        <f t="shared" si="432"/>
        <v>0</v>
      </c>
      <c r="AS238" s="44">
        <f t="shared" si="433"/>
        <v>0</v>
      </c>
      <c r="AT238" s="44">
        <f t="shared" si="434"/>
        <v>0</v>
      </c>
      <c r="AU238" s="44">
        <f t="shared" si="435"/>
        <v>0</v>
      </c>
      <c r="AV238" s="44">
        <f t="shared" si="436"/>
        <v>0</v>
      </c>
      <c r="AW238" s="44">
        <f t="shared" si="437"/>
        <v>0</v>
      </c>
      <c r="AX238" s="44">
        <f t="shared" si="381"/>
        <v>0</v>
      </c>
      <c r="AY238" s="44">
        <f t="shared" si="438"/>
        <v>0</v>
      </c>
      <c r="AZ238" s="44">
        <f t="shared" si="382"/>
        <v>0</v>
      </c>
      <c r="BA238" s="44">
        <f t="shared" si="439"/>
        <v>0</v>
      </c>
      <c r="BB238" s="44">
        <f t="shared" si="383"/>
        <v>0</v>
      </c>
      <c r="BC238" s="46">
        <f t="shared" si="384"/>
        <v>0</v>
      </c>
      <c r="BD238" s="47">
        <f t="shared" si="385"/>
        <v>0</v>
      </c>
      <c r="BE238" s="604">
        <f t="shared" si="440"/>
        <v>0</v>
      </c>
      <c r="BF238" s="44">
        <f t="shared" si="441"/>
        <v>0</v>
      </c>
      <c r="BG238" s="44">
        <f t="shared" si="442"/>
        <v>0</v>
      </c>
      <c r="BH238" s="44">
        <f t="shared" si="443"/>
        <v>0</v>
      </c>
      <c r="BI238" s="44">
        <f t="shared" si="444"/>
        <v>0</v>
      </c>
      <c r="BJ238" s="44">
        <f t="shared" si="445"/>
        <v>0</v>
      </c>
      <c r="BK238" s="44">
        <f t="shared" si="386"/>
        <v>0</v>
      </c>
      <c r="BL238" s="44">
        <f t="shared" si="446"/>
        <v>0</v>
      </c>
      <c r="BM238" s="44">
        <f t="shared" si="387"/>
        <v>0</v>
      </c>
      <c r="BN238" s="44">
        <f t="shared" si="447"/>
        <v>0</v>
      </c>
      <c r="BO238" s="44">
        <f t="shared" si="388"/>
        <v>0</v>
      </c>
      <c r="BP238" s="46">
        <f t="shared" si="389"/>
        <v>0</v>
      </c>
      <c r="BQ238" s="47">
        <f t="shared" si="390"/>
        <v>0</v>
      </c>
      <c r="BR238" s="604">
        <f t="shared" si="448"/>
        <v>0</v>
      </c>
      <c r="BS238" s="44">
        <f t="shared" si="449"/>
        <v>0</v>
      </c>
      <c r="BT238" s="44">
        <f t="shared" si="450"/>
        <v>0</v>
      </c>
      <c r="BU238" s="44">
        <f t="shared" si="451"/>
        <v>0</v>
      </c>
      <c r="BV238" s="44">
        <f t="shared" si="452"/>
        <v>0</v>
      </c>
      <c r="BW238" s="44">
        <f t="shared" si="453"/>
        <v>0</v>
      </c>
      <c r="BX238" s="44">
        <f t="shared" si="391"/>
        <v>0</v>
      </c>
      <c r="BY238" s="44">
        <f t="shared" si="454"/>
        <v>0</v>
      </c>
      <c r="BZ238" s="44">
        <f t="shared" si="392"/>
        <v>0</v>
      </c>
      <c r="CA238" s="44">
        <f t="shared" si="455"/>
        <v>0</v>
      </c>
      <c r="CB238" s="44">
        <f t="shared" si="393"/>
        <v>0</v>
      </c>
      <c r="CC238" s="46">
        <f t="shared" si="394"/>
        <v>0</v>
      </c>
      <c r="CD238" s="47">
        <f t="shared" si="395"/>
        <v>0</v>
      </c>
      <c r="CE238" s="604">
        <f t="shared" si="456"/>
        <v>0</v>
      </c>
      <c r="CF238" s="44">
        <f t="shared" si="457"/>
        <v>0</v>
      </c>
      <c r="CG238" s="44">
        <f t="shared" si="458"/>
        <v>0</v>
      </c>
      <c r="CH238" s="44">
        <f t="shared" si="459"/>
        <v>0</v>
      </c>
      <c r="CI238" s="44">
        <f t="shared" si="460"/>
        <v>0</v>
      </c>
      <c r="CJ238" s="44">
        <f t="shared" si="461"/>
        <v>0</v>
      </c>
      <c r="CK238" s="44">
        <f t="shared" si="396"/>
        <v>0</v>
      </c>
      <c r="CL238" s="44">
        <f t="shared" si="462"/>
        <v>0</v>
      </c>
      <c r="CM238" s="44">
        <f t="shared" si="397"/>
        <v>0</v>
      </c>
      <c r="CN238" s="44">
        <f t="shared" si="463"/>
        <v>0</v>
      </c>
      <c r="CO238" s="44">
        <f t="shared" si="398"/>
        <v>0</v>
      </c>
      <c r="CP238" s="46">
        <f t="shared" si="399"/>
        <v>0</v>
      </c>
      <c r="CQ238" s="47">
        <f t="shared" si="400"/>
        <v>0</v>
      </c>
      <c r="CR238" s="604">
        <f t="shared" si="464"/>
        <v>0</v>
      </c>
      <c r="CS238" s="44">
        <f t="shared" si="465"/>
        <v>0</v>
      </c>
      <c r="CT238" s="44">
        <f t="shared" si="466"/>
        <v>0</v>
      </c>
      <c r="CU238" s="44">
        <f t="shared" si="467"/>
        <v>0</v>
      </c>
      <c r="CV238" s="44">
        <f t="shared" si="468"/>
        <v>0</v>
      </c>
      <c r="CW238" s="44">
        <f t="shared" si="469"/>
        <v>0</v>
      </c>
      <c r="CX238" s="44">
        <f t="shared" si="401"/>
        <v>0</v>
      </c>
      <c r="CY238" s="44">
        <f t="shared" si="470"/>
        <v>0</v>
      </c>
      <c r="CZ238" s="44">
        <f t="shared" si="402"/>
        <v>0</v>
      </c>
      <c r="DA238" s="44">
        <f t="shared" si="471"/>
        <v>0</v>
      </c>
      <c r="DB238" s="44">
        <f t="shared" si="403"/>
        <v>0</v>
      </c>
      <c r="DC238" s="46">
        <f t="shared" si="404"/>
        <v>0</v>
      </c>
      <c r="DD238" s="47">
        <f t="shared" si="405"/>
        <v>0</v>
      </c>
      <c r="DE238" s="604">
        <f t="shared" si="472"/>
        <v>0</v>
      </c>
      <c r="DF238" s="44">
        <f t="shared" si="473"/>
        <v>0</v>
      </c>
      <c r="DG238" s="44">
        <f t="shared" si="474"/>
        <v>0</v>
      </c>
      <c r="DH238" s="44">
        <f t="shared" si="475"/>
        <v>0</v>
      </c>
      <c r="DI238" s="44">
        <f t="shared" si="476"/>
        <v>0</v>
      </c>
      <c r="DJ238" s="44">
        <f t="shared" si="477"/>
        <v>0</v>
      </c>
      <c r="DK238" s="44">
        <f t="shared" si="406"/>
        <v>0</v>
      </c>
      <c r="DL238" s="44">
        <f t="shared" si="478"/>
        <v>0</v>
      </c>
      <c r="DM238" s="44">
        <f t="shared" si="407"/>
        <v>0</v>
      </c>
      <c r="DN238" s="44">
        <f t="shared" si="479"/>
        <v>0</v>
      </c>
      <c r="DO238" s="44">
        <f t="shared" si="408"/>
        <v>0</v>
      </c>
      <c r="DP238" s="46">
        <f t="shared" si="409"/>
        <v>0</v>
      </c>
      <c r="DQ238" s="47">
        <f t="shared" si="410"/>
        <v>0</v>
      </c>
      <c r="DR238" s="604">
        <f t="shared" si="480"/>
        <v>0</v>
      </c>
      <c r="DS238" s="44">
        <f t="shared" si="481"/>
        <v>0</v>
      </c>
      <c r="DT238" s="44">
        <f t="shared" si="482"/>
        <v>0</v>
      </c>
      <c r="DU238" s="44">
        <f t="shared" si="483"/>
        <v>0</v>
      </c>
      <c r="DV238" s="44">
        <f t="shared" si="484"/>
        <v>0</v>
      </c>
      <c r="DW238" s="44">
        <f t="shared" si="485"/>
        <v>0</v>
      </c>
      <c r="DX238" s="44">
        <f t="shared" si="411"/>
        <v>0</v>
      </c>
      <c r="DY238" s="44">
        <f t="shared" si="486"/>
        <v>0</v>
      </c>
      <c r="DZ238" s="44">
        <f t="shared" si="412"/>
        <v>0</v>
      </c>
      <c r="EA238" s="44">
        <f t="shared" si="487"/>
        <v>0</v>
      </c>
      <c r="EB238" s="44">
        <f t="shared" si="413"/>
        <v>0</v>
      </c>
      <c r="EC238" s="46">
        <f t="shared" si="414"/>
        <v>0</v>
      </c>
      <c r="ED238" s="47">
        <f t="shared" si="415"/>
        <v>0</v>
      </c>
    </row>
    <row r="239" spans="1:134" x14ac:dyDescent="0.35">
      <c r="A239" s="172"/>
      <c r="B239" s="173"/>
      <c r="C239" s="174"/>
      <c r="D239" s="175"/>
      <c r="E239" s="176"/>
      <c r="F239" s="177"/>
      <c r="G239" s="178"/>
      <c r="H239" s="179"/>
      <c r="I239" s="180"/>
      <c r="J239" s="181"/>
      <c r="K239" s="42">
        <f t="shared" si="366"/>
        <v>0</v>
      </c>
      <c r="L239" s="43">
        <f t="shared" si="367"/>
        <v>0</v>
      </c>
      <c r="M239" s="44">
        <f t="shared" si="368"/>
        <v>0</v>
      </c>
      <c r="N239" s="44"/>
      <c r="O239" s="44">
        <f t="shared" si="369"/>
        <v>0</v>
      </c>
      <c r="P239" s="45"/>
      <c r="Q239" s="44">
        <f t="shared" si="370"/>
        <v>0</v>
      </c>
      <c r="R239" s="604">
        <f t="shared" si="416"/>
        <v>0</v>
      </c>
      <c r="S239" s="44">
        <f t="shared" si="417"/>
        <v>0</v>
      </c>
      <c r="T239" s="44">
        <f t="shared" si="418"/>
        <v>0</v>
      </c>
      <c r="U239" s="44">
        <f t="shared" si="419"/>
        <v>0</v>
      </c>
      <c r="V239" s="44">
        <f t="shared" si="420"/>
        <v>0</v>
      </c>
      <c r="W239" s="44">
        <f t="shared" si="421"/>
        <v>0</v>
      </c>
      <c r="X239" s="44">
        <f t="shared" si="371"/>
        <v>0</v>
      </c>
      <c r="Y239" s="44">
        <f t="shared" si="422"/>
        <v>0</v>
      </c>
      <c r="Z239" s="44">
        <f t="shared" si="372"/>
        <v>0</v>
      </c>
      <c r="AA239" s="44">
        <f t="shared" si="423"/>
        <v>0</v>
      </c>
      <c r="AB239" s="44">
        <f t="shared" si="373"/>
        <v>0</v>
      </c>
      <c r="AC239" s="46">
        <f t="shared" si="374"/>
        <v>0</v>
      </c>
      <c r="AD239" s="47">
        <f t="shared" si="375"/>
        <v>0</v>
      </c>
      <c r="AE239" s="604">
        <f t="shared" si="424"/>
        <v>0</v>
      </c>
      <c r="AF239" s="44">
        <f t="shared" si="425"/>
        <v>0</v>
      </c>
      <c r="AG239" s="44">
        <f t="shared" si="426"/>
        <v>0</v>
      </c>
      <c r="AH239" s="44">
        <f t="shared" si="427"/>
        <v>0</v>
      </c>
      <c r="AI239" s="44">
        <f t="shared" si="428"/>
        <v>0</v>
      </c>
      <c r="AJ239" s="44">
        <f t="shared" si="429"/>
        <v>0</v>
      </c>
      <c r="AK239" s="44">
        <f t="shared" si="376"/>
        <v>0</v>
      </c>
      <c r="AL239" s="44">
        <f t="shared" si="430"/>
        <v>0</v>
      </c>
      <c r="AM239" s="44">
        <f t="shared" si="377"/>
        <v>0</v>
      </c>
      <c r="AN239" s="44">
        <f t="shared" si="431"/>
        <v>0</v>
      </c>
      <c r="AO239" s="44">
        <f t="shared" si="378"/>
        <v>0</v>
      </c>
      <c r="AP239" s="46">
        <f t="shared" si="379"/>
        <v>0</v>
      </c>
      <c r="AQ239" s="47">
        <f t="shared" si="380"/>
        <v>0</v>
      </c>
      <c r="AR239" s="604">
        <f t="shared" si="432"/>
        <v>0</v>
      </c>
      <c r="AS239" s="44">
        <f t="shared" si="433"/>
        <v>0</v>
      </c>
      <c r="AT239" s="44">
        <f t="shared" si="434"/>
        <v>0</v>
      </c>
      <c r="AU239" s="44">
        <f t="shared" si="435"/>
        <v>0</v>
      </c>
      <c r="AV239" s="44">
        <f t="shared" si="436"/>
        <v>0</v>
      </c>
      <c r="AW239" s="44">
        <f t="shared" si="437"/>
        <v>0</v>
      </c>
      <c r="AX239" s="44">
        <f t="shared" si="381"/>
        <v>0</v>
      </c>
      <c r="AY239" s="44">
        <f t="shared" si="438"/>
        <v>0</v>
      </c>
      <c r="AZ239" s="44">
        <f t="shared" si="382"/>
        <v>0</v>
      </c>
      <c r="BA239" s="44">
        <f t="shared" si="439"/>
        <v>0</v>
      </c>
      <c r="BB239" s="44">
        <f t="shared" si="383"/>
        <v>0</v>
      </c>
      <c r="BC239" s="46">
        <f t="shared" si="384"/>
        <v>0</v>
      </c>
      <c r="BD239" s="47">
        <f t="shared" si="385"/>
        <v>0</v>
      </c>
      <c r="BE239" s="604">
        <f t="shared" si="440"/>
        <v>0</v>
      </c>
      <c r="BF239" s="44">
        <f t="shared" si="441"/>
        <v>0</v>
      </c>
      <c r="BG239" s="44">
        <f t="shared" si="442"/>
        <v>0</v>
      </c>
      <c r="BH239" s="44">
        <f t="shared" si="443"/>
        <v>0</v>
      </c>
      <c r="BI239" s="44">
        <f t="shared" si="444"/>
        <v>0</v>
      </c>
      <c r="BJ239" s="44">
        <f t="shared" si="445"/>
        <v>0</v>
      </c>
      <c r="BK239" s="44">
        <f t="shared" si="386"/>
        <v>0</v>
      </c>
      <c r="BL239" s="44">
        <f t="shared" si="446"/>
        <v>0</v>
      </c>
      <c r="BM239" s="44">
        <f t="shared" si="387"/>
        <v>0</v>
      </c>
      <c r="BN239" s="44">
        <f t="shared" si="447"/>
        <v>0</v>
      </c>
      <c r="BO239" s="44">
        <f t="shared" si="388"/>
        <v>0</v>
      </c>
      <c r="BP239" s="46">
        <f t="shared" si="389"/>
        <v>0</v>
      </c>
      <c r="BQ239" s="47">
        <f t="shared" si="390"/>
        <v>0</v>
      </c>
      <c r="BR239" s="604">
        <f t="shared" si="448"/>
        <v>0</v>
      </c>
      <c r="BS239" s="44">
        <f t="shared" si="449"/>
        <v>0</v>
      </c>
      <c r="BT239" s="44">
        <f t="shared" si="450"/>
        <v>0</v>
      </c>
      <c r="BU239" s="44">
        <f t="shared" si="451"/>
        <v>0</v>
      </c>
      <c r="BV239" s="44">
        <f t="shared" si="452"/>
        <v>0</v>
      </c>
      <c r="BW239" s="44">
        <f t="shared" si="453"/>
        <v>0</v>
      </c>
      <c r="BX239" s="44">
        <f t="shared" si="391"/>
        <v>0</v>
      </c>
      <c r="BY239" s="44">
        <f t="shared" si="454"/>
        <v>0</v>
      </c>
      <c r="BZ239" s="44">
        <f t="shared" si="392"/>
        <v>0</v>
      </c>
      <c r="CA239" s="44">
        <f t="shared" si="455"/>
        <v>0</v>
      </c>
      <c r="CB239" s="44">
        <f t="shared" si="393"/>
        <v>0</v>
      </c>
      <c r="CC239" s="46">
        <f t="shared" si="394"/>
        <v>0</v>
      </c>
      <c r="CD239" s="47">
        <f t="shared" si="395"/>
        <v>0</v>
      </c>
      <c r="CE239" s="604">
        <f t="shared" si="456"/>
        <v>0</v>
      </c>
      <c r="CF239" s="44">
        <f t="shared" si="457"/>
        <v>0</v>
      </c>
      <c r="CG239" s="44">
        <f t="shared" si="458"/>
        <v>0</v>
      </c>
      <c r="CH239" s="44">
        <f t="shared" si="459"/>
        <v>0</v>
      </c>
      <c r="CI239" s="44">
        <f t="shared" si="460"/>
        <v>0</v>
      </c>
      <c r="CJ239" s="44">
        <f t="shared" si="461"/>
        <v>0</v>
      </c>
      <c r="CK239" s="44">
        <f t="shared" si="396"/>
        <v>0</v>
      </c>
      <c r="CL239" s="44">
        <f t="shared" si="462"/>
        <v>0</v>
      </c>
      <c r="CM239" s="44">
        <f t="shared" si="397"/>
        <v>0</v>
      </c>
      <c r="CN239" s="44">
        <f t="shared" si="463"/>
        <v>0</v>
      </c>
      <c r="CO239" s="44">
        <f t="shared" si="398"/>
        <v>0</v>
      </c>
      <c r="CP239" s="46">
        <f t="shared" si="399"/>
        <v>0</v>
      </c>
      <c r="CQ239" s="47">
        <f t="shared" si="400"/>
        <v>0</v>
      </c>
      <c r="CR239" s="604">
        <f t="shared" si="464"/>
        <v>0</v>
      </c>
      <c r="CS239" s="44">
        <f t="shared" si="465"/>
        <v>0</v>
      </c>
      <c r="CT239" s="44">
        <f t="shared" si="466"/>
        <v>0</v>
      </c>
      <c r="CU239" s="44">
        <f t="shared" si="467"/>
        <v>0</v>
      </c>
      <c r="CV239" s="44">
        <f t="shared" si="468"/>
        <v>0</v>
      </c>
      <c r="CW239" s="44">
        <f t="shared" si="469"/>
        <v>0</v>
      </c>
      <c r="CX239" s="44">
        <f t="shared" si="401"/>
        <v>0</v>
      </c>
      <c r="CY239" s="44">
        <f t="shared" si="470"/>
        <v>0</v>
      </c>
      <c r="CZ239" s="44">
        <f t="shared" si="402"/>
        <v>0</v>
      </c>
      <c r="DA239" s="44">
        <f t="shared" si="471"/>
        <v>0</v>
      </c>
      <c r="DB239" s="44">
        <f t="shared" si="403"/>
        <v>0</v>
      </c>
      <c r="DC239" s="46">
        <f t="shared" si="404"/>
        <v>0</v>
      </c>
      <c r="DD239" s="47">
        <f t="shared" si="405"/>
        <v>0</v>
      </c>
      <c r="DE239" s="604">
        <f t="shared" si="472"/>
        <v>0</v>
      </c>
      <c r="DF239" s="44">
        <f t="shared" si="473"/>
        <v>0</v>
      </c>
      <c r="DG239" s="44">
        <f t="shared" si="474"/>
        <v>0</v>
      </c>
      <c r="DH239" s="44">
        <f t="shared" si="475"/>
        <v>0</v>
      </c>
      <c r="DI239" s="44">
        <f t="shared" si="476"/>
        <v>0</v>
      </c>
      <c r="DJ239" s="44">
        <f t="shared" si="477"/>
        <v>0</v>
      </c>
      <c r="DK239" s="44">
        <f t="shared" si="406"/>
        <v>0</v>
      </c>
      <c r="DL239" s="44">
        <f t="shared" si="478"/>
        <v>0</v>
      </c>
      <c r="DM239" s="44">
        <f t="shared" si="407"/>
        <v>0</v>
      </c>
      <c r="DN239" s="44">
        <f t="shared" si="479"/>
        <v>0</v>
      </c>
      <c r="DO239" s="44">
        <f t="shared" si="408"/>
        <v>0</v>
      </c>
      <c r="DP239" s="46">
        <f t="shared" si="409"/>
        <v>0</v>
      </c>
      <c r="DQ239" s="47">
        <f t="shared" si="410"/>
        <v>0</v>
      </c>
      <c r="DR239" s="604">
        <f t="shared" si="480"/>
        <v>0</v>
      </c>
      <c r="DS239" s="44">
        <f t="shared" si="481"/>
        <v>0</v>
      </c>
      <c r="DT239" s="44">
        <f t="shared" si="482"/>
        <v>0</v>
      </c>
      <c r="DU239" s="44">
        <f t="shared" si="483"/>
        <v>0</v>
      </c>
      <c r="DV239" s="44">
        <f t="shared" si="484"/>
        <v>0</v>
      </c>
      <c r="DW239" s="44">
        <f t="shared" si="485"/>
        <v>0</v>
      </c>
      <c r="DX239" s="44">
        <f t="shared" si="411"/>
        <v>0</v>
      </c>
      <c r="DY239" s="44">
        <f t="shared" si="486"/>
        <v>0</v>
      </c>
      <c r="DZ239" s="44">
        <f t="shared" si="412"/>
        <v>0</v>
      </c>
      <c r="EA239" s="44">
        <f t="shared" si="487"/>
        <v>0</v>
      </c>
      <c r="EB239" s="44">
        <f t="shared" si="413"/>
        <v>0</v>
      </c>
      <c r="EC239" s="46">
        <f t="shared" si="414"/>
        <v>0</v>
      </c>
      <c r="ED239" s="47">
        <f t="shared" si="415"/>
        <v>0</v>
      </c>
    </row>
    <row r="240" spans="1:134" x14ac:dyDescent="0.35">
      <c r="A240" s="172"/>
      <c r="B240" s="173"/>
      <c r="C240" s="174"/>
      <c r="D240" s="175"/>
      <c r="E240" s="176"/>
      <c r="F240" s="177"/>
      <c r="G240" s="178"/>
      <c r="H240" s="179"/>
      <c r="I240" s="180"/>
      <c r="J240" s="181"/>
      <c r="K240" s="42">
        <f t="shared" si="366"/>
        <v>0</v>
      </c>
      <c r="L240" s="43">
        <f t="shared" si="367"/>
        <v>0</v>
      </c>
      <c r="M240" s="44">
        <f t="shared" si="368"/>
        <v>0</v>
      </c>
      <c r="N240" s="44"/>
      <c r="O240" s="44">
        <f t="shared" si="369"/>
        <v>0</v>
      </c>
      <c r="P240" s="45"/>
      <c r="Q240" s="44">
        <f t="shared" si="370"/>
        <v>0</v>
      </c>
      <c r="R240" s="604">
        <f t="shared" si="416"/>
        <v>0</v>
      </c>
      <c r="S240" s="44">
        <f t="shared" si="417"/>
        <v>0</v>
      </c>
      <c r="T240" s="44">
        <f t="shared" si="418"/>
        <v>0</v>
      </c>
      <c r="U240" s="44">
        <f t="shared" si="419"/>
        <v>0</v>
      </c>
      <c r="V240" s="44">
        <f t="shared" si="420"/>
        <v>0</v>
      </c>
      <c r="W240" s="44">
        <f t="shared" si="421"/>
        <v>0</v>
      </c>
      <c r="X240" s="44">
        <f t="shared" si="371"/>
        <v>0</v>
      </c>
      <c r="Y240" s="44">
        <f t="shared" si="422"/>
        <v>0</v>
      </c>
      <c r="Z240" s="44">
        <f t="shared" si="372"/>
        <v>0</v>
      </c>
      <c r="AA240" s="44">
        <f t="shared" si="423"/>
        <v>0</v>
      </c>
      <c r="AB240" s="44">
        <f t="shared" si="373"/>
        <v>0</v>
      </c>
      <c r="AC240" s="46">
        <f t="shared" si="374"/>
        <v>0</v>
      </c>
      <c r="AD240" s="47">
        <f t="shared" si="375"/>
        <v>0</v>
      </c>
      <c r="AE240" s="604">
        <f t="shared" si="424"/>
        <v>0</v>
      </c>
      <c r="AF240" s="44">
        <f t="shared" si="425"/>
        <v>0</v>
      </c>
      <c r="AG240" s="44">
        <f t="shared" si="426"/>
        <v>0</v>
      </c>
      <c r="AH240" s="44">
        <f t="shared" si="427"/>
        <v>0</v>
      </c>
      <c r="AI240" s="44">
        <f t="shared" si="428"/>
        <v>0</v>
      </c>
      <c r="AJ240" s="44">
        <f t="shared" si="429"/>
        <v>0</v>
      </c>
      <c r="AK240" s="44">
        <f t="shared" si="376"/>
        <v>0</v>
      </c>
      <c r="AL240" s="44">
        <f t="shared" si="430"/>
        <v>0</v>
      </c>
      <c r="AM240" s="44">
        <f t="shared" si="377"/>
        <v>0</v>
      </c>
      <c r="AN240" s="44">
        <f t="shared" si="431"/>
        <v>0</v>
      </c>
      <c r="AO240" s="44">
        <f t="shared" si="378"/>
        <v>0</v>
      </c>
      <c r="AP240" s="46">
        <f t="shared" si="379"/>
        <v>0</v>
      </c>
      <c r="AQ240" s="47">
        <f t="shared" si="380"/>
        <v>0</v>
      </c>
      <c r="AR240" s="604">
        <f t="shared" si="432"/>
        <v>0</v>
      </c>
      <c r="AS240" s="44">
        <f t="shared" si="433"/>
        <v>0</v>
      </c>
      <c r="AT240" s="44">
        <f t="shared" si="434"/>
        <v>0</v>
      </c>
      <c r="AU240" s="44">
        <f t="shared" si="435"/>
        <v>0</v>
      </c>
      <c r="AV240" s="44">
        <f t="shared" si="436"/>
        <v>0</v>
      </c>
      <c r="AW240" s="44">
        <f t="shared" si="437"/>
        <v>0</v>
      </c>
      <c r="AX240" s="44">
        <f t="shared" si="381"/>
        <v>0</v>
      </c>
      <c r="AY240" s="44">
        <f t="shared" si="438"/>
        <v>0</v>
      </c>
      <c r="AZ240" s="44">
        <f t="shared" si="382"/>
        <v>0</v>
      </c>
      <c r="BA240" s="44">
        <f t="shared" si="439"/>
        <v>0</v>
      </c>
      <c r="BB240" s="44">
        <f t="shared" si="383"/>
        <v>0</v>
      </c>
      <c r="BC240" s="46">
        <f t="shared" si="384"/>
        <v>0</v>
      </c>
      <c r="BD240" s="47">
        <f t="shared" si="385"/>
        <v>0</v>
      </c>
      <c r="BE240" s="604">
        <f t="shared" si="440"/>
        <v>0</v>
      </c>
      <c r="BF240" s="44">
        <f t="shared" si="441"/>
        <v>0</v>
      </c>
      <c r="BG240" s="44">
        <f t="shared" si="442"/>
        <v>0</v>
      </c>
      <c r="BH240" s="44">
        <f t="shared" si="443"/>
        <v>0</v>
      </c>
      <c r="BI240" s="44">
        <f t="shared" si="444"/>
        <v>0</v>
      </c>
      <c r="BJ240" s="44">
        <f t="shared" si="445"/>
        <v>0</v>
      </c>
      <c r="BK240" s="44">
        <f t="shared" si="386"/>
        <v>0</v>
      </c>
      <c r="BL240" s="44">
        <f t="shared" si="446"/>
        <v>0</v>
      </c>
      <c r="BM240" s="44">
        <f t="shared" si="387"/>
        <v>0</v>
      </c>
      <c r="BN240" s="44">
        <f t="shared" si="447"/>
        <v>0</v>
      </c>
      <c r="BO240" s="44">
        <f t="shared" si="388"/>
        <v>0</v>
      </c>
      <c r="BP240" s="46">
        <f t="shared" si="389"/>
        <v>0</v>
      </c>
      <c r="BQ240" s="47">
        <f t="shared" si="390"/>
        <v>0</v>
      </c>
      <c r="BR240" s="604">
        <f t="shared" si="448"/>
        <v>0</v>
      </c>
      <c r="BS240" s="44">
        <f t="shared" si="449"/>
        <v>0</v>
      </c>
      <c r="BT240" s="44">
        <f t="shared" si="450"/>
        <v>0</v>
      </c>
      <c r="BU240" s="44">
        <f t="shared" si="451"/>
        <v>0</v>
      </c>
      <c r="BV240" s="44">
        <f t="shared" si="452"/>
        <v>0</v>
      </c>
      <c r="BW240" s="44">
        <f t="shared" si="453"/>
        <v>0</v>
      </c>
      <c r="BX240" s="44">
        <f t="shared" si="391"/>
        <v>0</v>
      </c>
      <c r="BY240" s="44">
        <f t="shared" si="454"/>
        <v>0</v>
      </c>
      <c r="BZ240" s="44">
        <f t="shared" si="392"/>
        <v>0</v>
      </c>
      <c r="CA240" s="44">
        <f t="shared" si="455"/>
        <v>0</v>
      </c>
      <c r="CB240" s="44">
        <f t="shared" si="393"/>
        <v>0</v>
      </c>
      <c r="CC240" s="46">
        <f t="shared" si="394"/>
        <v>0</v>
      </c>
      <c r="CD240" s="47">
        <f t="shared" si="395"/>
        <v>0</v>
      </c>
      <c r="CE240" s="604">
        <f t="shared" si="456"/>
        <v>0</v>
      </c>
      <c r="CF240" s="44">
        <f t="shared" si="457"/>
        <v>0</v>
      </c>
      <c r="CG240" s="44">
        <f t="shared" si="458"/>
        <v>0</v>
      </c>
      <c r="CH240" s="44">
        <f t="shared" si="459"/>
        <v>0</v>
      </c>
      <c r="CI240" s="44">
        <f t="shared" si="460"/>
        <v>0</v>
      </c>
      <c r="CJ240" s="44">
        <f t="shared" si="461"/>
        <v>0</v>
      </c>
      <c r="CK240" s="44">
        <f t="shared" si="396"/>
        <v>0</v>
      </c>
      <c r="CL240" s="44">
        <f t="shared" si="462"/>
        <v>0</v>
      </c>
      <c r="CM240" s="44">
        <f t="shared" si="397"/>
        <v>0</v>
      </c>
      <c r="CN240" s="44">
        <f t="shared" si="463"/>
        <v>0</v>
      </c>
      <c r="CO240" s="44">
        <f t="shared" si="398"/>
        <v>0</v>
      </c>
      <c r="CP240" s="46">
        <f t="shared" si="399"/>
        <v>0</v>
      </c>
      <c r="CQ240" s="47">
        <f t="shared" si="400"/>
        <v>0</v>
      </c>
      <c r="CR240" s="604">
        <f t="shared" si="464"/>
        <v>0</v>
      </c>
      <c r="CS240" s="44">
        <f t="shared" si="465"/>
        <v>0</v>
      </c>
      <c r="CT240" s="44">
        <f t="shared" si="466"/>
        <v>0</v>
      </c>
      <c r="CU240" s="44">
        <f t="shared" si="467"/>
        <v>0</v>
      </c>
      <c r="CV240" s="44">
        <f t="shared" si="468"/>
        <v>0</v>
      </c>
      <c r="CW240" s="44">
        <f t="shared" si="469"/>
        <v>0</v>
      </c>
      <c r="CX240" s="44">
        <f t="shared" si="401"/>
        <v>0</v>
      </c>
      <c r="CY240" s="44">
        <f t="shared" si="470"/>
        <v>0</v>
      </c>
      <c r="CZ240" s="44">
        <f t="shared" si="402"/>
        <v>0</v>
      </c>
      <c r="DA240" s="44">
        <f t="shared" si="471"/>
        <v>0</v>
      </c>
      <c r="DB240" s="44">
        <f t="shared" si="403"/>
        <v>0</v>
      </c>
      <c r="DC240" s="46">
        <f t="shared" si="404"/>
        <v>0</v>
      </c>
      <c r="DD240" s="47">
        <f t="shared" si="405"/>
        <v>0</v>
      </c>
      <c r="DE240" s="604">
        <f t="shared" si="472"/>
        <v>0</v>
      </c>
      <c r="DF240" s="44">
        <f t="shared" si="473"/>
        <v>0</v>
      </c>
      <c r="DG240" s="44">
        <f t="shared" si="474"/>
        <v>0</v>
      </c>
      <c r="DH240" s="44">
        <f t="shared" si="475"/>
        <v>0</v>
      </c>
      <c r="DI240" s="44">
        <f t="shared" si="476"/>
        <v>0</v>
      </c>
      <c r="DJ240" s="44">
        <f t="shared" si="477"/>
        <v>0</v>
      </c>
      <c r="DK240" s="44">
        <f t="shared" si="406"/>
        <v>0</v>
      </c>
      <c r="DL240" s="44">
        <f t="shared" si="478"/>
        <v>0</v>
      </c>
      <c r="DM240" s="44">
        <f t="shared" si="407"/>
        <v>0</v>
      </c>
      <c r="DN240" s="44">
        <f t="shared" si="479"/>
        <v>0</v>
      </c>
      <c r="DO240" s="44">
        <f t="shared" si="408"/>
        <v>0</v>
      </c>
      <c r="DP240" s="46">
        <f t="shared" si="409"/>
        <v>0</v>
      </c>
      <c r="DQ240" s="47">
        <f t="shared" si="410"/>
        <v>0</v>
      </c>
      <c r="DR240" s="604">
        <f t="shared" si="480"/>
        <v>0</v>
      </c>
      <c r="DS240" s="44">
        <f t="shared" si="481"/>
        <v>0</v>
      </c>
      <c r="DT240" s="44">
        <f t="shared" si="482"/>
        <v>0</v>
      </c>
      <c r="DU240" s="44">
        <f t="shared" si="483"/>
        <v>0</v>
      </c>
      <c r="DV240" s="44">
        <f t="shared" si="484"/>
        <v>0</v>
      </c>
      <c r="DW240" s="44">
        <f t="shared" si="485"/>
        <v>0</v>
      </c>
      <c r="DX240" s="44">
        <f t="shared" si="411"/>
        <v>0</v>
      </c>
      <c r="DY240" s="44">
        <f t="shared" si="486"/>
        <v>0</v>
      </c>
      <c r="DZ240" s="44">
        <f t="shared" si="412"/>
        <v>0</v>
      </c>
      <c r="EA240" s="44">
        <f t="shared" si="487"/>
        <v>0</v>
      </c>
      <c r="EB240" s="44">
        <f t="shared" si="413"/>
        <v>0</v>
      </c>
      <c r="EC240" s="46">
        <f t="shared" si="414"/>
        <v>0</v>
      </c>
      <c r="ED240" s="47">
        <f t="shared" si="415"/>
        <v>0</v>
      </c>
    </row>
    <row r="241" spans="1:134" x14ac:dyDescent="0.35">
      <c r="A241" s="172"/>
      <c r="B241" s="173"/>
      <c r="C241" s="174"/>
      <c r="D241" s="175"/>
      <c r="E241" s="176"/>
      <c r="F241" s="177"/>
      <c r="G241" s="178"/>
      <c r="H241" s="179"/>
      <c r="I241" s="180"/>
      <c r="J241" s="181"/>
      <c r="K241" s="42">
        <f t="shared" si="366"/>
        <v>0</v>
      </c>
      <c r="L241" s="43">
        <f t="shared" si="367"/>
        <v>0</v>
      </c>
      <c r="M241" s="44">
        <f t="shared" si="368"/>
        <v>0</v>
      </c>
      <c r="N241" s="44"/>
      <c r="O241" s="44">
        <f t="shared" si="369"/>
        <v>0</v>
      </c>
      <c r="P241" s="45"/>
      <c r="Q241" s="44">
        <f t="shared" si="370"/>
        <v>0</v>
      </c>
      <c r="R241" s="604">
        <f t="shared" si="416"/>
        <v>0</v>
      </c>
      <c r="S241" s="44">
        <f t="shared" si="417"/>
        <v>0</v>
      </c>
      <c r="T241" s="44">
        <f t="shared" si="418"/>
        <v>0</v>
      </c>
      <c r="U241" s="44">
        <f t="shared" si="419"/>
        <v>0</v>
      </c>
      <c r="V241" s="44">
        <f t="shared" si="420"/>
        <v>0</v>
      </c>
      <c r="W241" s="44">
        <f t="shared" si="421"/>
        <v>0</v>
      </c>
      <c r="X241" s="44">
        <f t="shared" si="371"/>
        <v>0</v>
      </c>
      <c r="Y241" s="44">
        <f t="shared" si="422"/>
        <v>0</v>
      </c>
      <c r="Z241" s="44">
        <f t="shared" si="372"/>
        <v>0</v>
      </c>
      <c r="AA241" s="44">
        <f t="shared" si="423"/>
        <v>0</v>
      </c>
      <c r="AB241" s="44">
        <f t="shared" si="373"/>
        <v>0</v>
      </c>
      <c r="AC241" s="46">
        <f t="shared" si="374"/>
        <v>0</v>
      </c>
      <c r="AD241" s="47">
        <f t="shared" si="375"/>
        <v>0</v>
      </c>
      <c r="AE241" s="604">
        <f t="shared" si="424"/>
        <v>0</v>
      </c>
      <c r="AF241" s="44">
        <f t="shared" si="425"/>
        <v>0</v>
      </c>
      <c r="AG241" s="44">
        <f t="shared" si="426"/>
        <v>0</v>
      </c>
      <c r="AH241" s="44">
        <f t="shared" si="427"/>
        <v>0</v>
      </c>
      <c r="AI241" s="44">
        <f t="shared" si="428"/>
        <v>0</v>
      </c>
      <c r="AJ241" s="44">
        <f t="shared" si="429"/>
        <v>0</v>
      </c>
      <c r="AK241" s="44">
        <f t="shared" si="376"/>
        <v>0</v>
      </c>
      <c r="AL241" s="44">
        <f t="shared" si="430"/>
        <v>0</v>
      </c>
      <c r="AM241" s="44">
        <f t="shared" si="377"/>
        <v>0</v>
      </c>
      <c r="AN241" s="44">
        <f t="shared" si="431"/>
        <v>0</v>
      </c>
      <c r="AO241" s="44">
        <f t="shared" si="378"/>
        <v>0</v>
      </c>
      <c r="AP241" s="46">
        <f t="shared" si="379"/>
        <v>0</v>
      </c>
      <c r="AQ241" s="47">
        <f t="shared" si="380"/>
        <v>0</v>
      </c>
      <c r="AR241" s="604">
        <f t="shared" si="432"/>
        <v>0</v>
      </c>
      <c r="AS241" s="44">
        <f t="shared" si="433"/>
        <v>0</v>
      </c>
      <c r="AT241" s="44">
        <f t="shared" si="434"/>
        <v>0</v>
      </c>
      <c r="AU241" s="44">
        <f t="shared" si="435"/>
        <v>0</v>
      </c>
      <c r="AV241" s="44">
        <f t="shared" si="436"/>
        <v>0</v>
      </c>
      <c r="AW241" s="44">
        <f t="shared" si="437"/>
        <v>0</v>
      </c>
      <c r="AX241" s="44">
        <f t="shared" si="381"/>
        <v>0</v>
      </c>
      <c r="AY241" s="44">
        <f t="shared" si="438"/>
        <v>0</v>
      </c>
      <c r="AZ241" s="44">
        <f t="shared" si="382"/>
        <v>0</v>
      </c>
      <c r="BA241" s="44">
        <f t="shared" si="439"/>
        <v>0</v>
      </c>
      <c r="BB241" s="44">
        <f t="shared" si="383"/>
        <v>0</v>
      </c>
      <c r="BC241" s="46">
        <f t="shared" si="384"/>
        <v>0</v>
      </c>
      <c r="BD241" s="47">
        <f t="shared" si="385"/>
        <v>0</v>
      </c>
      <c r="BE241" s="604">
        <f t="shared" si="440"/>
        <v>0</v>
      </c>
      <c r="BF241" s="44">
        <f t="shared" si="441"/>
        <v>0</v>
      </c>
      <c r="BG241" s="44">
        <f t="shared" si="442"/>
        <v>0</v>
      </c>
      <c r="BH241" s="44">
        <f t="shared" si="443"/>
        <v>0</v>
      </c>
      <c r="BI241" s="44">
        <f t="shared" si="444"/>
        <v>0</v>
      </c>
      <c r="BJ241" s="44">
        <f t="shared" si="445"/>
        <v>0</v>
      </c>
      <c r="BK241" s="44">
        <f t="shared" si="386"/>
        <v>0</v>
      </c>
      <c r="BL241" s="44">
        <f t="shared" si="446"/>
        <v>0</v>
      </c>
      <c r="BM241" s="44">
        <f t="shared" si="387"/>
        <v>0</v>
      </c>
      <c r="BN241" s="44">
        <f t="shared" si="447"/>
        <v>0</v>
      </c>
      <c r="BO241" s="44">
        <f t="shared" si="388"/>
        <v>0</v>
      </c>
      <c r="BP241" s="46">
        <f t="shared" si="389"/>
        <v>0</v>
      </c>
      <c r="BQ241" s="47">
        <f t="shared" si="390"/>
        <v>0</v>
      </c>
      <c r="BR241" s="604">
        <f t="shared" si="448"/>
        <v>0</v>
      </c>
      <c r="BS241" s="44">
        <f t="shared" si="449"/>
        <v>0</v>
      </c>
      <c r="BT241" s="44">
        <f t="shared" si="450"/>
        <v>0</v>
      </c>
      <c r="BU241" s="44">
        <f t="shared" si="451"/>
        <v>0</v>
      </c>
      <c r="BV241" s="44">
        <f t="shared" si="452"/>
        <v>0</v>
      </c>
      <c r="BW241" s="44">
        <f t="shared" si="453"/>
        <v>0</v>
      </c>
      <c r="BX241" s="44">
        <f t="shared" si="391"/>
        <v>0</v>
      </c>
      <c r="BY241" s="44">
        <f t="shared" si="454"/>
        <v>0</v>
      </c>
      <c r="BZ241" s="44">
        <f t="shared" si="392"/>
        <v>0</v>
      </c>
      <c r="CA241" s="44">
        <f t="shared" si="455"/>
        <v>0</v>
      </c>
      <c r="CB241" s="44">
        <f t="shared" si="393"/>
        <v>0</v>
      </c>
      <c r="CC241" s="46">
        <f t="shared" si="394"/>
        <v>0</v>
      </c>
      <c r="CD241" s="47">
        <f t="shared" si="395"/>
        <v>0</v>
      </c>
      <c r="CE241" s="604">
        <f t="shared" si="456"/>
        <v>0</v>
      </c>
      <c r="CF241" s="44">
        <f t="shared" si="457"/>
        <v>0</v>
      </c>
      <c r="CG241" s="44">
        <f t="shared" si="458"/>
        <v>0</v>
      </c>
      <c r="CH241" s="44">
        <f t="shared" si="459"/>
        <v>0</v>
      </c>
      <c r="CI241" s="44">
        <f t="shared" si="460"/>
        <v>0</v>
      </c>
      <c r="CJ241" s="44">
        <f t="shared" si="461"/>
        <v>0</v>
      </c>
      <c r="CK241" s="44">
        <f t="shared" si="396"/>
        <v>0</v>
      </c>
      <c r="CL241" s="44">
        <f t="shared" si="462"/>
        <v>0</v>
      </c>
      <c r="CM241" s="44">
        <f t="shared" si="397"/>
        <v>0</v>
      </c>
      <c r="CN241" s="44">
        <f t="shared" si="463"/>
        <v>0</v>
      </c>
      <c r="CO241" s="44">
        <f t="shared" si="398"/>
        <v>0</v>
      </c>
      <c r="CP241" s="46">
        <f t="shared" si="399"/>
        <v>0</v>
      </c>
      <c r="CQ241" s="47">
        <f t="shared" si="400"/>
        <v>0</v>
      </c>
      <c r="CR241" s="604">
        <f t="shared" si="464"/>
        <v>0</v>
      </c>
      <c r="CS241" s="44">
        <f t="shared" si="465"/>
        <v>0</v>
      </c>
      <c r="CT241" s="44">
        <f t="shared" si="466"/>
        <v>0</v>
      </c>
      <c r="CU241" s="44">
        <f t="shared" si="467"/>
        <v>0</v>
      </c>
      <c r="CV241" s="44">
        <f t="shared" si="468"/>
        <v>0</v>
      </c>
      <c r="CW241" s="44">
        <f t="shared" si="469"/>
        <v>0</v>
      </c>
      <c r="CX241" s="44">
        <f t="shared" si="401"/>
        <v>0</v>
      </c>
      <c r="CY241" s="44">
        <f t="shared" si="470"/>
        <v>0</v>
      </c>
      <c r="CZ241" s="44">
        <f t="shared" si="402"/>
        <v>0</v>
      </c>
      <c r="DA241" s="44">
        <f t="shared" si="471"/>
        <v>0</v>
      </c>
      <c r="DB241" s="44">
        <f t="shared" si="403"/>
        <v>0</v>
      </c>
      <c r="DC241" s="46">
        <f t="shared" si="404"/>
        <v>0</v>
      </c>
      <c r="DD241" s="47">
        <f t="shared" si="405"/>
        <v>0</v>
      </c>
      <c r="DE241" s="604">
        <f t="shared" si="472"/>
        <v>0</v>
      </c>
      <c r="DF241" s="44">
        <f t="shared" si="473"/>
        <v>0</v>
      </c>
      <c r="DG241" s="44">
        <f t="shared" si="474"/>
        <v>0</v>
      </c>
      <c r="DH241" s="44">
        <f t="shared" si="475"/>
        <v>0</v>
      </c>
      <c r="DI241" s="44">
        <f t="shared" si="476"/>
        <v>0</v>
      </c>
      <c r="DJ241" s="44">
        <f t="shared" si="477"/>
        <v>0</v>
      </c>
      <c r="DK241" s="44">
        <f t="shared" si="406"/>
        <v>0</v>
      </c>
      <c r="DL241" s="44">
        <f t="shared" si="478"/>
        <v>0</v>
      </c>
      <c r="DM241" s="44">
        <f t="shared" si="407"/>
        <v>0</v>
      </c>
      <c r="DN241" s="44">
        <f t="shared" si="479"/>
        <v>0</v>
      </c>
      <c r="DO241" s="44">
        <f t="shared" si="408"/>
        <v>0</v>
      </c>
      <c r="DP241" s="46">
        <f t="shared" si="409"/>
        <v>0</v>
      </c>
      <c r="DQ241" s="47">
        <f t="shared" si="410"/>
        <v>0</v>
      </c>
      <c r="DR241" s="604">
        <f t="shared" si="480"/>
        <v>0</v>
      </c>
      <c r="DS241" s="44">
        <f t="shared" si="481"/>
        <v>0</v>
      </c>
      <c r="DT241" s="44">
        <f t="shared" si="482"/>
        <v>0</v>
      </c>
      <c r="DU241" s="44">
        <f t="shared" si="483"/>
        <v>0</v>
      </c>
      <c r="DV241" s="44">
        <f t="shared" si="484"/>
        <v>0</v>
      </c>
      <c r="DW241" s="44">
        <f t="shared" si="485"/>
        <v>0</v>
      </c>
      <c r="DX241" s="44">
        <f t="shared" si="411"/>
        <v>0</v>
      </c>
      <c r="DY241" s="44">
        <f t="shared" si="486"/>
        <v>0</v>
      </c>
      <c r="DZ241" s="44">
        <f t="shared" si="412"/>
        <v>0</v>
      </c>
      <c r="EA241" s="44">
        <f t="shared" si="487"/>
        <v>0</v>
      </c>
      <c r="EB241" s="44">
        <f t="shared" si="413"/>
        <v>0</v>
      </c>
      <c r="EC241" s="46">
        <f t="shared" si="414"/>
        <v>0</v>
      </c>
      <c r="ED241" s="47">
        <f t="shared" si="415"/>
        <v>0</v>
      </c>
    </row>
    <row r="242" spans="1:134" x14ac:dyDescent="0.35">
      <c r="A242" s="172"/>
      <c r="B242" s="173"/>
      <c r="C242" s="174"/>
      <c r="D242" s="175"/>
      <c r="E242" s="176"/>
      <c r="F242" s="177"/>
      <c r="G242" s="178"/>
      <c r="H242" s="179"/>
      <c r="I242" s="180"/>
      <c r="J242" s="181"/>
      <c r="K242" s="42">
        <f t="shared" si="366"/>
        <v>0</v>
      </c>
      <c r="L242" s="43">
        <f t="shared" si="367"/>
        <v>0</v>
      </c>
      <c r="M242" s="44">
        <f t="shared" si="368"/>
        <v>0</v>
      </c>
      <c r="N242" s="44"/>
      <c r="O242" s="44">
        <f t="shared" si="369"/>
        <v>0</v>
      </c>
      <c r="P242" s="45"/>
      <c r="Q242" s="44">
        <f t="shared" si="370"/>
        <v>0</v>
      </c>
      <c r="R242" s="604">
        <f t="shared" si="416"/>
        <v>0</v>
      </c>
      <c r="S242" s="44">
        <f t="shared" si="417"/>
        <v>0</v>
      </c>
      <c r="T242" s="44">
        <f t="shared" si="418"/>
        <v>0</v>
      </c>
      <c r="U242" s="44">
        <f t="shared" si="419"/>
        <v>0</v>
      </c>
      <c r="V242" s="44">
        <f t="shared" si="420"/>
        <v>0</v>
      </c>
      <c r="W242" s="44">
        <f t="shared" si="421"/>
        <v>0</v>
      </c>
      <c r="X242" s="44">
        <f t="shared" si="371"/>
        <v>0</v>
      </c>
      <c r="Y242" s="44">
        <f t="shared" si="422"/>
        <v>0</v>
      </c>
      <c r="Z242" s="44">
        <f t="shared" si="372"/>
        <v>0</v>
      </c>
      <c r="AA242" s="44">
        <f t="shared" si="423"/>
        <v>0</v>
      </c>
      <c r="AB242" s="44">
        <f t="shared" si="373"/>
        <v>0</v>
      </c>
      <c r="AC242" s="46">
        <f t="shared" si="374"/>
        <v>0</v>
      </c>
      <c r="AD242" s="47">
        <f t="shared" si="375"/>
        <v>0</v>
      </c>
      <c r="AE242" s="604">
        <f t="shared" si="424"/>
        <v>0</v>
      </c>
      <c r="AF242" s="44">
        <f t="shared" si="425"/>
        <v>0</v>
      </c>
      <c r="AG242" s="44">
        <f t="shared" si="426"/>
        <v>0</v>
      </c>
      <c r="AH242" s="44">
        <f t="shared" si="427"/>
        <v>0</v>
      </c>
      <c r="AI242" s="44">
        <f t="shared" si="428"/>
        <v>0</v>
      </c>
      <c r="AJ242" s="44">
        <f t="shared" si="429"/>
        <v>0</v>
      </c>
      <c r="AK242" s="44">
        <f t="shared" si="376"/>
        <v>0</v>
      </c>
      <c r="AL242" s="44">
        <f t="shared" si="430"/>
        <v>0</v>
      </c>
      <c r="AM242" s="44">
        <f t="shared" si="377"/>
        <v>0</v>
      </c>
      <c r="AN242" s="44">
        <f t="shared" si="431"/>
        <v>0</v>
      </c>
      <c r="AO242" s="44">
        <f t="shared" si="378"/>
        <v>0</v>
      </c>
      <c r="AP242" s="46">
        <f t="shared" si="379"/>
        <v>0</v>
      </c>
      <c r="AQ242" s="47">
        <f t="shared" si="380"/>
        <v>0</v>
      </c>
      <c r="AR242" s="604">
        <f t="shared" si="432"/>
        <v>0</v>
      </c>
      <c r="AS242" s="44">
        <f t="shared" si="433"/>
        <v>0</v>
      </c>
      <c r="AT242" s="44">
        <f t="shared" si="434"/>
        <v>0</v>
      </c>
      <c r="AU242" s="44">
        <f t="shared" si="435"/>
        <v>0</v>
      </c>
      <c r="AV242" s="44">
        <f t="shared" si="436"/>
        <v>0</v>
      </c>
      <c r="AW242" s="44">
        <f t="shared" si="437"/>
        <v>0</v>
      </c>
      <c r="AX242" s="44">
        <f t="shared" si="381"/>
        <v>0</v>
      </c>
      <c r="AY242" s="44">
        <f t="shared" si="438"/>
        <v>0</v>
      </c>
      <c r="AZ242" s="44">
        <f t="shared" si="382"/>
        <v>0</v>
      </c>
      <c r="BA242" s="44">
        <f t="shared" si="439"/>
        <v>0</v>
      </c>
      <c r="BB242" s="44">
        <f t="shared" si="383"/>
        <v>0</v>
      </c>
      <c r="BC242" s="46">
        <f t="shared" si="384"/>
        <v>0</v>
      </c>
      <c r="BD242" s="47">
        <f t="shared" si="385"/>
        <v>0</v>
      </c>
      <c r="BE242" s="604">
        <f t="shared" si="440"/>
        <v>0</v>
      </c>
      <c r="BF242" s="44">
        <f t="shared" si="441"/>
        <v>0</v>
      </c>
      <c r="BG242" s="44">
        <f t="shared" si="442"/>
        <v>0</v>
      </c>
      <c r="BH242" s="44">
        <f t="shared" si="443"/>
        <v>0</v>
      </c>
      <c r="BI242" s="44">
        <f t="shared" si="444"/>
        <v>0</v>
      </c>
      <c r="BJ242" s="44">
        <f t="shared" si="445"/>
        <v>0</v>
      </c>
      <c r="BK242" s="44">
        <f t="shared" si="386"/>
        <v>0</v>
      </c>
      <c r="BL242" s="44">
        <f t="shared" si="446"/>
        <v>0</v>
      </c>
      <c r="BM242" s="44">
        <f t="shared" si="387"/>
        <v>0</v>
      </c>
      <c r="BN242" s="44">
        <f t="shared" si="447"/>
        <v>0</v>
      </c>
      <c r="BO242" s="44">
        <f t="shared" si="388"/>
        <v>0</v>
      </c>
      <c r="BP242" s="46">
        <f t="shared" si="389"/>
        <v>0</v>
      </c>
      <c r="BQ242" s="47">
        <f t="shared" si="390"/>
        <v>0</v>
      </c>
      <c r="BR242" s="604">
        <f t="shared" si="448"/>
        <v>0</v>
      </c>
      <c r="BS242" s="44">
        <f t="shared" si="449"/>
        <v>0</v>
      </c>
      <c r="BT242" s="44">
        <f t="shared" si="450"/>
        <v>0</v>
      </c>
      <c r="BU242" s="44">
        <f t="shared" si="451"/>
        <v>0</v>
      </c>
      <c r="BV242" s="44">
        <f t="shared" si="452"/>
        <v>0</v>
      </c>
      <c r="BW242" s="44">
        <f t="shared" si="453"/>
        <v>0</v>
      </c>
      <c r="BX242" s="44">
        <f t="shared" si="391"/>
        <v>0</v>
      </c>
      <c r="BY242" s="44">
        <f t="shared" si="454"/>
        <v>0</v>
      </c>
      <c r="BZ242" s="44">
        <f t="shared" si="392"/>
        <v>0</v>
      </c>
      <c r="CA242" s="44">
        <f t="shared" si="455"/>
        <v>0</v>
      </c>
      <c r="CB242" s="44">
        <f t="shared" si="393"/>
        <v>0</v>
      </c>
      <c r="CC242" s="46">
        <f t="shared" si="394"/>
        <v>0</v>
      </c>
      <c r="CD242" s="47">
        <f t="shared" si="395"/>
        <v>0</v>
      </c>
      <c r="CE242" s="604">
        <f t="shared" si="456"/>
        <v>0</v>
      </c>
      <c r="CF242" s="44">
        <f t="shared" si="457"/>
        <v>0</v>
      </c>
      <c r="CG242" s="44">
        <f t="shared" si="458"/>
        <v>0</v>
      </c>
      <c r="CH242" s="44">
        <f t="shared" si="459"/>
        <v>0</v>
      </c>
      <c r="CI242" s="44">
        <f t="shared" si="460"/>
        <v>0</v>
      </c>
      <c r="CJ242" s="44">
        <f t="shared" si="461"/>
        <v>0</v>
      </c>
      <c r="CK242" s="44">
        <f t="shared" si="396"/>
        <v>0</v>
      </c>
      <c r="CL242" s="44">
        <f t="shared" si="462"/>
        <v>0</v>
      </c>
      <c r="CM242" s="44">
        <f t="shared" si="397"/>
        <v>0</v>
      </c>
      <c r="CN242" s="44">
        <f t="shared" si="463"/>
        <v>0</v>
      </c>
      <c r="CO242" s="44">
        <f t="shared" si="398"/>
        <v>0</v>
      </c>
      <c r="CP242" s="46">
        <f t="shared" si="399"/>
        <v>0</v>
      </c>
      <c r="CQ242" s="47">
        <f t="shared" si="400"/>
        <v>0</v>
      </c>
      <c r="CR242" s="604">
        <f t="shared" si="464"/>
        <v>0</v>
      </c>
      <c r="CS242" s="44">
        <f t="shared" si="465"/>
        <v>0</v>
      </c>
      <c r="CT242" s="44">
        <f t="shared" si="466"/>
        <v>0</v>
      </c>
      <c r="CU242" s="44">
        <f t="shared" si="467"/>
        <v>0</v>
      </c>
      <c r="CV242" s="44">
        <f t="shared" si="468"/>
        <v>0</v>
      </c>
      <c r="CW242" s="44">
        <f t="shared" si="469"/>
        <v>0</v>
      </c>
      <c r="CX242" s="44">
        <f t="shared" si="401"/>
        <v>0</v>
      </c>
      <c r="CY242" s="44">
        <f t="shared" si="470"/>
        <v>0</v>
      </c>
      <c r="CZ242" s="44">
        <f t="shared" si="402"/>
        <v>0</v>
      </c>
      <c r="DA242" s="44">
        <f t="shared" si="471"/>
        <v>0</v>
      </c>
      <c r="DB242" s="44">
        <f t="shared" si="403"/>
        <v>0</v>
      </c>
      <c r="DC242" s="46">
        <f t="shared" si="404"/>
        <v>0</v>
      </c>
      <c r="DD242" s="47">
        <f t="shared" si="405"/>
        <v>0</v>
      </c>
      <c r="DE242" s="604">
        <f t="shared" si="472"/>
        <v>0</v>
      </c>
      <c r="DF242" s="44">
        <f t="shared" si="473"/>
        <v>0</v>
      </c>
      <c r="DG242" s="44">
        <f t="shared" si="474"/>
        <v>0</v>
      </c>
      <c r="DH242" s="44">
        <f t="shared" si="475"/>
        <v>0</v>
      </c>
      <c r="DI242" s="44">
        <f t="shared" si="476"/>
        <v>0</v>
      </c>
      <c r="DJ242" s="44">
        <f t="shared" si="477"/>
        <v>0</v>
      </c>
      <c r="DK242" s="44">
        <f t="shared" si="406"/>
        <v>0</v>
      </c>
      <c r="DL242" s="44">
        <f t="shared" si="478"/>
        <v>0</v>
      </c>
      <c r="DM242" s="44">
        <f t="shared" si="407"/>
        <v>0</v>
      </c>
      <c r="DN242" s="44">
        <f t="shared" si="479"/>
        <v>0</v>
      </c>
      <c r="DO242" s="44">
        <f t="shared" si="408"/>
        <v>0</v>
      </c>
      <c r="DP242" s="46">
        <f t="shared" si="409"/>
        <v>0</v>
      </c>
      <c r="DQ242" s="47">
        <f t="shared" si="410"/>
        <v>0</v>
      </c>
      <c r="DR242" s="604">
        <f t="shared" si="480"/>
        <v>0</v>
      </c>
      <c r="DS242" s="44">
        <f t="shared" si="481"/>
        <v>0</v>
      </c>
      <c r="DT242" s="44">
        <f t="shared" si="482"/>
        <v>0</v>
      </c>
      <c r="DU242" s="44">
        <f t="shared" si="483"/>
        <v>0</v>
      </c>
      <c r="DV242" s="44">
        <f t="shared" si="484"/>
        <v>0</v>
      </c>
      <c r="DW242" s="44">
        <f t="shared" si="485"/>
        <v>0</v>
      </c>
      <c r="DX242" s="44">
        <f t="shared" si="411"/>
        <v>0</v>
      </c>
      <c r="DY242" s="44">
        <f t="shared" si="486"/>
        <v>0</v>
      </c>
      <c r="DZ242" s="44">
        <f t="shared" si="412"/>
        <v>0</v>
      </c>
      <c r="EA242" s="44">
        <f t="shared" si="487"/>
        <v>0</v>
      </c>
      <c r="EB242" s="44">
        <f t="shared" si="413"/>
        <v>0</v>
      </c>
      <c r="EC242" s="46">
        <f t="shared" si="414"/>
        <v>0</v>
      </c>
      <c r="ED242" s="47">
        <f t="shared" si="415"/>
        <v>0</v>
      </c>
    </row>
    <row r="243" spans="1:134" x14ac:dyDescent="0.35">
      <c r="A243" s="172"/>
      <c r="B243" s="173"/>
      <c r="C243" s="174"/>
      <c r="D243" s="175"/>
      <c r="E243" s="176"/>
      <c r="F243" s="177"/>
      <c r="G243" s="178"/>
      <c r="H243" s="179"/>
      <c r="I243" s="180"/>
      <c r="J243" s="181"/>
      <c r="K243" s="42">
        <f t="shared" si="366"/>
        <v>0</v>
      </c>
      <c r="L243" s="43">
        <f t="shared" si="367"/>
        <v>0</v>
      </c>
      <c r="M243" s="44">
        <f t="shared" si="368"/>
        <v>0</v>
      </c>
      <c r="N243" s="44"/>
      <c r="O243" s="44">
        <f t="shared" si="369"/>
        <v>0</v>
      </c>
      <c r="P243" s="45"/>
      <c r="Q243" s="44">
        <f t="shared" si="370"/>
        <v>0</v>
      </c>
      <c r="R243" s="604">
        <f t="shared" si="416"/>
        <v>0</v>
      </c>
      <c r="S243" s="44">
        <f t="shared" si="417"/>
        <v>0</v>
      </c>
      <c r="T243" s="44">
        <f t="shared" si="418"/>
        <v>0</v>
      </c>
      <c r="U243" s="44">
        <f t="shared" si="419"/>
        <v>0</v>
      </c>
      <c r="V243" s="44">
        <f t="shared" si="420"/>
        <v>0</v>
      </c>
      <c r="W243" s="44">
        <f t="shared" si="421"/>
        <v>0</v>
      </c>
      <c r="X243" s="44">
        <f t="shared" si="371"/>
        <v>0</v>
      </c>
      <c r="Y243" s="44">
        <f t="shared" si="422"/>
        <v>0</v>
      </c>
      <c r="Z243" s="44">
        <f t="shared" si="372"/>
        <v>0</v>
      </c>
      <c r="AA243" s="44">
        <f t="shared" si="423"/>
        <v>0</v>
      </c>
      <c r="AB243" s="44">
        <f t="shared" si="373"/>
        <v>0</v>
      </c>
      <c r="AC243" s="46">
        <f t="shared" si="374"/>
        <v>0</v>
      </c>
      <c r="AD243" s="47">
        <f t="shared" si="375"/>
        <v>0</v>
      </c>
      <c r="AE243" s="604">
        <f t="shared" si="424"/>
        <v>0</v>
      </c>
      <c r="AF243" s="44">
        <f t="shared" si="425"/>
        <v>0</v>
      </c>
      <c r="AG243" s="44">
        <f t="shared" si="426"/>
        <v>0</v>
      </c>
      <c r="AH243" s="44">
        <f t="shared" si="427"/>
        <v>0</v>
      </c>
      <c r="AI243" s="44">
        <f t="shared" si="428"/>
        <v>0</v>
      </c>
      <c r="AJ243" s="44">
        <f t="shared" si="429"/>
        <v>0</v>
      </c>
      <c r="AK243" s="44">
        <f t="shared" si="376"/>
        <v>0</v>
      </c>
      <c r="AL243" s="44">
        <f t="shared" si="430"/>
        <v>0</v>
      </c>
      <c r="AM243" s="44">
        <f t="shared" si="377"/>
        <v>0</v>
      </c>
      <c r="AN243" s="44">
        <f t="shared" si="431"/>
        <v>0</v>
      </c>
      <c r="AO243" s="44">
        <f t="shared" si="378"/>
        <v>0</v>
      </c>
      <c r="AP243" s="46">
        <f t="shared" si="379"/>
        <v>0</v>
      </c>
      <c r="AQ243" s="47">
        <f t="shared" si="380"/>
        <v>0</v>
      </c>
      <c r="AR243" s="604">
        <f t="shared" si="432"/>
        <v>0</v>
      </c>
      <c r="AS243" s="44">
        <f t="shared" si="433"/>
        <v>0</v>
      </c>
      <c r="AT243" s="44">
        <f t="shared" si="434"/>
        <v>0</v>
      </c>
      <c r="AU243" s="44">
        <f t="shared" si="435"/>
        <v>0</v>
      </c>
      <c r="AV243" s="44">
        <f t="shared" si="436"/>
        <v>0</v>
      </c>
      <c r="AW243" s="44">
        <f t="shared" si="437"/>
        <v>0</v>
      </c>
      <c r="AX243" s="44">
        <f t="shared" si="381"/>
        <v>0</v>
      </c>
      <c r="AY243" s="44">
        <f t="shared" si="438"/>
        <v>0</v>
      </c>
      <c r="AZ243" s="44">
        <f t="shared" si="382"/>
        <v>0</v>
      </c>
      <c r="BA243" s="44">
        <f t="shared" si="439"/>
        <v>0</v>
      </c>
      <c r="BB243" s="44">
        <f t="shared" si="383"/>
        <v>0</v>
      </c>
      <c r="BC243" s="46">
        <f t="shared" si="384"/>
        <v>0</v>
      </c>
      <c r="BD243" s="47">
        <f t="shared" si="385"/>
        <v>0</v>
      </c>
      <c r="BE243" s="604">
        <f t="shared" si="440"/>
        <v>0</v>
      </c>
      <c r="BF243" s="44">
        <f t="shared" si="441"/>
        <v>0</v>
      </c>
      <c r="BG243" s="44">
        <f t="shared" si="442"/>
        <v>0</v>
      </c>
      <c r="BH243" s="44">
        <f t="shared" si="443"/>
        <v>0</v>
      </c>
      <c r="BI243" s="44">
        <f t="shared" si="444"/>
        <v>0</v>
      </c>
      <c r="BJ243" s="44">
        <f t="shared" si="445"/>
        <v>0</v>
      </c>
      <c r="BK243" s="44">
        <f t="shared" si="386"/>
        <v>0</v>
      </c>
      <c r="BL243" s="44">
        <f t="shared" si="446"/>
        <v>0</v>
      </c>
      <c r="BM243" s="44">
        <f t="shared" si="387"/>
        <v>0</v>
      </c>
      <c r="BN243" s="44">
        <f t="shared" si="447"/>
        <v>0</v>
      </c>
      <c r="BO243" s="44">
        <f t="shared" si="388"/>
        <v>0</v>
      </c>
      <c r="BP243" s="46">
        <f t="shared" si="389"/>
        <v>0</v>
      </c>
      <c r="BQ243" s="47">
        <f t="shared" si="390"/>
        <v>0</v>
      </c>
      <c r="BR243" s="604">
        <f t="shared" si="448"/>
        <v>0</v>
      </c>
      <c r="BS243" s="44">
        <f t="shared" si="449"/>
        <v>0</v>
      </c>
      <c r="BT243" s="44">
        <f t="shared" si="450"/>
        <v>0</v>
      </c>
      <c r="BU243" s="44">
        <f t="shared" si="451"/>
        <v>0</v>
      </c>
      <c r="BV243" s="44">
        <f t="shared" si="452"/>
        <v>0</v>
      </c>
      <c r="BW243" s="44">
        <f t="shared" si="453"/>
        <v>0</v>
      </c>
      <c r="BX243" s="44">
        <f t="shared" si="391"/>
        <v>0</v>
      </c>
      <c r="BY243" s="44">
        <f t="shared" si="454"/>
        <v>0</v>
      </c>
      <c r="BZ243" s="44">
        <f t="shared" si="392"/>
        <v>0</v>
      </c>
      <c r="CA243" s="44">
        <f t="shared" si="455"/>
        <v>0</v>
      </c>
      <c r="CB243" s="44">
        <f t="shared" si="393"/>
        <v>0</v>
      </c>
      <c r="CC243" s="46">
        <f t="shared" si="394"/>
        <v>0</v>
      </c>
      <c r="CD243" s="47">
        <f t="shared" si="395"/>
        <v>0</v>
      </c>
      <c r="CE243" s="604">
        <f t="shared" si="456"/>
        <v>0</v>
      </c>
      <c r="CF243" s="44">
        <f t="shared" si="457"/>
        <v>0</v>
      </c>
      <c r="CG243" s="44">
        <f t="shared" si="458"/>
        <v>0</v>
      </c>
      <c r="CH243" s="44">
        <f t="shared" si="459"/>
        <v>0</v>
      </c>
      <c r="CI243" s="44">
        <f t="shared" si="460"/>
        <v>0</v>
      </c>
      <c r="CJ243" s="44">
        <f t="shared" si="461"/>
        <v>0</v>
      </c>
      <c r="CK243" s="44">
        <f t="shared" si="396"/>
        <v>0</v>
      </c>
      <c r="CL243" s="44">
        <f t="shared" si="462"/>
        <v>0</v>
      </c>
      <c r="CM243" s="44">
        <f t="shared" si="397"/>
        <v>0</v>
      </c>
      <c r="CN243" s="44">
        <f t="shared" si="463"/>
        <v>0</v>
      </c>
      <c r="CO243" s="44">
        <f t="shared" si="398"/>
        <v>0</v>
      </c>
      <c r="CP243" s="46">
        <f t="shared" si="399"/>
        <v>0</v>
      </c>
      <c r="CQ243" s="47">
        <f t="shared" si="400"/>
        <v>0</v>
      </c>
      <c r="CR243" s="604">
        <f t="shared" si="464"/>
        <v>0</v>
      </c>
      <c r="CS243" s="44">
        <f t="shared" si="465"/>
        <v>0</v>
      </c>
      <c r="CT243" s="44">
        <f t="shared" si="466"/>
        <v>0</v>
      </c>
      <c r="CU243" s="44">
        <f t="shared" si="467"/>
        <v>0</v>
      </c>
      <c r="CV243" s="44">
        <f t="shared" si="468"/>
        <v>0</v>
      </c>
      <c r="CW243" s="44">
        <f t="shared" si="469"/>
        <v>0</v>
      </c>
      <c r="CX243" s="44">
        <f t="shared" si="401"/>
        <v>0</v>
      </c>
      <c r="CY243" s="44">
        <f t="shared" si="470"/>
        <v>0</v>
      </c>
      <c r="CZ243" s="44">
        <f t="shared" si="402"/>
        <v>0</v>
      </c>
      <c r="DA243" s="44">
        <f t="shared" si="471"/>
        <v>0</v>
      </c>
      <c r="DB243" s="44">
        <f t="shared" si="403"/>
        <v>0</v>
      </c>
      <c r="DC243" s="46">
        <f t="shared" si="404"/>
        <v>0</v>
      </c>
      <c r="DD243" s="47">
        <f t="shared" si="405"/>
        <v>0</v>
      </c>
      <c r="DE243" s="604">
        <f t="shared" si="472"/>
        <v>0</v>
      </c>
      <c r="DF243" s="44">
        <f t="shared" si="473"/>
        <v>0</v>
      </c>
      <c r="DG243" s="44">
        <f t="shared" si="474"/>
        <v>0</v>
      </c>
      <c r="DH243" s="44">
        <f t="shared" si="475"/>
        <v>0</v>
      </c>
      <c r="DI243" s="44">
        <f t="shared" si="476"/>
        <v>0</v>
      </c>
      <c r="DJ243" s="44">
        <f t="shared" si="477"/>
        <v>0</v>
      </c>
      <c r="DK243" s="44">
        <f t="shared" si="406"/>
        <v>0</v>
      </c>
      <c r="DL243" s="44">
        <f t="shared" si="478"/>
        <v>0</v>
      </c>
      <c r="DM243" s="44">
        <f t="shared" si="407"/>
        <v>0</v>
      </c>
      <c r="DN243" s="44">
        <f t="shared" si="479"/>
        <v>0</v>
      </c>
      <c r="DO243" s="44">
        <f t="shared" si="408"/>
        <v>0</v>
      </c>
      <c r="DP243" s="46">
        <f t="shared" si="409"/>
        <v>0</v>
      </c>
      <c r="DQ243" s="47">
        <f t="shared" si="410"/>
        <v>0</v>
      </c>
      <c r="DR243" s="604">
        <f t="shared" si="480"/>
        <v>0</v>
      </c>
      <c r="DS243" s="44">
        <f t="shared" si="481"/>
        <v>0</v>
      </c>
      <c r="DT243" s="44">
        <f t="shared" si="482"/>
        <v>0</v>
      </c>
      <c r="DU243" s="44">
        <f t="shared" si="483"/>
        <v>0</v>
      </c>
      <c r="DV243" s="44">
        <f t="shared" si="484"/>
        <v>0</v>
      </c>
      <c r="DW243" s="44">
        <f t="shared" si="485"/>
        <v>0</v>
      </c>
      <c r="DX243" s="44">
        <f t="shared" si="411"/>
        <v>0</v>
      </c>
      <c r="DY243" s="44">
        <f t="shared" si="486"/>
        <v>0</v>
      </c>
      <c r="DZ243" s="44">
        <f t="shared" si="412"/>
        <v>0</v>
      </c>
      <c r="EA243" s="44">
        <f t="shared" si="487"/>
        <v>0</v>
      </c>
      <c r="EB243" s="44">
        <f t="shared" si="413"/>
        <v>0</v>
      </c>
      <c r="EC243" s="46">
        <f t="shared" si="414"/>
        <v>0</v>
      </c>
      <c r="ED243" s="47">
        <f t="shared" si="415"/>
        <v>0</v>
      </c>
    </row>
    <row r="244" spans="1:134" x14ac:dyDescent="0.35">
      <c r="A244" s="172"/>
      <c r="B244" s="173"/>
      <c r="C244" s="174"/>
      <c r="D244" s="175"/>
      <c r="E244" s="176"/>
      <c r="F244" s="177"/>
      <c r="G244" s="178"/>
      <c r="H244" s="179"/>
      <c r="I244" s="180"/>
      <c r="J244" s="181"/>
      <c r="K244" s="42">
        <f t="shared" si="366"/>
        <v>0</v>
      </c>
      <c r="L244" s="43">
        <f t="shared" si="367"/>
        <v>0</v>
      </c>
      <c r="M244" s="44">
        <f t="shared" si="368"/>
        <v>0</v>
      </c>
      <c r="N244" s="44"/>
      <c r="O244" s="44">
        <f t="shared" si="369"/>
        <v>0</v>
      </c>
      <c r="P244" s="45"/>
      <c r="Q244" s="44">
        <f t="shared" si="370"/>
        <v>0</v>
      </c>
      <c r="R244" s="604">
        <f t="shared" si="416"/>
        <v>0</v>
      </c>
      <c r="S244" s="44">
        <f t="shared" si="417"/>
        <v>0</v>
      </c>
      <c r="T244" s="44">
        <f t="shared" si="418"/>
        <v>0</v>
      </c>
      <c r="U244" s="44">
        <f t="shared" si="419"/>
        <v>0</v>
      </c>
      <c r="V244" s="44">
        <f t="shared" si="420"/>
        <v>0</v>
      </c>
      <c r="W244" s="44">
        <f t="shared" si="421"/>
        <v>0</v>
      </c>
      <c r="X244" s="44">
        <f t="shared" si="371"/>
        <v>0</v>
      </c>
      <c r="Y244" s="44">
        <f t="shared" si="422"/>
        <v>0</v>
      </c>
      <c r="Z244" s="44">
        <f t="shared" si="372"/>
        <v>0</v>
      </c>
      <c r="AA244" s="44">
        <f t="shared" si="423"/>
        <v>0</v>
      </c>
      <c r="AB244" s="44">
        <f t="shared" si="373"/>
        <v>0</v>
      </c>
      <c r="AC244" s="46">
        <f t="shared" si="374"/>
        <v>0</v>
      </c>
      <c r="AD244" s="47">
        <f t="shared" si="375"/>
        <v>0</v>
      </c>
      <c r="AE244" s="604">
        <f t="shared" si="424"/>
        <v>0</v>
      </c>
      <c r="AF244" s="44">
        <f t="shared" si="425"/>
        <v>0</v>
      </c>
      <c r="AG244" s="44">
        <f t="shared" si="426"/>
        <v>0</v>
      </c>
      <c r="AH244" s="44">
        <f t="shared" si="427"/>
        <v>0</v>
      </c>
      <c r="AI244" s="44">
        <f t="shared" si="428"/>
        <v>0</v>
      </c>
      <c r="AJ244" s="44">
        <f t="shared" si="429"/>
        <v>0</v>
      </c>
      <c r="AK244" s="44">
        <f t="shared" si="376"/>
        <v>0</v>
      </c>
      <c r="AL244" s="44">
        <f t="shared" si="430"/>
        <v>0</v>
      </c>
      <c r="AM244" s="44">
        <f t="shared" si="377"/>
        <v>0</v>
      </c>
      <c r="AN244" s="44">
        <f t="shared" si="431"/>
        <v>0</v>
      </c>
      <c r="AO244" s="44">
        <f t="shared" si="378"/>
        <v>0</v>
      </c>
      <c r="AP244" s="46">
        <f t="shared" si="379"/>
        <v>0</v>
      </c>
      <c r="AQ244" s="47">
        <f t="shared" si="380"/>
        <v>0</v>
      </c>
      <c r="AR244" s="604">
        <f t="shared" si="432"/>
        <v>0</v>
      </c>
      <c r="AS244" s="44">
        <f t="shared" si="433"/>
        <v>0</v>
      </c>
      <c r="AT244" s="44">
        <f t="shared" si="434"/>
        <v>0</v>
      </c>
      <c r="AU244" s="44">
        <f t="shared" si="435"/>
        <v>0</v>
      </c>
      <c r="AV244" s="44">
        <f t="shared" si="436"/>
        <v>0</v>
      </c>
      <c r="AW244" s="44">
        <f t="shared" si="437"/>
        <v>0</v>
      </c>
      <c r="AX244" s="44">
        <f t="shared" si="381"/>
        <v>0</v>
      </c>
      <c r="AY244" s="44">
        <f t="shared" si="438"/>
        <v>0</v>
      </c>
      <c r="AZ244" s="44">
        <f t="shared" si="382"/>
        <v>0</v>
      </c>
      <c r="BA244" s="44">
        <f t="shared" si="439"/>
        <v>0</v>
      </c>
      <c r="BB244" s="44">
        <f t="shared" si="383"/>
        <v>0</v>
      </c>
      <c r="BC244" s="46">
        <f t="shared" si="384"/>
        <v>0</v>
      </c>
      <c r="BD244" s="47">
        <f t="shared" si="385"/>
        <v>0</v>
      </c>
      <c r="BE244" s="604">
        <f t="shared" si="440"/>
        <v>0</v>
      </c>
      <c r="BF244" s="44">
        <f t="shared" si="441"/>
        <v>0</v>
      </c>
      <c r="BG244" s="44">
        <f t="shared" si="442"/>
        <v>0</v>
      </c>
      <c r="BH244" s="44">
        <f t="shared" si="443"/>
        <v>0</v>
      </c>
      <c r="BI244" s="44">
        <f t="shared" si="444"/>
        <v>0</v>
      </c>
      <c r="BJ244" s="44">
        <f t="shared" si="445"/>
        <v>0</v>
      </c>
      <c r="BK244" s="44">
        <f t="shared" si="386"/>
        <v>0</v>
      </c>
      <c r="BL244" s="44">
        <f t="shared" si="446"/>
        <v>0</v>
      </c>
      <c r="BM244" s="44">
        <f t="shared" si="387"/>
        <v>0</v>
      </c>
      <c r="BN244" s="44">
        <f t="shared" si="447"/>
        <v>0</v>
      </c>
      <c r="BO244" s="44">
        <f t="shared" si="388"/>
        <v>0</v>
      </c>
      <c r="BP244" s="46">
        <f t="shared" si="389"/>
        <v>0</v>
      </c>
      <c r="BQ244" s="47">
        <f t="shared" si="390"/>
        <v>0</v>
      </c>
      <c r="BR244" s="604">
        <f t="shared" si="448"/>
        <v>0</v>
      </c>
      <c r="BS244" s="44">
        <f t="shared" si="449"/>
        <v>0</v>
      </c>
      <c r="BT244" s="44">
        <f t="shared" si="450"/>
        <v>0</v>
      </c>
      <c r="BU244" s="44">
        <f t="shared" si="451"/>
        <v>0</v>
      </c>
      <c r="BV244" s="44">
        <f t="shared" si="452"/>
        <v>0</v>
      </c>
      <c r="BW244" s="44">
        <f t="shared" si="453"/>
        <v>0</v>
      </c>
      <c r="BX244" s="44">
        <f t="shared" si="391"/>
        <v>0</v>
      </c>
      <c r="BY244" s="44">
        <f t="shared" si="454"/>
        <v>0</v>
      </c>
      <c r="BZ244" s="44">
        <f t="shared" si="392"/>
        <v>0</v>
      </c>
      <c r="CA244" s="44">
        <f t="shared" si="455"/>
        <v>0</v>
      </c>
      <c r="CB244" s="44">
        <f t="shared" si="393"/>
        <v>0</v>
      </c>
      <c r="CC244" s="46">
        <f t="shared" si="394"/>
        <v>0</v>
      </c>
      <c r="CD244" s="47">
        <f t="shared" si="395"/>
        <v>0</v>
      </c>
      <c r="CE244" s="604">
        <f t="shared" si="456"/>
        <v>0</v>
      </c>
      <c r="CF244" s="44">
        <f t="shared" si="457"/>
        <v>0</v>
      </c>
      <c r="CG244" s="44">
        <f t="shared" si="458"/>
        <v>0</v>
      </c>
      <c r="CH244" s="44">
        <f t="shared" si="459"/>
        <v>0</v>
      </c>
      <c r="CI244" s="44">
        <f t="shared" si="460"/>
        <v>0</v>
      </c>
      <c r="CJ244" s="44">
        <f t="shared" si="461"/>
        <v>0</v>
      </c>
      <c r="CK244" s="44">
        <f t="shared" si="396"/>
        <v>0</v>
      </c>
      <c r="CL244" s="44">
        <f t="shared" si="462"/>
        <v>0</v>
      </c>
      <c r="CM244" s="44">
        <f t="shared" si="397"/>
        <v>0</v>
      </c>
      <c r="CN244" s="44">
        <f t="shared" si="463"/>
        <v>0</v>
      </c>
      <c r="CO244" s="44">
        <f t="shared" si="398"/>
        <v>0</v>
      </c>
      <c r="CP244" s="46">
        <f t="shared" si="399"/>
        <v>0</v>
      </c>
      <c r="CQ244" s="47">
        <f t="shared" si="400"/>
        <v>0</v>
      </c>
      <c r="CR244" s="604">
        <f t="shared" si="464"/>
        <v>0</v>
      </c>
      <c r="CS244" s="44">
        <f t="shared" si="465"/>
        <v>0</v>
      </c>
      <c r="CT244" s="44">
        <f t="shared" si="466"/>
        <v>0</v>
      </c>
      <c r="CU244" s="44">
        <f t="shared" si="467"/>
        <v>0</v>
      </c>
      <c r="CV244" s="44">
        <f t="shared" si="468"/>
        <v>0</v>
      </c>
      <c r="CW244" s="44">
        <f t="shared" si="469"/>
        <v>0</v>
      </c>
      <c r="CX244" s="44">
        <f t="shared" si="401"/>
        <v>0</v>
      </c>
      <c r="CY244" s="44">
        <f t="shared" si="470"/>
        <v>0</v>
      </c>
      <c r="CZ244" s="44">
        <f t="shared" si="402"/>
        <v>0</v>
      </c>
      <c r="DA244" s="44">
        <f t="shared" si="471"/>
        <v>0</v>
      </c>
      <c r="DB244" s="44">
        <f t="shared" si="403"/>
        <v>0</v>
      </c>
      <c r="DC244" s="46">
        <f t="shared" si="404"/>
        <v>0</v>
      </c>
      <c r="DD244" s="47">
        <f t="shared" si="405"/>
        <v>0</v>
      </c>
      <c r="DE244" s="604">
        <f t="shared" si="472"/>
        <v>0</v>
      </c>
      <c r="DF244" s="44">
        <f t="shared" si="473"/>
        <v>0</v>
      </c>
      <c r="DG244" s="44">
        <f t="shared" si="474"/>
        <v>0</v>
      </c>
      <c r="DH244" s="44">
        <f t="shared" si="475"/>
        <v>0</v>
      </c>
      <c r="DI244" s="44">
        <f t="shared" si="476"/>
        <v>0</v>
      </c>
      <c r="DJ244" s="44">
        <f t="shared" si="477"/>
        <v>0</v>
      </c>
      <c r="DK244" s="44">
        <f t="shared" si="406"/>
        <v>0</v>
      </c>
      <c r="DL244" s="44">
        <f t="shared" si="478"/>
        <v>0</v>
      </c>
      <c r="DM244" s="44">
        <f t="shared" si="407"/>
        <v>0</v>
      </c>
      <c r="DN244" s="44">
        <f t="shared" si="479"/>
        <v>0</v>
      </c>
      <c r="DO244" s="44">
        <f t="shared" si="408"/>
        <v>0</v>
      </c>
      <c r="DP244" s="46">
        <f t="shared" si="409"/>
        <v>0</v>
      </c>
      <c r="DQ244" s="47">
        <f t="shared" si="410"/>
        <v>0</v>
      </c>
      <c r="DR244" s="604">
        <f t="shared" si="480"/>
        <v>0</v>
      </c>
      <c r="DS244" s="44">
        <f t="shared" si="481"/>
        <v>0</v>
      </c>
      <c r="DT244" s="44">
        <f t="shared" si="482"/>
        <v>0</v>
      </c>
      <c r="DU244" s="44">
        <f t="shared" si="483"/>
        <v>0</v>
      </c>
      <c r="DV244" s="44">
        <f t="shared" si="484"/>
        <v>0</v>
      </c>
      <c r="DW244" s="44">
        <f t="shared" si="485"/>
        <v>0</v>
      </c>
      <c r="DX244" s="44">
        <f t="shared" si="411"/>
        <v>0</v>
      </c>
      <c r="DY244" s="44">
        <f t="shared" si="486"/>
        <v>0</v>
      </c>
      <c r="DZ244" s="44">
        <f t="shared" si="412"/>
        <v>0</v>
      </c>
      <c r="EA244" s="44">
        <f t="shared" si="487"/>
        <v>0</v>
      </c>
      <c r="EB244" s="44">
        <f t="shared" si="413"/>
        <v>0</v>
      </c>
      <c r="EC244" s="46">
        <f t="shared" si="414"/>
        <v>0</v>
      </c>
      <c r="ED244" s="47">
        <f t="shared" si="415"/>
        <v>0</v>
      </c>
    </row>
    <row r="245" spans="1:134" x14ac:dyDescent="0.35">
      <c r="A245" s="172"/>
      <c r="B245" s="173"/>
      <c r="C245" s="174"/>
      <c r="D245" s="175"/>
      <c r="E245" s="176"/>
      <c r="F245" s="177"/>
      <c r="G245" s="178"/>
      <c r="H245" s="179"/>
      <c r="I245" s="180"/>
      <c r="J245" s="181"/>
      <c r="K245" s="42">
        <f t="shared" si="366"/>
        <v>0</v>
      </c>
      <c r="L245" s="43">
        <f t="shared" si="367"/>
        <v>0</v>
      </c>
      <c r="M245" s="44">
        <f t="shared" si="368"/>
        <v>0</v>
      </c>
      <c r="N245" s="44"/>
      <c r="O245" s="44">
        <f t="shared" si="369"/>
        <v>0</v>
      </c>
      <c r="P245" s="45"/>
      <c r="Q245" s="44">
        <f t="shared" si="370"/>
        <v>0</v>
      </c>
      <c r="R245" s="604">
        <f t="shared" si="416"/>
        <v>0</v>
      </c>
      <c r="S245" s="44">
        <f t="shared" si="417"/>
        <v>0</v>
      </c>
      <c r="T245" s="44">
        <f t="shared" si="418"/>
        <v>0</v>
      </c>
      <c r="U245" s="44">
        <f t="shared" si="419"/>
        <v>0</v>
      </c>
      <c r="V245" s="44">
        <f t="shared" si="420"/>
        <v>0</v>
      </c>
      <c r="W245" s="44">
        <f t="shared" si="421"/>
        <v>0</v>
      </c>
      <c r="X245" s="44">
        <f t="shared" si="371"/>
        <v>0</v>
      </c>
      <c r="Y245" s="44">
        <f t="shared" si="422"/>
        <v>0</v>
      </c>
      <c r="Z245" s="44">
        <f t="shared" si="372"/>
        <v>0</v>
      </c>
      <c r="AA245" s="44">
        <f t="shared" si="423"/>
        <v>0</v>
      </c>
      <c r="AB245" s="44">
        <f t="shared" si="373"/>
        <v>0</v>
      </c>
      <c r="AC245" s="46">
        <f t="shared" si="374"/>
        <v>0</v>
      </c>
      <c r="AD245" s="47">
        <f t="shared" si="375"/>
        <v>0</v>
      </c>
      <c r="AE245" s="604">
        <f t="shared" si="424"/>
        <v>0</v>
      </c>
      <c r="AF245" s="44">
        <f t="shared" si="425"/>
        <v>0</v>
      </c>
      <c r="AG245" s="44">
        <f t="shared" si="426"/>
        <v>0</v>
      </c>
      <c r="AH245" s="44">
        <f t="shared" si="427"/>
        <v>0</v>
      </c>
      <c r="AI245" s="44">
        <f t="shared" si="428"/>
        <v>0</v>
      </c>
      <c r="AJ245" s="44">
        <f t="shared" si="429"/>
        <v>0</v>
      </c>
      <c r="AK245" s="44">
        <f t="shared" si="376"/>
        <v>0</v>
      </c>
      <c r="AL245" s="44">
        <f t="shared" si="430"/>
        <v>0</v>
      </c>
      <c r="AM245" s="44">
        <f t="shared" si="377"/>
        <v>0</v>
      </c>
      <c r="AN245" s="44">
        <f t="shared" si="431"/>
        <v>0</v>
      </c>
      <c r="AO245" s="44">
        <f t="shared" si="378"/>
        <v>0</v>
      </c>
      <c r="AP245" s="46">
        <f t="shared" si="379"/>
        <v>0</v>
      </c>
      <c r="AQ245" s="47">
        <f t="shared" si="380"/>
        <v>0</v>
      </c>
      <c r="AR245" s="604">
        <f t="shared" si="432"/>
        <v>0</v>
      </c>
      <c r="AS245" s="44">
        <f t="shared" si="433"/>
        <v>0</v>
      </c>
      <c r="AT245" s="44">
        <f t="shared" si="434"/>
        <v>0</v>
      </c>
      <c r="AU245" s="44">
        <f t="shared" si="435"/>
        <v>0</v>
      </c>
      <c r="AV245" s="44">
        <f t="shared" si="436"/>
        <v>0</v>
      </c>
      <c r="AW245" s="44">
        <f t="shared" si="437"/>
        <v>0</v>
      </c>
      <c r="AX245" s="44">
        <f t="shared" si="381"/>
        <v>0</v>
      </c>
      <c r="AY245" s="44">
        <f t="shared" si="438"/>
        <v>0</v>
      </c>
      <c r="AZ245" s="44">
        <f t="shared" si="382"/>
        <v>0</v>
      </c>
      <c r="BA245" s="44">
        <f t="shared" si="439"/>
        <v>0</v>
      </c>
      <c r="BB245" s="44">
        <f t="shared" si="383"/>
        <v>0</v>
      </c>
      <c r="BC245" s="46">
        <f t="shared" si="384"/>
        <v>0</v>
      </c>
      <c r="BD245" s="47">
        <f t="shared" si="385"/>
        <v>0</v>
      </c>
      <c r="BE245" s="604">
        <f t="shared" si="440"/>
        <v>0</v>
      </c>
      <c r="BF245" s="44">
        <f t="shared" si="441"/>
        <v>0</v>
      </c>
      <c r="BG245" s="44">
        <f t="shared" si="442"/>
        <v>0</v>
      </c>
      <c r="BH245" s="44">
        <f t="shared" si="443"/>
        <v>0</v>
      </c>
      <c r="BI245" s="44">
        <f t="shared" si="444"/>
        <v>0</v>
      </c>
      <c r="BJ245" s="44">
        <f t="shared" si="445"/>
        <v>0</v>
      </c>
      <c r="BK245" s="44">
        <f t="shared" si="386"/>
        <v>0</v>
      </c>
      <c r="BL245" s="44">
        <f t="shared" si="446"/>
        <v>0</v>
      </c>
      <c r="BM245" s="44">
        <f t="shared" si="387"/>
        <v>0</v>
      </c>
      <c r="BN245" s="44">
        <f t="shared" si="447"/>
        <v>0</v>
      </c>
      <c r="BO245" s="44">
        <f t="shared" si="388"/>
        <v>0</v>
      </c>
      <c r="BP245" s="46">
        <f t="shared" si="389"/>
        <v>0</v>
      </c>
      <c r="BQ245" s="47">
        <f t="shared" si="390"/>
        <v>0</v>
      </c>
      <c r="BR245" s="604">
        <f t="shared" si="448"/>
        <v>0</v>
      </c>
      <c r="BS245" s="44">
        <f t="shared" si="449"/>
        <v>0</v>
      </c>
      <c r="BT245" s="44">
        <f t="shared" si="450"/>
        <v>0</v>
      </c>
      <c r="BU245" s="44">
        <f t="shared" si="451"/>
        <v>0</v>
      </c>
      <c r="BV245" s="44">
        <f t="shared" si="452"/>
        <v>0</v>
      </c>
      <c r="BW245" s="44">
        <f t="shared" si="453"/>
        <v>0</v>
      </c>
      <c r="BX245" s="44">
        <f t="shared" si="391"/>
        <v>0</v>
      </c>
      <c r="BY245" s="44">
        <f t="shared" si="454"/>
        <v>0</v>
      </c>
      <c r="BZ245" s="44">
        <f t="shared" si="392"/>
        <v>0</v>
      </c>
      <c r="CA245" s="44">
        <f t="shared" si="455"/>
        <v>0</v>
      </c>
      <c r="CB245" s="44">
        <f t="shared" si="393"/>
        <v>0</v>
      </c>
      <c r="CC245" s="46">
        <f t="shared" si="394"/>
        <v>0</v>
      </c>
      <c r="CD245" s="47">
        <f t="shared" si="395"/>
        <v>0</v>
      </c>
      <c r="CE245" s="604">
        <f t="shared" si="456"/>
        <v>0</v>
      </c>
      <c r="CF245" s="44">
        <f t="shared" si="457"/>
        <v>0</v>
      </c>
      <c r="CG245" s="44">
        <f t="shared" si="458"/>
        <v>0</v>
      </c>
      <c r="CH245" s="44">
        <f t="shared" si="459"/>
        <v>0</v>
      </c>
      <c r="CI245" s="44">
        <f t="shared" si="460"/>
        <v>0</v>
      </c>
      <c r="CJ245" s="44">
        <f t="shared" si="461"/>
        <v>0</v>
      </c>
      <c r="CK245" s="44">
        <f t="shared" si="396"/>
        <v>0</v>
      </c>
      <c r="CL245" s="44">
        <f t="shared" si="462"/>
        <v>0</v>
      </c>
      <c r="CM245" s="44">
        <f t="shared" si="397"/>
        <v>0</v>
      </c>
      <c r="CN245" s="44">
        <f t="shared" si="463"/>
        <v>0</v>
      </c>
      <c r="CO245" s="44">
        <f t="shared" si="398"/>
        <v>0</v>
      </c>
      <c r="CP245" s="46">
        <f t="shared" si="399"/>
        <v>0</v>
      </c>
      <c r="CQ245" s="47">
        <f t="shared" si="400"/>
        <v>0</v>
      </c>
      <c r="CR245" s="604">
        <f t="shared" si="464"/>
        <v>0</v>
      </c>
      <c r="CS245" s="44">
        <f t="shared" si="465"/>
        <v>0</v>
      </c>
      <c r="CT245" s="44">
        <f t="shared" si="466"/>
        <v>0</v>
      </c>
      <c r="CU245" s="44">
        <f t="shared" si="467"/>
        <v>0</v>
      </c>
      <c r="CV245" s="44">
        <f t="shared" si="468"/>
        <v>0</v>
      </c>
      <c r="CW245" s="44">
        <f t="shared" si="469"/>
        <v>0</v>
      </c>
      <c r="CX245" s="44">
        <f t="shared" si="401"/>
        <v>0</v>
      </c>
      <c r="CY245" s="44">
        <f t="shared" si="470"/>
        <v>0</v>
      </c>
      <c r="CZ245" s="44">
        <f t="shared" si="402"/>
        <v>0</v>
      </c>
      <c r="DA245" s="44">
        <f t="shared" si="471"/>
        <v>0</v>
      </c>
      <c r="DB245" s="44">
        <f t="shared" si="403"/>
        <v>0</v>
      </c>
      <c r="DC245" s="46">
        <f t="shared" si="404"/>
        <v>0</v>
      </c>
      <c r="DD245" s="47">
        <f t="shared" si="405"/>
        <v>0</v>
      </c>
      <c r="DE245" s="604">
        <f t="shared" si="472"/>
        <v>0</v>
      </c>
      <c r="DF245" s="44">
        <f t="shared" si="473"/>
        <v>0</v>
      </c>
      <c r="DG245" s="44">
        <f t="shared" si="474"/>
        <v>0</v>
      </c>
      <c r="DH245" s="44">
        <f t="shared" si="475"/>
        <v>0</v>
      </c>
      <c r="DI245" s="44">
        <f t="shared" si="476"/>
        <v>0</v>
      </c>
      <c r="DJ245" s="44">
        <f t="shared" si="477"/>
        <v>0</v>
      </c>
      <c r="DK245" s="44">
        <f t="shared" si="406"/>
        <v>0</v>
      </c>
      <c r="DL245" s="44">
        <f t="shared" si="478"/>
        <v>0</v>
      </c>
      <c r="DM245" s="44">
        <f t="shared" si="407"/>
        <v>0</v>
      </c>
      <c r="DN245" s="44">
        <f t="shared" si="479"/>
        <v>0</v>
      </c>
      <c r="DO245" s="44">
        <f t="shared" si="408"/>
        <v>0</v>
      </c>
      <c r="DP245" s="46">
        <f t="shared" si="409"/>
        <v>0</v>
      </c>
      <c r="DQ245" s="47">
        <f t="shared" si="410"/>
        <v>0</v>
      </c>
      <c r="DR245" s="604">
        <f t="shared" si="480"/>
        <v>0</v>
      </c>
      <c r="DS245" s="44">
        <f t="shared" si="481"/>
        <v>0</v>
      </c>
      <c r="DT245" s="44">
        <f t="shared" si="482"/>
        <v>0</v>
      </c>
      <c r="DU245" s="44">
        <f t="shared" si="483"/>
        <v>0</v>
      </c>
      <c r="DV245" s="44">
        <f t="shared" si="484"/>
        <v>0</v>
      </c>
      <c r="DW245" s="44">
        <f t="shared" si="485"/>
        <v>0</v>
      </c>
      <c r="DX245" s="44">
        <f t="shared" si="411"/>
        <v>0</v>
      </c>
      <c r="DY245" s="44">
        <f t="shared" si="486"/>
        <v>0</v>
      </c>
      <c r="DZ245" s="44">
        <f t="shared" si="412"/>
        <v>0</v>
      </c>
      <c r="EA245" s="44">
        <f t="shared" si="487"/>
        <v>0</v>
      </c>
      <c r="EB245" s="44">
        <f t="shared" si="413"/>
        <v>0</v>
      </c>
      <c r="EC245" s="46">
        <f t="shared" si="414"/>
        <v>0</v>
      </c>
      <c r="ED245" s="47">
        <f t="shared" si="415"/>
        <v>0</v>
      </c>
    </row>
    <row r="246" spans="1:134" x14ac:dyDescent="0.35">
      <c r="A246" s="172"/>
      <c r="B246" s="173"/>
      <c r="C246" s="174"/>
      <c r="D246" s="175"/>
      <c r="E246" s="176"/>
      <c r="F246" s="177"/>
      <c r="G246" s="178"/>
      <c r="H246" s="179"/>
      <c r="I246" s="180"/>
      <c r="J246" s="181"/>
      <c r="K246" s="42">
        <f t="shared" si="366"/>
        <v>0</v>
      </c>
      <c r="L246" s="43">
        <f t="shared" si="367"/>
        <v>0</v>
      </c>
      <c r="M246" s="44">
        <f t="shared" si="368"/>
        <v>0</v>
      </c>
      <c r="N246" s="44"/>
      <c r="O246" s="44">
        <f t="shared" si="369"/>
        <v>0</v>
      </c>
      <c r="P246" s="45"/>
      <c r="Q246" s="44">
        <f t="shared" si="370"/>
        <v>0</v>
      </c>
      <c r="R246" s="604">
        <f t="shared" si="416"/>
        <v>0</v>
      </c>
      <c r="S246" s="44">
        <f t="shared" si="417"/>
        <v>0</v>
      </c>
      <c r="T246" s="44">
        <f t="shared" si="418"/>
        <v>0</v>
      </c>
      <c r="U246" s="44">
        <f t="shared" si="419"/>
        <v>0</v>
      </c>
      <c r="V246" s="44">
        <f t="shared" si="420"/>
        <v>0</v>
      </c>
      <c r="W246" s="44">
        <f t="shared" si="421"/>
        <v>0</v>
      </c>
      <c r="X246" s="44">
        <f t="shared" si="371"/>
        <v>0</v>
      </c>
      <c r="Y246" s="44">
        <f t="shared" si="422"/>
        <v>0</v>
      </c>
      <c r="Z246" s="44">
        <f t="shared" si="372"/>
        <v>0</v>
      </c>
      <c r="AA246" s="44">
        <f t="shared" si="423"/>
        <v>0</v>
      </c>
      <c r="AB246" s="44">
        <f t="shared" si="373"/>
        <v>0</v>
      </c>
      <c r="AC246" s="46">
        <f t="shared" si="374"/>
        <v>0</v>
      </c>
      <c r="AD246" s="47">
        <f t="shared" si="375"/>
        <v>0</v>
      </c>
      <c r="AE246" s="604">
        <f t="shared" si="424"/>
        <v>0</v>
      </c>
      <c r="AF246" s="44">
        <f t="shared" si="425"/>
        <v>0</v>
      </c>
      <c r="AG246" s="44">
        <f t="shared" si="426"/>
        <v>0</v>
      </c>
      <c r="AH246" s="44">
        <f t="shared" si="427"/>
        <v>0</v>
      </c>
      <c r="AI246" s="44">
        <f t="shared" si="428"/>
        <v>0</v>
      </c>
      <c r="AJ246" s="44">
        <f t="shared" si="429"/>
        <v>0</v>
      </c>
      <c r="AK246" s="44">
        <f t="shared" si="376"/>
        <v>0</v>
      </c>
      <c r="AL246" s="44">
        <f t="shared" si="430"/>
        <v>0</v>
      </c>
      <c r="AM246" s="44">
        <f t="shared" si="377"/>
        <v>0</v>
      </c>
      <c r="AN246" s="44">
        <f t="shared" si="431"/>
        <v>0</v>
      </c>
      <c r="AO246" s="44">
        <f t="shared" si="378"/>
        <v>0</v>
      </c>
      <c r="AP246" s="46">
        <f t="shared" si="379"/>
        <v>0</v>
      </c>
      <c r="AQ246" s="47">
        <f t="shared" si="380"/>
        <v>0</v>
      </c>
      <c r="AR246" s="604">
        <f t="shared" si="432"/>
        <v>0</v>
      </c>
      <c r="AS246" s="44">
        <f t="shared" si="433"/>
        <v>0</v>
      </c>
      <c r="AT246" s="44">
        <f t="shared" si="434"/>
        <v>0</v>
      </c>
      <c r="AU246" s="44">
        <f t="shared" si="435"/>
        <v>0</v>
      </c>
      <c r="AV246" s="44">
        <f t="shared" si="436"/>
        <v>0</v>
      </c>
      <c r="AW246" s="44">
        <f t="shared" si="437"/>
        <v>0</v>
      </c>
      <c r="AX246" s="44">
        <f t="shared" si="381"/>
        <v>0</v>
      </c>
      <c r="AY246" s="44">
        <f t="shared" si="438"/>
        <v>0</v>
      </c>
      <c r="AZ246" s="44">
        <f t="shared" si="382"/>
        <v>0</v>
      </c>
      <c r="BA246" s="44">
        <f t="shared" si="439"/>
        <v>0</v>
      </c>
      <c r="BB246" s="44">
        <f t="shared" si="383"/>
        <v>0</v>
      </c>
      <c r="BC246" s="46">
        <f t="shared" si="384"/>
        <v>0</v>
      </c>
      <c r="BD246" s="47">
        <f t="shared" si="385"/>
        <v>0</v>
      </c>
      <c r="BE246" s="604">
        <f t="shared" si="440"/>
        <v>0</v>
      </c>
      <c r="BF246" s="44">
        <f t="shared" si="441"/>
        <v>0</v>
      </c>
      <c r="BG246" s="44">
        <f t="shared" si="442"/>
        <v>0</v>
      </c>
      <c r="BH246" s="44">
        <f t="shared" si="443"/>
        <v>0</v>
      </c>
      <c r="BI246" s="44">
        <f t="shared" si="444"/>
        <v>0</v>
      </c>
      <c r="BJ246" s="44">
        <f t="shared" si="445"/>
        <v>0</v>
      </c>
      <c r="BK246" s="44">
        <f t="shared" si="386"/>
        <v>0</v>
      </c>
      <c r="BL246" s="44">
        <f t="shared" si="446"/>
        <v>0</v>
      </c>
      <c r="BM246" s="44">
        <f t="shared" si="387"/>
        <v>0</v>
      </c>
      <c r="BN246" s="44">
        <f t="shared" si="447"/>
        <v>0</v>
      </c>
      <c r="BO246" s="44">
        <f t="shared" si="388"/>
        <v>0</v>
      </c>
      <c r="BP246" s="46">
        <f t="shared" si="389"/>
        <v>0</v>
      </c>
      <c r="BQ246" s="47">
        <f t="shared" si="390"/>
        <v>0</v>
      </c>
      <c r="BR246" s="604">
        <f t="shared" si="448"/>
        <v>0</v>
      </c>
      <c r="BS246" s="44">
        <f t="shared" si="449"/>
        <v>0</v>
      </c>
      <c r="BT246" s="44">
        <f t="shared" si="450"/>
        <v>0</v>
      </c>
      <c r="BU246" s="44">
        <f t="shared" si="451"/>
        <v>0</v>
      </c>
      <c r="BV246" s="44">
        <f t="shared" si="452"/>
        <v>0</v>
      </c>
      <c r="BW246" s="44">
        <f t="shared" si="453"/>
        <v>0</v>
      </c>
      <c r="BX246" s="44">
        <f t="shared" si="391"/>
        <v>0</v>
      </c>
      <c r="BY246" s="44">
        <f t="shared" si="454"/>
        <v>0</v>
      </c>
      <c r="BZ246" s="44">
        <f t="shared" si="392"/>
        <v>0</v>
      </c>
      <c r="CA246" s="44">
        <f t="shared" si="455"/>
        <v>0</v>
      </c>
      <c r="CB246" s="44">
        <f t="shared" si="393"/>
        <v>0</v>
      </c>
      <c r="CC246" s="46">
        <f t="shared" si="394"/>
        <v>0</v>
      </c>
      <c r="CD246" s="47">
        <f t="shared" si="395"/>
        <v>0</v>
      </c>
      <c r="CE246" s="604">
        <f t="shared" si="456"/>
        <v>0</v>
      </c>
      <c r="CF246" s="44">
        <f t="shared" si="457"/>
        <v>0</v>
      </c>
      <c r="CG246" s="44">
        <f t="shared" si="458"/>
        <v>0</v>
      </c>
      <c r="CH246" s="44">
        <f t="shared" si="459"/>
        <v>0</v>
      </c>
      <c r="CI246" s="44">
        <f t="shared" si="460"/>
        <v>0</v>
      </c>
      <c r="CJ246" s="44">
        <f t="shared" si="461"/>
        <v>0</v>
      </c>
      <c r="CK246" s="44">
        <f t="shared" si="396"/>
        <v>0</v>
      </c>
      <c r="CL246" s="44">
        <f t="shared" si="462"/>
        <v>0</v>
      </c>
      <c r="CM246" s="44">
        <f t="shared" si="397"/>
        <v>0</v>
      </c>
      <c r="CN246" s="44">
        <f t="shared" si="463"/>
        <v>0</v>
      </c>
      <c r="CO246" s="44">
        <f t="shared" si="398"/>
        <v>0</v>
      </c>
      <c r="CP246" s="46">
        <f t="shared" si="399"/>
        <v>0</v>
      </c>
      <c r="CQ246" s="47">
        <f t="shared" si="400"/>
        <v>0</v>
      </c>
      <c r="CR246" s="604">
        <f t="shared" si="464"/>
        <v>0</v>
      </c>
      <c r="CS246" s="44">
        <f t="shared" si="465"/>
        <v>0</v>
      </c>
      <c r="CT246" s="44">
        <f t="shared" si="466"/>
        <v>0</v>
      </c>
      <c r="CU246" s="44">
        <f t="shared" si="467"/>
        <v>0</v>
      </c>
      <c r="CV246" s="44">
        <f t="shared" si="468"/>
        <v>0</v>
      </c>
      <c r="CW246" s="44">
        <f t="shared" si="469"/>
        <v>0</v>
      </c>
      <c r="CX246" s="44">
        <f t="shared" si="401"/>
        <v>0</v>
      </c>
      <c r="CY246" s="44">
        <f t="shared" si="470"/>
        <v>0</v>
      </c>
      <c r="CZ246" s="44">
        <f t="shared" si="402"/>
        <v>0</v>
      </c>
      <c r="DA246" s="44">
        <f t="shared" si="471"/>
        <v>0</v>
      </c>
      <c r="DB246" s="44">
        <f t="shared" si="403"/>
        <v>0</v>
      </c>
      <c r="DC246" s="46">
        <f t="shared" si="404"/>
        <v>0</v>
      </c>
      <c r="DD246" s="47">
        <f t="shared" si="405"/>
        <v>0</v>
      </c>
      <c r="DE246" s="604">
        <f t="shared" si="472"/>
        <v>0</v>
      </c>
      <c r="DF246" s="44">
        <f t="shared" si="473"/>
        <v>0</v>
      </c>
      <c r="DG246" s="44">
        <f t="shared" si="474"/>
        <v>0</v>
      </c>
      <c r="DH246" s="44">
        <f t="shared" si="475"/>
        <v>0</v>
      </c>
      <c r="DI246" s="44">
        <f t="shared" si="476"/>
        <v>0</v>
      </c>
      <c r="DJ246" s="44">
        <f t="shared" si="477"/>
        <v>0</v>
      </c>
      <c r="DK246" s="44">
        <f t="shared" si="406"/>
        <v>0</v>
      </c>
      <c r="DL246" s="44">
        <f t="shared" si="478"/>
        <v>0</v>
      </c>
      <c r="DM246" s="44">
        <f t="shared" si="407"/>
        <v>0</v>
      </c>
      <c r="DN246" s="44">
        <f t="shared" si="479"/>
        <v>0</v>
      </c>
      <c r="DO246" s="44">
        <f t="shared" si="408"/>
        <v>0</v>
      </c>
      <c r="DP246" s="46">
        <f t="shared" si="409"/>
        <v>0</v>
      </c>
      <c r="DQ246" s="47">
        <f t="shared" si="410"/>
        <v>0</v>
      </c>
      <c r="DR246" s="604">
        <f t="shared" si="480"/>
        <v>0</v>
      </c>
      <c r="DS246" s="44">
        <f t="shared" si="481"/>
        <v>0</v>
      </c>
      <c r="DT246" s="44">
        <f t="shared" si="482"/>
        <v>0</v>
      </c>
      <c r="DU246" s="44">
        <f t="shared" si="483"/>
        <v>0</v>
      </c>
      <c r="DV246" s="44">
        <f t="shared" si="484"/>
        <v>0</v>
      </c>
      <c r="DW246" s="44">
        <f t="shared" si="485"/>
        <v>0</v>
      </c>
      <c r="DX246" s="44">
        <f t="shared" si="411"/>
        <v>0</v>
      </c>
      <c r="DY246" s="44">
        <f t="shared" si="486"/>
        <v>0</v>
      </c>
      <c r="DZ246" s="44">
        <f t="shared" si="412"/>
        <v>0</v>
      </c>
      <c r="EA246" s="44">
        <f t="shared" si="487"/>
        <v>0</v>
      </c>
      <c r="EB246" s="44">
        <f t="shared" si="413"/>
        <v>0</v>
      </c>
      <c r="EC246" s="46">
        <f t="shared" si="414"/>
        <v>0</v>
      </c>
      <c r="ED246" s="47">
        <f t="shared" si="415"/>
        <v>0</v>
      </c>
    </row>
    <row r="247" spans="1:134" x14ac:dyDescent="0.35">
      <c r="A247" s="172"/>
      <c r="B247" s="173"/>
      <c r="C247" s="174"/>
      <c r="D247" s="175"/>
      <c r="E247" s="176"/>
      <c r="F247" s="177"/>
      <c r="G247" s="178"/>
      <c r="H247" s="179"/>
      <c r="I247" s="180"/>
      <c r="J247" s="181"/>
      <c r="K247" s="42">
        <f t="shared" si="366"/>
        <v>0</v>
      </c>
      <c r="L247" s="43">
        <f t="shared" si="367"/>
        <v>0</v>
      </c>
      <c r="M247" s="44">
        <f t="shared" si="368"/>
        <v>0</v>
      </c>
      <c r="N247" s="44"/>
      <c r="O247" s="44">
        <f t="shared" si="369"/>
        <v>0</v>
      </c>
      <c r="P247" s="45"/>
      <c r="Q247" s="44">
        <f t="shared" si="370"/>
        <v>0</v>
      </c>
      <c r="R247" s="604">
        <f t="shared" si="416"/>
        <v>0</v>
      </c>
      <c r="S247" s="44">
        <f t="shared" si="417"/>
        <v>0</v>
      </c>
      <c r="T247" s="44">
        <f t="shared" si="418"/>
        <v>0</v>
      </c>
      <c r="U247" s="44">
        <f t="shared" si="419"/>
        <v>0</v>
      </c>
      <c r="V247" s="44">
        <f t="shared" si="420"/>
        <v>0</v>
      </c>
      <c r="W247" s="44">
        <f t="shared" si="421"/>
        <v>0</v>
      </c>
      <c r="X247" s="44">
        <f t="shared" si="371"/>
        <v>0</v>
      </c>
      <c r="Y247" s="44">
        <f t="shared" si="422"/>
        <v>0</v>
      </c>
      <c r="Z247" s="44">
        <f t="shared" si="372"/>
        <v>0</v>
      </c>
      <c r="AA247" s="44">
        <f t="shared" si="423"/>
        <v>0</v>
      </c>
      <c r="AB247" s="44">
        <f t="shared" si="373"/>
        <v>0</v>
      </c>
      <c r="AC247" s="46">
        <f t="shared" si="374"/>
        <v>0</v>
      </c>
      <c r="AD247" s="47">
        <f t="shared" si="375"/>
        <v>0</v>
      </c>
      <c r="AE247" s="604">
        <f t="shared" si="424"/>
        <v>0</v>
      </c>
      <c r="AF247" s="44">
        <f t="shared" si="425"/>
        <v>0</v>
      </c>
      <c r="AG247" s="44">
        <f t="shared" si="426"/>
        <v>0</v>
      </c>
      <c r="AH247" s="44">
        <f t="shared" si="427"/>
        <v>0</v>
      </c>
      <c r="AI247" s="44">
        <f t="shared" si="428"/>
        <v>0</v>
      </c>
      <c r="AJ247" s="44">
        <f t="shared" si="429"/>
        <v>0</v>
      </c>
      <c r="AK247" s="44">
        <f t="shared" si="376"/>
        <v>0</v>
      </c>
      <c r="AL247" s="44">
        <f t="shared" si="430"/>
        <v>0</v>
      </c>
      <c r="AM247" s="44">
        <f t="shared" si="377"/>
        <v>0</v>
      </c>
      <c r="AN247" s="44">
        <f t="shared" si="431"/>
        <v>0</v>
      </c>
      <c r="AO247" s="44">
        <f t="shared" si="378"/>
        <v>0</v>
      </c>
      <c r="AP247" s="46">
        <f t="shared" si="379"/>
        <v>0</v>
      </c>
      <c r="AQ247" s="47">
        <f t="shared" si="380"/>
        <v>0</v>
      </c>
      <c r="AR247" s="604">
        <f t="shared" si="432"/>
        <v>0</v>
      </c>
      <c r="AS247" s="44">
        <f t="shared" si="433"/>
        <v>0</v>
      </c>
      <c r="AT247" s="44">
        <f t="shared" si="434"/>
        <v>0</v>
      </c>
      <c r="AU247" s="44">
        <f t="shared" si="435"/>
        <v>0</v>
      </c>
      <c r="AV247" s="44">
        <f t="shared" si="436"/>
        <v>0</v>
      </c>
      <c r="AW247" s="44">
        <f t="shared" si="437"/>
        <v>0</v>
      </c>
      <c r="AX247" s="44">
        <f t="shared" si="381"/>
        <v>0</v>
      </c>
      <c r="AY247" s="44">
        <f t="shared" si="438"/>
        <v>0</v>
      </c>
      <c r="AZ247" s="44">
        <f t="shared" si="382"/>
        <v>0</v>
      </c>
      <c r="BA247" s="44">
        <f t="shared" si="439"/>
        <v>0</v>
      </c>
      <c r="BB247" s="44">
        <f t="shared" si="383"/>
        <v>0</v>
      </c>
      <c r="BC247" s="46">
        <f t="shared" si="384"/>
        <v>0</v>
      </c>
      <c r="BD247" s="47">
        <f t="shared" si="385"/>
        <v>0</v>
      </c>
      <c r="BE247" s="604">
        <f t="shared" si="440"/>
        <v>0</v>
      </c>
      <c r="BF247" s="44">
        <f t="shared" si="441"/>
        <v>0</v>
      </c>
      <c r="BG247" s="44">
        <f t="shared" si="442"/>
        <v>0</v>
      </c>
      <c r="BH247" s="44">
        <f t="shared" si="443"/>
        <v>0</v>
      </c>
      <c r="BI247" s="44">
        <f t="shared" si="444"/>
        <v>0</v>
      </c>
      <c r="BJ247" s="44">
        <f t="shared" si="445"/>
        <v>0</v>
      </c>
      <c r="BK247" s="44">
        <f t="shared" si="386"/>
        <v>0</v>
      </c>
      <c r="BL247" s="44">
        <f t="shared" si="446"/>
        <v>0</v>
      </c>
      <c r="BM247" s="44">
        <f t="shared" si="387"/>
        <v>0</v>
      </c>
      <c r="BN247" s="44">
        <f t="shared" si="447"/>
        <v>0</v>
      </c>
      <c r="BO247" s="44">
        <f t="shared" si="388"/>
        <v>0</v>
      </c>
      <c r="BP247" s="46">
        <f t="shared" si="389"/>
        <v>0</v>
      </c>
      <c r="BQ247" s="47">
        <f t="shared" si="390"/>
        <v>0</v>
      </c>
      <c r="BR247" s="604">
        <f t="shared" si="448"/>
        <v>0</v>
      </c>
      <c r="BS247" s="44">
        <f t="shared" si="449"/>
        <v>0</v>
      </c>
      <c r="BT247" s="44">
        <f t="shared" si="450"/>
        <v>0</v>
      </c>
      <c r="BU247" s="44">
        <f t="shared" si="451"/>
        <v>0</v>
      </c>
      <c r="BV247" s="44">
        <f t="shared" si="452"/>
        <v>0</v>
      </c>
      <c r="BW247" s="44">
        <f t="shared" si="453"/>
        <v>0</v>
      </c>
      <c r="BX247" s="44">
        <f t="shared" si="391"/>
        <v>0</v>
      </c>
      <c r="BY247" s="44">
        <f t="shared" si="454"/>
        <v>0</v>
      </c>
      <c r="BZ247" s="44">
        <f t="shared" si="392"/>
        <v>0</v>
      </c>
      <c r="CA247" s="44">
        <f t="shared" si="455"/>
        <v>0</v>
      </c>
      <c r="CB247" s="44">
        <f t="shared" si="393"/>
        <v>0</v>
      </c>
      <c r="CC247" s="46">
        <f t="shared" si="394"/>
        <v>0</v>
      </c>
      <c r="CD247" s="47">
        <f t="shared" si="395"/>
        <v>0</v>
      </c>
      <c r="CE247" s="604">
        <f t="shared" si="456"/>
        <v>0</v>
      </c>
      <c r="CF247" s="44">
        <f t="shared" si="457"/>
        <v>0</v>
      </c>
      <c r="CG247" s="44">
        <f t="shared" si="458"/>
        <v>0</v>
      </c>
      <c r="CH247" s="44">
        <f t="shared" si="459"/>
        <v>0</v>
      </c>
      <c r="CI247" s="44">
        <f t="shared" si="460"/>
        <v>0</v>
      </c>
      <c r="CJ247" s="44">
        <f t="shared" si="461"/>
        <v>0</v>
      </c>
      <c r="CK247" s="44">
        <f t="shared" si="396"/>
        <v>0</v>
      </c>
      <c r="CL247" s="44">
        <f t="shared" si="462"/>
        <v>0</v>
      </c>
      <c r="CM247" s="44">
        <f t="shared" si="397"/>
        <v>0</v>
      </c>
      <c r="CN247" s="44">
        <f t="shared" si="463"/>
        <v>0</v>
      </c>
      <c r="CO247" s="44">
        <f t="shared" si="398"/>
        <v>0</v>
      </c>
      <c r="CP247" s="46">
        <f t="shared" si="399"/>
        <v>0</v>
      </c>
      <c r="CQ247" s="47">
        <f t="shared" si="400"/>
        <v>0</v>
      </c>
      <c r="CR247" s="604">
        <f t="shared" si="464"/>
        <v>0</v>
      </c>
      <c r="CS247" s="44">
        <f t="shared" si="465"/>
        <v>0</v>
      </c>
      <c r="CT247" s="44">
        <f t="shared" si="466"/>
        <v>0</v>
      </c>
      <c r="CU247" s="44">
        <f t="shared" si="467"/>
        <v>0</v>
      </c>
      <c r="CV247" s="44">
        <f t="shared" si="468"/>
        <v>0</v>
      </c>
      <c r="CW247" s="44">
        <f t="shared" si="469"/>
        <v>0</v>
      </c>
      <c r="CX247" s="44">
        <f t="shared" si="401"/>
        <v>0</v>
      </c>
      <c r="CY247" s="44">
        <f t="shared" si="470"/>
        <v>0</v>
      </c>
      <c r="CZ247" s="44">
        <f t="shared" si="402"/>
        <v>0</v>
      </c>
      <c r="DA247" s="44">
        <f t="shared" si="471"/>
        <v>0</v>
      </c>
      <c r="DB247" s="44">
        <f t="shared" si="403"/>
        <v>0</v>
      </c>
      <c r="DC247" s="46">
        <f t="shared" si="404"/>
        <v>0</v>
      </c>
      <c r="DD247" s="47">
        <f t="shared" si="405"/>
        <v>0</v>
      </c>
      <c r="DE247" s="604">
        <f t="shared" si="472"/>
        <v>0</v>
      </c>
      <c r="DF247" s="44">
        <f t="shared" si="473"/>
        <v>0</v>
      </c>
      <c r="DG247" s="44">
        <f t="shared" si="474"/>
        <v>0</v>
      </c>
      <c r="DH247" s="44">
        <f t="shared" si="475"/>
        <v>0</v>
      </c>
      <c r="DI247" s="44">
        <f t="shared" si="476"/>
        <v>0</v>
      </c>
      <c r="DJ247" s="44">
        <f t="shared" si="477"/>
        <v>0</v>
      </c>
      <c r="DK247" s="44">
        <f t="shared" si="406"/>
        <v>0</v>
      </c>
      <c r="DL247" s="44">
        <f t="shared" si="478"/>
        <v>0</v>
      </c>
      <c r="DM247" s="44">
        <f t="shared" si="407"/>
        <v>0</v>
      </c>
      <c r="DN247" s="44">
        <f t="shared" si="479"/>
        <v>0</v>
      </c>
      <c r="DO247" s="44">
        <f t="shared" si="408"/>
        <v>0</v>
      </c>
      <c r="DP247" s="46">
        <f t="shared" si="409"/>
        <v>0</v>
      </c>
      <c r="DQ247" s="47">
        <f t="shared" si="410"/>
        <v>0</v>
      </c>
      <c r="DR247" s="604">
        <f t="shared" si="480"/>
        <v>0</v>
      </c>
      <c r="DS247" s="44">
        <f t="shared" si="481"/>
        <v>0</v>
      </c>
      <c r="DT247" s="44">
        <f t="shared" si="482"/>
        <v>0</v>
      </c>
      <c r="DU247" s="44">
        <f t="shared" si="483"/>
        <v>0</v>
      </c>
      <c r="DV247" s="44">
        <f t="shared" si="484"/>
        <v>0</v>
      </c>
      <c r="DW247" s="44">
        <f t="shared" si="485"/>
        <v>0</v>
      </c>
      <c r="DX247" s="44">
        <f t="shared" si="411"/>
        <v>0</v>
      </c>
      <c r="DY247" s="44">
        <f t="shared" si="486"/>
        <v>0</v>
      </c>
      <c r="DZ247" s="44">
        <f t="shared" si="412"/>
        <v>0</v>
      </c>
      <c r="EA247" s="44">
        <f t="shared" si="487"/>
        <v>0</v>
      </c>
      <c r="EB247" s="44">
        <f t="shared" si="413"/>
        <v>0</v>
      </c>
      <c r="EC247" s="46">
        <f t="shared" si="414"/>
        <v>0</v>
      </c>
      <c r="ED247" s="47">
        <f t="shared" si="415"/>
        <v>0</v>
      </c>
    </row>
    <row r="248" spans="1:134" x14ac:dyDescent="0.35">
      <c r="A248" s="172"/>
      <c r="B248" s="173"/>
      <c r="C248" s="174"/>
      <c r="D248" s="175"/>
      <c r="E248" s="176"/>
      <c r="F248" s="177"/>
      <c r="G248" s="178"/>
      <c r="H248" s="179"/>
      <c r="I248" s="180"/>
      <c r="J248" s="181"/>
      <c r="K248" s="42">
        <f t="shared" si="366"/>
        <v>0</v>
      </c>
      <c r="L248" s="43">
        <f t="shared" si="367"/>
        <v>0</v>
      </c>
      <c r="M248" s="44">
        <f t="shared" si="368"/>
        <v>0</v>
      </c>
      <c r="N248" s="44"/>
      <c r="O248" s="44">
        <f t="shared" si="369"/>
        <v>0</v>
      </c>
      <c r="P248" s="45"/>
      <c r="Q248" s="44">
        <f t="shared" si="370"/>
        <v>0</v>
      </c>
      <c r="R248" s="604">
        <f t="shared" si="416"/>
        <v>0</v>
      </c>
      <c r="S248" s="44">
        <f t="shared" si="417"/>
        <v>0</v>
      </c>
      <c r="T248" s="44">
        <f t="shared" si="418"/>
        <v>0</v>
      </c>
      <c r="U248" s="44">
        <f t="shared" si="419"/>
        <v>0</v>
      </c>
      <c r="V248" s="44">
        <f t="shared" si="420"/>
        <v>0</v>
      </c>
      <c r="W248" s="44">
        <f t="shared" si="421"/>
        <v>0</v>
      </c>
      <c r="X248" s="44">
        <f t="shared" si="371"/>
        <v>0</v>
      </c>
      <c r="Y248" s="44">
        <f t="shared" si="422"/>
        <v>0</v>
      </c>
      <c r="Z248" s="44">
        <f t="shared" si="372"/>
        <v>0</v>
      </c>
      <c r="AA248" s="44">
        <f t="shared" si="423"/>
        <v>0</v>
      </c>
      <c r="AB248" s="44">
        <f t="shared" si="373"/>
        <v>0</v>
      </c>
      <c r="AC248" s="46">
        <f t="shared" si="374"/>
        <v>0</v>
      </c>
      <c r="AD248" s="47">
        <f t="shared" si="375"/>
        <v>0</v>
      </c>
      <c r="AE248" s="604">
        <f t="shared" si="424"/>
        <v>0</v>
      </c>
      <c r="AF248" s="44">
        <f t="shared" si="425"/>
        <v>0</v>
      </c>
      <c r="AG248" s="44">
        <f t="shared" si="426"/>
        <v>0</v>
      </c>
      <c r="AH248" s="44">
        <f t="shared" si="427"/>
        <v>0</v>
      </c>
      <c r="AI248" s="44">
        <f t="shared" si="428"/>
        <v>0</v>
      </c>
      <c r="AJ248" s="44">
        <f t="shared" si="429"/>
        <v>0</v>
      </c>
      <c r="AK248" s="44">
        <f t="shared" si="376"/>
        <v>0</v>
      </c>
      <c r="AL248" s="44">
        <f t="shared" si="430"/>
        <v>0</v>
      </c>
      <c r="AM248" s="44">
        <f t="shared" si="377"/>
        <v>0</v>
      </c>
      <c r="AN248" s="44">
        <f t="shared" si="431"/>
        <v>0</v>
      </c>
      <c r="AO248" s="44">
        <f t="shared" si="378"/>
        <v>0</v>
      </c>
      <c r="AP248" s="46">
        <f t="shared" si="379"/>
        <v>0</v>
      </c>
      <c r="AQ248" s="47">
        <f t="shared" si="380"/>
        <v>0</v>
      </c>
      <c r="AR248" s="604">
        <f t="shared" si="432"/>
        <v>0</v>
      </c>
      <c r="AS248" s="44">
        <f t="shared" si="433"/>
        <v>0</v>
      </c>
      <c r="AT248" s="44">
        <f t="shared" si="434"/>
        <v>0</v>
      </c>
      <c r="AU248" s="44">
        <f t="shared" si="435"/>
        <v>0</v>
      </c>
      <c r="AV248" s="44">
        <f t="shared" si="436"/>
        <v>0</v>
      </c>
      <c r="AW248" s="44">
        <f t="shared" si="437"/>
        <v>0</v>
      </c>
      <c r="AX248" s="44">
        <f t="shared" si="381"/>
        <v>0</v>
      </c>
      <c r="AY248" s="44">
        <f t="shared" si="438"/>
        <v>0</v>
      </c>
      <c r="AZ248" s="44">
        <f t="shared" si="382"/>
        <v>0</v>
      </c>
      <c r="BA248" s="44">
        <f t="shared" si="439"/>
        <v>0</v>
      </c>
      <c r="BB248" s="44">
        <f t="shared" si="383"/>
        <v>0</v>
      </c>
      <c r="BC248" s="46">
        <f t="shared" si="384"/>
        <v>0</v>
      </c>
      <c r="BD248" s="47">
        <f t="shared" si="385"/>
        <v>0</v>
      </c>
      <c r="BE248" s="604">
        <f t="shared" si="440"/>
        <v>0</v>
      </c>
      <c r="BF248" s="44">
        <f t="shared" si="441"/>
        <v>0</v>
      </c>
      <c r="BG248" s="44">
        <f t="shared" si="442"/>
        <v>0</v>
      </c>
      <c r="BH248" s="44">
        <f t="shared" si="443"/>
        <v>0</v>
      </c>
      <c r="BI248" s="44">
        <f t="shared" si="444"/>
        <v>0</v>
      </c>
      <c r="BJ248" s="44">
        <f t="shared" si="445"/>
        <v>0</v>
      </c>
      <c r="BK248" s="44">
        <f t="shared" si="386"/>
        <v>0</v>
      </c>
      <c r="BL248" s="44">
        <f t="shared" si="446"/>
        <v>0</v>
      </c>
      <c r="BM248" s="44">
        <f t="shared" si="387"/>
        <v>0</v>
      </c>
      <c r="BN248" s="44">
        <f t="shared" si="447"/>
        <v>0</v>
      </c>
      <c r="BO248" s="44">
        <f t="shared" si="388"/>
        <v>0</v>
      </c>
      <c r="BP248" s="46">
        <f t="shared" si="389"/>
        <v>0</v>
      </c>
      <c r="BQ248" s="47">
        <f t="shared" si="390"/>
        <v>0</v>
      </c>
      <c r="BR248" s="604">
        <f t="shared" si="448"/>
        <v>0</v>
      </c>
      <c r="BS248" s="44">
        <f t="shared" si="449"/>
        <v>0</v>
      </c>
      <c r="BT248" s="44">
        <f t="shared" si="450"/>
        <v>0</v>
      </c>
      <c r="BU248" s="44">
        <f t="shared" si="451"/>
        <v>0</v>
      </c>
      <c r="BV248" s="44">
        <f t="shared" si="452"/>
        <v>0</v>
      </c>
      <c r="BW248" s="44">
        <f t="shared" si="453"/>
        <v>0</v>
      </c>
      <c r="BX248" s="44">
        <f t="shared" si="391"/>
        <v>0</v>
      </c>
      <c r="BY248" s="44">
        <f t="shared" si="454"/>
        <v>0</v>
      </c>
      <c r="BZ248" s="44">
        <f t="shared" si="392"/>
        <v>0</v>
      </c>
      <c r="CA248" s="44">
        <f t="shared" si="455"/>
        <v>0</v>
      </c>
      <c r="CB248" s="44">
        <f t="shared" si="393"/>
        <v>0</v>
      </c>
      <c r="CC248" s="46">
        <f t="shared" si="394"/>
        <v>0</v>
      </c>
      <c r="CD248" s="47">
        <f t="shared" si="395"/>
        <v>0</v>
      </c>
      <c r="CE248" s="604">
        <f t="shared" si="456"/>
        <v>0</v>
      </c>
      <c r="CF248" s="44">
        <f t="shared" si="457"/>
        <v>0</v>
      </c>
      <c r="CG248" s="44">
        <f t="shared" si="458"/>
        <v>0</v>
      </c>
      <c r="CH248" s="44">
        <f t="shared" si="459"/>
        <v>0</v>
      </c>
      <c r="CI248" s="44">
        <f t="shared" si="460"/>
        <v>0</v>
      </c>
      <c r="CJ248" s="44">
        <f t="shared" si="461"/>
        <v>0</v>
      </c>
      <c r="CK248" s="44">
        <f t="shared" si="396"/>
        <v>0</v>
      </c>
      <c r="CL248" s="44">
        <f t="shared" si="462"/>
        <v>0</v>
      </c>
      <c r="CM248" s="44">
        <f t="shared" si="397"/>
        <v>0</v>
      </c>
      <c r="CN248" s="44">
        <f t="shared" si="463"/>
        <v>0</v>
      </c>
      <c r="CO248" s="44">
        <f t="shared" si="398"/>
        <v>0</v>
      </c>
      <c r="CP248" s="46">
        <f t="shared" si="399"/>
        <v>0</v>
      </c>
      <c r="CQ248" s="47">
        <f t="shared" si="400"/>
        <v>0</v>
      </c>
      <c r="CR248" s="604">
        <f t="shared" si="464"/>
        <v>0</v>
      </c>
      <c r="CS248" s="44">
        <f t="shared" si="465"/>
        <v>0</v>
      </c>
      <c r="CT248" s="44">
        <f t="shared" si="466"/>
        <v>0</v>
      </c>
      <c r="CU248" s="44">
        <f t="shared" si="467"/>
        <v>0</v>
      </c>
      <c r="CV248" s="44">
        <f t="shared" si="468"/>
        <v>0</v>
      </c>
      <c r="CW248" s="44">
        <f t="shared" si="469"/>
        <v>0</v>
      </c>
      <c r="CX248" s="44">
        <f t="shared" si="401"/>
        <v>0</v>
      </c>
      <c r="CY248" s="44">
        <f t="shared" si="470"/>
        <v>0</v>
      </c>
      <c r="CZ248" s="44">
        <f t="shared" si="402"/>
        <v>0</v>
      </c>
      <c r="DA248" s="44">
        <f t="shared" si="471"/>
        <v>0</v>
      </c>
      <c r="DB248" s="44">
        <f t="shared" si="403"/>
        <v>0</v>
      </c>
      <c r="DC248" s="46">
        <f t="shared" si="404"/>
        <v>0</v>
      </c>
      <c r="DD248" s="47">
        <f t="shared" si="405"/>
        <v>0</v>
      </c>
      <c r="DE248" s="604">
        <f t="shared" si="472"/>
        <v>0</v>
      </c>
      <c r="DF248" s="44">
        <f t="shared" si="473"/>
        <v>0</v>
      </c>
      <c r="DG248" s="44">
        <f t="shared" si="474"/>
        <v>0</v>
      </c>
      <c r="DH248" s="44">
        <f t="shared" si="475"/>
        <v>0</v>
      </c>
      <c r="DI248" s="44">
        <f t="shared" si="476"/>
        <v>0</v>
      </c>
      <c r="DJ248" s="44">
        <f t="shared" si="477"/>
        <v>0</v>
      </c>
      <c r="DK248" s="44">
        <f t="shared" si="406"/>
        <v>0</v>
      </c>
      <c r="DL248" s="44">
        <f t="shared" si="478"/>
        <v>0</v>
      </c>
      <c r="DM248" s="44">
        <f t="shared" si="407"/>
        <v>0</v>
      </c>
      <c r="DN248" s="44">
        <f t="shared" si="479"/>
        <v>0</v>
      </c>
      <c r="DO248" s="44">
        <f t="shared" si="408"/>
        <v>0</v>
      </c>
      <c r="DP248" s="46">
        <f t="shared" si="409"/>
        <v>0</v>
      </c>
      <c r="DQ248" s="47">
        <f t="shared" si="410"/>
        <v>0</v>
      </c>
      <c r="DR248" s="604">
        <f t="shared" si="480"/>
        <v>0</v>
      </c>
      <c r="DS248" s="44">
        <f t="shared" si="481"/>
        <v>0</v>
      </c>
      <c r="DT248" s="44">
        <f t="shared" si="482"/>
        <v>0</v>
      </c>
      <c r="DU248" s="44">
        <f t="shared" si="483"/>
        <v>0</v>
      </c>
      <c r="DV248" s="44">
        <f t="shared" si="484"/>
        <v>0</v>
      </c>
      <c r="DW248" s="44">
        <f t="shared" si="485"/>
        <v>0</v>
      </c>
      <c r="DX248" s="44">
        <f t="shared" si="411"/>
        <v>0</v>
      </c>
      <c r="DY248" s="44">
        <f t="shared" si="486"/>
        <v>0</v>
      </c>
      <c r="DZ248" s="44">
        <f t="shared" si="412"/>
        <v>0</v>
      </c>
      <c r="EA248" s="44">
        <f t="shared" si="487"/>
        <v>0</v>
      </c>
      <c r="EB248" s="44">
        <f t="shared" si="413"/>
        <v>0</v>
      </c>
      <c r="EC248" s="46">
        <f t="shared" si="414"/>
        <v>0</v>
      </c>
      <c r="ED248" s="47">
        <f t="shared" si="415"/>
        <v>0</v>
      </c>
    </row>
    <row r="249" spans="1:134" x14ac:dyDescent="0.35">
      <c r="A249" s="172"/>
      <c r="B249" s="173"/>
      <c r="C249" s="174"/>
      <c r="D249" s="175"/>
      <c r="E249" s="176"/>
      <c r="F249" s="177"/>
      <c r="G249" s="178"/>
      <c r="H249" s="179"/>
      <c r="I249" s="180"/>
      <c r="J249" s="181"/>
      <c r="K249" s="42">
        <f t="shared" si="366"/>
        <v>0</v>
      </c>
      <c r="L249" s="43">
        <f t="shared" si="367"/>
        <v>0</v>
      </c>
      <c r="M249" s="44">
        <f t="shared" si="368"/>
        <v>0</v>
      </c>
      <c r="N249" s="44"/>
      <c r="O249" s="44">
        <f t="shared" si="369"/>
        <v>0</v>
      </c>
      <c r="P249" s="45"/>
      <c r="Q249" s="44">
        <f t="shared" si="370"/>
        <v>0</v>
      </c>
      <c r="R249" s="604">
        <f t="shared" si="416"/>
        <v>0</v>
      </c>
      <c r="S249" s="44">
        <f t="shared" si="417"/>
        <v>0</v>
      </c>
      <c r="T249" s="44">
        <f t="shared" si="418"/>
        <v>0</v>
      </c>
      <c r="U249" s="44">
        <f t="shared" si="419"/>
        <v>0</v>
      </c>
      <c r="V249" s="44">
        <f t="shared" si="420"/>
        <v>0</v>
      </c>
      <c r="W249" s="44">
        <f t="shared" si="421"/>
        <v>0</v>
      </c>
      <c r="X249" s="44">
        <f t="shared" si="371"/>
        <v>0</v>
      </c>
      <c r="Y249" s="44">
        <f t="shared" si="422"/>
        <v>0</v>
      </c>
      <c r="Z249" s="44">
        <f t="shared" si="372"/>
        <v>0</v>
      </c>
      <c r="AA249" s="44">
        <f t="shared" si="423"/>
        <v>0</v>
      </c>
      <c r="AB249" s="44">
        <f t="shared" si="373"/>
        <v>0</v>
      </c>
      <c r="AC249" s="46">
        <f t="shared" si="374"/>
        <v>0</v>
      </c>
      <c r="AD249" s="47">
        <f t="shared" si="375"/>
        <v>0</v>
      </c>
      <c r="AE249" s="604">
        <f t="shared" si="424"/>
        <v>0</v>
      </c>
      <c r="AF249" s="44">
        <f t="shared" si="425"/>
        <v>0</v>
      </c>
      <c r="AG249" s="44">
        <f t="shared" si="426"/>
        <v>0</v>
      </c>
      <c r="AH249" s="44">
        <f t="shared" si="427"/>
        <v>0</v>
      </c>
      <c r="AI249" s="44">
        <f t="shared" si="428"/>
        <v>0</v>
      </c>
      <c r="AJ249" s="44">
        <f t="shared" si="429"/>
        <v>0</v>
      </c>
      <c r="AK249" s="44">
        <f t="shared" si="376"/>
        <v>0</v>
      </c>
      <c r="AL249" s="44">
        <f t="shared" si="430"/>
        <v>0</v>
      </c>
      <c r="AM249" s="44">
        <f t="shared" si="377"/>
        <v>0</v>
      </c>
      <c r="AN249" s="44">
        <f t="shared" si="431"/>
        <v>0</v>
      </c>
      <c r="AO249" s="44">
        <f t="shared" si="378"/>
        <v>0</v>
      </c>
      <c r="AP249" s="46">
        <f t="shared" si="379"/>
        <v>0</v>
      </c>
      <c r="AQ249" s="47">
        <f t="shared" si="380"/>
        <v>0</v>
      </c>
      <c r="AR249" s="604">
        <f t="shared" si="432"/>
        <v>0</v>
      </c>
      <c r="AS249" s="44">
        <f t="shared" si="433"/>
        <v>0</v>
      </c>
      <c r="AT249" s="44">
        <f t="shared" si="434"/>
        <v>0</v>
      </c>
      <c r="AU249" s="44">
        <f t="shared" si="435"/>
        <v>0</v>
      </c>
      <c r="AV249" s="44">
        <f t="shared" si="436"/>
        <v>0</v>
      </c>
      <c r="AW249" s="44">
        <f t="shared" si="437"/>
        <v>0</v>
      </c>
      <c r="AX249" s="44">
        <f t="shared" si="381"/>
        <v>0</v>
      </c>
      <c r="AY249" s="44">
        <f t="shared" si="438"/>
        <v>0</v>
      </c>
      <c r="AZ249" s="44">
        <f t="shared" si="382"/>
        <v>0</v>
      </c>
      <c r="BA249" s="44">
        <f t="shared" si="439"/>
        <v>0</v>
      </c>
      <c r="BB249" s="44">
        <f t="shared" si="383"/>
        <v>0</v>
      </c>
      <c r="BC249" s="46">
        <f t="shared" si="384"/>
        <v>0</v>
      </c>
      <c r="BD249" s="47">
        <f t="shared" si="385"/>
        <v>0</v>
      </c>
      <c r="BE249" s="604">
        <f t="shared" si="440"/>
        <v>0</v>
      </c>
      <c r="BF249" s="44">
        <f t="shared" si="441"/>
        <v>0</v>
      </c>
      <c r="BG249" s="44">
        <f t="shared" si="442"/>
        <v>0</v>
      </c>
      <c r="BH249" s="44">
        <f t="shared" si="443"/>
        <v>0</v>
      </c>
      <c r="BI249" s="44">
        <f t="shared" si="444"/>
        <v>0</v>
      </c>
      <c r="BJ249" s="44">
        <f t="shared" si="445"/>
        <v>0</v>
      </c>
      <c r="BK249" s="44">
        <f t="shared" si="386"/>
        <v>0</v>
      </c>
      <c r="BL249" s="44">
        <f t="shared" si="446"/>
        <v>0</v>
      </c>
      <c r="BM249" s="44">
        <f t="shared" si="387"/>
        <v>0</v>
      </c>
      <c r="BN249" s="44">
        <f t="shared" si="447"/>
        <v>0</v>
      </c>
      <c r="BO249" s="44">
        <f t="shared" si="388"/>
        <v>0</v>
      </c>
      <c r="BP249" s="46">
        <f t="shared" si="389"/>
        <v>0</v>
      </c>
      <c r="BQ249" s="47">
        <f t="shared" si="390"/>
        <v>0</v>
      </c>
      <c r="BR249" s="604">
        <f t="shared" si="448"/>
        <v>0</v>
      </c>
      <c r="BS249" s="44">
        <f t="shared" si="449"/>
        <v>0</v>
      </c>
      <c r="BT249" s="44">
        <f t="shared" si="450"/>
        <v>0</v>
      </c>
      <c r="BU249" s="44">
        <f t="shared" si="451"/>
        <v>0</v>
      </c>
      <c r="BV249" s="44">
        <f t="shared" si="452"/>
        <v>0</v>
      </c>
      <c r="BW249" s="44">
        <f t="shared" si="453"/>
        <v>0</v>
      </c>
      <c r="BX249" s="44">
        <f t="shared" si="391"/>
        <v>0</v>
      </c>
      <c r="BY249" s="44">
        <f t="shared" si="454"/>
        <v>0</v>
      </c>
      <c r="BZ249" s="44">
        <f t="shared" si="392"/>
        <v>0</v>
      </c>
      <c r="CA249" s="44">
        <f t="shared" si="455"/>
        <v>0</v>
      </c>
      <c r="CB249" s="44">
        <f t="shared" si="393"/>
        <v>0</v>
      </c>
      <c r="CC249" s="46">
        <f t="shared" si="394"/>
        <v>0</v>
      </c>
      <c r="CD249" s="47">
        <f t="shared" si="395"/>
        <v>0</v>
      </c>
      <c r="CE249" s="604">
        <f t="shared" si="456"/>
        <v>0</v>
      </c>
      <c r="CF249" s="44">
        <f t="shared" si="457"/>
        <v>0</v>
      </c>
      <c r="CG249" s="44">
        <f t="shared" si="458"/>
        <v>0</v>
      </c>
      <c r="CH249" s="44">
        <f t="shared" si="459"/>
        <v>0</v>
      </c>
      <c r="CI249" s="44">
        <f t="shared" si="460"/>
        <v>0</v>
      </c>
      <c r="CJ249" s="44">
        <f t="shared" si="461"/>
        <v>0</v>
      </c>
      <c r="CK249" s="44">
        <f t="shared" si="396"/>
        <v>0</v>
      </c>
      <c r="CL249" s="44">
        <f t="shared" si="462"/>
        <v>0</v>
      </c>
      <c r="CM249" s="44">
        <f t="shared" si="397"/>
        <v>0</v>
      </c>
      <c r="CN249" s="44">
        <f t="shared" si="463"/>
        <v>0</v>
      </c>
      <c r="CO249" s="44">
        <f t="shared" si="398"/>
        <v>0</v>
      </c>
      <c r="CP249" s="46">
        <f t="shared" si="399"/>
        <v>0</v>
      </c>
      <c r="CQ249" s="47">
        <f t="shared" si="400"/>
        <v>0</v>
      </c>
      <c r="CR249" s="604">
        <f t="shared" si="464"/>
        <v>0</v>
      </c>
      <c r="CS249" s="44">
        <f t="shared" si="465"/>
        <v>0</v>
      </c>
      <c r="CT249" s="44">
        <f t="shared" si="466"/>
        <v>0</v>
      </c>
      <c r="CU249" s="44">
        <f t="shared" si="467"/>
        <v>0</v>
      </c>
      <c r="CV249" s="44">
        <f t="shared" si="468"/>
        <v>0</v>
      </c>
      <c r="CW249" s="44">
        <f t="shared" si="469"/>
        <v>0</v>
      </c>
      <c r="CX249" s="44">
        <f t="shared" si="401"/>
        <v>0</v>
      </c>
      <c r="CY249" s="44">
        <f t="shared" si="470"/>
        <v>0</v>
      </c>
      <c r="CZ249" s="44">
        <f t="shared" si="402"/>
        <v>0</v>
      </c>
      <c r="DA249" s="44">
        <f t="shared" si="471"/>
        <v>0</v>
      </c>
      <c r="DB249" s="44">
        <f t="shared" si="403"/>
        <v>0</v>
      </c>
      <c r="DC249" s="46">
        <f t="shared" si="404"/>
        <v>0</v>
      </c>
      <c r="DD249" s="47">
        <f t="shared" si="405"/>
        <v>0</v>
      </c>
      <c r="DE249" s="604">
        <f t="shared" si="472"/>
        <v>0</v>
      </c>
      <c r="DF249" s="44">
        <f t="shared" si="473"/>
        <v>0</v>
      </c>
      <c r="DG249" s="44">
        <f t="shared" si="474"/>
        <v>0</v>
      </c>
      <c r="DH249" s="44">
        <f t="shared" si="475"/>
        <v>0</v>
      </c>
      <c r="DI249" s="44">
        <f t="shared" si="476"/>
        <v>0</v>
      </c>
      <c r="DJ249" s="44">
        <f t="shared" si="477"/>
        <v>0</v>
      </c>
      <c r="DK249" s="44">
        <f t="shared" si="406"/>
        <v>0</v>
      </c>
      <c r="DL249" s="44">
        <f t="shared" si="478"/>
        <v>0</v>
      </c>
      <c r="DM249" s="44">
        <f t="shared" si="407"/>
        <v>0</v>
      </c>
      <c r="DN249" s="44">
        <f t="shared" si="479"/>
        <v>0</v>
      </c>
      <c r="DO249" s="44">
        <f t="shared" si="408"/>
        <v>0</v>
      </c>
      <c r="DP249" s="46">
        <f t="shared" si="409"/>
        <v>0</v>
      </c>
      <c r="DQ249" s="47">
        <f t="shared" si="410"/>
        <v>0</v>
      </c>
      <c r="DR249" s="604">
        <f t="shared" si="480"/>
        <v>0</v>
      </c>
      <c r="DS249" s="44">
        <f t="shared" si="481"/>
        <v>0</v>
      </c>
      <c r="DT249" s="44">
        <f t="shared" si="482"/>
        <v>0</v>
      </c>
      <c r="DU249" s="44">
        <f t="shared" si="483"/>
        <v>0</v>
      </c>
      <c r="DV249" s="44">
        <f t="shared" si="484"/>
        <v>0</v>
      </c>
      <c r="DW249" s="44">
        <f t="shared" si="485"/>
        <v>0</v>
      </c>
      <c r="DX249" s="44">
        <f t="shared" si="411"/>
        <v>0</v>
      </c>
      <c r="DY249" s="44">
        <f t="shared" si="486"/>
        <v>0</v>
      </c>
      <c r="DZ249" s="44">
        <f t="shared" si="412"/>
        <v>0</v>
      </c>
      <c r="EA249" s="44">
        <f t="shared" si="487"/>
        <v>0</v>
      </c>
      <c r="EB249" s="44">
        <f t="shared" si="413"/>
        <v>0</v>
      </c>
      <c r="EC249" s="46">
        <f t="shared" si="414"/>
        <v>0</v>
      </c>
      <c r="ED249" s="47">
        <f t="shared" si="415"/>
        <v>0</v>
      </c>
    </row>
    <row r="250" spans="1:134" x14ac:dyDescent="0.35">
      <c r="A250" s="172"/>
      <c r="B250" s="173"/>
      <c r="C250" s="174"/>
      <c r="D250" s="175"/>
      <c r="E250" s="176"/>
      <c r="F250" s="177"/>
      <c r="G250" s="178"/>
      <c r="H250" s="179"/>
      <c r="I250" s="180"/>
      <c r="J250" s="181"/>
      <c r="K250" s="42">
        <f t="shared" si="366"/>
        <v>0</v>
      </c>
      <c r="L250" s="43">
        <f t="shared" si="367"/>
        <v>0</v>
      </c>
      <c r="M250" s="44">
        <f t="shared" si="368"/>
        <v>0</v>
      </c>
      <c r="N250" s="44"/>
      <c r="O250" s="44">
        <f t="shared" si="369"/>
        <v>0</v>
      </c>
      <c r="P250" s="45"/>
      <c r="Q250" s="44">
        <f t="shared" si="370"/>
        <v>0</v>
      </c>
      <c r="R250" s="604">
        <f t="shared" si="416"/>
        <v>0</v>
      </c>
      <c r="S250" s="44">
        <f t="shared" si="417"/>
        <v>0</v>
      </c>
      <c r="T250" s="44">
        <f t="shared" si="418"/>
        <v>0</v>
      </c>
      <c r="U250" s="44">
        <f t="shared" si="419"/>
        <v>0</v>
      </c>
      <c r="V250" s="44">
        <f t="shared" si="420"/>
        <v>0</v>
      </c>
      <c r="W250" s="44">
        <f t="shared" si="421"/>
        <v>0</v>
      </c>
      <c r="X250" s="44">
        <f t="shared" si="371"/>
        <v>0</v>
      </c>
      <c r="Y250" s="44">
        <f t="shared" si="422"/>
        <v>0</v>
      </c>
      <c r="Z250" s="44">
        <f t="shared" si="372"/>
        <v>0</v>
      </c>
      <c r="AA250" s="44">
        <f t="shared" si="423"/>
        <v>0</v>
      </c>
      <c r="AB250" s="44">
        <f t="shared" si="373"/>
        <v>0</v>
      </c>
      <c r="AC250" s="46">
        <f t="shared" si="374"/>
        <v>0</v>
      </c>
      <c r="AD250" s="47">
        <f t="shared" si="375"/>
        <v>0</v>
      </c>
      <c r="AE250" s="604">
        <f t="shared" si="424"/>
        <v>0</v>
      </c>
      <c r="AF250" s="44">
        <f t="shared" si="425"/>
        <v>0</v>
      </c>
      <c r="AG250" s="44">
        <f t="shared" si="426"/>
        <v>0</v>
      </c>
      <c r="AH250" s="44">
        <f t="shared" si="427"/>
        <v>0</v>
      </c>
      <c r="AI250" s="44">
        <f t="shared" si="428"/>
        <v>0</v>
      </c>
      <c r="AJ250" s="44">
        <f t="shared" si="429"/>
        <v>0</v>
      </c>
      <c r="AK250" s="44">
        <f t="shared" si="376"/>
        <v>0</v>
      </c>
      <c r="AL250" s="44">
        <f t="shared" si="430"/>
        <v>0</v>
      </c>
      <c r="AM250" s="44">
        <f t="shared" si="377"/>
        <v>0</v>
      </c>
      <c r="AN250" s="44">
        <f t="shared" si="431"/>
        <v>0</v>
      </c>
      <c r="AO250" s="44">
        <f t="shared" si="378"/>
        <v>0</v>
      </c>
      <c r="AP250" s="46">
        <f t="shared" si="379"/>
        <v>0</v>
      </c>
      <c r="AQ250" s="47">
        <f t="shared" si="380"/>
        <v>0</v>
      </c>
      <c r="AR250" s="604">
        <f t="shared" si="432"/>
        <v>0</v>
      </c>
      <c r="AS250" s="44">
        <f t="shared" si="433"/>
        <v>0</v>
      </c>
      <c r="AT250" s="44">
        <f t="shared" si="434"/>
        <v>0</v>
      </c>
      <c r="AU250" s="44">
        <f t="shared" si="435"/>
        <v>0</v>
      </c>
      <c r="AV250" s="44">
        <f t="shared" si="436"/>
        <v>0</v>
      </c>
      <c r="AW250" s="44">
        <f t="shared" si="437"/>
        <v>0</v>
      </c>
      <c r="AX250" s="44">
        <f t="shared" si="381"/>
        <v>0</v>
      </c>
      <c r="AY250" s="44">
        <f t="shared" si="438"/>
        <v>0</v>
      </c>
      <c r="AZ250" s="44">
        <f t="shared" si="382"/>
        <v>0</v>
      </c>
      <c r="BA250" s="44">
        <f t="shared" si="439"/>
        <v>0</v>
      </c>
      <c r="BB250" s="44">
        <f t="shared" si="383"/>
        <v>0</v>
      </c>
      <c r="BC250" s="46">
        <f t="shared" si="384"/>
        <v>0</v>
      </c>
      <c r="BD250" s="47">
        <f t="shared" si="385"/>
        <v>0</v>
      </c>
      <c r="BE250" s="604">
        <f t="shared" si="440"/>
        <v>0</v>
      </c>
      <c r="BF250" s="44">
        <f t="shared" si="441"/>
        <v>0</v>
      </c>
      <c r="BG250" s="44">
        <f t="shared" si="442"/>
        <v>0</v>
      </c>
      <c r="BH250" s="44">
        <f t="shared" si="443"/>
        <v>0</v>
      </c>
      <c r="BI250" s="44">
        <f t="shared" si="444"/>
        <v>0</v>
      </c>
      <c r="BJ250" s="44">
        <f t="shared" si="445"/>
        <v>0</v>
      </c>
      <c r="BK250" s="44">
        <f t="shared" si="386"/>
        <v>0</v>
      </c>
      <c r="BL250" s="44">
        <f t="shared" si="446"/>
        <v>0</v>
      </c>
      <c r="BM250" s="44">
        <f t="shared" si="387"/>
        <v>0</v>
      </c>
      <c r="BN250" s="44">
        <f t="shared" si="447"/>
        <v>0</v>
      </c>
      <c r="BO250" s="44">
        <f t="shared" si="388"/>
        <v>0</v>
      </c>
      <c r="BP250" s="46">
        <f t="shared" si="389"/>
        <v>0</v>
      </c>
      <c r="BQ250" s="47">
        <f t="shared" si="390"/>
        <v>0</v>
      </c>
      <c r="BR250" s="604">
        <f t="shared" si="448"/>
        <v>0</v>
      </c>
      <c r="BS250" s="44">
        <f t="shared" si="449"/>
        <v>0</v>
      </c>
      <c r="BT250" s="44">
        <f t="shared" si="450"/>
        <v>0</v>
      </c>
      <c r="BU250" s="44">
        <f t="shared" si="451"/>
        <v>0</v>
      </c>
      <c r="BV250" s="44">
        <f t="shared" si="452"/>
        <v>0</v>
      </c>
      <c r="BW250" s="44">
        <f t="shared" si="453"/>
        <v>0</v>
      </c>
      <c r="BX250" s="44">
        <f t="shared" si="391"/>
        <v>0</v>
      </c>
      <c r="BY250" s="44">
        <f t="shared" si="454"/>
        <v>0</v>
      </c>
      <c r="BZ250" s="44">
        <f t="shared" si="392"/>
        <v>0</v>
      </c>
      <c r="CA250" s="44">
        <f t="shared" si="455"/>
        <v>0</v>
      </c>
      <c r="CB250" s="44">
        <f t="shared" si="393"/>
        <v>0</v>
      </c>
      <c r="CC250" s="46">
        <f t="shared" si="394"/>
        <v>0</v>
      </c>
      <c r="CD250" s="47">
        <f t="shared" si="395"/>
        <v>0</v>
      </c>
      <c r="CE250" s="604">
        <f t="shared" si="456"/>
        <v>0</v>
      </c>
      <c r="CF250" s="44">
        <f t="shared" si="457"/>
        <v>0</v>
      </c>
      <c r="CG250" s="44">
        <f t="shared" si="458"/>
        <v>0</v>
      </c>
      <c r="CH250" s="44">
        <f t="shared" si="459"/>
        <v>0</v>
      </c>
      <c r="CI250" s="44">
        <f t="shared" si="460"/>
        <v>0</v>
      </c>
      <c r="CJ250" s="44">
        <f t="shared" si="461"/>
        <v>0</v>
      </c>
      <c r="CK250" s="44">
        <f t="shared" si="396"/>
        <v>0</v>
      </c>
      <c r="CL250" s="44">
        <f t="shared" si="462"/>
        <v>0</v>
      </c>
      <c r="CM250" s="44">
        <f t="shared" si="397"/>
        <v>0</v>
      </c>
      <c r="CN250" s="44">
        <f t="shared" si="463"/>
        <v>0</v>
      </c>
      <c r="CO250" s="44">
        <f t="shared" si="398"/>
        <v>0</v>
      </c>
      <c r="CP250" s="46">
        <f t="shared" si="399"/>
        <v>0</v>
      </c>
      <c r="CQ250" s="47">
        <f t="shared" si="400"/>
        <v>0</v>
      </c>
      <c r="CR250" s="604">
        <f t="shared" si="464"/>
        <v>0</v>
      </c>
      <c r="CS250" s="44">
        <f t="shared" si="465"/>
        <v>0</v>
      </c>
      <c r="CT250" s="44">
        <f t="shared" si="466"/>
        <v>0</v>
      </c>
      <c r="CU250" s="44">
        <f t="shared" si="467"/>
        <v>0</v>
      </c>
      <c r="CV250" s="44">
        <f t="shared" si="468"/>
        <v>0</v>
      </c>
      <c r="CW250" s="44">
        <f t="shared" si="469"/>
        <v>0</v>
      </c>
      <c r="CX250" s="44">
        <f t="shared" si="401"/>
        <v>0</v>
      </c>
      <c r="CY250" s="44">
        <f t="shared" si="470"/>
        <v>0</v>
      </c>
      <c r="CZ250" s="44">
        <f t="shared" si="402"/>
        <v>0</v>
      </c>
      <c r="DA250" s="44">
        <f t="shared" si="471"/>
        <v>0</v>
      </c>
      <c r="DB250" s="44">
        <f t="shared" si="403"/>
        <v>0</v>
      </c>
      <c r="DC250" s="46">
        <f t="shared" si="404"/>
        <v>0</v>
      </c>
      <c r="DD250" s="47">
        <f t="shared" si="405"/>
        <v>0</v>
      </c>
      <c r="DE250" s="604">
        <f t="shared" si="472"/>
        <v>0</v>
      </c>
      <c r="DF250" s="44">
        <f t="shared" si="473"/>
        <v>0</v>
      </c>
      <c r="DG250" s="44">
        <f t="shared" si="474"/>
        <v>0</v>
      </c>
      <c r="DH250" s="44">
        <f t="shared" si="475"/>
        <v>0</v>
      </c>
      <c r="DI250" s="44">
        <f t="shared" si="476"/>
        <v>0</v>
      </c>
      <c r="DJ250" s="44">
        <f t="shared" si="477"/>
        <v>0</v>
      </c>
      <c r="DK250" s="44">
        <f t="shared" si="406"/>
        <v>0</v>
      </c>
      <c r="DL250" s="44">
        <f t="shared" si="478"/>
        <v>0</v>
      </c>
      <c r="DM250" s="44">
        <f t="shared" si="407"/>
        <v>0</v>
      </c>
      <c r="DN250" s="44">
        <f t="shared" si="479"/>
        <v>0</v>
      </c>
      <c r="DO250" s="44">
        <f t="shared" si="408"/>
        <v>0</v>
      </c>
      <c r="DP250" s="46">
        <f t="shared" si="409"/>
        <v>0</v>
      </c>
      <c r="DQ250" s="47">
        <f t="shared" si="410"/>
        <v>0</v>
      </c>
      <c r="DR250" s="604">
        <f t="shared" si="480"/>
        <v>0</v>
      </c>
      <c r="DS250" s="44">
        <f t="shared" si="481"/>
        <v>0</v>
      </c>
      <c r="DT250" s="44">
        <f t="shared" si="482"/>
        <v>0</v>
      </c>
      <c r="DU250" s="44">
        <f t="shared" si="483"/>
        <v>0</v>
      </c>
      <c r="DV250" s="44">
        <f t="shared" si="484"/>
        <v>0</v>
      </c>
      <c r="DW250" s="44">
        <f t="shared" si="485"/>
        <v>0</v>
      </c>
      <c r="DX250" s="44">
        <f t="shared" si="411"/>
        <v>0</v>
      </c>
      <c r="DY250" s="44">
        <f t="shared" si="486"/>
        <v>0</v>
      </c>
      <c r="DZ250" s="44">
        <f t="shared" si="412"/>
        <v>0</v>
      </c>
      <c r="EA250" s="44">
        <f t="shared" si="487"/>
        <v>0</v>
      </c>
      <c r="EB250" s="44">
        <f t="shared" si="413"/>
        <v>0</v>
      </c>
      <c r="EC250" s="46">
        <f t="shared" si="414"/>
        <v>0</v>
      </c>
      <c r="ED250" s="47">
        <f t="shared" si="415"/>
        <v>0</v>
      </c>
    </row>
    <row r="251" spans="1:134" x14ac:dyDescent="0.35">
      <c r="A251" s="172"/>
      <c r="B251" s="173"/>
      <c r="C251" s="174"/>
      <c r="D251" s="175"/>
      <c r="E251" s="176"/>
      <c r="F251" s="177"/>
      <c r="G251" s="178"/>
      <c r="H251" s="179"/>
      <c r="I251" s="180"/>
      <c r="J251" s="181"/>
      <c r="K251" s="42">
        <f t="shared" si="366"/>
        <v>0</v>
      </c>
      <c r="L251" s="43">
        <f t="shared" si="367"/>
        <v>0</v>
      </c>
      <c r="M251" s="44">
        <f t="shared" si="368"/>
        <v>0</v>
      </c>
      <c r="N251" s="44"/>
      <c r="O251" s="44">
        <f t="shared" si="369"/>
        <v>0</v>
      </c>
      <c r="P251" s="45"/>
      <c r="Q251" s="44">
        <f t="shared" si="370"/>
        <v>0</v>
      </c>
      <c r="R251" s="604">
        <f t="shared" si="416"/>
        <v>0</v>
      </c>
      <c r="S251" s="44">
        <f t="shared" si="417"/>
        <v>0</v>
      </c>
      <c r="T251" s="44">
        <f t="shared" si="418"/>
        <v>0</v>
      </c>
      <c r="U251" s="44">
        <f t="shared" si="419"/>
        <v>0</v>
      </c>
      <c r="V251" s="44">
        <f t="shared" si="420"/>
        <v>0</v>
      </c>
      <c r="W251" s="44">
        <f t="shared" si="421"/>
        <v>0</v>
      </c>
      <c r="X251" s="44">
        <f t="shared" si="371"/>
        <v>0</v>
      </c>
      <c r="Y251" s="44">
        <f t="shared" si="422"/>
        <v>0</v>
      </c>
      <c r="Z251" s="44">
        <f t="shared" si="372"/>
        <v>0</v>
      </c>
      <c r="AA251" s="44">
        <f t="shared" si="423"/>
        <v>0</v>
      </c>
      <c r="AB251" s="44">
        <f t="shared" si="373"/>
        <v>0</v>
      </c>
      <c r="AC251" s="46">
        <f t="shared" si="374"/>
        <v>0</v>
      </c>
      <c r="AD251" s="47">
        <f t="shared" si="375"/>
        <v>0</v>
      </c>
      <c r="AE251" s="604">
        <f t="shared" si="424"/>
        <v>0</v>
      </c>
      <c r="AF251" s="44">
        <f t="shared" si="425"/>
        <v>0</v>
      </c>
      <c r="AG251" s="44">
        <f t="shared" si="426"/>
        <v>0</v>
      </c>
      <c r="AH251" s="44">
        <f t="shared" si="427"/>
        <v>0</v>
      </c>
      <c r="AI251" s="44">
        <f t="shared" si="428"/>
        <v>0</v>
      </c>
      <c r="AJ251" s="44">
        <f t="shared" si="429"/>
        <v>0</v>
      </c>
      <c r="AK251" s="44">
        <f t="shared" si="376"/>
        <v>0</v>
      </c>
      <c r="AL251" s="44">
        <f t="shared" si="430"/>
        <v>0</v>
      </c>
      <c r="AM251" s="44">
        <f t="shared" si="377"/>
        <v>0</v>
      </c>
      <c r="AN251" s="44">
        <f t="shared" si="431"/>
        <v>0</v>
      </c>
      <c r="AO251" s="44">
        <f t="shared" si="378"/>
        <v>0</v>
      </c>
      <c r="AP251" s="46">
        <f t="shared" si="379"/>
        <v>0</v>
      </c>
      <c r="AQ251" s="47">
        <f t="shared" si="380"/>
        <v>0</v>
      </c>
      <c r="AR251" s="604">
        <f t="shared" si="432"/>
        <v>0</v>
      </c>
      <c r="AS251" s="44">
        <f t="shared" si="433"/>
        <v>0</v>
      </c>
      <c r="AT251" s="44">
        <f t="shared" si="434"/>
        <v>0</v>
      </c>
      <c r="AU251" s="44">
        <f t="shared" si="435"/>
        <v>0</v>
      </c>
      <c r="AV251" s="44">
        <f t="shared" si="436"/>
        <v>0</v>
      </c>
      <c r="AW251" s="44">
        <f t="shared" si="437"/>
        <v>0</v>
      </c>
      <c r="AX251" s="44">
        <f t="shared" si="381"/>
        <v>0</v>
      </c>
      <c r="AY251" s="44">
        <f t="shared" si="438"/>
        <v>0</v>
      </c>
      <c r="AZ251" s="44">
        <f t="shared" si="382"/>
        <v>0</v>
      </c>
      <c r="BA251" s="44">
        <f t="shared" si="439"/>
        <v>0</v>
      </c>
      <c r="BB251" s="44">
        <f t="shared" si="383"/>
        <v>0</v>
      </c>
      <c r="BC251" s="46">
        <f t="shared" si="384"/>
        <v>0</v>
      </c>
      <c r="BD251" s="47">
        <f t="shared" si="385"/>
        <v>0</v>
      </c>
      <c r="BE251" s="604">
        <f t="shared" si="440"/>
        <v>0</v>
      </c>
      <c r="BF251" s="44">
        <f t="shared" si="441"/>
        <v>0</v>
      </c>
      <c r="BG251" s="44">
        <f t="shared" si="442"/>
        <v>0</v>
      </c>
      <c r="BH251" s="44">
        <f t="shared" si="443"/>
        <v>0</v>
      </c>
      <c r="BI251" s="44">
        <f t="shared" si="444"/>
        <v>0</v>
      </c>
      <c r="BJ251" s="44">
        <f t="shared" si="445"/>
        <v>0</v>
      </c>
      <c r="BK251" s="44">
        <f t="shared" si="386"/>
        <v>0</v>
      </c>
      <c r="BL251" s="44">
        <f t="shared" si="446"/>
        <v>0</v>
      </c>
      <c r="BM251" s="44">
        <f t="shared" si="387"/>
        <v>0</v>
      </c>
      <c r="BN251" s="44">
        <f t="shared" si="447"/>
        <v>0</v>
      </c>
      <c r="BO251" s="44">
        <f t="shared" si="388"/>
        <v>0</v>
      </c>
      <c r="BP251" s="46">
        <f t="shared" si="389"/>
        <v>0</v>
      </c>
      <c r="BQ251" s="47">
        <f t="shared" si="390"/>
        <v>0</v>
      </c>
      <c r="BR251" s="604">
        <f t="shared" si="448"/>
        <v>0</v>
      </c>
      <c r="BS251" s="44">
        <f t="shared" si="449"/>
        <v>0</v>
      </c>
      <c r="BT251" s="44">
        <f t="shared" si="450"/>
        <v>0</v>
      </c>
      <c r="BU251" s="44">
        <f t="shared" si="451"/>
        <v>0</v>
      </c>
      <c r="BV251" s="44">
        <f t="shared" si="452"/>
        <v>0</v>
      </c>
      <c r="BW251" s="44">
        <f t="shared" si="453"/>
        <v>0</v>
      </c>
      <c r="BX251" s="44">
        <f t="shared" si="391"/>
        <v>0</v>
      </c>
      <c r="BY251" s="44">
        <f t="shared" si="454"/>
        <v>0</v>
      </c>
      <c r="BZ251" s="44">
        <f t="shared" si="392"/>
        <v>0</v>
      </c>
      <c r="CA251" s="44">
        <f t="shared" si="455"/>
        <v>0</v>
      </c>
      <c r="CB251" s="44">
        <f t="shared" si="393"/>
        <v>0</v>
      </c>
      <c r="CC251" s="46">
        <f t="shared" si="394"/>
        <v>0</v>
      </c>
      <c r="CD251" s="47">
        <f t="shared" si="395"/>
        <v>0</v>
      </c>
      <c r="CE251" s="604">
        <f t="shared" si="456"/>
        <v>0</v>
      </c>
      <c r="CF251" s="44">
        <f t="shared" si="457"/>
        <v>0</v>
      </c>
      <c r="CG251" s="44">
        <f t="shared" si="458"/>
        <v>0</v>
      </c>
      <c r="CH251" s="44">
        <f t="shared" si="459"/>
        <v>0</v>
      </c>
      <c r="CI251" s="44">
        <f t="shared" si="460"/>
        <v>0</v>
      </c>
      <c r="CJ251" s="44">
        <f t="shared" si="461"/>
        <v>0</v>
      </c>
      <c r="CK251" s="44">
        <f t="shared" si="396"/>
        <v>0</v>
      </c>
      <c r="CL251" s="44">
        <f t="shared" si="462"/>
        <v>0</v>
      </c>
      <c r="CM251" s="44">
        <f t="shared" si="397"/>
        <v>0</v>
      </c>
      <c r="CN251" s="44">
        <f t="shared" si="463"/>
        <v>0</v>
      </c>
      <c r="CO251" s="44">
        <f t="shared" si="398"/>
        <v>0</v>
      </c>
      <c r="CP251" s="46">
        <f t="shared" si="399"/>
        <v>0</v>
      </c>
      <c r="CQ251" s="47">
        <f t="shared" si="400"/>
        <v>0</v>
      </c>
      <c r="CR251" s="604">
        <f t="shared" si="464"/>
        <v>0</v>
      </c>
      <c r="CS251" s="44">
        <f t="shared" si="465"/>
        <v>0</v>
      </c>
      <c r="CT251" s="44">
        <f t="shared" si="466"/>
        <v>0</v>
      </c>
      <c r="CU251" s="44">
        <f t="shared" si="467"/>
        <v>0</v>
      </c>
      <c r="CV251" s="44">
        <f t="shared" si="468"/>
        <v>0</v>
      </c>
      <c r="CW251" s="44">
        <f t="shared" si="469"/>
        <v>0</v>
      </c>
      <c r="CX251" s="44">
        <f t="shared" si="401"/>
        <v>0</v>
      </c>
      <c r="CY251" s="44">
        <f t="shared" si="470"/>
        <v>0</v>
      </c>
      <c r="CZ251" s="44">
        <f t="shared" si="402"/>
        <v>0</v>
      </c>
      <c r="DA251" s="44">
        <f t="shared" si="471"/>
        <v>0</v>
      </c>
      <c r="DB251" s="44">
        <f t="shared" si="403"/>
        <v>0</v>
      </c>
      <c r="DC251" s="46">
        <f t="shared" si="404"/>
        <v>0</v>
      </c>
      <c r="DD251" s="47">
        <f t="shared" si="405"/>
        <v>0</v>
      </c>
      <c r="DE251" s="604">
        <f t="shared" si="472"/>
        <v>0</v>
      </c>
      <c r="DF251" s="44">
        <f t="shared" si="473"/>
        <v>0</v>
      </c>
      <c r="DG251" s="44">
        <f t="shared" si="474"/>
        <v>0</v>
      </c>
      <c r="DH251" s="44">
        <f t="shared" si="475"/>
        <v>0</v>
      </c>
      <c r="DI251" s="44">
        <f t="shared" si="476"/>
        <v>0</v>
      </c>
      <c r="DJ251" s="44">
        <f t="shared" si="477"/>
        <v>0</v>
      </c>
      <c r="DK251" s="44">
        <f t="shared" si="406"/>
        <v>0</v>
      </c>
      <c r="DL251" s="44">
        <f t="shared" si="478"/>
        <v>0</v>
      </c>
      <c r="DM251" s="44">
        <f t="shared" si="407"/>
        <v>0</v>
      </c>
      <c r="DN251" s="44">
        <f t="shared" si="479"/>
        <v>0</v>
      </c>
      <c r="DO251" s="44">
        <f t="shared" si="408"/>
        <v>0</v>
      </c>
      <c r="DP251" s="46">
        <f t="shared" si="409"/>
        <v>0</v>
      </c>
      <c r="DQ251" s="47">
        <f t="shared" si="410"/>
        <v>0</v>
      </c>
      <c r="DR251" s="604">
        <f t="shared" si="480"/>
        <v>0</v>
      </c>
      <c r="DS251" s="44">
        <f t="shared" si="481"/>
        <v>0</v>
      </c>
      <c r="DT251" s="44">
        <f t="shared" si="482"/>
        <v>0</v>
      </c>
      <c r="DU251" s="44">
        <f t="shared" si="483"/>
        <v>0</v>
      </c>
      <c r="DV251" s="44">
        <f t="shared" si="484"/>
        <v>0</v>
      </c>
      <c r="DW251" s="44">
        <f t="shared" si="485"/>
        <v>0</v>
      </c>
      <c r="DX251" s="44">
        <f t="shared" si="411"/>
        <v>0</v>
      </c>
      <c r="DY251" s="44">
        <f t="shared" si="486"/>
        <v>0</v>
      </c>
      <c r="DZ251" s="44">
        <f t="shared" si="412"/>
        <v>0</v>
      </c>
      <c r="EA251" s="44">
        <f t="shared" si="487"/>
        <v>0</v>
      </c>
      <c r="EB251" s="44">
        <f t="shared" si="413"/>
        <v>0</v>
      </c>
      <c r="EC251" s="46">
        <f t="shared" si="414"/>
        <v>0</v>
      </c>
      <c r="ED251" s="47">
        <f t="shared" si="415"/>
        <v>0</v>
      </c>
    </row>
    <row r="252" spans="1:134" x14ac:dyDescent="0.35">
      <c r="A252" s="172"/>
      <c r="B252" s="173"/>
      <c r="C252" s="174"/>
      <c r="D252" s="175"/>
      <c r="E252" s="176"/>
      <c r="F252" s="177"/>
      <c r="G252" s="178"/>
      <c r="H252" s="179"/>
      <c r="I252" s="180"/>
      <c r="J252" s="181"/>
      <c r="K252" s="42">
        <f t="shared" si="366"/>
        <v>0</v>
      </c>
      <c r="L252" s="43">
        <f t="shared" si="367"/>
        <v>0</v>
      </c>
      <c r="M252" s="44">
        <f t="shared" si="368"/>
        <v>0</v>
      </c>
      <c r="N252" s="44"/>
      <c r="O252" s="44">
        <f t="shared" si="369"/>
        <v>0</v>
      </c>
      <c r="P252" s="45"/>
      <c r="Q252" s="44">
        <f t="shared" si="370"/>
        <v>0</v>
      </c>
      <c r="R252" s="604">
        <f t="shared" si="416"/>
        <v>0</v>
      </c>
      <c r="S252" s="44">
        <f t="shared" si="417"/>
        <v>0</v>
      </c>
      <c r="T252" s="44">
        <f t="shared" si="418"/>
        <v>0</v>
      </c>
      <c r="U252" s="44">
        <f t="shared" si="419"/>
        <v>0</v>
      </c>
      <c r="V252" s="44">
        <f t="shared" si="420"/>
        <v>0</v>
      </c>
      <c r="W252" s="44">
        <f t="shared" si="421"/>
        <v>0</v>
      </c>
      <c r="X252" s="44">
        <f t="shared" si="371"/>
        <v>0</v>
      </c>
      <c r="Y252" s="44">
        <f t="shared" si="422"/>
        <v>0</v>
      </c>
      <c r="Z252" s="44">
        <f t="shared" si="372"/>
        <v>0</v>
      </c>
      <c r="AA252" s="44">
        <f t="shared" si="423"/>
        <v>0</v>
      </c>
      <c r="AB252" s="44">
        <f t="shared" si="373"/>
        <v>0</v>
      </c>
      <c r="AC252" s="46">
        <f t="shared" si="374"/>
        <v>0</v>
      </c>
      <c r="AD252" s="47">
        <f t="shared" si="375"/>
        <v>0</v>
      </c>
      <c r="AE252" s="604">
        <f t="shared" si="424"/>
        <v>0</v>
      </c>
      <c r="AF252" s="44">
        <f t="shared" si="425"/>
        <v>0</v>
      </c>
      <c r="AG252" s="44">
        <f t="shared" si="426"/>
        <v>0</v>
      </c>
      <c r="AH252" s="44">
        <f t="shared" si="427"/>
        <v>0</v>
      </c>
      <c r="AI252" s="44">
        <f t="shared" si="428"/>
        <v>0</v>
      </c>
      <c r="AJ252" s="44">
        <f t="shared" si="429"/>
        <v>0</v>
      </c>
      <c r="AK252" s="44">
        <f t="shared" si="376"/>
        <v>0</v>
      </c>
      <c r="AL252" s="44">
        <f t="shared" si="430"/>
        <v>0</v>
      </c>
      <c r="AM252" s="44">
        <f t="shared" si="377"/>
        <v>0</v>
      </c>
      <c r="AN252" s="44">
        <f t="shared" si="431"/>
        <v>0</v>
      </c>
      <c r="AO252" s="44">
        <f t="shared" si="378"/>
        <v>0</v>
      </c>
      <c r="AP252" s="46">
        <f t="shared" si="379"/>
        <v>0</v>
      </c>
      <c r="AQ252" s="47">
        <f t="shared" si="380"/>
        <v>0</v>
      </c>
      <c r="AR252" s="604">
        <f t="shared" si="432"/>
        <v>0</v>
      </c>
      <c r="AS252" s="44">
        <f t="shared" si="433"/>
        <v>0</v>
      </c>
      <c r="AT252" s="44">
        <f t="shared" si="434"/>
        <v>0</v>
      </c>
      <c r="AU252" s="44">
        <f t="shared" si="435"/>
        <v>0</v>
      </c>
      <c r="AV252" s="44">
        <f t="shared" si="436"/>
        <v>0</v>
      </c>
      <c r="AW252" s="44">
        <f t="shared" si="437"/>
        <v>0</v>
      </c>
      <c r="AX252" s="44">
        <f t="shared" si="381"/>
        <v>0</v>
      </c>
      <c r="AY252" s="44">
        <f t="shared" si="438"/>
        <v>0</v>
      </c>
      <c r="AZ252" s="44">
        <f t="shared" si="382"/>
        <v>0</v>
      </c>
      <c r="BA252" s="44">
        <f t="shared" si="439"/>
        <v>0</v>
      </c>
      <c r="BB252" s="44">
        <f t="shared" si="383"/>
        <v>0</v>
      </c>
      <c r="BC252" s="46">
        <f t="shared" si="384"/>
        <v>0</v>
      </c>
      <c r="BD252" s="47">
        <f t="shared" si="385"/>
        <v>0</v>
      </c>
      <c r="BE252" s="604">
        <f t="shared" si="440"/>
        <v>0</v>
      </c>
      <c r="BF252" s="44">
        <f t="shared" si="441"/>
        <v>0</v>
      </c>
      <c r="BG252" s="44">
        <f t="shared" si="442"/>
        <v>0</v>
      </c>
      <c r="BH252" s="44">
        <f t="shared" si="443"/>
        <v>0</v>
      </c>
      <c r="BI252" s="44">
        <f t="shared" si="444"/>
        <v>0</v>
      </c>
      <c r="BJ252" s="44">
        <f t="shared" si="445"/>
        <v>0</v>
      </c>
      <c r="BK252" s="44">
        <f t="shared" si="386"/>
        <v>0</v>
      </c>
      <c r="BL252" s="44">
        <f t="shared" si="446"/>
        <v>0</v>
      </c>
      <c r="BM252" s="44">
        <f t="shared" si="387"/>
        <v>0</v>
      </c>
      <c r="BN252" s="44">
        <f t="shared" si="447"/>
        <v>0</v>
      </c>
      <c r="BO252" s="44">
        <f t="shared" si="388"/>
        <v>0</v>
      </c>
      <c r="BP252" s="46">
        <f t="shared" si="389"/>
        <v>0</v>
      </c>
      <c r="BQ252" s="47">
        <f t="shared" si="390"/>
        <v>0</v>
      </c>
      <c r="BR252" s="604">
        <f t="shared" si="448"/>
        <v>0</v>
      </c>
      <c r="BS252" s="44">
        <f t="shared" si="449"/>
        <v>0</v>
      </c>
      <c r="BT252" s="44">
        <f t="shared" si="450"/>
        <v>0</v>
      </c>
      <c r="BU252" s="44">
        <f t="shared" si="451"/>
        <v>0</v>
      </c>
      <c r="BV252" s="44">
        <f t="shared" si="452"/>
        <v>0</v>
      </c>
      <c r="BW252" s="44">
        <f t="shared" si="453"/>
        <v>0</v>
      </c>
      <c r="BX252" s="44">
        <f t="shared" si="391"/>
        <v>0</v>
      </c>
      <c r="BY252" s="44">
        <f t="shared" si="454"/>
        <v>0</v>
      </c>
      <c r="BZ252" s="44">
        <f t="shared" si="392"/>
        <v>0</v>
      </c>
      <c r="CA252" s="44">
        <f t="shared" si="455"/>
        <v>0</v>
      </c>
      <c r="CB252" s="44">
        <f t="shared" si="393"/>
        <v>0</v>
      </c>
      <c r="CC252" s="46">
        <f t="shared" si="394"/>
        <v>0</v>
      </c>
      <c r="CD252" s="47">
        <f t="shared" si="395"/>
        <v>0</v>
      </c>
      <c r="CE252" s="604">
        <f t="shared" si="456"/>
        <v>0</v>
      </c>
      <c r="CF252" s="44">
        <f t="shared" si="457"/>
        <v>0</v>
      </c>
      <c r="CG252" s="44">
        <f t="shared" si="458"/>
        <v>0</v>
      </c>
      <c r="CH252" s="44">
        <f t="shared" si="459"/>
        <v>0</v>
      </c>
      <c r="CI252" s="44">
        <f t="shared" si="460"/>
        <v>0</v>
      </c>
      <c r="CJ252" s="44">
        <f t="shared" si="461"/>
        <v>0</v>
      </c>
      <c r="CK252" s="44">
        <f t="shared" si="396"/>
        <v>0</v>
      </c>
      <c r="CL252" s="44">
        <f t="shared" si="462"/>
        <v>0</v>
      </c>
      <c r="CM252" s="44">
        <f t="shared" si="397"/>
        <v>0</v>
      </c>
      <c r="CN252" s="44">
        <f t="shared" si="463"/>
        <v>0</v>
      </c>
      <c r="CO252" s="44">
        <f t="shared" si="398"/>
        <v>0</v>
      </c>
      <c r="CP252" s="46">
        <f t="shared" si="399"/>
        <v>0</v>
      </c>
      <c r="CQ252" s="47">
        <f t="shared" si="400"/>
        <v>0</v>
      </c>
      <c r="CR252" s="604">
        <f t="shared" si="464"/>
        <v>0</v>
      </c>
      <c r="CS252" s="44">
        <f t="shared" si="465"/>
        <v>0</v>
      </c>
      <c r="CT252" s="44">
        <f t="shared" si="466"/>
        <v>0</v>
      </c>
      <c r="CU252" s="44">
        <f t="shared" si="467"/>
        <v>0</v>
      </c>
      <c r="CV252" s="44">
        <f t="shared" si="468"/>
        <v>0</v>
      </c>
      <c r="CW252" s="44">
        <f t="shared" si="469"/>
        <v>0</v>
      </c>
      <c r="CX252" s="44">
        <f t="shared" si="401"/>
        <v>0</v>
      </c>
      <c r="CY252" s="44">
        <f t="shared" si="470"/>
        <v>0</v>
      </c>
      <c r="CZ252" s="44">
        <f t="shared" si="402"/>
        <v>0</v>
      </c>
      <c r="DA252" s="44">
        <f t="shared" si="471"/>
        <v>0</v>
      </c>
      <c r="DB252" s="44">
        <f t="shared" si="403"/>
        <v>0</v>
      </c>
      <c r="DC252" s="46">
        <f t="shared" si="404"/>
        <v>0</v>
      </c>
      <c r="DD252" s="47">
        <f t="shared" si="405"/>
        <v>0</v>
      </c>
      <c r="DE252" s="604">
        <f t="shared" si="472"/>
        <v>0</v>
      </c>
      <c r="DF252" s="44">
        <f t="shared" si="473"/>
        <v>0</v>
      </c>
      <c r="DG252" s="44">
        <f t="shared" si="474"/>
        <v>0</v>
      </c>
      <c r="DH252" s="44">
        <f t="shared" si="475"/>
        <v>0</v>
      </c>
      <c r="DI252" s="44">
        <f t="shared" si="476"/>
        <v>0</v>
      </c>
      <c r="DJ252" s="44">
        <f t="shared" si="477"/>
        <v>0</v>
      </c>
      <c r="DK252" s="44">
        <f t="shared" si="406"/>
        <v>0</v>
      </c>
      <c r="DL252" s="44">
        <f t="shared" si="478"/>
        <v>0</v>
      </c>
      <c r="DM252" s="44">
        <f t="shared" si="407"/>
        <v>0</v>
      </c>
      <c r="DN252" s="44">
        <f t="shared" si="479"/>
        <v>0</v>
      </c>
      <c r="DO252" s="44">
        <f t="shared" si="408"/>
        <v>0</v>
      </c>
      <c r="DP252" s="46">
        <f t="shared" si="409"/>
        <v>0</v>
      </c>
      <c r="DQ252" s="47">
        <f t="shared" si="410"/>
        <v>0</v>
      </c>
      <c r="DR252" s="604">
        <f t="shared" si="480"/>
        <v>0</v>
      </c>
      <c r="DS252" s="44">
        <f t="shared" si="481"/>
        <v>0</v>
      </c>
      <c r="DT252" s="44">
        <f t="shared" si="482"/>
        <v>0</v>
      </c>
      <c r="DU252" s="44">
        <f t="shared" si="483"/>
        <v>0</v>
      </c>
      <c r="DV252" s="44">
        <f t="shared" si="484"/>
        <v>0</v>
      </c>
      <c r="DW252" s="44">
        <f t="shared" si="485"/>
        <v>0</v>
      </c>
      <c r="DX252" s="44">
        <f t="shared" si="411"/>
        <v>0</v>
      </c>
      <c r="DY252" s="44">
        <f t="shared" si="486"/>
        <v>0</v>
      </c>
      <c r="DZ252" s="44">
        <f t="shared" si="412"/>
        <v>0</v>
      </c>
      <c r="EA252" s="44">
        <f t="shared" si="487"/>
        <v>0</v>
      </c>
      <c r="EB252" s="44">
        <f t="shared" si="413"/>
        <v>0</v>
      </c>
      <c r="EC252" s="46">
        <f t="shared" si="414"/>
        <v>0</v>
      </c>
      <c r="ED252" s="47">
        <f t="shared" si="415"/>
        <v>0</v>
      </c>
    </row>
    <row r="253" spans="1:134" x14ac:dyDescent="0.35">
      <c r="A253" s="172"/>
      <c r="B253" s="173"/>
      <c r="C253" s="174"/>
      <c r="D253" s="175"/>
      <c r="E253" s="176"/>
      <c r="F253" s="177"/>
      <c r="G253" s="178"/>
      <c r="H253" s="179"/>
      <c r="I253" s="180"/>
      <c r="J253" s="181"/>
      <c r="K253" s="42">
        <f t="shared" si="366"/>
        <v>0</v>
      </c>
      <c r="L253" s="43">
        <f t="shared" si="367"/>
        <v>0</v>
      </c>
      <c r="M253" s="44">
        <f t="shared" si="368"/>
        <v>0</v>
      </c>
      <c r="N253" s="44"/>
      <c r="O253" s="44">
        <f t="shared" si="369"/>
        <v>0</v>
      </c>
      <c r="P253" s="45"/>
      <c r="Q253" s="44">
        <f t="shared" si="370"/>
        <v>0</v>
      </c>
      <c r="R253" s="604">
        <f t="shared" si="416"/>
        <v>0</v>
      </c>
      <c r="S253" s="44">
        <f t="shared" si="417"/>
        <v>0</v>
      </c>
      <c r="T253" s="44">
        <f t="shared" si="418"/>
        <v>0</v>
      </c>
      <c r="U253" s="44">
        <f t="shared" si="419"/>
        <v>0</v>
      </c>
      <c r="V253" s="44">
        <f t="shared" si="420"/>
        <v>0</v>
      </c>
      <c r="W253" s="44">
        <f t="shared" si="421"/>
        <v>0</v>
      </c>
      <c r="X253" s="44">
        <f t="shared" si="371"/>
        <v>0</v>
      </c>
      <c r="Y253" s="44">
        <f t="shared" si="422"/>
        <v>0</v>
      </c>
      <c r="Z253" s="44">
        <f t="shared" si="372"/>
        <v>0</v>
      </c>
      <c r="AA253" s="44">
        <f t="shared" si="423"/>
        <v>0</v>
      </c>
      <c r="AB253" s="44">
        <f t="shared" si="373"/>
        <v>0</v>
      </c>
      <c r="AC253" s="46">
        <f t="shared" si="374"/>
        <v>0</v>
      </c>
      <c r="AD253" s="47">
        <f t="shared" si="375"/>
        <v>0</v>
      </c>
      <c r="AE253" s="604">
        <f t="shared" si="424"/>
        <v>0</v>
      </c>
      <c r="AF253" s="44">
        <f t="shared" si="425"/>
        <v>0</v>
      </c>
      <c r="AG253" s="44">
        <f t="shared" si="426"/>
        <v>0</v>
      </c>
      <c r="AH253" s="44">
        <f t="shared" si="427"/>
        <v>0</v>
      </c>
      <c r="AI253" s="44">
        <f t="shared" si="428"/>
        <v>0</v>
      </c>
      <c r="AJ253" s="44">
        <f t="shared" si="429"/>
        <v>0</v>
      </c>
      <c r="AK253" s="44">
        <f t="shared" si="376"/>
        <v>0</v>
      </c>
      <c r="AL253" s="44">
        <f t="shared" si="430"/>
        <v>0</v>
      </c>
      <c r="AM253" s="44">
        <f t="shared" si="377"/>
        <v>0</v>
      </c>
      <c r="AN253" s="44">
        <f t="shared" si="431"/>
        <v>0</v>
      </c>
      <c r="AO253" s="44">
        <f t="shared" si="378"/>
        <v>0</v>
      </c>
      <c r="AP253" s="46">
        <f t="shared" si="379"/>
        <v>0</v>
      </c>
      <c r="AQ253" s="47">
        <f t="shared" si="380"/>
        <v>0</v>
      </c>
      <c r="AR253" s="604">
        <f t="shared" si="432"/>
        <v>0</v>
      </c>
      <c r="AS253" s="44">
        <f t="shared" si="433"/>
        <v>0</v>
      </c>
      <c r="AT253" s="44">
        <f t="shared" si="434"/>
        <v>0</v>
      </c>
      <c r="AU253" s="44">
        <f t="shared" si="435"/>
        <v>0</v>
      </c>
      <c r="AV253" s="44">
        <f t="shared" si="436"/>
        <v>0</v>
      </c>
      <c r="AW253" s="44">
        <f t="shared" si="437"/>
        <v>0</v>
      </c>
      <c r="AX253" s="44">
        <f t="shared" si="381"/>
        <v>0</v>
      </c>
      <c r="AY253" s="44">
        <f t="shared" si="438"/>
        <v>0</v>
      </c>
      <c r="AZ253" s="44">
        <f t="shared" si="382"/>
        <v>0</v>
      </c>
      <c r="BA253" s="44">
        <f t="shared" si="439"/>
        <v>0</v>
      </c>
      <c r="BB253" s="44">
        <f t="shared" si="383"/>
        <v>0</v>
      </c>
      <c r="BC253" s="46">
        <f t="shared" si="384"/>
        <v>0</v>
      </c>
      <c r="BD253" s="47">
        <f t="shared" si="385"/>
        <v>0</v>
      </c>
      <c r="BE253" s="604">
        <f t="shared" si="440"/>
        <v>0</v>
      </c>
      <c r="BF253" s="44">
        <f t="shared" si="441"/>
        <v>0</v>
      </c>
      <c r="BG253" s="44">
        <f t="shared" si="442"/>
        <v>0</v>
      </c>
      <c r="BH253" s="44">
        <f t="shared" si="443"/>
        <v>0</v>
      </c>
      <c r="BI253" s="44">
        <f t="shared" si="444"/>
        <v>0</v>
      </c>
      <c r="BJ253" s="44">
        <f t="shared" si="445"/>
        <v>0</v>
      </c>
      <c r="BK253" s="44">
        <f t="shared" si="386"/>
        <v>0</v>
      </c>
      <c r="BL253" s="44">
        <f t="shared" si="446"/>
        <v>0</v>
      </c>
      <c r="BM253" s="44">
        <f t="shared" si="387"/>
        <v>0</v>
      </c>
      <c r="BN253" s="44">
        <f t="shared" si="447"/>
        <v>0</v>
      </c>
      <c r="BO253" s="44">
        <f t="shared" si="388"/>
        <v>0</v>
      </c>
      <c r="BP253" s="46">
        <f t="shared" si="389"/>
        <v>0</v>
      </c>
      <c r="BQ253" s="47">
        <f t="shared" si="390"/>
        <v>0</v>
      </c>
      <c r="BR253" s="604">
        <f t="shared" si="448"/>
        <v>0</v>
      </c>
      <c r="BS253" s="44">
        <f t="shared" si="449"/>
        <v>0</v>
      </c>
      <c r="BT253" s="44">
        <f t="shared" si="450"/>
        <v>0</v>
      </c>
      <c r="BU253" s="44">
        <f t="shared" si="451"/>
        <v>0</v>
      </c>
      <c r="BV253" s="44">
        <f t="shared" si="452"/>
        <v>0</v>
      </c>
      <c r="BW253" s="44">
        <f t="shared" si="453"/>
        <v>0</v>
      </c>
      <c r="BX253" s="44">
        <f t="shared" si="391"/>
        <v>0</v>
      </c>
      <c r="BY253" s="44">
        <f t="shared" si="454"/>
        <v>0</v>
      </c>
      <c r="BZ253" s="44">
        <f t="shared" si="392"/>
        <v>0</v>
      </c>
      <c r="CA253" s="44">
        <f t="shared" si="455"/>
        <v>0</v>
      </c>
      <c r="CB253" s="44">
        <f t="shared" si="393"/>
        <v>0</v>
      </c>
      <c r="CC253" s="46">
        <f t="shared" si="394"/>
        <v>0</v>
      </c>
      <c r="CD253" s="47">
        <f t="shared" si="395"/>
        <v>0</v>
      </c>
      <c r="CE253" s="604">
        <f t="shared" si="456"/>
        <v>0</v>
      </c>
      <c r="CF253" s="44">
        <f t="shared" si="457"/>
        <v>0</v>
      </c>
      <c r="CG253" s="44">
        <f t="shared" si="458"/>
        <v>0</v>
      </c>
      <c r="CH253" s="44">
        <f t="shared" si="459"/>
        <v>0</v>
      </c>
      <c r="CI253" s="44">
        <f t="shared" si="460"/>
        <v>0</v>
      </c>
      <c r="CJ253" s="44">
        <f t="shared" si="461"/>
        <v>0</v>
      </c>
      <c r="CK253" s="44">
        <f t="shared" si="396"/>
        <v>0</v>
      </c>
      <c r="CL253" s="44">
        <f t="shared" si="462"/>
        <v>0</v>
      </c>
      <c r="CM253" s="44">
        <f t="shared" si="397"/>
        <v>0</v>
      </c>
      <c r="CN253" s="44">
        <f t="shared" si="463"/>
        <v>0</v>
      </c>
      <c r="CO253" s="44">
        <f t="shared" si="398"/>
        <v>0</v>
      </c>
      <c r="CP253" s="46">
        <f t="shared" si="399"/>
        <v>0</v>
      </c>
      <c r="CQ253" s="47">
        <f t="shared" si="400"/>
        <v>0</v>
      </c>
      <c r="CR253" s="604">
        <f t="shared" si="464"/>
        <v>0</v>
      </c>
      <c r="CS253" s="44">
        <f t="shared" si="465"/>
        <v>0</v>
      </c>
      <c r="CT253" s="44">
        <f t="shared" si="466"/>
        <v>0</v>
      </c>
      <c r="CU253" s="44">
        <f t="shared" si="467"/>
        <v>0</v>
      </c>
      <c r="CV253" s="44">
        <f t="shared" si="468"/>
        <v>0</v>
      </c>
      <c r="CW253" s="44">
        <f t="shared" si="469"/>
        <v>0</v>
      </c>
      <c r="CX253" s="44">
        <f t="shared" si="401"/>
        <v>0</v>
      </c>
      <c r="CY253" s="44">
        <f t="shared" si="470"/>
        <v>0</v>
      </c>
      <c r="CZ253" s="44">
        <f t="shared" si="402"/>
        <v>0</v>
      </c>
      <c r="DA253" s="44">
        <f t="shared" si="471"/>
        <v>0</v>
      </c>
      <c r="DB253" s="44">
        <f t="shared" si="403"/>
        <v>0</v>
      </c>
      <c r="DC253" s="46">
        <f t="shared" si="404"/>
        <v>0</v>
      </c>
      <c r="DD253" s="47">
        <f t="shared" si="405"/>
        <v>0</v>
      </c>
      <c r="DE253" s="604">
        <f t="shared" si="472"/>
        <v>0</v>
      </c>
      <c r="DF253" s="44">
        <f t="shared" si="473"/>
        <v>0</v>
      </c>
      <c r="DG253" s="44">
        <f t="shared" si="474"/>
        <v>0</v>
      </c>
      <c r="DH253" s="44">
        <f t="shared" si="475"/>
        <v>0</v>
      </c>
      <c r="DI253" s="44">
        <f t="shared" si="476"/>
        <v>0</v>
      </c>
      <c r="DJ253" s="44">
        <f t="shared" si="477"/>
        <v>0</v>
      </c>
      <c r="DK253" s="44">
        <f t="shared" si="406"/>
        <v>0</v>
      </c>
      <c r="DL253" s="44">
        <f t="shared" si="478"/>
        <v>0</v>
      </c>
      <c r="DM253" s="44">
        <f t="shared" si="407"/>
        <v>0</v>
      </c>
      <c r="DN253" s="44">
        <f t="shared" si="479"/>
        <v>0</v>
      </c>
      <c r="DO253" s="44">
        <f t="shared" si="408"/>
        <v>0</v>
      </c>
      <c r="DP253" s="46">
        <f t="shared" si="409"/>
        <v>0</v>
      </c>
      <c r="DQ253" s="47">
        <f t="shared" si="410"/>
        <v>0</v>
      </c>
      <c r="DR253" s="604">
        <f t="shared" si="480"/>
        <v>0</v>
      </c>
      <c r="DS253" s="44">
        <f t="shared" si="481"/>
        <v>0</v>
      </c>
      <c r="DT253" s="44">
        <f t="shared" si="482"/>
        <v>0</v>
      </c>
      <c r="DU253" s="44">
        <f t="shared" si="483"/>
        <v>0</v>
      </c>
      <c r="DV253" s="44">
        <f t="shared" si="484"/>
        <v>0</v>
      </c>
      <c r="DW253" s="44">
        <f t="shared" si="485"/>
        <v>0</v>
      </c>
      <c r="DX253" s="44">
        <f t="shared" si="411"/>
        <v>0</v>
      </c>
      <c r="DY253" s="44">
        <f t="shared" si="486"/>
        <v>0</v>
      </c>
      <c r="DZ253" s="44">
        <f t="shared" si="412"/>
        <v>0</v>
      </c>
      <c r="EA253" s="44">
        <f t="shared" si="487"/>
        <v>0</v>
      </c>
      <c r="EB253" s="44">
        <f t="shared" si="413"/>
        <v>0</v>
      </c>
      <c r="EC253" s="46">
        <f t="shared" si="414"/>
        <v>0</v>
      </c>
      <c r="ED253" s="47">
        <f t="shared" si="415"/>
        <v>0</v>
      </c>
    </row>
    <row r="254" spans="1:134" x14ac:dyDescent="0.35">
      <c r="A254" s="172"/>
      <c r="B254" s="173"/>
      <c r="C254" s="174"/>
      <c r="D254" s="175"/>
      <c r="E254" s="176"/>
      <c r="F254" s="177"/>
      <c r="G254" s="178"/>
      <c r="H254" s="179"/>
      <c r="I254" s="180"/>
      <c r="J254" s="181"/>
      <c r="K254" s="42">
        <f t="shared" si="366"/>
        <v>0</v>
      </c>
      <c r="L254" s="43">
        <f t="shared" si="367"/>
        <v>0</v>
      </c>
      <c r="M254" s="44">
        <f t="shared" si="368"/>
        <v>0</v>
      </c>
      <c r="N254" s="44"/>
      <c r="O254" s="44">
        <f t="shared" si="369"/>
        <v>0</v>
      </c>
      <c r="P254" s="45"/>
      <c r="Q254" s="44">
        <f t="shared" si="370"/>
        <v>0</v>
      </c>
      <c r="R254" s="604">
        <f t="shared" si="416"/>
        <v>0</v>
      </c>
      <c r="S254" s="44">
        <f t="shared" si="417"/>
        <v>0</v>
      </c>
      <c r="T254" s="44">
        <f t="shared" si="418"/>
        <v>0</v>
      </c>
      <c r="U254" s="44">
        <f t="shared" si="419"/>
        <v>0</v>
      </c>
      <c r="V254" s="44">
        <f t="shared" si="420"/>
        <v>0</v>
      </c>
      <c r="W254" s="44">
        <f t="shared" si="421"/>
        <v>0</v>
      </c>
      <c r="X254" s="44">
        <f t="shared" si="371"/>
        <v>0</v>
      </c>
      <c r="Y254" s="44">
        <f t="shared" si="422"/>
        <v>0</v>
      </c>
      <c r="Z254" s="44">
        <f t="shared" si="372"/>
        <v>0</v>
      </c>
      <c r="AA254" s="44">
        <f t="shared" si="423"/>
        <v>0</v>
      </c>
      <c r="AB254" s="44">
        <f t="shared" si="373"/>
        <v>0</v>
      </c>
      <c r="AC254" s="46">
        <f t="shared" si="374"/>
        <v>0</v>
      </c>
      <c r="AD254" s="47">
        <f t="shared" si="375"/>
        <v>0</v>
      </c>
      <c r="AE254" s="604">
        <f t="shared" si="424"/>
        <v>0</v>
      </c>
      <c r="AF254" s="44">
        <f t="shared" si="425"/>
        <v>0</v>
      </c>
      <c r="AG254" s="44">
        <f t="shared" si="426"/>
        <v>0</v>
      </c>
      <c r="AH254" s="44">
        <f t="shared" si="427"/>
        <v>0</v>
      </c>
      <c r="AI254" s="44">
        <f t="shared" si="428"/>
        <v>0</v>
      </c>
      <c r="AJ254" s="44">
        <f t="shared" si="429"/>
        <v>0</v>
      </c>
      <c r="AK254" s="44">
        <f t="shared" si="376"/>
        <v>0</v>
      </c>
      <c r="AL254" s="44">
        <f t="shared" si="430"/>
        <v>0</v>
      </c>
      <c r="AM254" s="44">
        <f t="shared" si="377"/>
        <v>0</v>
      </c>
      <c r="AN254" s="44">
        <f t="shared" si="431"/>
        <v>0</v>
      </c>
      <c r="AO254" s="44">
        <f t="shared" si="378"/>
        <v>0</v>
      </c>
      <c r="AP254" s="46">
        <f t="shared" si="379"/>
        <v>0</v>
      </c>
      <c r="AQ254" s="47">
        <f t="shared" si="380"/>
        <v>0</v>
      </c>
      <c r="AR254" s="604">
        <f t="shared" si="432"/>
        <v>0</v>
      </c>
      <c r="AS254" s="44">
        <f t="shared" si="433"/>
        <v>0</v>
      </c>
      <c r="AT254" s="44">
        <f t="shared" si="434"/>
        <v>0</v>
      </c>
      <c r="AU254" s="44">
        <f t="shared" si="435"/>
        <v>0</v>
      </c>
      <c r="AV254" s="44">
        <f t="shared" si="436"/>
        <v>0</v>
      </c>
      <c r="AW254" s="44">
        <f t="shared" si="437"/>
        <v>0</v>
      </c>
      <c r="AX254" s="44">
        <f t="shared" si="381"/>
        <v>0</v>
      </c>
      <c r="AY254" s="44">
        <f t="shared" si="438"/>
        <v>0</v>
      </c>
      <c r="AZ254" s="44">
        <f t="shared" si="382"/>
        <v>0</v>
      </c>
      <c r="BA254" s="44">
        <f t="shared" si="439"/>
        <v>0</v>
      </c>
      <c r="BB254" s="44">
        <f t="shared" si="383"/>
        <v>0</v>
      </c>
      <c r="BC254" s="46">
        <f t="shared" si="384"/>
        <v>0</v>
      </c>
      <c r="BD254" s="47">
        <f t="shared" si="385"/>
        <v>0</v>
      </c>
      <c r="BE254" s="604">
        <f t="shared" si="440"/>
        <v>0</v>
      </c>
      <c r="BF254" s="44">
        <f t="shared" si="441"/>
        <v>0</v>
      </c>
      <c r="BG254" s="44">
        <f t="shared" si="442"/>
        <v>0</v>
      </c>
      <c r="BH254" s="44">
        <f t="shared" si="443"/>
        <v>0</v>
      </c>
      <c r="BI254" s="44">
        <f t="shared" si="444"/>
        <v>0</v>
      </c>
      <c r="BJ254" s="44">
        <f t="shared" si="445"/>
        <v>0</v>
      </c>
      <c r="BK254" s="44">
        <f t="shared" si="386"/>
        <v>0</v>
      </c>
      <c r="BL254" s="44">
        <f t="shared" si="446"/>
        <v>0</v>
      </c>
      <c r="BM254" s="44">
        <f t="shared" si="387"/>
        <v>0</v>
      </c>
      <c r="BN254" s="44">
        <f t="shared" si="447"/>
        <v>0</v>
      </c>
      <c r="BO254" s="44">
        <f t="shared" si="388"/>
        <v>0</v>
      </c>
      <c r="BP254" s="46">
        <f t="shared" si="389"/>
        <v>0</v>
      </c>
      <c r="BQ254" s="47">
        <f t="shared" si="390"/>
        <v>0</v>
      </c>
      <c r="BR254" s="604">
        <f t="shared" si="448"/>
        <v>0</v>
      </c>
      <c r="BS254" s="44">
        <f t="shared" si="449"/>
        <v>0</v>
      </c>
      <c r="BT254" s="44">
        <f t="shared" si="450"/>
        <v>0</v>
      </c>
      <c r="BU254" s="44">
        <f t="shared" si="451"/>
        <v>0</v>
      </c>
      <c r="BV254" s="44">
        <f t="shared" si="452"/>
        <v>0</v>
      </c>
      <c r="BW254" s="44">
        <f t="shared" si="453"/>
        <v>0</v>
      </c>
      <c r="BX254" s="44">
        <f t="shared" si="391"/>
        <v>0</v>
      </c>
      <c r="BY254" s="44">
        <f t="shared" si="454"/>
        <v>0</v>
      </c>
      <c r="BZ254" s="44">
        <f t="shared" si="392"/>
        <v>0</v>
      </c>
      <c r="CA254" s="44">
        <f t="shared" si="455"/>
        <v>0</v>
      </c>
      <c r="CB254" s="44">
        <f t="shared" si="393"/>
        <v>0</v>
      </c>
      <c r="CC254" s="46">
        <f t="shared" si="394"/>
        <v>0</v>
      </c>
      <c r="CD254" s="47">
        <f t="shared" si="395"/>
        <v>0</v>
      </c>
      <c r="CE254" s="604">
        <f t="shared" si="456"/>
        <v>0</v>
      </c>
      <c r="CF254" s="44">
        <f t="shared" si="457"/>
        <v>0</v>
      </c>
      <c r="CG254" s="44">
        <f t="shared" si="458"/>
        <v>0</v>
      </c>
      <c r="CH254" s="44">
        <f t="shared" si="459"/>
        <v>0</v>
      </c>
      <c r="CI254" s="44">
        <f t="shared" si="460"/>
        <v>0</v>
      </c>
      <c r="CJ254" s="44">
        <f t="shared" si="461"/>
        <v>0</v>
      </c>
      <c r="CK254" s="44">
        <f t="shared" si="396"/>
        <v>0</v>
      </c>
      <c r="CL254" s="44">
        <f t="shared" si="462"/>
        <v>0</v>
      </c>
      <c r="CM254" s="44">
        <f t="shared" si="397"/>
        <v>0</v>
      </c>
      <c r="CN254" s="44">
        <f t="shared" si="463"/>
        <v>0</v>
      </c>
      <c r="CO254" s="44">
        <f t="shared" si="398"/>
        <v>0</v>
      </c>
      <c r="CP254" s="46">
        <f t="shared" si="399"/>
        <v>0</v>
      </c>
      <c r="CQ254" s="47">
        <f t="shared" si="400"/>
        <v>0</v>
      </c>
      <c r="CR254" s="604">
        <f t="shared" si="464"/>
        <v>0</v>
      </c>
      <c r="CS254" s="44">
        <f t="shared" si="465"/>
        <v>0</v>
      </c>
      <c r="CT254" s="44">
        <f t="shared" si="466"/>
        <v>0</v>
      </c>
      <c r="CU254" s="44">
        <f t="shared" si="467"/>
        <v>0</v>
      </c>
      <c r="CV254" s="44">
        <f t="shared" si="468"/>
        <v>0</v>
      </c>
      <c r="CW254" s="44">
        <f t="shared" si="469"/>
        <v>0</v>
      </c>
      <c r="CX254" s="44">
        <f t="shared" si="401"/>
        <v>0</v>
      </c>
      <c r="CY254" s="44">
        <f t="shared" si="470"/>
        <v>0</v>
      </c>
      <c r="CZ254" s="44">
        <f t="shared" si="402"/>
        <v>0</v>
      </c>
      <c r="DA254" s="44">
        <f t="shared" si="471"/>
        <v>0</v>
      </c>
      <c r="DB254" s="44">
        <f t="shared" si="403"/>
        <v>0</v>
      </c>
      <c r="DC254" s="46">
        <f t="shared" si="404"/>
        <v>0</v>
      </c>
      <c r="DD254" s="47">
        <f t="shared" si="405"/>
        <v>0</v>
      </c>
      <c r="DE254" s="604">
        <f t="shared" si="472"/>
        <v>0</v>
      </c>
      <c r="DF254" s="44">
        <f t="shared" si="473"/>
        <v>0</v>
      </c>
      <c r="DG254" s="44">
        <f t="shared" si="474"/>
        <v>0</v>
      </c>
      <c r="DH254" s="44">
        <f t="shared" si="475"/>
        <v>0</v>
      </c>
      <c r="DI254" s="44">
        <f t="shared" si="476"/>
        <v>0</v>
      </c>
      <c r="DJ254" s="44">
        <f t="shared" si="477"/>
        <v>0</v>
      </c>
      <c r="DK254" s="44">
        <f t="shared" si="406"/>
        <v>0</v>
      </c>
      <c r="DL254" s="44">
        <f t="shared" si="478"/>
        <v>0</v>
      </c>
      <c r="DM254" s="44">
        <f t="shared" si="407"/>
        <v>0</v>
      </c>
      <c r="DN254" s="44">
        <f t="shared" si="479"/>
        <v>0</v>
      </c>
      <c r="DO254" s="44">
        <f t="shared" si="408"/>
        <v>0</v>
      </c>
      <c r="DP254" s="46">
        <f t="shared" si="409"/>
        <v>0</v>
      </c>
      <c r="DQ254" s="47">
        <f t="shared" si="410"/>
        <v>0</v>
      </c>
      <c r="DR254" s="604">
        <f t="shared" si="480"/>
        <v>0</v>
      </c>
      <c r="DS254" s="44">
        <f t="shared" si="481"/>
        <v>0</v>
      </c>
      <c r="DT254" s="44">
        <f t="shared" si="482"/>
        <v>0</v>
      </c>
      <c r="DU254" s="44">
        <f t="shared" si="483"/>
        <v>0</v>
      </c>
      <c r="DV254" s="44">
        <f t="shared" si="484"/>
        <v>0</v>
      </c>
      <c r="DW254" s="44">
        <f t="shared" si="485"/>
        <v>0</v>
      </c>
      <c r="DX254" s="44">
        <f t="shared" si="411"/>
        <v>0</v>
      </c>
      <c r="DY254" s="44">
        <f t="shared" si="486"/>
        <v>0</v>
      </c>
      <c r="DZ254" s="44">
        <f t="shared" si="412"/>
        <v>0</v>
      </c>
      <c r="EA254" s="44">
        <f t="shared" si="487"/>
        <v>0</v>
      </c>
      <c r="EB254" s="44">
        <f t="shared" si="413"/>
        <v>0</v>
      </c>
      <c r="EC254" s="46">
        <f t="shared" si="414"/>
        <v>0</v>
      </c>
      <c r="ED254" s="47">
        <f t="shared" si="415"/>
        <v>0</v>
      </c>
    </row>
    <row r="255" spans="1:134" x14ac:dyDescent="0.35">
      <c r="A255" s="172"/>
      <c r="B255" s="173"/>
      <c r="C255" s="174"/>
      <c r="D255" s="175"/>
      <c r="E255" s="176"/>
      <c r="F255" s="177"/>
      <c r="G255" s="178"/>
      <c r="H255" s="179"/>
      <c r="I255" s="180"/>
      <c r="J255" s="181"/>
      <c r="K255" s="42">
        <f t="shared" si="366"/>
        <v>0</v>
      </c>
      <c r="L255" s="43">
        <f t="shared" si="367"/>
        <v>0</v>
      </c>
      <c r="M255" s="44">
        <f t="shared" si="368"/>
        <v>0</v>
      </c>
      <c r="N255" s="44"/>
      <c r="O255" s="44">
        <f t="shared" si="369"/>
        <v>0</v>
      </c>
      <c r="P255" s="45"/>
      <c r="Q255" s="44">
        <f t="shared" si="370"/>
        <v>0</v>
      </c>
      <c r="R255" s="604">
        <f t="shared" si="416"/>
        <v>0</v>
      </c>
      <c r="S255" s="44">
        <f t="shared" si="417"/>
        <v>0</v>
      </c>
      <c r="T255" s="44">
        <f t="shared" si="418"/>
        <v>0</v>
      </c>
      <c r="U255" s="44">
        <f t="shared" si="419"/>
        <v>0</v>
      </c>
      <c r="V255" s="44">
        <f t="shared" si="420"/>
        <v>0</v>
      </c>
      <c r="W255" s="44">
        <f t="shared" si="421"/>
        <v>0</v>
      </c>
      <c r="X255" s="44">
        <f t="shared" si="371"/>
        <v>0</v>
      </c>
      <c r="Y255" s="44">
        <f t="shared" si="422"/>
        <v>0</v>
      </c>
      <c r="Z255" s="44">
        <f t="shared" si="372"/>
        <v>0</v>
      </c>
      <c r="AA255" s="44">
        <f t="shared" si="423"/>
        <v>0</v>
      </c>
      <c r="AB255" s="44">
        <f t="shared" si="373"/>
        <v>0</v>
      </c>
      <c r="AC255" s="46">
        <f t="shared" si="374"/>
        <v>0</v>
      </c>
      <c r="AD255" s="47">
        <f t="shared" si="375"/>
        <v>0</v>
      </c>
      <c r="AE255" s="604">
        <f t="shared" si="424"/>
        <v>0</v>
      </c>
      <c r="AF255" s="44">
        <f t="shared" si="425"/>
        <v>0</v>
      </c>
      <c r="AG255" s="44">
        <f t="shared" si="426"/>
        <v>0</v>
      </c>
      <c r="AH255" s="44">
        <f t="shared" si="427"/>
        <v>0</v>
      </c>
      <c r="AI255" s="44">
        <f t="shared" si="428"/>
        <v>0</v>
      </c>
      <c r="AJ255" s="44">
        <f t="shared" si="429"/>
        <v>0</v>
      </c>
      <c r="AK255" s="44">
        <f t="shared" si="376"/>
        <v>0</v>
      </c>
      <c r="AL255" s="44">
        <f t="shared" si="430"/>
        <v>0</v>
      </c>
      <c r="AM255" s="44">
        <f t="shared" si="377"/>
        <v>0</v>
      </c>
      <c r="AN255" s="44">
        <f t="shared" si="431"/>
        <v>0</v>
      </c>
      <c r="AO255" s="44">
        <f t="shared" si="378"/>
        <v>0</v>
      </c>
      <c r="AP255" s="46">
        <f t="shared" si="379"/>
        <v>0</v>
      </c>
      <c r="AQ255" s="47">
        <f t="shared" si="380"/>
        <v>0</v>
      </c>
      <c r="AR255" s="604">
        <f t="shared" si="432"/>
        <v>0</v>
      </c>
      <c r="AS255" s="44">
        <f t="shared" si="433"/>
        <v>0</v>
      </c>
      <c r="AT255" s="44">
        <f t="shared" si="434"/>
        <v>0</v>
      </c>
      <c r="AU255" s="44">
        <f t="shared" si="435"/>
        <v>0</v>
      </c>
      <c r="AV255" s="44">
        <f t="shared" si="436"/>
        <v>0</v>
      </c>
      <c r="AW255" s="44">
        <f t="shared" si="437"/>
        <v>0</v>
      </c>
      <c r="AX255" s="44">
        <f t="shared" si="381"/>
        <v>0</v>
      </c>
      <c r="AY255" s="44">
        <f t="shared" si="438"/>
        <v>0</v>
      </c>
      <c r="AZ255" s="44">
        <f t="shared" si="382"/>
        <v>0</v>
      </c>
      <c r="BA255" s="44">
        <f t="shared" si="439"/>
        <v>0</v>
      </c>
      <c r="BB255" s="44">
        <f t="shared" si="383"/>
        <v>0</v>
      </c>
      <c r="BC255" s="46">
        <f t="shared" si="384"/>
        <v>0</v>
      </c>
      <c r="BD255" s="47">
        <f t="shared" si="385"/>
        <v>0</v>
      </c>
      <c r="BE255" s="604">
        <f t="shared" si="440"/>
        <v>0</v>
      </c>
      <c r="BF255" s="44">
        <f t="shared" si="441"/>
        <v>0</v>
      </c>
      <c r="BG255" s="44">
        <f t="shared" si="442"/>
        <v>0</v>
      </c>
      <c r="BH255" s="44">
        <f t="shared" si="443"/>
        <v>0</v>
      </c>
      <c r="BI255" s="44">
        <f t="shared" si="444"/>
        <v>0</v>
      </c>
      <c r="BJ255" s="44">
        <f t="shared" si="445"/>
        <v>0</v>
      </c>
      <c r="BK255" s="44">
        <f t="shared" si="386"/>
        <v>0</v>
      </c>
      <c r="BL255" s="44">
        <f t="shared" si="446"/>
        <v>0</v>
      </c>
      <c r="BM255" s="44">
        <f t="shared" si="387"/>
        <v>0</v>
      </c>
      <c r="BN255" s="44">
        <f t="shared" si="447"/>
        <v>0</v>
      </c>
      <c r="BO255" s="44">
        <f t="shared" si="388"/>
        <v>0</v>
      </c>
      <c r="BP255" s="46">
        <f t="shared" si="389"/>
        <v>0</v>
      </c>
      <c r="BQ255" s="47">
        <f t="shared" si="390"/>
        <v>0</v>
      </c>
      <c r="BR255" s="604">
        <f t="shared" si="448"/>
        <v>0</v>
      </c>
      <c r="BS255" s="44">
        <f t="shared" si="449"/>
        <v>0</v>
      </c>
      <c r="BT255" s="44">
        <f t="shared" si="450"/>
        <v>0</v>
      </c>
      <c r="BU255" s="44">
        <f t="shared" si="451"/>
        <v>0</v>
      </c>
      <c r="BV255" s="44">
        <f t="shared" si="452"/>
        <v>0</v>
      </c>
      <c r="BW255" s="44">
        <f t="shared" si="453"/>
        <v>0</v>
      </c>
      <c r="BX255" s="44">
        <f t="shared" si="391"/>
        <v>0</v>
      </c>
      <c r="BY255" s="44">
        <f t="shared" si="454"/>
        <v>0</v>
      </c>
      <c r="BZ255" s="44">
        <f t="shared" si="392"/>
        <v>0</v>
      </c>
      <c r="CA255" s="44">
        <f t="shared" si="455"/>
        <v>0</v>
      </c>
      <c r="CB255" s="44">
        <f t="shared" si="393"/>
        <v>0</v>
      </c>
      <c r="CC255" s="46">
        <f t="shared" si="394"/>
        <v>0</v>
      </c>
      <c r="CD255" s="47">
        <f t="shared" si="395"/>
        <v>0</v>
      </c>
      <c r="CE255" s="604">
        <f t="shared" si="456"/>
        <v>0</v>
      </c>
      <c r="CF255" s="44">
        <f t="shared" si="457"/>
        <v>0</v>
      </c>
      <c r="CG255" s="44">
        <f t="shared" si="458"/>
        <v>0</v>
      </c>
      <c r="CH255" s="44">
        <f t="shared" si="459"/>
        <v>0</v>
      </c>
      <c r="CI255" s="44">
        <f t="shared" si="460"/>
        <v>0</v>
      </c>
      <c r="CJ255" s="44">
        <f t="shared" si="461"/>
        <v>0</v>
      </c>
      <c r="CK255" s="44">
        <f t="shared" si="396"/>
        <v>0</v>
      </c>
      <c r="CL255" s="44">
        <f t="shared" si="462"/>
        <v>0</v>
      </c>
      <c r="CM255" s="44">
        <f t="shared" si="397"/>
        <v>0</v>
      </c>
      <c r="CN255" s="44">
        <f t="shared" si="463"/>
        <v>0</v>
      </c>
      <c r="CO255" s="44">
        <f t="shared" si="398"/>
        <v>0</v>
      </c>
      <c r="CP255" s="46">
        <f t="shared" si="399"/>
        <v>0</v>
      </c>
      <c r="CQ255" s="47">
        <f t="shared" si="400"/>
        <v>0</v>
      </c>
      <c r="CR255" s="604">
        <f t="shared" si="464"/>
        <v>0</v>
      </c>
      <c r="CS255" s="44">
        <f t="shared" si="465"/>
        <v>0</v>
      </c>
      <c r="CT255" s="44">
        <f t="shared" si="466"/>
        <v>0</v>
      </c>
      <c r="CU255" s="44">
        <f t="shared" si="467"/>
        <v>0</v>
      </c>
      <c r="CV255" s="44">
        <f t="shared" si="468"/>
        <v>0</v>
      </c>
      <c r="CW255" s="44">
        <f t="shared" si="469"/>
        <v>0</v>
      </c>
      <c r="CX255" s="44">
        <f t="shared" si="401"/>
        <v>0</v>
      </c>
      <c r="CY255" s="44">
        <f t="shared" si="470"/>
        <v>0</v>
      </c>
      <c r="CZ255" s="44">
        <f t="shared" si="402"/>
        <v>0</v>
      </c>
      <c r="DA255" s="44">
        <f t="shared" si="471"/>
        <v>0</v>
      </c>
      <c r="DB255" s="44">
        <f t="shared" si="403"/>
        <v>0</v>
      </c>
      <c r="DC255" s="46">
        <f t="shared" si="404"/>
        <v>0</v>
      </c>
      <c r="DD255" s="47">
        <f t="shared" si="405"/>
        <v>0</v>
      </c>
      <c r="DE255" s="604">
        <f t="shared" si="472"/>
        <v>0</v>
      </c>
      <c r="DF255" s="44">
        <f t="shared" si="473"/>
        <v>0</v>
      </c>
      <c r="DG255" s="44">
        <f t="shared" si="474"/>
        <v>0</v>
      </c>
      <c r="DH255" s="44">
        <f t="shared" si="475"/>
        <v>0</v>
      </c>
      <c r="DI255" s="44">
        <f t="shared" si="476"/>
        <v>0</v>
      </c>
      <c r="DJ255" s="44">
        <f t="shared" si="477"/>
        <v>0</v>
      </c>
      <c r="DK255" s="44">
        <f t="shared" si="406"/>
        <v>0</v>
      </c>
      <c r="DL255" s="44">
        <f t="shared" si="478"/>
        <v>0</v>
      </c>
      <c r="DM255" s="44">
        <f t="shared" si="407"/>
        <v>0</v>
      </c>
      <c r="DN255" s="44">
        <f t="shared" si="479"/>
        <v>0</v>
      </c>
      <c r="DO255" s="44">
        <f t="shared" si="408"/>
        <v>0</v>
      </c>
      <c r="DP255" s="46">
        <f t="shared" si="409"/>
        <v>0</v>
      </c>
      <c r="DQ255" s="47">
        <f t="shared" si="410"/>
        <v>0</v>
      </c>
      <c r="DR255" s="604">
        <f t="shared" si="480"/>
        <v>0</v>
      </c>
      <c r="DS255" s="44">
        <f t="shared" si="481"/>
        <v>0</v>
      </c>
      <c r="DT255" s="44">
        <f t="shared" si="482"/>
        <v>0</v>
      </c>
      <c r="DU255" s="44">
        <f t="shared" si="483"/>
        <v>0</v>
      </c>
      <c r="DV255" s="44">
        <f t="shared" si="484"/>
        <v>0</v>
      </c>
      <c r="DW255" s="44">
        <f t="shared" si="485"/>
        <v>0</v>
      </c>
      <c r="DX255" s="44">
        <f t="shared" si="411"/>
        <v>0</v>
      </c>
      <c r="DY255" s="44">
        <f t="shared" si="486"/>
        <v>0</v>
      </c>
      <c r="DZ255" s="44">
        <f t="shared" si="412"/>
        <v>0</v>
      </c>
      <c r="EA255" s="44">
        <f t="shared" si="487"/>
        <v>0</v>
      </c>
      <c r="EB255" s="44">
        <f t="shared" si="413"/>
        <v>0</v>
      </c>
      <c r="EC255" s="46">
        <f t="shared" si="414"/>
        <v>0</v>
      </c>
      <c r="ED255" s="47">
        <f t="shared" si="415"/>
        <v>0</v>
      </c>
    </row>
    <row r="256" spans="1:134" x14ac:dyDescent="0.35">
      <c r="A256" s="172"/>
      <c r="B256" s="173"/>
      <c r="C256" s="174"/>
      <c r="D256" s="175"/>
      <c r="E256" s="176"/>
      <c r="F256" s="177"/>
      <c r="G256" s="178"/>
      <c r="H256" s="179"/>
      <c r="I256" s="180"/>
      <c r="J256" s="181"/>
      <c r="K256" s="42">
        <f t="shared" si="366"/>
        <v>0</v>
      </c>
      <c r="L256" s="43">
        <f t="shared" si="367"/>
        <v>0</v>
      </c>
      <c r="M256" s="44">
        <f t="shared" si="368"/>
        <v>0</v>
      </c>
      <c r="N256" s="44"/>
      <c r="O256" s="44">
        <f t="shared" si="369"/>
        <v>0</v>
      </c>
      <c r="P256" s="45"/>
      <c r="Q256" s="44">
        <f t="shared" si="370"/>
        <v>0</v>
      </c>
      <c r="R256" s="604">
        <f t="shared" si="416"/>
        <v>0</v>
      </c>
      <c r="S256" s="44">
        <f t="shared" si="417"/>
        <v>0</v>
      </c>
      <c r="T256" s="44">
        <f t="shared" si="418"/>
        <v>0</v>
      </c>
      <c r="U256" s="44">
        <f t="shared" si="419"/>
        <v>0</v>
      </c>
      <c r="V256" s="44">
        <f t="shared" si="420"/>
        <v>0</v>
      </c>
      <c r="W256" s="44">
        <f t="shared" si="421"/>
        <v>0</v>
      </c>
      <c r="X256" s="44">
        <f t="shared" si="371"/>
        <v>0</v>
      </c>
      <c r="Y256" s="44">
        <f t="shared" si="422"/>
        <v>0</v>
      </c>
      <c r="Z256" s="44">
        <f t="shared" si="372"/>
        <v>0</v>
      </c>
      <c r="AA256" s="44">
        <f t="shared" si="423"/>
        <v>0</v>
      </c>
      <c r="AB256" s="44">
        <f t="shared" si="373"/>
        <v>0</v>
      </c>
      <c r="AC256" s="46">
        <f t="shared" si="374"/>
        <v>0</v>
      </c>
      <c r="AD256" s="47">
        <f t="shared" si="375"/>
        <v>0</v>
      </c>
      <c r="AE256" s="604">
        <f t="shared" si="424"/>
        <v>0</v>
      </c>
      <c r="AF256" s="44">
        <f t="shared" si="425"/>
        <v>0</v>
      </c>
      <c r="AG256" s="44">
        <f t="shared" si="426"/>
        <v>0</v>
      </c>
      <c r="AH256" s="44">
        <f t="shared" si="427"/>
        <v>0</v>
      </c>
      <c r="AI256" s="44">
        <f t="shared" si="428"/>
        <v>0</v>
      </c>
      <c r="AJ256" s="44">
        <f t="shared" si="429"/>
        <v>0</v>
      </c>
      <c r="AK256" s="44">
        <f t="shared" si="376"/>
        <v>0</v>
      </c>
      <c r="AL256" s="44">
        <f t="shared" si="430"/>
        <v>0</v>
      </c>
      <c r="AM256" s="44">
        <f t="shared" si="377"/>
        <v>0</v>
      </c>
      <c r="AN256" s="44">
        <f t="shared" si="431"/>
        <v>0</v>
      </c>
      <c r="AO256" s="44">
        <f t="shared" si="378"/>
        <v>0</v>
      </c>
      <c r="AP256" s="46">
        <f t="shared" si="379"/>
        <v>0</v>
      </c>
      <c r="AQ256" s="47">
        <f t="shared" si="380"/>
        <v>0</v>
      </c>
      <c r="AR256" s="604">
        <f t="shared" si="432"/>
        <v>0</v>
      </c>
      <c r="AS256" s="44">
        <f t="shared" si="433"/>
        <v>0</v>
      </c>
      <c r="AT256" s="44">
        <f t="shared" si="434"/>
        <v>0</v>
      </c>
      <c r="AU256" s="44">
        <f t="shared" si="435"/>
        <v>0</v>
      </c>
      <c r="AV256" s="44">
        <f t="shared" si="436"/>
        <v>0</v>
      </c>
      <c r="AW256" s="44">
        <f t="shared" si="437"/>
        <v>0</v>
      </c>
      <c r="AX256" s="44">
        <f t="shared" si="381"/>
        <v>0</v>
      </c>
      <c r="AY256" s="44">
        <f t="shared" si="438"/>
        <v>0</v>
      </c>
      <c r="AZ256" s="44">
        <f t="shared" si="382"/>
        <v>0</v>
      </c>
      <c r="BA256" s="44">
        <f t="shared" si="439"/>
        <v>0</v>
      </c>
      <c r="BB256" s="44">
        <f t="shared" si="383"/>
        <v>0</v>
      </c>
      <c r="BC256" s="46">
        <f t="shared" si="384"/>
        <v>0</v>
      </c>
      <c r="BD256" s="47">
        <f t="shared" si="385"/>
        <v>0</v>
      </c>
      <c r="BE256" s="604">
        <f t="shared" si="440"/>
        <v>0</v>
      </c>
      <c r="BF256" s="44">
        <f t="shared" si="441"/>
        <v>0</v>
      </c>
      <c r="BG256" s="44">
        <f t="shared" si="442"/>
        <v>0</v>
      </c>
      <c r="BH256" s="44">
        <f t="shared" si="443"/>
        <v>0</v>
      </c>
      <c r="BI256" s="44">
        <f t="shared" si="444"/>
        <v>0</v>
      </c>
      <c r="BJ256" s="44">
        <f t="shared" si="445"/>
        <v>0</v>
      </c>
      <c r="BK256" s="44">
        <f t="shared" si="386"/>
        <v>0</v>
      </c>
      <c r="BL256" s="44">
        <f t="shared" si="446"/>
        <v>0</v>
      </c>
      <c r="BM256" s="44">
        <f t="shared" si="387"/>
        <v>0</v>
      </c>
      <c r="BN256" s="44">
        <f t="shared" si="447"/>
        <v>0</v>
      </c>
      <c r="BO256" s="44">
        <f t="shared" si="388"/>
        <v>0</v>
      </c>
      <c r="BP256" s="46">
        <f t="shared" si="389"/>
        <v>0</v>
      </c>
      <c r="BQ256" s="47">
        <f t="shared" si="390"/>
        <v>0</v>
      </c>
      <c r="BR256" s="604">
        <f t="shared" si="448"/>
        <v>0</v>
      </c>
      <c r="BS256" s="44">
        <f t="shared" si="449"/>
        <v>0</v>
      </c>
      <c r="BT256" s="44">
        <f t="shared" si="450"/>
        <v>0</v>
      </c>
      <c r="BU256" s="44">
        <f t="shared" si="451"/>
        <v>0</v>
      </c>
      <c r="BV256" s="44">
        <f t="shared" si="452"/>
        <v>0</v>
      </c>
      <c r="BW256" s="44">
        <f t="shared" si="453"/>
        <v>0</v>
      </c>
      <c r="BX256" s="44">
        <f t="shared" si="391"/>
        <v>0</v>
      </c>
      <c r="BY256" s="44">
        <f t="shared" si="454"/>
        <v>0</v>
      </c>
      <c r="BZ256" s="44">
        <f t="shared" si="392"/>
        <v>0</v>
      </c>
      <c r="CA256" s="44">
        <f t="shared" si="455"/>
        <v>0</v>
      </c>
      <c r="CB256" s="44">
        <f t="shared" si="393"/>
        <v>0</v>
      </c>
      <c r="CC256" s="46">
        <f t="shared" si="394"/>
        <v>0</v>
      </c>
      <c r="CD256" s="47">
        <f t="shared" si="395"/>
        <v>0</v>
      </c>
      <c r="CE256" s="604">
        <f t="shared" si="456"/>
        <v>0</v>
      </c>
      <c r="CF256" s="44">
        <f t="shared" si="457"/>
        <v>0</v>
      </c>
      <c r="CG256" s="44">
        <f t="shared" si="458"/>
        <v>0</v>
      </c>
      <c r="CH256" s="44">
        <f t="shared" si="459"/>
        <v>0</v>
      </c>
      <c r="CI256" s="44">
        <f t="shared" si="460"/>
        <v>0</v>
      </c>
      <c r="CJ256" s="44">
        <f t="shared" si="461"/>
        <v>0</v>
      </c>
      <c r="CK256" s="44">
        <f t="shared" si="396"/>
        <v>0</v>
      </c>
      <c r="CL256" s="44">
        <f t="shared" si="462"/>
        <v>0</v>
      </c>
      <c r="CM256" s="44">
        <f t="shared" si="397"/>
        <v>0</v>
      </c>
      <c r="CN256" s="44">
        <f t="shared" si="463"/>
        <v>0</v>
      </c>
      <c r="CO256" s="44">
        <f t="shared" si="398"/>
        <v>0</v>
      </c>
      <c r="CP256" s="46">
        <f t="shared" si="399"/>
        <v>0</v>
      </c>
      <c r="CQ256" s="47">
        <f t="shared" si="400"/>
        <v>0</v>
      </c>
      <c r="CR256" s="604">
        <f t="shared" si="464"/>
        <v>0</v>
      </c>
      <c r="CS256" s="44">
        <f t="shared" si="465"/>
        <v>0</v>
      </c>
      <c r="CT256" s="44">
        <f t="shared" si="466"/>
        <v>0</v>
      </c>
      <c r="CU256" s="44">
        <f t="shared" si="467"/>
        <v>0</v>
      </c>
      <c r="CV256" s="44">
        <f t="shared" si="468"/>
        <v>0</v>
      </c>
      <c r="CW256" s="44">
        <f t="shared" si="469"/>
        <v>0</v>
      </c>
      <c r="CX256" s="44">
        <f t="shared" si="401"/>
        <v>0</v>
      </c>
      <c r="CY256" s="44">
        <f t="shared" si="470"/>
        <v>0</v>
      </c>
      <c r="CZ256" s="44">
        <f t="shared" si="402"/>
        <v>0</v>
      </c>
      <c r="DA256" s="44">
        <f t="shared" si="471"/>
        <v>0</v>
      </c>
      <c r="DB256" s="44">
        <f t="shared" si="403"/>
        <v>0</v>
      </c>
      <c r="DC256" s="46">
        <f t="shared" si="404"/>
        <v>0</v>
      </c>
      <c r="DD256" s="47">
        <f t="shared" si="405"/>
        <v>0</v>
      </c>
      <c r="DE256" s="604">
        <f t="shared" si="472"/>
        <v>0</v>
      </c>
      <c r="DF256" s="44">
        <f t="shared" si="473"/>
        <v>0</v>
      </c>
      <c r="DG256" s="44">
        <f t="shared" si="474"/>
        <v>0</v>
      </c>
      <c r="DH256" s="44">
        <f t="shared" si="475"/>
        <v>0</v>
      </c>
      <c r="DI256" s="44">
        <f t="shared" si="476"/>
        <v>0</v>
      </c>
      <c r="DJ256" s="44">
        <f t="shared" si="477"/>
        <v>0</v>
      </c>
      <c r="DK256" s="44">
        <f t="shared" si="406"/>
        <v>0</v>
      </c>
      <c r="DL256" s="44">
        <f t="shared" si="478"/>
        <v>0</v>
      </c>
      <c r="DM256" s="44">
        <f t="shared" si="407"/>
        <v>0</v>
      </c>
      <c r="DN256" s="44">
        <f t="shared" si="479"/>
        <v>0</v>
      </c>
      <c r="DO256" s="44">
        <f t="shared" si="408"/>
        <v>0</v>
      </c>
      <c r="DP256" s="46">
        <f t="shared" si="409"/>
        <v>0</v>
      </c>
      <c r="DQ256" s="47">
        <f t="shared" si="410"/>
        <v>0</v>
      </c>
      <c r="DR256" s="604">
        <f t="shared" si="480"/>
        <v>0</v>
      </c>
      <c r="DS256" s="44">
        <f t="shared" si="481"/>
        <v>0</v>
      </c>
      <c r="DT256" s="44">
        <f t="shared" si="482"/>
        <v>0</v>
      </c>
      <c r="DU256" s="44">
        <f t="shared" si="483"/>
        <v>0</v>
      </c>
      <c r="DV256" s="44">
        <f t="shared" si="484"/>
        <v>0</v>
      </c>
      <c r="DW256" s="44">
        <f t="shared" si="485"/>
        <v>0</v>
      </c>
      <c r="DX256" s="44">
        <f t="shared" si="411"/>
        <v>0</v>
      </c>
      <c r="DY256" s="44">
        <f t="shared" si="486"/>
        <v>0</v>
      </c>
      <c r="DZ256" s="44">
        <f t="shared" si="412"/>
        <v>0</v>
      </c>
      <c r="EA256" s="44">
        <f t="shared" si="487"/>
        <v>0</v>
      </c>
      <c r="EB256" s="44">
        <f t="shared" si="413"/>
        <v>0</v>
      </c>
      <c r="EC256" s="46">
        <f t="shared" si="414"/>
        <v>0</v>
      </c>
      <c r="ED256" s="47">
        <f t="shared" si="415"/>
        <v>0</v>
      </c>
    </row>
    <row r="257" spans="1:134" x14ac:dyDescent="0.35">
      <c r="A257" s="172"/>
      <c r="B257" s="173"/>
      <c r="C257" s="174"/>
      <c r="D257" s="175"/>
      <c r="E257" s="176"/>
      <c r="F257" s="177"/>
      <c r="G257" s="178"/>
      <c r="H257" s="179"/>
      <c r="I257" s="180"/>
      <c r="J257" s="181"/>
      <c r="K257" s="42">
        <f t="shared" si="366"/>
        <v>0</v>
      </c>
      <c r="L257" s="43">
        <f t="shared" si="367"/>
        <v>0</v>
      </c>
      <c r="M257" s="44">
        <f t="shared" si="368"/>
        <v>0</v>
      </c>
      <c r="N257" s="44"/>
      <c r="O257" s="44">
        <f t="shared" si="369"/>
        <v>0</v>
      </c>
      <c r="P257" s="45"/>
      <c r="Q257" s="44">
        <f t="shared" si="370"/>
        <v>0</v>
      </c>
      <c r="R257" s="604">
        <f t="shared" si="416"/>
        <v>0</v>
      </c>
      <c r="S257" s="44">
        <f t="shared" si="417"/>
        <v>0</v>
      </c>
      <c r="T257" s="44">
        <f t="shared" si="418"/>
        <v>0</v>
      </c>
      <c r="U257" s="44">
        <f t="shared" si="419"/>
        <v>0</v>
      </c>
      <c r="V257" s="44">
        <f t="shared" si="420"/>
        <v>0</v>
      </c>
      <c r="W257" s="44">
        <f t="shared" si="421"/>
        <v>0</v>
      </c>
      <c r="X257" s="44">
        <f t="shared" si="371"/>
        <v>0</v>
      </c>
      <c r="Y257" s="44">
        <f t="shared" si="422"/>
        <v>0</v>
      </c>
      <c r="Z257" s="44">
        <f t="shared" si="372"/>
        <v>0</v>
      </c>
      <c r="AA257" s="44">
        <f t="shared" si="423"/>
        <v>0</v>
      </c>
      <c r="AB257" s="44">
        <f t="shared" si="373"/>
        <v>0</v>
      </c>
      <c r="AC257" s="46">
        <f t="shared" si="374"/>
        <v>0</v>
      </c>
      <c r="AD257" s="47">
        <f t="shared" si="375"/>
        <v>0</v>
      </c>
      <c r="AE257" s="604">
        <f t="shared" si="424"/>
        <v>0</v>
      </c>
      <c r="AF257" s="44">
        <f t="shared" si="425"/>
        <v>0</v>
      </c>
      <c r="AG257" s="44">
        <f t="shared" si="426"/>
        <v>0</v>
      </c>
      <c r="AH257" s="44">
        <f t="shared" si="427"/>
        <v>0</v>
      </c>
      <c r="AI257" s="44">
        <f t="shared" si="428"/>
        <v>0</v>
      </c>
      <c r="AJ257" s="44">
        <f t="shared" si="429"/>
        <v>0</v>
      </c>
      <c r="AK257" s="44">
        <f t="shared" si="376"/>
        <v>0</v>
      </c>
      <c r="AL257" s="44">
        <f t="shared" si="430"/>
        <v>0</v>
      </c>
      <c r="AM257" s="44">
        <f t="shared" si="377"/>
        <v>0</v>
      </c>
      <c r="AN257" s="44">
        <f t="shared" si="431"/>
        <v>0</v>
      </c>
      <c r="AO257" s="44">
        <f t="shared" si="378"/>
        <v>0</v>
      </c>
      <c r="AP257" s="46">
        <f t="shared" si="379"/>
        <v>0</v>
      </c>
      <c r="AQ257" s="47">
        <f t="shared" si="380"/>
        <v>0</v>
      </c>
      <c r="AR257" s="604">
        <f t="shared" si="432"/>
        <v>0</v>
      </c>
      <c r="AS257" s="44">
        <f t="shared" si="433"/>
        <v>0</v>
      </c>
      <c r="AT257" s="44">
        <f t="shared" si="434"/>
        <v>0</v>
      </c>
      <c r="AU257" s="44">
        <f t="shared" si="435"/>
        <v>0</v>
      </c>
      <c r="AV257" s="44">
        <f t="shared" si="436"/>
        <v>0</v>
      </c>
      <c r="AW257" s="44">
        <f t="shared" si="437"/>
        <v>0</v>
      </c>
      <c r="AX257" s="44">
        <f t="shared" si="381"/>
        <v>0</v>
      </c>
      <c r="AY257" s="44">
        <f t="shared" si="438"/>
        <v>0</v>
      </c>
      <c r="AZ257" s="44">
        <f t="shared" si="382"/>
        <v>0</v>
      </c>
      <c r="BA257" s="44">
        <f t="shared" si="439"/>
        <v>0</v>
      </c>
      <c r="BB257" s="44">
        <f t="shared" si="383"/>
        <v>0</v>
      </c>
      <c r="BC257" s="46">
        <f t="shared" si="384"/>
        <v>0</v>
      </c>
      <c r="BD257" s="47">
        <f t="shared" si="385"/>
        <v>0</v>
      </c>
      <c r="BE257" s="604">
        <f t="shared" si="440"/>
        <v>0</v>
      </c>
      <c r="BF257" s="44">
        <f t="shared" si="441"/>
        <v>0</v>
      </c>
      <c r="BG257" s="44">
        <f t="shared" si="442"/>
        <v>0</v>
      </c>
      <c r="BH257" s="44">
        <f t="shared" si="443"/>
        <v>0</v>
      </c>
      <c r="BI257" s="44">
        <f t="shared" si="444"/>
        <v>0</v>
      </c>
      <c r="BJ257" s="44">
        <f t="shared" si="445"/>
        <v>0</v>
      </c>
      <c r="BK257" s="44">
        <f t="shared" si="386"/>
        <v>0</v>
      </c>
      <c r="BL257" s="44">
        <f t="shared" si="446"/>
        <v>0</v>
      </c>
      <c r="BM257" s="44">
        <f t="shared" si="387"/>
        <v>0</v>
      </c>
      <c r="BN257" s="44">
        <f t="shared" si="447"/>
        <v>0</v>
      </c>
      <c r="BO257" s="44">
        <f t="shared" si="388"/>
        <v>0</v>
      </c>
      <c r="BP257" s="46">
        <f t="shared" si="389"/>
        <v>0</v>
      </c>
      <c r="BQ257" s="47">
        <f t="shared" si="390"/>
        <v>0</v>
      </c>
      <c r="BR257" s="604">
        <f t="shared" si="448"/>
        <v>0</v>
      </c>
      <c r="BS257" s="44">
        <f t="shared" si="449"/>
        <v>0</v>
      </c>
      <c r="BT257" s="44">
        <f t="shared" si="450"/>
        <v>0</v>
      </c>
      <c r="BU257" s="44">
        <f t="shared" si="451"/>
        <v>0</v>
      </c>
      <c r="BV257" s="44">
        <f t="shared" si="452"/>
        <v>0</v>
      </c>
      <c r="BW257" s="44">
        <f t="shared" si="453"/>
        <v>0</v>
      </c>
      <c r="BX257" s="44">
        <f t="shared" si="391"/>
        <v>0</v>
      </c>
      <c r="BY257" s="44">
        <f t="shared" si="454"/>
        <v>0</v>
      </c>
      <c r="BZ257" s="44">
        <f t="shared" si="392"/>
        <v>0</v>
      </c>
      <c r="CA257" s="44">
        <f t="shared" si="455"/>
        <v>0</v>
      </c>
      <c r="CB257" s="44">
        <f t="shared" si="393"/>
        <v>0</v>
      </c>
      <c r="CC257" s="46">
        <f t="shared" si="394"/>
        <v>0</v>
      </c>
      <c r="CD257" s="47">
        <f t="shared" si="395"/>
        <v>0</v>
      </c>
      <c r="CE257" s="604">
        <f t="shared" si="456"/>
        <v>0</v>
      </c>
      <c r="CF257" s="44">
        <f t="shared" si="457"/>
        <v>0</v>
      </c>
      <c r="CG257" s="44">
        <f t="shared" si="458"/>
        <v>0</v>
      </c>
      <c r="CH257" s="44">
        <f t="shared" si="459"/>
        <v>0</v>
      </c>
      <c r="CI257" s="44">
        <f t="shared" si="460"/>
        <v>0</v>
      </c>
      <c r="CJ257" s="44">
        <f t="shared" si="461"/>
        <v>0</v>
      </c>
      <c r="CK257" s="44">
        <f t="shared" si="396"/>
        <v>0</v>
      </c>
      <c r="CL257" s="44">
        <f t="shared" si="462"/>
        <v>0</v>
      </c>
      <c r="CM257" s="44">
        <f t="shared" si="397"/>
        <v>0</v>
      </c>
      <c r="CN257" s="44">
        <f t="shared" si="463"/>
        <v>0</v>
      </c>
      <c r="CO257" s="44">
        <f t="shared" si="398"/>
        <v>0</v>
      </c>
      <c r="CP257" s="46">
        <f t="shared" si="399"/>
        <v>0</v>
      </c>
      <c r="CQ257" s="47">
        <f t="shared" si="400"/>
        <v>0</v>
      </c>
      <c r="CR257" s="604">
        <f t="shared" si="464"/>
        <v>0</v>
      </c>
      <c r="CS257" s="44">
        <f t="shared" si="465"/>
        <v>0</v>
      </c>
      <c r="CT257" s="44">
        <f t="shared" si="466"/>
        <v>0</v>
      </c>
      <c r="CU257" s="44">
        <f t="shared" si="467"/>
        <v>0</v>
      </c>
      <c r="CV257" s="44">
        <f t="shared" si="468"/>
        <v>0</v>
      </c>
      <c r="CW257" s="44">
        <f t="shared" si="469"/>
        <v>0</v>
      </c>
      <c r="CX257" s="44">
        <f t="shared" si="401"/>
        <v>0</v>
      </c>
      <c r="CY257" s="44">
        <f t="shared" si="470"/>
        <v>0</v>
      </c>
      <c r="CZ257" s="44">
        <f t="shared" si="402"/>
        <v>0</v>
      </c>
      <c r="DA257" s="44">
        <f t="shared" si="471"/>
        <v>0</v>
      </c>
      <c r="DB257" s="44">
        <f t="shared" si="403"/>
        <v>0</v>
      </c>
      <c r="DC257" s="46">
        <f t="shared" si="404"/>
        <v>0</v>
      </c>
      <c r="DD257" s="47">
        <f t="shared" si="405"/>
        <v>0</v>
      </c>
      <c r="DE257" s="604">
        <f t="shared" si="472"/>
        <v>0</v>
      </c>
      <c r="DF257" s="44">
        <f t="shared" si="473"/>
        <v>0</v>
      </c>
      <c r="DG257" s="44">
        <f t="shared" si="474"/>
        <v>0</v>
      </c>
      <c r="DH257" s="44">
        <f t="shared" si="475"/>
        <v>0</v>
      </c>
      <c r="DI257" s="44">
        <f t="shared" si="476"/>
        <v>0</v>
      </c>
      <c r="DJ257" s="44">
        <f t="shared" si="477"/>
        <v>0</v>
      </c>
      <c r="DK257" s="44">
        <f t="shared" si="406"/>
        <v>0</v>
      </c>
      <c r="DL257" s="44">
        <f t="shared" si="478"/>
        <v>0</v>
      </c>
      <c r="DM257" s="44">
        <f t="shared" si="407"/>
        <v>0</v>
      </c>
      <c r="DN257" s="44">
        <f t="shared" si="479"/>
        <v>0</v>
      </c>
      <c r="DO257" s="44">
        <f t="shared" si="408"/>
        <v>0</v>
      </c>
      <c r="DP257" s="46">
        <f t="shared" si="409"/>
        <v>0</v>
      </c>
      <c r="DQ257" s="47">
        <f t="shared" si="410"/>
        <v>0</v>
      </c>
      <c r="DR257" s="604">
        <f t="shared" si="480"/>
        <v>0</v>
      </c>
      <c r="DS257" s="44">
        <f t="shared" si="481"/>
        <v>0</v>
      </c>
      <c r="DT257" s="44">
        <f t="shared" si="482"/>
        <v>0</v>
      </c>
      <c r="DU257" s="44">
        <f t="shared" si="483"/>
        <v>0</v>
      </c>
      <c r="DV257" s="44">
        <f t="shared" si="484"/>
        <v>0</v>
      </c>
      <c r="DW257" s="44">
        <f t="shared" si="485"/>
        <v>0</v>
      </c>
      <c r="DX257" s="44">
        <f t="shared" si="411"/>
        <v>0</v>
      </c>
      <c r="DY257" s="44">
        <f t="shared" si="486"/>
        <v>0</v>
      </c>
      <c r="DZ257" s="44">
        <f t="shared" si="412"/>
        <v>0</v>
      </c>
      <c r="EA257" s="44">
        <f t="shared" si="487"/>
        <v>0</v>
      </c>
      <c r="EB257" s="44">
        <f t="shared" si="413"/>
        <v>0</v>
      </c>
      <c r="EC257" s="46">
        <f t="shared" si="414"/>
        <v>0</v>
      </c>
      <c r="ED257" s="47">
        <f t="shared" si="415"/>
        <v>0</v>
      </c>
    </row>
    <row r="258" spans="1:134" x14ac:dyDescent="0.35">
      <c r="A258" s="172"/>
      <c r="B258" s="173"/>
      <c r="C258" s="174"/>
      <c r="D258" s="175"/>
      <c r="E258" s="176"/>
      <c r="F258" s="177"/>
      <c r="G258" s="178"/>
      <c r="H258" s="179"/>
      <c r="I258" s="180"/>
      <c r="J258" s="181"/>
      <c r="K258" s="42">
        <f t="shared" si="366"/>
        <v>0</v>
      </c>
      <c r="L258" s="43">
        <f t="shared" si="367"/>
        <v>0</v>
      </c>
      <c r="M258" s="44">
        <f t="shared" si="368"/>
        <v>0</v>
      </c>
      <c r="N258" s="44"/>
      <c r="O258" s="44">
        <f t="shared" si="369"/>
        <v>0</v>
      </c>
      <c r="P258" s="45"/>
      <c r="Q258" s="44">
        <f t="shared" si="370"/>
        <v>0</v>
      </c>
      <c r="R258" s="604">
        <f t="shared" si="416"/>
        <v>0</v>
      </c>
      <c r="S258" s="44">
        <f t="shared" si="417"/>
        <v>0</v>
      </c>
      <c r="T258" s="44">
        <f t="shared" si="418"/>
        <v>0</v>
      </c>
      <c r="U258" s="44">
        <f t="shared" si="419"/>
        <v>0</v>
      </c>
      <c r="V258" s="44">
        <f t="shared" si="420"/>
        <v>0</v>
      </c>
      <c r="W258" s="44">
        <f t="shared" si="421"/>
        <v>0</v>
      </c>
      <c r="X258" s="44">
        <f t="shared" si="371"/>
        <v>0</v>
      </c>
      <c r="Y258" s="44">
        <f t="shared" si="422"/>
        <v>0</v>
      </c>
      <c r="Z258" s="44">
        <f t="shared" si="372"/>
        <v>0</v>
      </c>
      <c r="AA258" s="44">
        <f t="shared" si="423"/>
        <v>0</v>
      </c>
      <c r="AB258" s="44">
        <f t="shared" si="373"/>
        <v>0</v>
      </c>
      <c r="AC258" s="46">
        <f t="shared" si="374"/>
        <v>0</v>
      </c>
      <c r="AD258" s="47">
        <f t="shared" si="375"/>
        <v>0</v>
      </c>
      <c r="AE258" s="604">
        <f t="shared" si="424"/>
        <v>0</v>
      </c>
      <c r="AF258" s="44">
        <f t="shared" si="425"/>
        <v>0</v>
      </c>
      <c r="AG258" s="44">
        <f t="shared" si="426"/>
        <v>0</v>
      </c>
      <c r="AH258" s="44">
        <f t="shared" si="427"/>
        <v>0</v>
      </c>
      <c r="AI258" s="44">
        <f t="shared" si="428"/>
        <v>0</v>
      </c>
      <c r="AJ258" s="44">
        <f t="shared" si="429"/>
        <v>0</v>
      </c>
      <c r="AK258" s="44">
        <f t="shared" si="376"/>
        <v>0</v>
      </c>
      <c r="AL258" s="44">
        <f t="shared" si="430"/>
        <v>0</v>
      </c>
      <c r="AM258" s="44">
        <f t="shared" si="377"/>
        <v>0</v>
      </c>
      <c r="AN258" s="44">
        <f t="shared" si="431"/>
        <v>0</v>
      </c>
      <c r="AO258" s="44">
        <f t="shared" si="378"/>
        <v>0</v>
      </c>
      <c r="AP258" s="46">
        <f t="shared" si="379"/>
        <v>0</v>
      </c>
      <c r="AQ258" s="47">
        <f t="shared" si="380"/>
        <v>0</v>
      </c>
      <c r="AR258" s="604">
        <f t="shared" si="432"/>
        <v>0</v>
      </c>
      <c r="AS258" s="44">
        <f t="shared" si="433"/>
        <v>0</v>
      </c>
      <c r="AT258" s="44">
        <f t="shared" si="434"/>
        <v>0</v>
      </c>
      <c r="AU258" s="44">
        <f t="shared" si="435"/>
        <v>0</v>
      </c>
      <c r="AV258" s="44">
        <f t="shared" si="436"/>
        <v>0</v>
      </c>
      <c r="AW258" s="44">
        <f t="shared" si="437"/>
        <v>0</v>
      </c>
      <c r="AX258" s="44">
        <f t="shared" si="381"/>
        <v>0</v>
      </c>
      <c r="AY258" s="44">
        <f t="shared" si="438"/>
        <v>0</v>
      </c>
      <c r="AZ258" s="44">
        <f t="shared" si="382"/>
        <v>0</v>
      </c>
      <c r="BA258" s="44">
        <f t="shared" si="439"/>
        <v>0</v>
      </c>
      <c r="BB258" s="44">
        <f t="shared" si="383"/>
        <v>0</v>
      </c>
      <c r="BC258" s="46">
        <f t="shared" si="384"/>
        <v>0</v>
      </c>
      <c r="BD258" s="47">
        <f t="shared" si="385"/>
        <v>0</v>
      </c>
      <c r="BE258" s="604">
        <f t="shared" si="440"/>
        <v>0</v>
      </c>
      <c r="BF258" s="44">
        <f t="shared" si="441"/>
        <v>0</v>
      </c>
      <c r="BG258" s="44">
        <f t="shared" si="442"/>
        <v>0</v>
      </c>
      <c r="BH258" s="44">
        <f t="shared" si="443"/>
        <v>0</v>
      </c>
      <c r="BI258" s="44">
        <f t="shared" si="444"/>
        <v>0</v>
      </c>
      <c r="BJ258" s="44">
        <f t="shared" si="445"/>
        <v>0</v>
      </c>
      <c r="BK258" s="44">
        <f t="shared" si="386"/>
        <v>0</v>
      </c>
      <c r="BL258" s="44">
        <f t="shared" si="446"/>
        <v>0</v>
      </c>
      <c r="BM258" s="44">
        <f t="shared" si="387"/>
        <v>0</v>
      </c>
      <c r="BN258" s="44">
        <f t="shared" si="447"/>
        <v>0</v>
      </c>
      <c r="BO258" s="44">
        <f t="shared" si="388"/>
        <v>0</v>
      </c>
      <c r="BP258" s="46">
        <f t="shared" si="389"/>
        <v>0</v>
      </c>
      <c r="BQ258" s="47">
        <f t="shared" si="390"/>
        <v>0</v>
      </c>
      <c r="BR258" s="604">
        <f t="shared" si="448"/>
        <v>0</v>
      </c>
      <c r="BS258" s="44">
        <f t="shared" si="449"/>
        <v>0</v>
      </c>
      <c r="BT258" s="44">
        <f t="shared" si="450"/>
        <v>0</v>
      </c>
      <c r="BU258" s="44">
        <f t="shared" si="451"/>
        <v>0</v>
      </c>
      <c r="BV258" s="44">
        <f t="shared" si="452"/>
        <v>0</v>
      </c>
      <c r="BW258" s="44">
        <f t="shared" si="453"/>
        <v>0</v>
      </c>
      <c r="BX258" s="44">
        <f t="shared" si="391"/>
        <v>0</v>
      </c>
      <c r="BY258" s="44">
        <f t="shared" si="454"/>
        <v>0</v>
      </c>
      <c r="BZ258" s="44">
        <f t="shared" si="392"/>
        <v>0</v>
      </c>
      <c r="CA258" s="44">
        <f t="shared" si="455"/>
        <v>0</v>
      </c>
      <c r="CB258" s="44">
        <f t="shared" si="393"/>
        <v>0</v>
      </c>
      <c r="CC258" s="46">
        <f t="shared" si="394"/>
        <v>0</v>
      </c>
      <c r="CD258" s="47">
        <f t="shared" si="395"/>
        <v>0</v>
      </c>
      <c r="CE258" s="604">
        <f t="shared" si="456"/>
        <v>0</v>
      </c>
      <c r="CF258" s="44">
        <f t="shared" si="457"/>
        <v>0</v>
      </c>
      <c r="CG258" s="44">
        <f t="shared" si="458"/>
        <v>0</v>
      </c>
      <c r="CH258" s="44">
        <f t="shared" si="459"/>
        <v>0</v>
      </c>
      <c r="CI258" s="44">
        <f t="shared" si="460"/>
        <v>0</v>
      </c>
      <c r="CJ258" s="44">
        <f t="shared" si="461"/>
        <v>0</v>
      </c>
      <c r="CK258" s="44">
        <f t="shared" si="396"/>
        <v>0</v>
      </c>
      <c r="CL258" s="44">
        <f t="shared" si="462"/>
        <v>0</v>
      </c>
      <c r="CM258" s="44">
        <f t="shared" si="397"/>
        <v>0</v>
      </c>
      <c r="CN258" s="44">
        <f t="shared" si="463"/>
        <v>0</v>
      </c>
      <c r="CO258" s="44">
        <f t="shared" si="398"/>
        <v>0</v>
      </c>
      <c r="CP258" s="46">
        <f t="shared" si="399"/>
        <v>0</v>
      </c>
      <c r="CQ258" s="47">
        <f t="shared" si="400"/>
        <v>0</v>
      </c>
      <c r="CR258" s="604">
        <f t="shared" si="464"/>
        <v>0</v>
      </c>
      <c r="CS258" s="44">
        <f t="shared" si="465"/>
        <v>0</v>
      </c>
      <c r="CT258" s="44">
        <f t="shared" si="466"/>
        <v>0</v>
      </c>
      <c r="CU258" s="44">
        <f t="shared" si="467"/>
        <v>0</v>
      </c>
      <c r="CV258" s="44">
        <f t="shared" si="468"/>
        <v>0</v>
      </c>
      <c r="CW258" s="44">
        <f t="shared" si="469"/>
        <v>0</v>
      </c>
      <c r="CX258" s="44">
        <f t="shared" si="401"/>
        <v>0</v>
      </c>
      <c r="CY258" s="44">
        <f t="shared" si="470"/>
        <v>0</v>
      </c>
      <c r="CZ258" s="44">
        <f t="shared" si="402"/>
        <v>0</v>
      </c>
      <c r="DA258" s="44">
        <f t="shared" si="471"/>
        <v>0</v>
      </c>
      <c r="DB258" s="44">
        <f t="shared" si="403"/>
        <v>0</v>
      </c>
      <c r="DC258" s="46">
        <f t="shared" si="404"/>
        <v>0</v>
      </c>
      <c r="DD258" s="47">
        <f t="shared" si="405"/>
        <v>0</v>
      </c>
      <c r="DE258" s="604">
        <f t="shared" si="472"/>
        <v>0</v>
      </c>
      <c r="DF258" s="44">
        <f t="shared" si="473"/>
        <v>0</v>
      </c>
      <c r="DG258" s="44">
        <f t="shared" si="474"/>
        <v>0</v>
      </c>
      <c r="DH258" s="44">
        <f t="shared" si="475"/>
        <v>0</v>
      </c>
      <c r="DI258" s="44">
        <f t="shared" si="476"/>
        <v>0</v>
      </c>
      <c r="DJ258" s="44">
        <f t="shared" si="477"/>
        <v>0</v>
      </c>
      <c r="DK258" s="44">
        <f t="shared" si="406"/>
        <v>0</v>
      </c>
      <c r="DL258" s="44">
        <f t="shared" si="478"/>
        <v>0</v>
      </c>
      <c r="DM258" s="44">
        <f t="shared" si="407"/>
        <v>0</v>
      </c>
      <c r="DN258" s="44">
        <f t="shared" si="479"/>
        <v>0</v>
      </c>
      <c r="DO258" s="44">
        <f t="shared" si="408"/>
        <v>0</v>
      </c>
      <c r="DP258" s="46">
        <f t="shared" si="409"/>
        <v>0</v>
      </c>
      <c r="DQ258" s="47">
        <f t="shared" si="410"/>
        <v>0</v>
      </c>
      <c r="DR258" s="604">
        <f t="shared" si="480"/>
        <v>0</v>
      </c>
      <c r="DS258" s="44">
        <f t="shared" si="481"/>
        <v>0</v>
      </c>
      <c r="DT258" s="44">
        <f t="shared" si="482"/>
        <v>0</v>
      </c>
      <c r="DU258" s="44">
        <f t="shared" si="483"/>
        <v>0</v>
      </c>
      <c r="DV258" s="44">
        <f t="shared" si="484"/>
        <v>0</v>
      </c>
      <c r="DW258" s="44">
        <f t="shared" si="485"/>
        <v>0</v>
      </c>
      <c r="DX258" s="44">
        <f t="shared" si="411"/>
        <v>0</v>
      </c>
      <c r="DY258" s="44">
        <f t="shared" si="486"/>
        <v>0</v>
      </c>
      <c r="DZ258" s="44">
        <f t="shared" si="412"/>
        <v>0</v>
      </c>
      <c r="EA258" s="44">
        <f t="shared" si="487"/>
        <v>0</v>
      </c>
      <c r="EB258" s="44">
        <f t="shared" si="413"/>
        <v>0</v>
      </c>
      <c r="EC258" s="46">
        <f t="shared" si="414"/>
        <v>0</v>
      </c>
      <c r="ED258" s="47">
        <f t="shared" si="415"/>
        <v>0</v>
      </c>
    </row>
    <row r="259" spans="1:134" x14ac:dyDescent="0.35">
      <c r="A259" s="172"/>
      <c r="B259" s="173"/>
      <c r="C259" s="174"/>
      <c r="D259" s="175"/>
      <c r="E259" s="176"/>
      <c r="F259" s="177"/>
      <c r="G259" s="178"/>
      <c r="H259" s="179"/>
      <c r="I259" s="180"/>
      <c r="J259" s="181"/>
      <c r="K259" s="42">
        <f t="shared" si="366"/>
        <v>0</v>
      </c>
      <c r="L259" s="43">
        <f t="shared" si="367"/>
        <v>0</v>
      </c>
      <c r="M259" s="44">
        <f t="shared" si="368"/>
        <v>0</v>
      </c>
      <c r="N259" s="44"/>
      <c r="O259" s="44">
        <f t="shared" si="369"/>
        <v>0</v>
      </c>
      <c r="P259" s="45"/>
      <c r="Q259" s="44">
        <f t="shared" si="370"/>
        <v>0</v>
      </c>
      <c r="R259" s="604">
        <f t="shared" si="416"/>
        <v>0</v>
      </c>
      <c r="S259" s="44">
        <f t="shared" si="417"/>
        <v>0</v>
      </c>
      <c r="T259" s="44">
        <f t="shared" si="418"/>
        <v>0</v>
      </c>
      <c r="U259" s="44">
        <f t="shared" si="419"/>
        <v>0</v>
      </c>
      <c r="V259" s="44">
        <f t="shared" si="420"/>
        <v>0</v>
      </c>
      <c r="W259" s="44">
        <f t="shared" si="421"/>
        <v>0</v>
      </c>
      <c r="X259" s="44">
        <f t="shared" si="371"/>
        <v>0</v>
      </c>
      <c r="Y259" s="44">
        <f t="shared" si="422"/>
        <v>0</v>
      </c>
      <c r="Z259" s="44">
        <f t="shared" si="372"/>
        <v>0</v>
      </c>
      <c r="AA259" s="44">
        <f t="shared" si="423"/>
        <v>0</v>
      </c>
      <c r="AB259" s="44">
        <f t="shared" si="373"/>
        <v>0</v>
      </c>
      <c r="AC259" s="46">
        <f t="shared" si="374"/>
        <v>0</v>
      </c>
      <c r="AD259" s="47">
        <f t="shared" si="375"/>
        <v>0</v>
      </c>
      <c r="AE259" s="604">
        <f t="shared" si="424"/>
        <v>0</v>
      </c>
      <c r="AF259" s="44">
        <f t="shared" si="425"/>
        <v>0</v>
      </c>
      <c r="AG259" s="44">
        <f t="shared" si="426"/>
        <v>0</v>
      </c>
      <c r="AH259" s="44">
        <f t="shared" si="427"/>
        <v>0</v>
      </c>
      <c r="AI259" s="44">
        <f t="shared" si="428"/>
        <v>0</v>
      </c>
      <c r="AJ259" s="44">
        <f t="shared" si="429"/>
        <v>0</v>
      </c>
      <c r="AK259" s="44">
        <f t="shared" si="376"/>
        <v>0</v>
      </c>
      <c r="AL259" s="44">
        <f t="shared" si="430"/>
        <v>0</v>
      </c>
      <c r="AM259" s="44">
        <f t="shared" si="377"/>
        <v>0</v>
      </c>
      <c r="AN259" s="44">
        <f t="shared" si="431"/>
        <v>0</v>
      </c>
      <c r="AO259" s="44">
        <f t="shared" si="378"/>
        <v>0</v>
      </c>
      <c r="AP259" s="46">
        <f t="shared" si="379"/>
        <v>0</v>
      </c>
      <c r="AQ259" s="47">
        <f t="shared" si="380"/>
        <v>0</v>
      </c>
      <c r="AR259" s="604">
        <f t="shared" si="432"/>
        <v>0</v>
      </c>
      <c r="AS259" s="44">
        <f t="shared" si="433"/>
        <v>0</v>
      </c>
      <c r="AT259" s="44">
        <f t="shared" si="434"/>
        <v>0</v>
      </c>
      <c r="AU259" s="44">
        <f t="shared" si="435"/>
        <v>0</v>
      </c>
      <c r="AV259" s="44">
        <f t="shared" si="436"/>
        <v>0</v>
      </c>
      <c r="AW259" s="44">
        <f t="shared" si="437"/>
        <v>0</v>
      </c>
      <c r="AX259" s="44">
        <f t="shared" si="381"/>
        <v>0</v>
      </c>
      <c r="AY259" s="44">
        <f t="shared" si="438"/>
        <v>0</v>
      </c>
      <c r="AZ259" s="44">
        <f t="shared" si="382"/>
        <v>0</v>
      </c>
      <c r="BA259" s="44">
        <f t="shared" si="439"/>
        <v>0</v>
      </c>
      <c r="BB259" s="44">
        <f t="shared" si="383"/>
        <v>0</v>
      </c>
      <c r="BC259" s="46">
        <f t="shared" si="384"/>
        <v>0</v>
      </c>
      <c r="BD259" s="47">
        <f t="shared" si="385"/>
        <v>0</v>
      </c>
      <c r="BE259" s="604">
        <f t="shared" si="440"/>
        <v>0</v>
      </c>
      <c r="BF259" s="44">
        <f t="shared" si="441"/>
        <v>0</v>
      </c>
      <c r="BG259" s="44">
        <f t="shared" si="442"/>
        <v>0</v>
      </c>
      <c r="BH259" s="44">
        <f t="shared" si="443"/>
        <v>0</v>
      </c>
      <c r="BI259" s="44">
        <f t="shared" si="444"/>
        <v>0</v>
      </c>
      <c r="BJ259" s="44">
        <f t="shared" si="445"/>
        <v>0</v>
      </c>
      <c r="BK259" s="44">
        <f t="shared" si="386"/>
        <v>0</v>
      </c>
      <c r="BL259" s="44">
        <f t="shared" si="446"/>
        <v>0</v>
      </c>
      <c r="BM259" s="44">
        <f t="shared" si="387"/>
        <v>0</v>
      </c>
      <c r="BN259" s="44">
        <f t="shared" si="447"/>
        <v>0</v>
      </c>
      <c r="BO259" s="44">
        <f t="shared" si="388"/>
        <v>0</v>
      </c>
      <c r="BP259" s="46">
        <f t="shared" si="389"/>
        <v>0</v>
      </c>
      <c r="BQ259" s="47">
        <f t="shared" si="390"/>
        <v>0</v>
      </c>
      <c r="BR259" s="604">
        <f t="shared" si="448"/>
        <v>0</v>
      </c>
      <c r="BS259" s="44">
        <f t="shared" si="449"/>
        <v>0</v>
      </c>
      <c r="BT259" s="44">
        <f t="shared" si="450"/>
        <v>0</v>
      </c>
      <c r="BU259" s="44">
        <f t="shared" si="451"/>
        <v>0</v>
      </c>
      <c r="BV259" s="44">
        <f t="shared" si="452"/>
        <v>0</v>
      </c>
      <c r="BW259" s="44">
        <f t="shared" si="453"/>
        <v>0</v>
      </c>
      <c r="BX259" s="44">
        <f t="shared" si="391"/>
        <v>0</v>
      </c>
      <c r="BY259" s="44">
        <f t="shared" si="454"/>
        <v>0</v>
      </c>
      <c r="BZ259" s="44">
        <f t="shared" si="392"/>
        <v>0</v>
      </c>
      <c r="CA259" s="44">
        <f t="shared" si="455"/>
        <v>0</v>
      </c>
      <c r="CB259" s="44">
        <f t="shared" si="393"/>
        <v>0</v>
      </c>
      <c r="CC259" s="46">
        <f t="shared" si="394"/>
        <v>0</v>
      </c>
      <c r="CD259" s="47">
        <f t="shared" si="395"/>
        <v>0</v>
      </c>
      <c r="CE259" s="604">
        <f t="shared" si="456"/>
        <v>0</v>
      </c>
      <c r="CF259" s="44">
        <f t="shared" si="457"/>
        <v>0</v>
      </c>
      <c r="CG259" s="44">
        <f t="shared" si="458"/>
        <v>0</v>
      </c>
      <c r="CH259" s="44">
        <f t="shared" si="459"/>
        <v>0</v>
      </c>
      <c r="CI259" s="44">
        <f t="shared" si="460"/>
        <v>0</v>
      </c>
      <c r="CJ259" s="44">
        <f t="shared" si="461"/>
        <v>0</v>
      </c>
      <c r="CK259" s="44">
        <f t="shared" si="396"/>
        <v>0</v>
      </c>
      <c r="CL259" s="44">
        <f t="shared" si="462"/>
        <v>0</v>
      </c>
      <c r="CM259" s="44">
        <f t="shared" si="397"/>
        <v>0</v>
      </c>
      <c r="CN259" s="44">
        <f t="shared" si="463"/>
        <v>0</v>
      </c>
      <c r="CO259" s="44">
        <f t="shared" si="398"/>
        <v>0</v>
      </c>
      <c r="CP259" s="46">
        <f t="shared" si="399"/>
        <v>0</v>
      </c>
      <c r="CQ259" s="47">
        <f t="shared" si="400"/>
        <v>0</v>
      </c>
      <c r="CR259" s="604">
        <f t="shared" si="464"/>
        <v>0</v>
      </c>
      <c r="CS259" s="44">
        <f t="shared" si="465"/>
        <v>0</v>
      </c>
      <c r="CT259" s="44">
        <f t="shared" si="466"/>
        <v>0</v>
      </c>
      <c r="CU259" s="44">
        <f t="shared" si="467"/>
        <v>0</v>
      </c>
      <c r="CV259" s="44">
        <f t="shared" si="468"/>
        <v>0</v>
      </c>
      <c r="CW259" s="44">
        <f t="shared" si="469"/>
        <v>0</v>
      </c>
      <c r="CX259" s="44">
        <f t="shared" si="401"/>
        <v>0</v>
      </c>
      <c r="CY259" s="44">
        <f t="shared" si="470"/>
        <v>0</v>
      </c>
      <c r="CZ259" s="44">
        <f t="shared" si="402"/>
        <v>0</v>
      </c>
      <c r="DA259" s="44">
        <f t="shared" si="471"/>
        <v>0</v>
      </c>
      <c r="DB259" s="44">
        <f t="shared" si="403"/>
        <v>0</v>
      </c>
      <c r="DC259" s="46">
        <f t="shared" si="404"/>
        <v>0</v>
      </c>
      <c r="DD259" s="47">
        <f t="shared" si="405"/>
        <v>0</v>
      </c>
      <c r="DE259" s="604">
        <f t="shared" si="472"/>
        <v>0</v>
      </c>
      <c r="DF259" s="44">
        <f t="shared" si="473"/>
        <v>0</v>
      </c>
      <c r="DG259" s="44">
        <f t="shared" si="474"/>
        <v>0</v>
      </c>
      <c r="DH259" s="44">
        <f t="shared" si="475"/>
        <v>0</v>
      </c>
      <c r="DI259" s="44">
        <f t="shared" si="476"/>
        <v>0</v>
      </c>
      <c r="DJ259" s="44">
        <f t="shared" si="477"/>
        <v>0</v>
      </c>
      <c r="DK259" s="44">
        <f t="shared" si="406"/>
        <v>0</v>
      </c>
      <c r="DL259" s="44">
        <f t="shared" si="478"/>
        <v>0</v>
      </c>
      <c r="DM259" s="44">
        <f t="shared" si="407"/>
        <v>0</v>
      </c>
      <c r="DN259" s="44">
        <f t="shared" si="479"/>
        <v>0</v>
      </c>
      <c r="DO259" s="44">
        <f t="shared" si="408"/>
        <v>0</v>
      </c>
      <c r="DP259" s="46">
        <f t="shared" si="409"/>
        <v>0</v>
      </c>
      <c r="DQ259" s="47">
        <f t="shared" si="410"/>
        <v>0</v>
      </c>
      <c r="DR259" s="604">
        <f t="shared" si="480"/>
        <v>0</v>
      </c>
      <c r="DS259" s="44">
        <f t="shared" si="481"/>
        <v>0</v>
      </c>
      <c r="DT259" s="44">
        <f t="shared" si="482"/>
        <v>0</v>
      </c>
      <c r="DU259" s="44">
        <f t="shared" si="483"/>
        <v>0</v>
      </c>
      <c r="DV259" s="44">
        <f t="shared" si="484"/>
        <v>0</v>
      </c>
      <c r="DW259" s="44">
        <f t="shared" si="485"/>
        <v>0</v>
      </c>
      <c r="DX259" s="44">
        <f t="shared" si="411"/>
        <v>0</v>
      </c>
      <c r="DY259" s="44">
        <f t="shared" si="486"/>
        <v>0</v>
      </c>
      <c r="DZ259" s="44">
        <f t="shared" si="412"/>
        <v>0</v>
      </c>
      <c r="EA259" s="44">
        <f t="shared" si="487"/>
        <v>0</v>
      </c>
      <c r="EB259" s="44">
        <f t="shared" si="413"/>
        <v>0</v>
      </c>
      <c r="EC259" s="46">
        <f t="shared" si="414"/>
        <v>0</v>
      </c>
      <c r="ED259" s="47">
        <f t="shared" si="415"/>
        <v>0</v>
      </c>
    </row>
    <row r="260" spans="1:134" x14ac:dyDescent="0.35">
      <c r="A260" s="172"/>
      <c r="B260" s="173"/>
      <c r="C260" s="174"/>
      <c r="D260" s="175"/>
      <c r="E260" s="176"/>
      <c r="F260" s="177"/>
      <c r="G260" s="178"/>
      <c r="H260" s="179"/>
      <c r="I260" s="180"/>
      <c r="J260" s="181"/>
      <c r="K260" s="42">
        <f t="shared" si="366"/>
        <v>0</v>
      </c>
      <c r="L260" s="43">
        <f t="shared" si="367"/>
        <v>0</v>
      </c>
      <c r="M260" s="44">
        <f t="shared" si="368"/>
        <v>0</v>
      </c>
      <c r="N260" s="44"/>
      <c r="O260" s="44">
        <f t="shared" si="369"/>
        <v>0</v>
      </c>
      <c r="P260" s="45"/>
      <c r="Q260" s="44">
        <f t="shared" si="370"/>
        <v>0</v>
      </c>
      <c r="R260" s="604">
        <f t="shared" si="416"/>
        <v>0</v>
      </c>
      <c r="S260" s="44">
        <f t="shared" si="417"/>
        <v>0</v>
      </c>
      <c r="T260" s="44">
        <f t="shared" si="418"/>
        <v>0</v>
      </c>
      <c r="U260" s="44">
        <f t="shared" si="419"/>
        <v>0</v>
      </c>
      <c r="V260" s="44">
        <f t="shared" si="420"/>
        <v>0</v>
      </c>
      <c r="W260" s="44">
        <f t="shared" si="421"/>
        <v>0</v>
      </c>
      <c r="X260" s="44">
        <f t="shared" si="371"/>
        <v>0</v>
      </c>
      <c r="Y260" s="44">
        <f t="shared" si="422"/>
        <v>0</v>
      </c>
      <c r="Z260" s="44">
        <f t="shared" si="372"/>
        <v>0</v>
      </c>
      <c r="AA260" s="44">
        <f t="shared" si="423"/>
        <v>0</v>
      </c>
      <c r="AB260" s="44">
        <f t="shared" si="373"/>
        <v>0</v>
      </c>
      <c r="AC260" s="46">
        <f t="shared" si="374"/>
        <v>0</v>
      </c>
      <c r="AD260" s="47">
        <f t="shared" si="375"/>
        <v>0</v>
      </c>
      <c r="AE260" s="604">
        <f t="shared" si="424"/>
        <v>0</v>
      </c>
      <c r="AF260" s="44">
        <f t="shared" si="425"/>
        <v>0</v>
      </c>
      <c r="AG260" s="44">
        <f t="shared" si="426"/>
        <v>0</v>
      </c>
      <c r="AH260" s="44">
        <f t="shared" si="427"/>
        <v>0</v>
      </c>
      <c r="AI260" s="44">
        <f t="shared" si="428"/>
        <v>0</v>
      </c>
      <c r="AJ260" s="44">
        <f t="shared" si="429"/>
        <v>0</v>
      </c>
      <c r="AK260" s="44">
        <f t="shared" si="376"/>
        <v>0</v>
      </c>
      <c r="AL260" s="44">
        <f t="shared" si="430"/>
        <v>0</v>
      </c>
      <c r="AM260" s="44">
        <f t="shared" si="377"/>
        <v>0</v>
      </c>
      <c r="AN260" s="44">
        <f t="shared" si="431"/>
        <v>0</v>
      </c>
      <c r="AO260" s="44">
        <f t="shared" si="378"/>
        <v>0</v>
      </c>
      <c r="AP260" s="46">
        <f t="shared" si="379"/>
        <v>0</v>
      </c>
      <c r="AQ260" s="47">
        <f t="shared" si="380"/>
        <v>0</v>
      </c>
      <c r="AR260" s="604">
        <f t="shared" si="432"/>
        <v>0</v>
      </c>
      <c r="AS260" s="44">
        <f t="shared" si="433"/>
        <v>0</v>
      </c>
      <c r="AT260" s="44">
        <f t="shared" si="434"/>
        <v>0</v>
      </c>
      <c r="AU260" s="44">
        <f t="shared" si="435"/>
        <v>0</v>
      </c>
      <c r="AV260" s="44">
        <f t="shared" si="436"/>
        <v>0</v>
      </c>
      <c r="AW260" s="44">
        <f t="shared" si="437"/>
        <v>0</v>
      </c>
      <c r="AX260" s="44">
        <f t="shared" si="381"/>
        <v>0</v>
      </c>
      <c r="AY260" s="44">
        <f t="shared" si="438"/>
        <v>0</v>
      </c>
      <c r="AZ260" s="44">
        <f t="shared" si="382"/>
        <v>0</v>
      </c>
      <c r="BA260" s="44">
        <f t="shared" si="439"/>
        <v>0</v>
      </c>
      <c r="BB260" s="44">
        <f t="shared" si="383"/>
        <v>0</v>
      </c>
      <c r="BC260" s="46">
        <f t="shared" si="384"/>
        <v>0</v>
      </c>
      <c r="BD260" s="47">
        <f t="shared" si="385"/>
        <v>0</v>
      </c>
      <c r="BE260" s="604">
        <f t="shared" si="440"/>
        <v>0</v>
      </c>
      <c r="BF260" s="44">
        <f t="shared" si="441"/>
        <v>0</v>
      </c>
      <c r="BG260" s="44">
        <f t="shared" si="442"/>
        <v>0</v>
      </c>
      <c r="BH260" s="44">
        <f t="shared" si="443"/>
        <v>0</v>
      </c>
      <c r="BI260" s="44">
        <f t="shared" si="444"/>
        <v>0</v>
      </c>
      <c r="BJ260" s="44">
        <f t="shared" si="445"/>
        <v>0</v>
      </c>
      <c r="BK260" s="44">
        <f t="shared" si="386"/>
        <v>0</v>
      </c>
      <c r="BL260" s="44">
        <f t="shared" si="446"/>
        <v>0</v>
      </c>
      <c r="BM260" s="44">
        <f t="shared" si="387"/>
        <v>0</v>
      </c>
      <c r="BN260" s="44">
        <f t="shared" si="447"/>
        <v>0</v>
      </c>
      <c r="BO260" s="44">
        <f t="shared" si="388"/>
        <v>0</v>
      </c>
      <c r="BP260" s="46">
        <f t="shared" si="389"/>
        <v>0</v>
      </c>
      <c r="BQ260" s="47">
        <f t="shared" si="390"/>
        <v>0</v>
      </c>
      <c r="BR260" s="604">
        <f t="shared" si="448"/>
        <v>0</v>
      </c>
      <c r="BS260" s="44">
        <f t="shared" si="449"/>
        <v>0</v>
      </c>
      <c r="BT260" s="44">
        <f t="shared" si="450"/>
        <v>0</v>
      </c>
      <c r="BU260" s="44">
        <f t="shared" si="451"/>
        <v>0</v>
      </c>
      <c r="BV260" s="44">
        <f t="shared" si="452"/>
        <v>0</v>
      </c>
      <c r="BW260" s="44">
        <f t="shared" si="453"/>
        <v>0</v>
      </c>
      <c r="BX260" s="44">
        <f t="shared" si="391"/>
        <v>0</v>
      </c>
      <c r="BY260" s="44">
        <f t="shared" si="454"/>
        <v>0</v>
      </c>
      <c r="BZ260" s="44">
        <f t="shared" si="392"/>
        <v>0</v>
      </c>
      <c r="CA260" s="44">
        <f t="shared" si="455"/>
        <v>0</v>
      </c>
      <c r="CB260" s="44">
        <f t="shared" si="393"/>
        <v>0</v>
      </c>
      <c r="CC260" s="46">
        <f t="shared" si="394"/>
        <v>0</v>
      </c>
      <c r="CD260" s="47">
        <f t="shared" si="395"/>
        <v>0</v>
      </c>
      <c r="CE260" s="604">
        <f t="shared" si="456"/>
        <v>0</v>
      </c>
      <c r="CF260" s="44">
        <f t="shared" si="457"/>
        <v>0</v>
      </c>
      <c r="CG260" s="44">
        <f t="shared" si="458"/>
        <v>0</v>
      </c>
      <c r="CH260" s="44">
        <f t="shared" si="459"/>
        <v>0</v>
      </c>
      <c r="CI260" s="44">
        <f t="shared" si="460"/>
        <v>0</v>
      </c>
      <c r="CJ260" s="44">
        <f t="shared" si="461"/>
        <v>0</v>
      </c>
      <c r="CK260" s="44">
        <f t="shared" si="396"/>
        <v>0</v>
      </c>
      <c r="CL260" s="44">
        <f t="shared" si="462"/>
        <v>0</v>
      </c>
      <c r="CM260" s="44">
        <f t="shared" si="397"/>
        <v>0</v>
      </c>
      <c r="CN260" s="44">
        <f t="shared" si="463"/>
        <v>0</v>
      </c>
      <c r="CO260" s="44">
        <f t="shared" si="398"/>
        <v>0</v>
      </c>
      <c r="CP260" s="46">
        <f t="shared" si="399"/>
        <v>0</v>
      </c>
      <c r="CQ260" s="47">
        <f t="shared" si="400"/>
        <v>0</v>
      </c>
      <c r="CR260" s="604">
        <f t="shared" si="464"/>
        <v>0</v>
      </c>
      <c r="CS260" s="44">
        <f t="shared" si="465"/>
        <v>0</v>
      </c>
      <c r="CT260" s="44">
        <f t="shared" si="466"/>
        <v>0</v>
      </c>
      <c r="CU260" s="44">
        <f t="shared" si="467"/>
        <v>0</v>
      </c>
      <c r="CV260" s="44">
        <f t="shared" si="468"/>
        <v>0</v>
      </c>
      <c r="CW260" s="44">
        <f t="shared" si="469"/>
        <v>0</v>
      </c>
      <c r="CX260" s="44">
        <f t="shared" si="401"/>
        <v>0</v>
      </c>
      <c r="CY260" s="44">
        <f t="shared" si="470"/>
        <v>0</v>
      </c>
      <c r="CZ260" s="44">
        <f t="shared" si="402"/>
        <v>0</v>
      </c>
      <c r="DA260" s="44">
        <f t="shared" si="471"/>
        <v>0</v>
      </c>
      <c r="DB260" s="44">
        <f t="shared" si="403"/>
        <v>0</v>
      </c>
      <c r="DC260" s="46">
        <f t="shared" si="404"/>
        <v>0</v>
      </c>
      <c r="DD260" s="47">
        <f t="shared" si="405"/>
        <v>0</v>
      </c>
      <c r="DE260" s="604">
        <f t="shared" si="472"/>
        <v>0</v>
      </c>
      <c r="DF260" s="44">
        <f t="shared" si="473"/>
        <v>0</v>
      </c>
      <c r="DG260" s="44">
        <f t="shared" si="474"/>
        <v>0</v>
      </c>
      <c r="DH260" s="44">
        <f t="shared" si="475"/>
        <v>0</v>
      </c>
      <c r="DI260" s="44">
        <f t="shared" si="476"/>
        <v>0</v>
      </c>
      <c r="DJ260" s="44">
        <f t="shared" si="477"/>
        <v>0</v>
      </c>
      <c r="DK260" s="44">
        <f t="shared" si="406"/>
        <v>0</v>
      </c>
      <c r="DL260" s="44">
        <f t="shared" si="478"/>
        <v>0</v>
      </c>
      <c r="DM260" s="44">
        <f t="shared" si="407"/>
        <v>0</v>
      </c>
      <c r="DN260" s="44">
        <f t="shared" si="479"/>
        <v>0</v>
      </c>
      <c r="DO260" s="44">
        <f t="shared" si="408"/>
        <v>0</v>
      </c>
      <c r="DP260" s="46">
        <f t="shared" si="409"/>
        <v>0</v>
      </c>
      <c r="DQ260" s="47">
        <f t="shared" si="410"/>
        <v>0</v>
      </c>
      <c r="DR260" s="604">
        <f t="shared" si="480"/>
        <v>0</v>
      </c>
      <c r="DS260" s="44">
        <f t="shared" si="481"/>
        <v>0</v>
      </c>
      <c r="DT260" s="44">
        <f t="shared" si="482"/>
        <v>0</v>
      </c>
      <c r="DU260" s="44">
        <f t="shared" si="483"/>
        <v>0</v>
      </c>
      <c r="DV260" s="44">
        <f t="shared" si="484"/>
        <v>0</v>
      </c>
      <c r="DW260" s="44">
        <f t="shared" si="485"/>
        <v>0</v>
      </c>
      <c r="DX260" s="44">
        <f t="shared" si="411"/>
        <v>0</v>
      </c>
      <c r="DY260" s="44">
        <f t="shared" si="486"/>
        <v>0</v>
      </c>
      <c r="DZ260" s="44">
        <f t="shared" si="412"/>
        <v>0</v>
      </c>
      <c r="EA260" s="44">
        <f t="shared" si="487"/>
        <v>0</v>
      </c>
      <c r="EB260" s="44">
        <f t="shared" si="413"/>
        <v>0</v>
      </c>
      <c r="EC260" s="46">
        <f t="shared" si="414"/>
        <v>0</v>
      </c>
      <c r="ED260" s="47">
        <f t="shared" si="415"/>
        <v>0</v>
      </c>
    </row>
    <row r="261" spans="1:134" x14ac:dyDescent="0.35">
      <c r="A261" s="172"/>
      <c r="B261" s="173"/>
      <c r="C261" s="174"/>
      <c r="D261" s="175"/>
      <c r="E261" s="176"/>
      <c r="F261" s="177"/>
      <c r="G261" s="178"/>
      <c r="H261" s="179"/>
      <c r="I261" s="180"/>
      <c r="J261" s="181"/>
      <c r="K261" s="42">
        <f t="shared" ref="K261:K319" si="488">IF(AND(G261&gt;0,G261&lt;=1,H261=0),1,IF(H261&gt;=1,1,IF(AND(H261&gt;0,H261&lt;1),H261,IF(AND(G261&gt;1,OR(H261=0,H261="")),ROUND(1/G261,4),0))))</f>
        <v>0</v>
      </c>
      <c r="L261" s="43">
        <f t="shared" ref="L261:L319" si="489">IF(AND(E261&gt;0,F261&gt;0,OR(G261&gt;0,H261&gt;0)),ROUND((E261-I261)*K261,2),IF(AND(E261&lt;0,F261&gt;0,OR(G261&gt;0,H261&gt;0)),ROUND(E261*K261,2),0))</f>
        <v>0</v>
      </c>
      <c r="M261" s="44">
        <f t="shared" ref="M261:M319" si="490">IF(AND(E261-O261&gt;=0,F261&gt;0,YEAR(M$4)&gt;=YEAR(F261)),E261-O261,IF(AND(E261-O261&lt;0,F261&gt;0,YEAR(M$4)&gt;=YEAR(F261)),E261-O261,0))</f>
        <v>0</v>
      </c>
      <c r="N261" s="44"/>
      <c r="O261" s="44">
        <f t="shared" ref="O261:O319" si="491">IF(AND(YEAR(F261)&lt;=YEAR(M$4),E261&lt;1000,E261&gt;-1000,F261&gt;0,K261=1),E261-I261,IF(AND(YEAR(F261)&lt;=YEAR(M$4),E261&gt;0,F261&gt;0,K261&gt;0,E261&gt;L261*(YEAR(M$4)-YEAR(F261))+ROUND((L261/12)*(13-MONTH(F261)),2)+I261),L261*(YEAR(M$4)-YEAR(F261))+ROUND((L261/12)*(13-MONTH(F261)),2),IF(AND(YEAR(F261)&lt;=YEAR(M$4),E261&gt;0,F261&gt;0,K261&gt;0,E261&lt;=(L261*(YEAR(M$4)-YEAR(F261)+ROUND((L261/12)*(13-MONTH(F261)),2)))+I261),E261-I261,IF(AND(YEAR(F261)&lt;=YEAR(M$4),E261&lt;0,F261&gt;0,K261&gt;0,E261&lt;L261*(YEAR(M$4)-YEAR(F261))+ROUND((L261/12)*(13-MONTH(F261)),2)+I261),L261*(YEAR(M$4)-YEAR(F261))+ROUND((L261/12)*(13-MONTH(F261)),2),IF(AND(YEAR(F261)&lt;=YEAR(M$4),E261&lt;0,F261&gt;0,K261&gt;0,E261&lt;=(L261*(YEAR(M$4)-YEAR(F261)+ROUND((L261/12)*(13-MONTH(F261)),2)))),E261,0)))))</f>
        <v>0</v>
      </c>
      <c r="P261" s="45"/>
      <c r="Q261" s="44">
        <f t="shared" ref="Q261:Q319" si="492">IF(AND(F261&gt;0,F261&lt;=M$4),E261,0)</f>
        <v>0</v>
      </c>
      <c r="R261" s="604">
        <f t="shared" si="416"/>
        <v>0</v>
      </c>
      <c r="S261" s="44">
        <f t="shared" si="417"/>
        <v>0</v>
      </c>
      <c r="T261" s="44">
        <f t="shared" si="418"/>
        <v>0</v>
      </c>
      <c r="U261" s="44">
        <f t="shared" si="419"/>
        <v>0</v>
      </c>
      <c r="V261" s="44">
        <f t="shared" si="420"/>
        <v>0</v>
      </c>
      <c r="W261" s="44">
        <f t="shared" si="421"/>
        <v>0</v>
      </c>
      <c r="X261" s="44">
        <f t="shared" ref="X261:X319" si="493">IF(AND(YEAR($F261)=YEAR(Z$4),$E261&lt;1000,$E261&gt;-1000,$F261&gt;0,$K261=1),$E261-$I261,IF(AND(YEAR($F261)=YEAR(Z$4),$F261&gt;0,$K261&gt;0),ROUND(($L261/12)*(13-MONTH($F261)),2),IF(AND(YEAR($F261)&lt;YEAR(Z$4),$E261&gt;0,$F261&gt;0,$K261&gt;0,M261&gt;$L261+$I261),$L261,IF(AND(YEAR($F261)&lt;YEAR(Z$4),$E261&gt;0,$F261&gt;0,$K261&gt;0,M261&gt;0,M261&lt;=$L261+$I261),M261-$I261,IF(AND(YEAR($F261)&lt;YEAR(Z$4),$E261&lt;0,$F261&gt;0,$K261&gt;0,M261&lt;0,M261&lt;=$L261),$L261,IF(AND(YEAR($F261)&lt;YEAR(Z$4),$E261&lt;0,$F261&gt;0,$K261&gt;0,M261&lt;0,M261&gt;$L261),M261,0))))))</f>
        <v>0</v>
      </c>
      <c r="Y261" s="44">
        <f t="shared" si="422"/>
        <v>0</v>
      </c>
      <c r="Z261" s="44">
        <f t="shared" ref="Z261:Z319" si="494">IF(AND(YEAR(Z$4)=YEAR($F261),$E261&gt;0,$F261&gt;0,$E261-X261&gt;=0),$E261-X261,IF(AND(YEAR(Z$4)&gt;YEAR($F261),$E261&gt;0,$F261&gt;0,M261-X261&gt;=0),M261-X261,IF(AND(YEAR(Z$4)=YEAR($F261),$E261&lt;0,$F261&gt;0,$E261-X261&lt;0),$E261-X261,IF(AND(YEAR(Z$4)&gt;YEAR($F261),$E261&lt;0,$F261&gt;0,M261-X261&lt;=0),M261-X261,0))))</f>
        <v>0</v>
      </c>
      <c r="AA261" s="44">
        <f t="shared" si="423"/>
        <v>0</v>
      </c>
      <c r="AB261" s="44">
        <f t="shared" ref="AB261:AB319" si="495">O261+X261</f>
        <v>0</v>
      </c>
      <c r="AC261" s="46">
        <f t="shared" ref="AC261:AC319" si="496">IF(AND(R261&lt;&gt;0,$J261="H",$L261=0),T261,IF(AND(YEAR(Z$4)&gt;YEAR($F261),$J261="H",$F261&gt;0,$L261=0),$E261,0))</f>
        <v>0</v>
      </c>
      <c r="AD261" s="47">
        <f t="shared" ref="AD261:AD319" si="497">IF(AND(YEAR(Z$4)&gt;=YEAR($F261),$E261&gt;0,$F261&gt;0,X261&gt;0,$J261="H"),ROUND(X261/$L261*$E261,2),IF(AND(YEAR(Z$4)&gt;=YEAR($F261),$E261&lt;0,$F261&gt;0,X261&lt;0,$J261="H"),ROUND(X261/$L261*$E261,2),0))</f>
        <v>0</v>
      </c>
      <c r="AE261" s="604">
        <f t="shared" si="424"/>
        <v>0</v>
      </c>
      <c r="AF261" s="44">
        <f t="shared" si="425"/>
        <v>0</v>
      </c>
      <c r="AG261" s="44">
        <f t="shared" si="426"/>
        <v>0</v>
      </c>
      <c r="AH261" s="44">
        <f t="shared" si="427"/>
        <v>0</v>
      </c>
      <c r="AI261" s="44">
        <f t="shared" si="428"/>
        <v>0</v>
      </c>
      <c r="AJ261" s="44">
        <f t="shared" si="429"/>
        <v>0</v>
      </c>
      <c r="AK261" s="44">
        <f t="shared" ref="AK261:AK319" si="498">IF(AND(YEAR($F261)=YEAR(AM$4),$E261&lt;1000,$E261&gt;-1000,$F261&gt;0,$K261=1),$E261-$I261,IF(AND(YEAR($F261)=YEAR(AM$4),$F261&gt;0,$K261&gt;0),ROUND(($L261/12)*(13-MONTH($F261)),2),IF(AND(YEAR($F261)&lt;YEAR(AM$4),$E261&gt;0,$F261&gt;0,$K261&gt;0,Z261&gt;$L261+$I261),$L261,IF(AND(YEAR($F261)&lt;YEAR(AM$4),$E261&gt;0,$F261&gt;0,$K261&gt;0,Z261&gt;0,Z261&lt;=$L261+$I261),Z261-$I261,IF(AND(YEAR($F261)&lt;YEAR(AM$4),$E261&lt;0,$F261&gt;0,$K261&gt;0,Z261&lt;0,Z261&lt;=$L261),$L261,IF(AND(YEAR($F261)&lt;YEAR(AM$4),$E261&lt;0,$F261&gt;0,$K261&gt;0,Z261&lt;0,Z261&gt;$L261),Z261,0))))))</f>
        <v>0</v>
      </c>
      <c r="AL261" s="44">
        <f t="shared" si="430"/>
        <v>0</v>
      </c>
      <c r="AM261" s="44">
        <f t="shared" ref="AM261:AM319" si="499">IF(AND(YEAR(AM$4)=YEAR($F261),$E261&gt;0,$F261&gt;0,$E261-AK261&gt;=0),$E261-AK261,IF(AND(YEAR(AM$4)&gt;YEAR($F261),$E261&gt;0,$F261&gt;0,Z261-AK261&gt;=0),Z261-AK261,IF(AND(YEAR(AM$4)=YEAR($F261),$E261&lt;0,$F261&gt;0,$E261-AK261&lt;0),$E261-AK261,IF(AND(YEAR(AM$4)&gt;YEAR($F261),$E261&lt;0,$F261&gt;0,Z261-AK261&lt;=0),Z261-AK261,0))))</f>
        <v>0</v>
      </c>
      <c r="AN261" s="44">
        <f t="shared" si="431"/>
        <v>0</v>
      </c>
      <c r="AO261" s="44">
        <f t="shared" ref="AO261:AO319" si="500">AB261+AK261</f>
        <v>0</v>
      </c>
      <c r="AP261" s="46">
        <f t="shared" ref="AP261:AP319" si="501">IF(AND(AE261&lt;&gt;0,$J261="H",$L261=0),AG261,IF(AND(YEAR(AM$4)&gt;YEAR($F261),$J261="H",$F261&gt;0,$L261=0),$E261,0))</f>
        <v>0</v>
      </c>
      <c r="AQ261" s="47">
        <f t="shared" ref="AQ261:AQ319" si="502">IF(AND(YEAR(AM$4)&gt;=YEAR($F261),$E261&gt;0,$F261&gt;0,AK261&gt;0,$J261="H"),ROUND(AK261/$L261*$E261,2),IF(AND(YEAR(AM$4)&gt;=YEAR($F261),$E261&lt;0,$F261&gt;0,AK261&lt;0,$J261="H"),ROUND(AK261/$L261*$E261,2),0))</f>
        <v>0</v>
      </c>
      <c r="AR261" s="604">
        <f t="shared" si="432"/>
        <v>0</v>
      </c>
      <c r="AS261" s="44">
        <f t="shared" si="433"/>
        <v>0</v>
      </c>
      <c r="AT261" s="44">
        <f t="shared" si="434"/>
        <v>0</v>
      </c>
      <c r="AU261" s="44">
        <f t="shared" si="435"/>
        <v>0</v>
      </c>
      <c r="AV261" s="44">
        <f t="shared" si="436"/>
        <v>0</v>
      </c>
      <c r="AW261" s="44">
        <f t="shared" si="437"/>
        <v>0</v>
      </c>
      <c r="AX261" s="44">
        <f t="shared" ref="AX261:AX319" si="503">IF(AND(YEAR($F261)=YEAR(AZ$4),$E261&lt;1000,$E261&gt;-1000,$F261&gt;0,$K261=1),$E261-$I261,IF(AND(YEAR($F261)=YEAR(AZ$4),$F261&gt;0,$K261&gt;0),ROUND(($L261/12)*(13-MONTH($F261)),2),IF(AND(YEAR($F261)&lt;YEAR(AZ$4),$E261&gt;0,$F261&gt;0,$K261&gt;0,AM261&gt;$L261+$I261),$L261,IF(AND(YEAR($F261)&lt;YEAR(AZ$4),$E261&gt;0,$F261&gt;0,$K261&gt;0,AM261&gt;0,AM261&lt;=$L261+$I261),AM261-$I261,IF(AND(YEAR($F261)&lt;YEAR(AZ$4),$E261&lt;0,$F261&gt;0,$K261&gt;0,AM261&lt;0,AM261&lt;=$L261),$L261,IF(AND(YEAR($F261)&lt;YEAR(AZ$4),$E261&lt;0,$F261&gt;0,$K261&gt;0,AM261&lt;0,AM261&gt;$L261),AM261,0))))))</f>
        <v>0</v>
      </c>
      <c r="AY261" s="44">
        <f t="shared" si="438"/>
        <v>0</v>
      </c>
      <c r="AZ261" s="44">
        <f t="shared" ref="AZ261:AZ319" si="504">IF(AND(YEAR(AZ$4)=YEAR($F261),$E261&gt;0,$F261&gt;0,$E261-AX261&gt;=0),$E261-AX261,IF(AND(YEAR(AZ$4)&gt;YEAR($F261),$E261&gt;0,$F261&gt;0,AM261-AX261&gt;=0),AM261-AX261,IF(AND(YEAR(AZ$4)=YEAR($F261),$E261&lt;0,$F261&gt;0,$E261-AX261&lt;0),$E261-AX261,IF(AND(YEAR(AZ$4)&gt;YEAR($F261),$E261&lt;0,$F261&gt;0,AM261-AX261&lt;=0),AM261-AX261,0))))</f>
        <v>0</v>
      </c>
      <c r="BA261" s="44">
        <f t="shared" si="439"/>
        <v>0</v>
      </c>
      <c r="BB261" s="44">
        <f t="shared" ref="BB261:BB319" si="505">AO261+AX261</f>
        <v>0</v>
      </c>
      <c r="BC261" s="46">
        <f t="shared" ref="BC261:BC319" si="506">IF(AND(AR261&lt;&gt;0,$J261="H",$L261=0),AT261,IF(AND(YEAR(AZ$4)&gt;YEAR($F261),$J261="H",$F261&gt;0,$L261=0),$E261,0))</f>
        <v>0</v>
      </c>
      <c r="BD261" s="47">
        <f t="shared" ref="BD261:BD319" si="507">IF(AND(YEAR(AZ$4)&gt;=YEAR($F261),$E261&gt;0,$F261&gt;0,AX261&gt;0,$J261="H"),ROUND(AX261/$L261*$E261,2),IF(AND(YEAR(AZ$4)&gt;=YEAR($F261),$E261&lt;0,$F261&gt;0,AX261&lt;0,$J261="H"),ROUND(AX261/$L261*$E261,2),0))</f>
        <v>0</v>
      </c>
      <c r="BE261" s="604">
        <f t="shared" si="440"/>
        <v>0</v>
      </c>
      <c r="BF261" s="44">
        <f t="shared" si="441"/>
        <v>0</v>
      </c>
      <c r="BG261" s="44">
        <f t="shared" si="442"/>
        <v>0</v>
      </c>
      <c r="BH261" s="44">
        <f t="shared" si="443"/>
        <v>0</v>
      </c>
      <c r="BI261" s="44">
        <f t="shared" si="444"/>
        <v>0</v>
      </c>
      <c r="BJ261" s="44">
        <f t="shared" si="445"/>
        <v>0</v>
      </c>
      <c r="BK261" s="44">
        <f t="shared" ref="BK261:BK319" si="508">IF(AND(YEAR($F261)=YEAR(BM$4),$E261&lt;1000,$E261&gt;-1000,$F261&gt;0,$K261=1),$E261-$I261,IF(AND(YEAR($F261)=YEAR(BM$4),$F261&gt;0,$K261&gt;0),ROUND(($L261/12)*(13-MONTH($F261)),2),IF(AND(YEAR($F261)&lt;YEAR(BM$4),$E261&gt;0,$F261&gt;0,$K261&gt;0,AZ261&gt;$L261+$I261),$L261,IF(AND(YEAR($F261)&lt;YEAR(BM$4),$E261&gt;0,$F261&gt;0,$K261&gt;0,AZ261&gt;0,AZ261&lt;=$L261+$I261),AZ261-$I261,IF(AND(YEAR($F261)&lt;YEAR(BM$4),$E261&lt;0,$F261&gt;0,$K261&gt;0,AZ261&lt;0,AZ261&lt;=$L261),$L261,IF(AND(YEAR($F261)&lt;YEAR(BM$4),$E261&lt;0,$F261&gt;0,$K261&gt;0,AZ261&lt;0,AZ261&gt;$L261),AZ261,0))))))</f>
        <v>0</v>
      </c>
      <c r="BL261" s="44">
        <f t="shared" si="446"/>
        <v>0</v>
      </c>
      <c r="BM261" s="44">
        <f t="shared" ref="BM261:BM319" si="509">IF(AND(YEAR(BM$4)=YEAR($F261),$E261&gt;0,$F261&gt;0,$E261-BK261&gt;=0),$E261-BK261,IF(AND(YEAR(BM$4)&gt;YEAR($F261),$E261&gt;0,$F261&gt;0,AZ261-BK261&gt;=0),AZ261-BK261,IF(AND(YEAR(BM$4)=YEAR($F261),$E261&lt;0,$F261&gt;0,$E261-BK261&lt;0),$E261-BK261,IF(AND(YEAR(BM$4)&gt;YEAR($F261),$E261&lt;0,$F261&gt;0,AZ261-BK261&lt;=0),AZ261-BK261,0))))</f>
        <v>0</v>
      </c>
      <c r="BN261" s="44">
        <f t="shared" si="447"/>
        <v>0</v>
      </c>
      <c r="BO261" s="44">
        <f t="shared" ref="BO261:BO319" si="510">BB261+BK261</f>
        <v>0</v>
      </c>
      <c r="BP261" s="46">
        <f t="shared" ref="BP261:BP319" si="511">IF(AND(BE261&lt;&gt;0,$J261="H",$L261=0),BG261,IF(AND(YEAR(BM$4)&gt;YEAR($F261),$J261="H",$F261&gt;0,$L261=0),$E261,0))</f>
        <v>0</v>
      </c>
      <c r="BQ261" s="47">
        <f t="shared" ref="BQ261:BQ319" si="512">IF(AND(YEAR(BM$4)&gt;=YEAR($F261),$E261&gt;0,$F261&gt;0,BK261&gt;0,$J261="H"),ROUND(BK261/$L261*$E261,2),IF(AND(YEAR(BM$4)&gt;=YEAR($F261),$E261&lt;0,$F261&gt;0,BK261&lt;0,$J261="H"),ROUND(BK261/$L261*$E261,2),0))</f>
        <v>0</v>
      </c>
      <c r="BR261" s="604">
        <f t="shared" si="448"/>
        <v>0</v>
      </c>
      <c r="BS261" s="44">
        <f t="shared" si="449"/>
        <v>0</v>
      </c>
      <c r="BT261" s="44">
        <f t="shared" si="450"/>
        <v>0</v>
      </c>
      <c r="BU261" s="44">
        <f t="shared" si="451"/>
        <v>0</v>
      </c>
      <c r="BV261" s="44">
        <f t="shared" si="452"/>
        <v>0</v>
      </c>
      <c r="BW261" s="44">
        <f t="shared" si="453"/>
        <v>0</v>
      </c>
      <c r="BX261" s="44">
        <f t="shared" ref="BX261:BX319" si="513">IF(AND(YEAR($F261)=YEAR(BZ$4),$E261&lt;1000,$E261&gt;-1000,$F261&gt;0,$K261=1),$E261-$I261,IF(AND(YEAR($F261)=YEAR(BZ$4),$F261&gt;0,$K261&gt;0),ROUND(($L261/12)*(13-MONTH($F261)),2),IF(AND(YEAR($F261)&lt;YEAR(BZ$4),$E261&gt;0,$F261&gt;0,$K261&gt;0,BM261&gt;$L261+$I261),$L261,IF(AND(YEAR($F261)&lt;YEAR(BZ$4),$E261&gt;0,$F261&gt;0,$K261&gt;0,BM261&gt;0,BM261&lt;=$L261+$I261),BM261-$I261,IF(AND(YEAR($F261)&lt;YEAR(BZ$4),$E261&lt;0,$F261&gt;0,$K261&gt;0,BM261&lt;0,BM261&lt;=$L261),$L261,IF(AND(YEAR($F261)&lt;YEAR(BZ$4),$E261&lt;0,$F261&gt;0,$K261&gt;0,BM261&lt;0,BM261&gt;$L261),BM261,0))))))</f>
        <v>0</v>
      </c>
      <c r="BY261" s="44">
        <f t="shared" si="454"/>
        <v>0</v>
      </c>
      <c r="BZ261" s="44">
        <f t="shared" ref="BZ261:BZ319" si="514">IF(AND(YEAR(BZ$4)=YEAR($F261),$E261&gt;0,$F261&gt;0,$E261-BX261&gt;=0),$E261-BX261,IF(AND(YEAR(BZ$4)&gt;YEAR($F261),$E261&gt;0,$F261&gt;0,BM261-BX261&gt;=0),BM261-BX261,IF(AND(YEAR(BZ$4)=YEAR($F261),$E261&lt;0,$F261&gt;0,$E261-BX261&lt;0),$E261-BX261,IF(AND(YEAR(BZ$4)&gt;YEAR($F261),$E261&lt;0,$F261&gt;0,BM261-BX261&lt;=0),BM261-BX261,0))))</f>
        <v>0</v>
      </c>
      <c r="CA261" s="44">
        <f t="shared" si="455"/>
        <v>0</v>
      </c>
      <c r="CB261" s="44">
        <f t="shared" ref="CB261:CB319" si="515">BO261+BX261</f>
        <v>0</v>
      </c>
      <c r="CC261" s="46">
        <f t="shared" ref="CC261:CC319" si="516">IF(AND(BR261&lt;&gt;0,$J261="H",$L261=0),BT261,IF(AND(YEAR(BZ$4)&gt;YEAR($F261),$J261="H",$F261&gt;0,$L261=0),$E261,0))</f>
        <v>0</v>
      </c>
      <c r="CD261" s="47">
        <f t="shared" ref="CD261:CD319" si="517">IF(AND(YEAR(BZ$4)&gt;=YEAR($F261),$E261&gt;0,$F261&gt;0,BX261&gt;0,$J261="H"),ROUND(BX261/$L261*$E261,2),IF(AND(YEAR(BZ$4)&gt;=YEAR($F261),$E261&lt;0,$F261&gt;0,BX261&lt;0,$J261="H"),ROUND(BX261/$L261*$E261,2),0))</f>
        <v>0</v>
      </c>
      <c r="CE261" s="604">
        <f t="shared" si="456"/>
        <v>0</v>
      </c>
      <c r="CF261" s="44">
        <f t="shared" si="457"/>
        <v>0</v>
      </c>
      <c r="CG261" s="44">
        <f t="shared" si="458"/>
        <v>0</v>
      </c>
      <c r="CH261" s="44">
        <f t="shared" si="459"/>
        <v>0</v>
      </c>
      <c r="CI261" s="44">
        <f t="shared" si="460"/>
        <v>0</v>
      </c>
      <c r="CJ261" s="44">
        <f t="shared" si="461"/>
        <v>0</v>
      </c>
      <c r="CK261" s="44">
        <f t="shared" ref="CK261:CK319" si="518">IF(AND(YEAR($F261)=YEAR(CM$4),$E261&lt;1000,$E261&gt;-1000,$F261&gt;0,$K261=1),$E261-$I261,IF(AND(YEAR($F261)=YEAR(CM$4),$F261&gt;0,$K261&gt;0),ROUND(($L261/12)*(13-MONTH($F261)),2),IF(AND(YEAR($F261)&lt;YEAR(CM$4),$E261&gt;0,$F261&gt;0,$K261&gt;0,BZ261&gt;$L261+$I261),$L261,IF(AND(YEAR($F261)&lt;YEAR(CM$4),$E261&gt;0,$F261&gt;0,$K261&gt;0,BZ261&gt;0,BZ261&lt;=$L261+$I261),BZ261-$I261,IF(AND(YEAR($F261)&lt;YEAR(CM$4),$E261&lt;0,$F261&gt;0,$K261&gt;0,BZ261&lt;0,BZ261&lt;=$L261),$L261,IF(AND(YEAR($F261)&lt;YEAR(CM$4),$E261&lt;0,$F261&gt;0,$K261&gt;0,BZ261&lt;0,BZ261&gt;$L261),BZ261,0))))))</f>
        <v>0</v>
      </c>
      <c r="CL261" s="44">
        <f t="shared" si="462"/>
        <v>0</v>
      </c>
      <c r="CM261" s="44">
        <f t="shared" ref="CM261:CM319" si="519">IF(AND(YEAR(CM$4)=YEAR($F261),$E261&gt;0,$F261&gt;0,$E261-CK261&gt;=0),$E261-CK261,IF(AND(YEAR(CM$4)&gt;YEAR($F261),$E261&gt;0,$F261&gt;0,BZ261-CK261&gt;=0),BZ261-CK261,IF(AND(YEAR(CM$4)=YEAR($F261),$E261&lt;0,$F261&gt;0,$E261-CK261&lt;0),$E261-CK261,IF(AND(YEAR(CM$4)&gt;YEAR($F261),$E261&lt;0,$F261&gt;0,BZ261-CK261&lt;=0),BZ261-CK261,0))))</f>
        <v>0</v>
      </c>
      <c r="CN261" s="44">
        <f t="shared" si="463"/>
        <v>0</v>
      </c>
      <c r="CO261" s="44">
        <f t="shared" ref="CO261:CO319" si="520">CB261+CK261</f>
        <v>0</v>
      </c>
      <c r="CP261" s="46">
        <f t="shared" ref="CP261:CP319" si="521">IF(AND(CE261&lt;&gt;0,$J261="H",$L261=0),CG261,IF(AND(YEAR(CM$4)&gt;YEAR($F261),$J261="H",$F261&gt;0,$L261=0),$E261,0))</f>
        <v>0</v>
      </c>
      <c r="CQ261" s="47">
        <f t="shared" ref="CQ261:CQ319" si="522">IF(AND(YEAR(CM$4)&gt;=YEAR($F261),$E261&gt;0,$F261&gt;0,CK261&gt;0,$J261="H"),ROUND(CK261/$L261*$E261,2),IF(AND(YEAR(CM$4)&gt;=YEAR($F261),$E261&lt;0,$F261&gt;0,CK261&lt;0,$J261="H"),ROUND(CK261/$L261*$E261,2),0))</f>
        <v>0</v>
      </c>
      <c r="CR261" s="604">
        <f t="shared" si="464"/>
        <v>0</v>
      </c>
      <c r="CS261" s="44">
        <f t="shared" si="465"/>
        <v>0</v>
      </c>
      <c r="CT261" s="44">
        <f t="shared" si="466"/>
        <v>0</v>
      </c>
      <c r="CU261" s="44">
        <f t="shared" si="467"/>
        <v>0</v>
      </c>
      <c r="CV261" s="44">
        <f t="shared" si="468"/>
        <v>0</v>
      </c>
      <c r="CW261" s="44">
        <f t="shared" si="469"/>
        <v>0</v>
      </c>
      <c r="CX261" s="44">
        <f t="shared" ref="CX261:CX319" si="523">IF(AND(YEAR($F261)=YEAR(CZ$4),$E261&lt;1000,$E261&gt;-1000,$F261&gt;0,$K261=1),$E261-$I261,IF(AND(YEAR($F261)=YEAR(CZ$4),$F261&gt;0,$K261&gt;0),ROUND(($L261/12)*(13-MONTH($F261)),2),IF(AND(YEAR($F261)&lt;YEAR(CZ$4),$E261&gt;0,$F261&gt;0,$K261&gt;0,CM261&gt;$L261+$I261),$L261,IF(AND(YEAR($F261)&lt;YEAR(CZ$4),$E261&gt;0,$F261&gt;0,$K261&gt;0,CM261&gt;0,CM261&lt;=$L261+$I261),CM261-$I261,IF(AND(YEAR($F261)&lt;YEAR(CZ$4),$E261&lt;0,$F261&gt;0,$K261&gt;0,CM261&lt;0,CM261&lt;=$L261),$L261,IF(AND(YEAR($F261)&lt;YEAR(CZ$4),$E261&lt;0,$F261&gt;0,$K261&gt;0,CM261&lt;0,CM261&gt;$L261),CM261,0))))))</f>
        <v>0</v>
      </c>
      <c r="CY261" s="44">
        <f t="shared" si="470"/>
        <v>0</v>
      </c>
      <c r="CZ261" s="44">
        <f t="shared" ref="CZ261:CZ319" si="524">IF(AND(YEAR(CZ$4)=YEAR($F261),$E261&gt;0,$F261&gt;0,$E261-CX261&gt;=0),$E261-CX261,IF(AND(YEAR(CZ$4)&gt;YEAR($F261),$E261&gt;0,$F261&gt;0,CM261-CX261&gt;=0),CM261-CX261,IF(AND(YEAR(CZ$4)=YEAR($F261),$E261&lt;0,$F261&gt;0,$E261-CX261&lt;0),$E261-CX261,IF(AND(YEAR(CZ$4)&gt;YEAR($F261),$E261&lt;0,$F261&gt;0,CM261-CX261&lt;=0),CM261-CX261,0))))</f>
        <v>0</v>
      </c>
      <c r="DA261" s="44">
        <f t="shared" si="471"/>
        <v>0</v>
      </c>
      <c r="DB261" s="44">
        <f t="shared" ref="DB261:DB319" si="525">CO261+CX261</f>
        <v>0</v>
      </c>
      <c r="DC261" s="46">
        <f t="shared" ref="DC261:DC319" si="526">IF(AND(CR261&lt;&gt;0,$J261="H",$L261=0),CT261,IF(AND(YEAR(CZ$4)&gt;YEAR($F261),$J261="H",$F261&gt;0,$L261=0),$E261,0))</f>
        <v>0</v>
      </c>
      <c r="DD261" s="47">
        <f t="shared" ref="DD261:DD319" si="527">IF(AND(YEAR(CZ$4)&gt;=YEAR($F261),$E261&gt;0,$F261&gt;0,CX261&gt;0,$J261="H"),ROUND(CX261/$L261*$E261,2),IF(AND(YEAR(CZ$4)&gt;=YEAR($F261),$E261&lt;0,$F261&gt;0,CX261&lt;0,$J261="H"),ROUND(CX261/$L261*$E261,2),0))</f>
        <v>0</v>
      </c>
      <c r="DE261" s="604">
        <f t="shared" si="472"/>
        <v>0</v>
      </c>
      <c r="DF261" s="44">
        <f t="shared" si="473"/>
        <v>0</v>
      </c>
      <c r="DG261" s="44">
        <f t="shared" si="474"/>
        <v>0</v>
      </c>
      <c r="DH261" s="44">
        <f t="shared" si="475"/>
        <v>0</v>
      </c>
      <c r="DI261" s="44">
        <f t="shared" si="476"/>
        <v>0</v>
      </c>
      <c r="DJ261" s="44">
        <f t="shared" si="477"/>
        <v>0</v>
      </c>
      <c r="DK261" s="44">
        <f t="shared" ref="DK261:DK319" si="528">IF(AND(YEAR($F261)=YEAR(DM$4),$E261&lt;1000,$E261&gt;-1000,$F261&gt;0,$K261=1),$E261-$I261,IF(AND(YEAR($F261)=YEAR(DM$4),$F261&gt;0,$K261&gt;0),ROUND(($L261/12)*(13-MONTH($F261)),2),IF(AND(YEAR($F261)&lt;YEAR(DM$4),$E261&gt;0,$F261&gt;0,$K261&gt;0,CZ261&gt;$L261+$I261),$L261,IF(AND(YEAR($F261)&lt;YEAR(DM$4),$E261&gt;0,$F261&gt;0,$K261&gt;0,CZ261&gt;0,CZ261&lt;=$L261+$I261),CZ261-$I261,IF(AND(YEAR($F261)&lt;YEAR(DM$4),$E261&lt;0,$F261&gt;0,$K261&gt;0,CZ261&lt;0,CZ261&lt;=$L261),$L261,IF(AND(YEAR($F261)&lt;YEAR(DM$4),$E261&lt;0,$F261&gt;0,$K261&gt;0,CZ261&lt;0,CZ261&gt;$L261),CZ261,0))))))</f>
        <v>0</v>
      </c>
      <c r="DL261" s="44">
        <f t="shared" si="478"/>
        <v>0</v>
      </c>
      <c r="DM261" s="44">
        <f t="shared" ref="DM261:DM319" si="529">IF(AND(YEAR(DM$4)=YEAR($F261),$E261&gt;0,$F261&gt;0,$E261-DK261&gt;=0),$E261-DK261,IF(AND(YEAR(DM$4)&gt;YEAR($F261),$E261&gt;0,$F261&gt;0,CZ261-DK261&gt;=0),CZ261-DK261,IF(AND(YEAR(DM$4)=YEAR($F261),$E261&lt;0,$F261&gt;0,$E261-DK261&lt;0),$E261-DK261,IF(AND(YEAR(DM$4)&gt;YEAR($F261),$E261&lt;0,$F261&gt;0,CZ261-DK261&lt;=0),CZ261-DK261,0))))</f>
        <v>0</v>
      </c>
      <c r="DN261" s="44">
        <f t="shared" si="479"/>
        <v>0</v>
      </c>
      <c r="DO261" s="44">
        <f t="shared" ref="DO261:DO319" si="530">DB261+DK261</f>
        <v>0</v>
      </c>
      <c r="DP261" s="46">
        <f t="shared" ref="DP261:DP319" si="531">IF(AND(DE261&lt;&gt;0,$J261="H",$L261=0),DG261,IF(AND(YEAR(DM$4)&gt;YEAR($F261),$J261="H",$F261&gt;0,$L261=0),$E261,0))</f>
        <v>0</v>
      </c>
      <c r="DQ261" s="47">
        <f t="shared" ref="DQ261:DQ319" si="532">IF(AND(YEAR(DM$4)&gt;=YEAR($F261),$E261&gt;0,$F261&gt;0,DK261&gt;0,$J261="H"),ROUND(DK261/$L261*$E261,2),IF(AND(YEAR(DM$4)&gt;=YEAR($F261),$E261&lt;0,$F261&gt;0,DK261&lt;0,$J261="H"),ROUND(DK261/$L261*$E261,2),0))</f>
        <v>0</v>
      </c>
      <c r="DR261" s="604">
        <f t="shared" si="480"/>
        <v>0</v>
      </c>
      <c r="DS261" s="44">
        <f t="shared" si="481"/>
        <v>0</v>
      </c>
      <c r="DT261" s="44">
        <f t="shared" si="482"/>
        <v>0</v>
      </c>
      <c r="DU261" s="44">
        <f t="shared" si="483"/>
        <v>0</v>
      </c>
      <c r="DV261" s="44">
        <f t="shared" si="484"/>
        <v>0</v>
      </c>
      <c r="DW261" s="44">
        <f t="shared" si="485"/>
        <v>0</v>
      </c>
      <c r="DX261" s="44">
        <f t="shared" ref="DX261:DX319" si="533">IF(AND(YEAR($F261)=YEAR(DZ$4),$E261&lt;1000,$E261&gt;-1000,$F261&gt;0,$K261=1),$E261-$I261,IF(AND(YEAR($F261)=YEAR(DZ$4),$F261&gt;0,$K261&gt;0),ROUND(($L261/12)*(13-MONTH($F261)),2),IF(AND(YEAR($F261)&lt;YEAR(DZ$4),$E261&gt;0,$F261&gt;0,$K261&gt;0,DM261&gt;$L261+$I261),$L261,IF(AND(YEAR($F261)&lt;YEAR(DZ$4),$E261&gt;0,$F261&gt;0,$K261&gt;0,DM261&gt;0,DM261&lt;=$L261+$I261),DM261-$I261,IF(AND(YEAR($F261)&lt;YEAR(DZ$4),$E261&lt;0,$F261&gt;0,$K261&gt;0,DM261&lt;0,DM261&lt;=$L261),$L261,IF(AND(YEAR($F261)&lt;YEAR(DZ$4),$E261&lt;0,$F261&gt;0,$K261&gt;0,DM261&lt;0,DM261&gt;$L261),DM261,0))))))</f>
        <v>0</v>
      </c>
      <c r="DY261" s="44">
        <f t="shared" si="486"/>
        <v>0</v>
      </c>
      <c r="DZ261" s="44">
        <f t="shared" ref="DZ261:DZ319" si="534">IF(AND(YEAR(DZ$4)=YEAR($F261),$E261&gt;0,$F261&gt;0,$E261-DX261&gt;=0),$E261-DX261,IF(AND(YEAR(DZ$4)&gt;YEAR($F261),$E261&gt;0,$F261&gt;0,DM261-DX261&gt;=0),DM261-DX261,IF(AND(YEAR(DZ$4)=YEAR($F261),$E261&lt;0,$F261&gt;0,$E261-DX261&lt;0),$E261-DX261,IF(AND(YEAR(DZ$4)&gt;YEAR($F261),$E261&lt;0,$F261&gt;0,DM261-DX261&lt;=0),DM261-DX261,0))))</f>
        <v>0</v>
      </c>
      <c r="EA261" s="44">
        <f t="shared" si="487"/>
        <v>0</v>
      </c>
      <c r="EB261" s="44">
        <f t="shared" ref="EB261:EB319" si="535">DO261+DX261</f>
        <v>0</v>
      </c>
      <c r="EC261" s="46">
        <f t="shared" ref="EC261:EC319" si="536">IF(AND(DR261&lt;&gt;0,$J261="H",$L261=0),DT261,IF(AND(YEAR(DZ$4)&gt;YEAR($F261),$J261="H",$F261&gt;0,$L261=0),$E261,0))</f>
        <v>0</v>
      </c>
      <c r="ED261" s="47">
        <f t="shared" ref="ED261:ED319" si="537">IF(AND(YEAR(DZ$4)&gt;=YEAR($F261),$E261&gt;0,$F261&gt;0,DX261&gt;0,$J261="H"),ROUND(DX261/$L261*$E261,2),IF(AND(YEAR(DZ$4)&gt;=YEAR($F261),$E261&lt;0,$F261&gt;0,DX261&lt;0,$J261="H"),ROUND(DX261/$L261*$E261,2),0))</f>
        <v>0</v>
      </c>
    </row>
    <row r="262" spans="1:134" x14ac:dyDescent="0.35">
      <c r="A262" s="172"/>
      <c r="B262" s="173"/>
      <c r="C262" s="174"/>
      <c r="D262" s="175"/>
      <c r="E262" s="176"/>
      <c r="F262" s="177"/>
      <c r="G262" s="178"/>
      <c r="H262" s="179"/>
      <c r="I262" s="180"/>
      <c r="J262" s="181"/>
      <c r="K262" s="42">
        <f t="shared" si="488"/>
        <v>0</v>
      </c>
      <c r="L262" s="43">
        <f t="shared" si="489"/>
        <v>0</v>
      </c>
      <c r="M262" s="44">
        <f t="shared" si="490"/>
        <v>0</v>
      </c>
      <c r="N262" s="44"/>
      <c r="O262" s="44">
        <f t="shared" si="491"/>
        <v>0</v>
      </c>
      <c r="P262" s="45"/>
      <c r="Q262" s="44">
        <f t="shared" si="492"/>
        <v>0</v>
      </c>
      <c r="R262" s="604">
        <f t="shared" si="416"/>
        <v>0</v>
      </c>
      <c r="S262" s="44">
        <f t="shared" si="417"/>
        <v>0</v>
      </c>
      <c r="T262" s="44">
        <f t="shared" si="418"/>
        <v>0</v>
      </c>
      <c r="U262" s="44">
        <f t="shared" si="419"/>
        <v>0</v>
      </c>
      <c r="V262" s="44">
        <f t="shared" si="420"/>
        <v>0</v>
      </c>
      <c r="W262" s="44">
        <f t="shared" si="421"/>
        <v>0</v>
      </c>
      <c r="X262" s="44">
        <f t="shared" si="493"/>
        <v>0</v>
      </c>
      <c r="Y262" s="44">
        <f t="shared" si="422"/>
        <v>0</v>
      </c>
      <c r="Z262" s="44">
        <f t="shared" si="494"/>
        <v>0</v>
      </c>
      <c r="AA262" s="44">
        <f t="shared" si="423"/>
        <v>0</v>
      </c>
      <c r="AB262" s="44">
        <f t="shared" si="495"/>
        <v>0</v>
      </c>
      <c r="AC262" s="46">
        <f t="shared" si="496"/>
        <v>0</v>
      </c>
      <c r="AD262" s="47">
        <f t="shared" si="497"/>
        <v>0</v>
      </c>
      <c r="AE262" s="604">
        <f t="shared" si="424"/>
        <v>0</v>
      </c>
      <c r="AF262" s="44">
        <f t="shared" si="425"/>
        <v>0</v>
      </c>
      <c r="AG262" s="44">
        <f t="shared" si="426"/>
        <v>0</v>
      </c>
      <c r="AH262" s="44">
        <f t="shared" si="427"/>
        <v>0</v>
      </c>
      <c r="AI262" s="44">
        <f t="shared" si="428"/>
        <v>0</v>
      </c>
      <c r="AJ262" s="44">
        <f t="shared" si="429"/>
        <v>0</v>
      </c>
      <c r="AK262" s="44">
        <f t="shared" si="498"/>
        <v>0</v>
      </c>
      <c r="AL262" s="44">
        <f t="shared" si="430"/>
        <v>0</v>
      </c>
      <c r="AM262" s="44">
        <f t="shared" si="499"/>
        <v>0</v>
      </c>
      <c r="AN262" s="44">
        <f t="shared" si="431"/>
        <v>0</v>
      </c>
      <c r="AO262" s="44">
        <f t="shared" si="500"/>
        <v>0</v>
      </c>
      <c r="AP262" s="46">
        <f t="shared" si="501"/>
        <v>0</v>
      </c>
      <c r="AQ262" s="47">
        <f t="shared" si="502"/>
        <v>0</v>
      </c>
      <c r="AR262" s="604">
        <f t="shared" si="432"/>
        <v>0</v>
      </c>
      <c r="AS262" s="44">
        <f t="shared" si="433"/>
        <v>0</v>
      </c>
      <c r="AT262" s="44">
        <f t="shared" si="434"/>
        <v>0</v>
      </c>
      <c r="AU262" s="44">
        <f t="shared" si="435"/>
        <v>0</v>
      </c>
      <c r="AV262" s="44">
        <f t="shared" si="436"/>
        <v>0</v>
      </c>
      <c r="AW262" s="44">
        <f t="shared" si="437"/>
        <v>0</v>
      </c>
      <c r="AX262" s="44">
        <f t="shared" si="503"/>
        <v>0</v>
      </c>
      <c r="AY262" s="44">
        <f t="shared" si="438"/>
        <v>0</v>
      </c>
      <c r="AZ262" s="44">
        <f t="shared" si="504"/>
        <v>0</v>
      </c>
      <c r="BA262" s="44">
        <f t="shared" si="439"/>
        <v>0</v>
      </c>
      <c r="BB262" s="44">
        <f t="shared" si="505"/>
        <v>0</v>
      </c>
      <c r="BC262" s="46">
        <f t="shared" si="506"/>
        <v>0</v>
      </c>
      <c r="BD262" s="47">
        <f t="shared" si="507"/>
        <v>0</v>
      </c>
      <c r="BE262" s="604">
        <f t="shared" si="440"/>
        <v>0</v>
      </c>
      <c r="BF262" s="44">
        <f t="shared" si="441"/>
        <v>0</v>
      </c>
      <c r="BG262" s="44">
        <f t="shared" si="442"/>
        <v>0</v>
      </c>
      <c r="BH262" s="44">
        <f t="shared" si="443"/>
        <v>0</v>
      </c>
      <c r="BI262" s="44">
        <f t="shared" si="444"/>
        <v>0</v>
      </c>
      <c r="BJ262" s="44">
        <f t="shared" si="445"/>
        <v>0</v>
      </c>
      <c r="BK262" s="44">
        <f t="shared" si="508"/>
        <v>0</v>
      </c>
      <c r="BL262" s="44">
        <f t="shared" si="446"/>
        <v>0</v>
      </c>
      <c r="BM262" s="44">
        <f t="shared" si="509"/>
        <v>0</v>
      </c>
      <c r="BN262" s="44">
        <f t="shared" si="447"/>
        <v>0</v>
      </c>
      <c r="BO262" s="44">
        <f t="shared" si="510"/>
        <v>0</v>
      </c>
      <c r="BP262" s="46">
        <f t="shared" si="511"/>
        <v>0</v>
      </c>
      <c r="BQ262" s="47">
        <f t="shared" si="512"/>
        <v>0</v>
      </c>
      <c r="BR262" s="604">
        <f t="shared" si="448"/>
        <v>0</v>
      </c>
      <c r="BS262" s="44">
        <f t="shared" si="449"/>
        <v>0</v>
      </c>
      <c r="BT262" s="44">
        <f t="shared" si="450"/>
        <v>0</v>
      </c>
      <c r="BU262" s="44">
        <f t="shared" si="451"/>
        <v>0</v>
      </c>
      <c r="BV262" s="44">
        <f t="shared" si="452"/>
        <v>0</v>
      </c>
      <c r="BW262" s="44">
        <f t="shared" si="453"/>
        <v>0</v>
      </c>
      <c r="BX262" s="44">
        <f t="shared" si="513"/>
        <v>0</v>
      </c>
      <c r="BY262" s="44">
        <f t="shared" si="454"/>
        <v>0</v>
      </c>
      <c r="BZ262" s="44">
        <f t="shared" si="514"/>
        <v>0</v>
      </c>
      <c r="CA262" s="44">
        <f t="shared" si="455"/>
        <v>0</v>
      </c>
      <c r="CB262" s="44">
        <f t="shared" si="515"/>
        <v>0</v>
      </c>
      <c r="CC262" s="46">
        <f t="shared" si="516"/>
        <v>0</v>
      </c>
      <c r="CD262" s="47">
        <f t="shared" si="517"/>
        <v>0</v>
      </c>
      <c r="CE262" s="604">
        <f t="shared" si="456"/>
        <v>0</v>
      </c>
      <c r="CF262" s="44">
        <f t="shared" si="457"/>
        <v>0</v>
      </c>
      <c r="CG262" s="44">
        <f t="shared" si="458"/>
        <v>0</v>
      </c>
      <c r="CH262" s="44">
        <f t="shared" si="459"/>
        <v>0</v>
      </c>
      <c r="CI262" s="44">
        <f t="shared" si="460"/>
        <v>0</v>
      </c>
      <c r="CJ262" s="44">
        <f t="shared" si="461"/>
        <v>0</v>
      </c>
      <c r="CK262" s="44">
        <f t="shared" si="518"/>
        <v>0</v>
      </c>
      <c r="CL262" s="44">
        <f t="shared" si="462"/>
        <v>0</v>
      </c>
      <c r="CM262" s="44">
        <f t="shared" si="519"/>
        <v>0</v>
      </c>
      <c r="CN262" s="44">
        <f t="shared" si="463"/>
        <v>0</v>
      </c>
      <c r="CO262" s="44">
        <f t="shared" si="520"/>
        <v>0</v>
      </c>
      <c r="CP262" s="46">
        <f t="shared" si="521"/>
        <v>0</v>
      </c>
      <c r="CQ262" s="47">
        <f t="shared" si="522"/>
        <v>0</v>
      </c>
      <c r="CR262" s="604">
        <f t="shared" si="464"/>
        <v>0</v>
      </c>
      <c r="CS262" s="44">
        <f t="shared" si="465"/>
        <v>0</v>
      </c>
      <c r="CT262" s="44">
        <f t="shared" si="466"/>
        <v>0</v>
      </c>
      <c r="CU262" s="44">
        <f t="shared" si="467"/>
        <v>0</v>
      </c>
      <c r="CV262" s="44">
        <f t="shared" si="468"/>
        <v>0</v>
      </c>
      <c r="CW262" s="44">
        <f t="shared" si="469"/>
        <v>0</v>
      </c>
      <c r="CX262" s="44">
        <f t="shared" si="523"/>
        <v>0</v>
      </c>
      <c r="CY262" s="44">
        <f t="shared" si="470"/>
        <v>0</v>
      </c>
      <c r="CZ262" s="44">
        <f t="shared" si="524"/>
        <v>0</v>
      </c>
      <c r="DA262" s="44">
        <f t="shared" si="471"/>
        <v>0</v>
      </c>
      <c r="DB262" s="44">
        <f t="shared" si="525"/>
        <v>0</v>
      </c>
      <c r="DC262" s="46">
        <f t="shared" si="526"/>
        <v>0</v>
      </c>
      <c r="DD262" s="47">
        <f t="shared" si="527"/>
        <v>0</v>
      </c>
      <c r="DE262" s="604">
        <f t="shared" si="472"/>
        <v>0</v>
      </c>
      <c r="DF262" s="44">
        <f t="shared" si="473"/>
        <v>0</v>
      </c>
      <c r="DG262" s="44">
        <f t="shared" si="474"/>
        <v>0</v>
      </c>
      <c r="DH262" s="44">
        <f t="shared" si="475"/>
        <v>0</v>
      </c>
      <c r="DI262" s="44">
        <f t="shared" si="476"/>
        <v>0</v>
      </c>
      <c r="DJ262" s="44">
        <f t="shared" si="477"/>
        <v>0</v>
      </c>
      <c r="DK262" s="44">
        <f t="shared" si="528"/>
        <v>0</v>
      </c>
      <c r="DL262" s="44">
        <f t="shared" si="478"/>
        <v>0</v>
      </c>
      <c r="DM262" s="44">
        <f t="shared" si="529"/>
        <v>0</v>
      </c>
      <c r="DN262" s="44">
        <f t="shared" si="479"/>
        <v>0</v>
      </c>
      <c r="DO262" s="44">
        <f t="shared" si="530"/>
        <v>0</v>
      </c>
      <c r="DP262" s="46">
        <f t="shared" si="531"/>
        <v>0</v>
      </c>
      <c r="DQ262" s="47">
        <f t="shared" si="532"/>
        <v>0</v>
      </c>
      <c r="DR262" s="604">
        <f t="shared" si="480"/>
        <v>0</v>
      </c>
      <c r="DS262" s="44">
        <f t="shared" si="481"/>
        <v>0</v>
      </c>
      <c r="DT262" s="44">
        <f t="shared" si="482"/>
        <v>0</v>
      </c>
      <c r="DU262" s="44">
        <f t="shared" si="483"/>
        <v>0</v>
      </c>
      <c r="DV262" s="44">
        <f t="shared" si="484"/>
        <v>0</v>
      </c>
      <c r="DW262" s="44">
        <f t="shared" si="485"/>
        <v>0</v>
      </c>
      <c r="DX262" s="44">
        <f t="shared" si="533"/>
        <v>0</v>
      </c>
      <c r="DY262" s="44">
        <f t="shared" si="486"/>
        <v>0</v>
      </c>
      <c r="DZ262" s="44">
        <f t="shared" si="534"/>
        <v>0</v>
      </c>
      <c r="EA262" s="44">
        <f t="shared" si="487"/>
        <v>0</v>
      </c>
      <c r="EB262" s="44">
        <f t="shared" si="535"/>
        <v>0</v>
      </c>
      <c r="EC262" s="46">
        <f t="shared" si="536"/>
        <v>0</v>
      </c>
      <c r="ED262" s="47">
        <f t="shared" si="537"/>
        <v>0</v>
      </c>
    </row>
    <row r="263" spans="1:134" x14ac:dyDescent="0.35">
      <c r="A263" s="172"/>
      <c r="B263" s="173"/>
      <c r="C263" s="174"/>
      <c r="D263" s="175"/>
      <c r="E263" s="176"/>
      <c r="F263" s="177"/>
      <c r="G263" s="178"/>
      <c r="H263" s="179"/>
      <c r="I263" s="180"/>
      <c r="J263" s="181"/>
      <c r="K263" s="42">
        <f t="shared" si="488"/>
        <v>0</v>
      </c>
      <c r="L263" s="43">
        <f t="shared" si="489"/>
        <v>0</v>
      </c>
      <c r="M263" s="44">
        <f t="shared" si="490"/>
        <v>0</v>
      </c>
      <c r="N263" s="44"/>
      <c r="O263" s="44">
        <f t="shared" si="491"/>
        <v>0</v>
      </c>
      <c r="P263" s="45"/>
      <c r="Q263" s="44">
        <f t="shared" si="492"/>
        <v>0</v>
      </c>
      <c r="R263" s="604">
        <f t="shared" ref="R263:R319" si="538">IF(YEAR($F263)=R$4,$E263,0)</f>
        <v>0</v>
      </c>
      <c r="S263" s="44">
        <f t="shared" ref="S263:S319" si="539">IF($J263&lt;&gt;"H",R263,0)</f>
        <v>0</v>
      </c>
      <c r="T263" s="44">
        <f t="shared" ref="T263:T319" si="540">IF(R263&lt;&gt;0,ROUND(R263*YEARFRAC($F263,Z$4,0),2),0)</f>
        <v>0</v>
      </c>
      <c r="U263" s="44">
        <f t="shared" ref="U263:U319" si="541">IF($J263&lt;&gt;"H",T263,0)</f>
        <v>0</v>
      </c>
      <c r="V263" s="44">
        <f t="shared" ref="V263:V319" si="542">IF(AND($F263&gt;0,$F263&lt;=Z$4),$E263,0)</f>
        <v>0</v>
      </c>
      <c r="W263" s="44">
        <f t="shared" ref="W263:W319" si="543">IF(X263&lt;&gt;0,ROUND(X263/$L263*V263,2),0)</f>
        <v>0</v>
      </c>
      <c r="X263" s="44">
        <f t="shared" si="493"/>
        <v>0</v>
      </c>
      <c r="Y263" s="44">
        <f t="shared" ref="Y263:Y319" si="544">IF($J263&lt;&gt;"H",X263,0)</f>
        <v>0</v>
      </c>
      <c r="Z263" s="44">
        <f t="shared" si="494"/>
        <v>0</v>
      </c>
      <c r="AA263" s="44">
        <f t="shared" ref="AA263:AA319" si="545">IF($J263&lt;&gt;"H",Z263,0)</f>
        <v>0</v>
      </c>
      <c r="AB263" s="44">
        <f t="shared" si="495"/>
        <v>0</v>
      </c>
      <c r="AC263" s="46">
        <f t="shared" si="496"/>
        <v>0</v>
      </c>
      <c r="AD263" s="47">
        <f t="shared" si="497"/>
        <v>0</v>
      </c>
      <c r="AE263" s="604">
        <f t="shared" ref="AE263:AE319" si="546">IF(YEAR($F263)=AE$4,$E263,0)</f>
        <v>0</v>
      </c>
      <c r="AF263" s="44">
        <f t="shared" ref="AF263:AF319" si="547">IF($J263&lt;&gt;"H",AE263,0)</f>
        <v>0</v>
      </c>
      <c r="AG263" s="44">
        <f t="shared" ref="AG263:AG319" si="548">IF(AE263&lt;&gt;0,ROUND(AE263*YEARFRAC($F263,AM$4,0),2),0)</f>
        <v>0</v>
      </c>
      <c r="AH263" s="44">
        <f t="shared" ref="AH263:AH319" si="549">IF($J263&lt;&gt;"H",AG263,0)</f>
        <v>0</v>
      </c>
      <c r="AI263" s="44">
        <f t="shared" ref="AI263:AI319" si="550">IF(AND($F263&gt;0,$F263&lt;=AM$4),$E263,0)</f>
        <v>0</v>
      </c>
      <c r="AJ263" s="44">
        <f t="shared" ref="AJ263:AJ319" si="551">IF(AK263&lt;&gt;0,ROUND(AK263/$L263*AI263,2),0)</f>
        <v>0</v>
      </c>
      <c r="AK263" s="44">
        <f t="shared" si="498"/>
        <v>0</v>
      </c>
      <c r="AL263" s="44">
        <f t="shared" ref="AL263:AL319" si="552">IF($J263&lt;&gt;"H",AK263,0)</f>
        <v>0</v>
      </c>
      <c r="AM263" s="44">
        <f t="shared" si="499"/>
        <v>0</v>
      </c>
      <c r="AN263" s="44">
        <f t="shared" ref="AN263:AN319" si="553">IF($J263&lt;&gt;"H",AM263,0)</f>
        <v>0</v>
      </c>
      <c r="AO263" s="44">
        <f t="shared" si="500"/>
        <v>0</v>
      </c>
      <c r="AP263" s="46">
        <f t="shared" si="501"/>
        <v>0</v>
      </c>
      <c r="AQ263" s="47">
        <f t="shared" si="502"/>
        <v>0</v>
      </c>
      <c r="AR263" s="604">
        <f t="shared" ref="AR263:AR319" si="554">IF(YEAR($F263)=AR$4,$E263,0)</f>
        <v>0</v>
      </c>
      <c r="AS263" s="44">
        <f t="shared" ref="AS263:AS319" si="555">IF($J263&lt;&gt;"H",AR263,0)</f>
        <v>0</v>
      </c>
      <c r="AT263" s="44">
        <f t="shared" ref="AT263:AT319" si="556">IF(AR263&lt;&gt;0,ROUND(AR263*YEARFRAC($F263,AZ$4,0),2),0)</f>
        <v>0</v>
      </c>
      <c r="AU263" s="44">
        <f t="shared" ref="AU263:AU319" si="557">IF($J263&lt;&gt;"H",AT263,0)</f>
        <v>0</v>
      </c>
      <c r="AV263" s="44">
        <f t="shared" ref="AV263:AV319" si="558">IF(AND($F263&gt;0,$F263&lt;=AZ$4),$E263,0)</f>
        <v>0</v>
      </c>
      <c r="AW263" s="44">
        <f t="shared" ref="AW263:AW319" si="559">IF(AX263&lt;&gt;0,ROUND(AX263/$L263*AV263,2),0)</f>
        <v>0</v>
      </c>
      <c r="AX263" s="44">
        <f t="shared" si="503"/>
        <v>0</v>
      </c>
      <c r="AY263" s="44">
        <f t="shared" ref="AY263:AY319" si="560">IF($J263&lt;&gt;"H",AX263,0)</f>
        <v>0</v>
      </c>
      <c r="AZ263" s="44">
        <f t="shared" si="504"/>
        <v>0</v>
      </c>
      <c r="BA263" s="44">
        <f t="shared" ref="BA263:BA319" si="561">IF($J263&lt;&gt;"H",AZ263,0)</f>
        <v>0</v>
      </c>
      <c r="BB263" s="44">
        <f t="shared" si="505"/>
        <v>0</v>
      </c>
      <c r="BC263" s="46">
        <f t="shared" si="506"/>
        <v>0</v>
      </c>
      <c r="BD263" s="47">
        <f t="shared" si="507"/>
        <v>0</v>
      </c>
      <c r="BE263" s="604">
        <f t="shared" ref="BE263:BE319" si="562">IF(YEAR($F263)=BE$4,$E263,0)</f>
        <v>0</v>
      </c>
      <c r="BF263" s="44">
        <f t="shared" ref="BF263:BF319" si="563">IF($J263&lt;&gt;"H",BE263,0)</f>
        <v>0</v>
      </c>
      <c r="BG263" s="44">
        <f t="shared" ref="BG263:BG319" si="564">IF(BE263&lt;&gt;0,ROUND(BE263*YEARFRAC($F263,BM$4,0),2),0)</f>
        <v>0</v>
      </c>
      <c r="BH263" s="44">
        <f t="shared" ref="BH263:BH319" si="565">IF($J263&lt;&gt;"H",BG263,0)</f>
        <v>0</v>
      </c>
      <c r="BI263" s="44">
        <f t="shared" ref="BI263:BI319" si="566">IF(AND($F263&gt;0,$F263&lt;=BM$4),$E263,0)</f>
        <v>0</v>
      </c>
      <c r="BJ263" s="44">
        <f t="shared" ref="BJ263:BJ319" si="567">IF(BK263&lt;&gt;0,ROUND(BK263/$L263*BI263,2),0)</f>
        <v>0</v>
      </c>
      <c r="BK263" s="44">
        <f t="shared" si="508"/>
        <v>0</v>
      </c>
      <c r="BL263" s="44">
        <f t="shared" ref="BL263:BL319" si="568">IF($J263&lt;&gt;"H",BK263,0)</f>
        <v>0</v>
      </c>
      <c r="BM263" s="44">
        <f t="shared" si="509"/>
        <v>0</v>
      </c>
      <c r="BN263" s="44">
        <f t="shared" ref="BN263:BN319" si="569">IF($J263&lt;&gt;"H",BM263,0)</f>
        <v>0</v>
      </c>
      <c r="BO263" s="44">
        <f t="shared" si="510"/>
        <v>0</v>
      </c>
      <c r="BP263" s="46">
        <f t="shared" si="511"/>
        <v>0</v>
      </c>
      <c r="BQ263" s="47">
        <f t="shared" si="512"/>
        <v>0</v>
      </c>
      <c r="BR263" s="604">
        <f t="shared" ref="BR263:BR319" si="570">IF(YEAR($F263)=BR$4,$E263,0)</f>
        <v>0</v>
      </c>
      <c r="BS263" s="44">
        <f t="shared" ref="BS263:BS319" si="571">IF($J263&lt;&gt;"H",BR263,0)</f>
        <v>0</v>
      </c>
      <c r="BT263" s="44">
        <f t="shared" ref="BT263:BT319" si="572">IF(BR263&lt;&gt;0,ROUND(BR263*YEARFRAC($F263,BZ$4,0),2),0)</f>
        <v>0</v>
      </c>
      <c r="BU263" s="44">
        <f t="shared" ref="BU263:BU319" si="573">IF($J263&lt;&gt;"H",BT263,0)</f>
        <v>0</v>
      </c>
      <c r="BV263" s="44">
        <f t="shared" ref="BV263:BV319" si="574">IF(AND($F263&gt;0,$F263&lt;=BZ$4),$E263,0)</f>
        <v>0</v>
      </c>
      <c r="BW263" s="44">
        <f t="shared" ref="BW263:BW319" si="575">IF(BX263&lt;&gt;0,ROUND(BX263/$L263*BV263,2),0)</f>
        <v>0</v>
      </c>
      <c r="BX263" s="44">
        <f t="shared" si="513"/>
        <v>0</v>
      </c>
      <c r="BY263" s="44">
        <f t="shared" ref="BY263:BY319" si="576">IF($J263&lt;&gt;"H",BX263,0)</f>
        <v>0</v>
      </c>
      <c r="BZ263" s="44">
        <f t="shared" si="514"/>
        <v>0</v>
      </c>
      <c r="CA263" s="44">
        <f t="shared" ref="CA263:CA319" si="577">IF($J263&lt;&gt;"H",BZ263,0)</f>
        <v>0</v>
      </c>
      <c r="CB263" s="44">
        <f t="shared" si="515"/>
        <v>0</v>
      </c>
      <c r="CC263" s="46">
        <f t="shared" si="516"/>
        <v>0</v>
      </c>
      <c r="CD263" s="47">
        <f t="shared" si="517"/>
        <v>0</v>
      </c>
      <c r="CE263" s="604">
        <f t="shared" ref="CE263:CE319" si="578">IF(YEAR($F263)=CE$4,$E263,0)</f>
        <v>0</v>
      </c>
      <c r="CF263" s="44">
        <f t="shared" ref="CF263:CF319" si="579">IF($J263&lt;&gt;"H",CE263,0)</f>
        <v>0</v>
      </c>
      <c r="CG263" s="44">
        <f t="shared" ref="CG263:CG319" si="580">IF(CE263&lt;&gt;0,ROUND(CE263*YEARFRAC($F263,CM$4,0),2),0)</f>
        <v>0</v>
      </c>
      <c r="CH263" s="44">
        <f t="shared" ref="CH263:CH319" si="581">IF($J263&lt;&gt;"H",CG263,0)</f>
        <v>0</v>
      </c>
      <c r="CI263" s="44">
        <f t="shared" ref="CI263:CI319" si="582">IF(AND($F263&gt;0,$F263&lt;=CM$4),$E263,0)</f>
        <v>0</v>
      </c>
      <c r="CJ263" s="44">
        <f t="shared" ref="CJ263:CJ319" si="583">IF(CK263&lt;&gt;0,ROUND(CK263/$L263*CI263,2),0)</f>
        <v>0</v>
      </c>
      <c r="CK263" s="44">
        <f t="shared" si="518"/>
        <v>0</v>
      </c>
      <c r="CL263" s="44">
        <f t="shared" ref="CL263:CL319" si="584">IF($J263&lt;&gt;"H",CK263,0)</f>
        <v>0</v>
      </c>
      <c r="CM263" s="44">
        <f t="shared" si="519"/>
        <v>0</v>
      </c>
      <c r="CN263" s="44">
        <f t="shared" ref="CN263:CN319" si="585">IF($J263&lt;&gt;"H",CM263,0)</f>
        <v>0</v>
      </c>
      <c r="CO263" s="44">
        <f t="shared" si="520"/>
        <v>0</v>
      </c>
      <c r="CP263" s="46">
        <f t="shared" si="521"/>
        <v>0</v>
      </c>
      <c r="CQ263" s="47">
        <f t="shared" si="522"/>
        <v>0</v>
      </c>
      <c r="CR263" s="604">
        <f t="shared" ref="CR263:CR319" si="586">IF(YEAR($F263)=CR$4,$E263,0)</f>
        <v>0</v>
      </c>
      <c r="CS263" s="44">
        <f t="shared" ref="CS263:CS319" si="587">IF($J263&lt;&gt;"H",CR263,0)</f>
        <v>0</v>
      </c>
      <c r="CT263" s="44">
        <f t="shared" ref="CT263:CT319" si="588">IF(CR263&lt;&gt;0,ROUND(CR263*YEARFRAC($F263,CZ$4,0),2),0)</f>
        <v>0</v>
      </c>
      <c r="CU263" s="44">
        <f t="shared" ref="CU263:CU319" si="589">IF($J263&lt;&gt;"H",CT263,0)</f>
        <v>0</v>
      </c>
      <c r="CV263" s="44">
        <f t="shared" ref="CV263:CV319" si="590">IF(AND($F263&gt;0,$F263&lt;=CZ$4),$E263,0)</f>
        <v>0</v>
      </c>
      <c r="CW263" s="44">
        <f t="shared" ref="CW263:CW319" si="591">IF(CX263&lt;&gt;0,ROUND(CX263/$L263*CV263,2),0)</f>
        <v>0</v>
      </c>
      <c r="CX263" s="44">
        <f t="shared" si="523"/>
        <v>0</v>
      </c>
      <c r="CY263" s="44">
        <f t="shared" ref="CY263:CY319" si="592">IF($J263&lt;&gt;"H",CX263,0)</f>
        <v>0</v>
      </c>
      <c r="CZ263" s="44">
        <f t="shared" si="524"/>
        <v>0</v>
      </c>
      <c r="DA263" s="44">
        <f t="shared" ref="DA263:DA319" si="593">IF($J263&lt;&gt;"H",CZ263,0)</f>
        <v>0</v>
      </c>
      <c r="DB263" s="44">
        <f t="shared" si="525"/>
        <v>0</v>
      </c>
      <c r="DC263" s="46">
        <f t="shared" si="526"/>
        <v>0</v>
      </c>
      <c r="DD263" s="47">
        <f t="shared" si="527"/>
        <v>0</v>
      </c>
      <c r="DE263" s="604">
        <f t="shared" ref="DE263:DE319" si="594">IF(YEAR($F263)=DE$4,$E263,0)</f>
        <v>0</v>
      </c>
      <c r="DF263" s="44">
        <f t="shared" ref="DF263:DF319" si="595">IF($J263&lt;&gt;"H",DE263,0)</f>
        <v>0</v>
      </c>
      <c r="DG263" s="44">
        <f t="shared" ref="DG263:DG319" si="596">IF(DE263&lt;&gt;0,ROUND(DE263*YEARFRAC($F263,DM$4,0),2),0)</f>
        <v>0</v>
      </c>
      <c r="DH263" s="44">
        <f t="shared" ref="DH263:DH319" si="597">IF($J263&lt;&gt;"H",DG263,0)</f>
        <v>0</v>
      </c>
      <c r="DI263" s="44">
        <f t="shared" ref="DI263:DI319" si="598">IF(AND($F263&gt;0,$F263&lt;=DM$4),$E263,0)</f>
        <v>0</v>
      </c>
      <c r="DJ263" s="44">
        <f t="shared" ref="DJ263:DJ319" si="599">IF(DK263&lt;&gt;0,ROUND(DK263/$L263*DI263,2),0)</f>
        <v>0</v>
      </c>
      <c r="DK263" s="44">
        <f t="shared" si="528"/>
        <v>0</v>
      </c>
      <c r="DL263" s="44">
        <f t="shared" ref="DL263:DL319" si="600">IF($J263&lt;&gt;"H",DK263,0)</f>
        <v>0</v>
      </c>
      <c r="DM263" s="44">
        <f t="shared" si="529"/>
        <v>0</v>
      </c>
      <c r="DN263" s="44">
        <f t="shared" ref="DN263:DN319" si="601">IF($J263&lt;&gt;"H",DM263,0)</f>
        <v>0</v>
      </c>
      <c r="DO263" s="44">
        <f t="shared" si="530"/>
        <v>0</v>
      </c>
      <c r="DP263" s="46">
        <f t="shared" si="531"/>
        <v>0</v>
      </c>
      <c r="DQ263" s="47">
        <f t="shared" si="532"/>
        <v>0</v>
      </c>
      <c r="DR263" s="604">
        <f t="shared" ref="DR263:DR319" si="602">IF(YEAR($F263)=DR$4,$E263,0)</f>
        <v>0</v>
      </c>
      <c r="DS263" s="44">
        <f t="shared" ref="DS263:DS319" si="603">IF($J263&lt;&gt;"H",DR263,0)</f>
        <v>0</v>
      </c>
      <c r="DT263" s="44">
        <f t="shared" ref="DT263:DT319" si="604">IF(DR263&lt;&gt;0,ROUND(DR263*YEARFRAC($F263,DZ$4,0),2),0)</f>
        <v>0</v>
      </c>
      <c r="DU263" s="44">
        <f t="shared" ref="DU263:DU319" si="605">IF($J263&lt;&gt;"H",DT263,0)</f>
        <v>0</v>
      </c>
      <c r="DV263" s="44">
        <f t="shared" ref="DV263:DV319" si="606">IF(AND($F263&gt;0,$F263&lt;=DZ$4),$E263,0)</f>
        <v>0</v>
      </c>
      <c r="DW263" s="44">
        <f t="shared" ref="DW263:DW319" si="607">IF(DX263&lt;&gt;0,ROUND(DX263/$L263*DV263,2),0)</f>
        <v>0</v>
      </c>
      <c r="DX263" s="44">
        <f t="shared" si="533"/>
        <v>0</v>
      </c>
      <c r="DY263" s="44">
        <f t="shared" ref="DY263:DY319" si="608">IF($J263&lt;&gt;"H",DX263,0)</f>
        <v>0</v>
      </c>
      <c r="DZ263" s="44">
        <f t="shared" si="534"/>
        <v>0</v>
      </c>
      <c r="EA263" s="44">
        <f t="shared" ref="EA263:EA319" si="609">IF($J263&lt;&gt;"H",DZ263,0)</f>
        <v>0</v>
      </c>
      <c r="EB263" s="44">
        <f t="shared" si="535"/>
        <v>0</v>
      </c>
      <c r="EC263" s="46">
        <f t="shared" si="536"/>
        <v>0</v>
      </c>
      <c r="ED263" s="47">
        <f t="shared" si="537"/>
        <v>0</v>
      </c>
    </row>
    <row r="264" spans="1:134" x14ac:dyDescent="0.35">
      <c r="A264" s="172"/>
      <c r="B264" s="173"/>
      <c r="C264" s="174"/>
      <c r="D264" s="175"/>
      <c r="E264" s="176"/>
      <c r="F264" s="177"/>
      <c r="G264" s="178"/>
      <c r="H264" s="179"/>
      <c r="I264" s="180"/>
      <c r="J264" s="181"/>
      <c r="K264" s="42">
        <f t="shared" si="488"/>
        <v>0</v>
      </c>
      <c r="L264" s="43">
        <f t="shared" si="489"/>
        <v>0</v>
      </c>
      <c r="M264" s="44">
        <f t="shared" si="490"/>
        <v>0</v>
      </c>
      <c r="N264" s="44"/>
      <c r="O264" s="44">
        <f t="shared" si="491"/>
        <v>0</v>
      </c>
      <c r="P264" s="45"/>
      <c r="Q264" s="44">
        <f t="shared" si="492"/>
        <v>0</v>
      </c>
      <c r="R264" s="604">
        <f t="shared" si="538"/>
        <v>0</v>
      </c>
      <c r="S264" s="44">
        <f t="shared" si="539"/>
        <v>0</v>
      </c>
      <c r="T264" s="44">
        <f t="shared" si="540"/>
        <v>0</v>
      </c>
      <c r="U264" s="44">
        <f t="shared" si="541"/>
        <v>0</v>
      </c>
      <c r="V264" s="44">
        <f t="shared" si="542"/>
        <v>0</v>
      </c>
      <c r="W264" s="44">
        <f t="shared" si="543"/>
        <v>0</v>
      </c>
      <c r="X264" s="44">
        <f t="shared" si="493"/>
        <v>0</v>
      </c>
      <c r="Y264" s="44">
        <f t="shared" si="544"/>
        <v>0</v>
      </c>
      <c r="Z264" s="44">
        <f t="shared" si="494"/>
        <v>0</v>
      </c>
      <c r="AA264" s="44">
        <f t="shared" si="545"/>
        <v>0</v>
      </c>
      <c r="AB264" s="44">
        <f t="shared" si="495"/>
        <v>0</v>
      </c>
      <c r="AC264" s="46">
        <f t="shared" si="496"/>
        <v>0</v>
      </c>
      <c r="AD264" s="47">
        <f t="shared" si="497"/>
        <v>0</v>
      </c>
      <c r="AE264" s="604">
        <f t="shared" si="546"/>
        <v>0</v>
      </c>
      <c r="AF264" s="44">
        <f t="shared" si="547"/>
        <v>0</v>
      </c>
      <c r="AG264" s="44">
        <f t="shared" si="548"/>
        <v>0</v>
      </c>
      <c r="AH264" s="44">
        <f t="shared" si="549"/>
        <v>0</v>
      </c>
      <c r="AI264" s="44">
        <f t="shared" si="550"/>
        <v>0</v>
      </c>
      <c r="AJ264" s="44">
        <f t="shared" si="551"/>
        <v>0</v>
      </c>
      <c r="AK264" s="44">
        <f t="shared" si="498"/>
        <v>0</v>
      </c>
      <c r="AL264" s="44">
        <f t="shared" si="552"/>
        <v>0</v>
      </c>
      <c r="AM264" s="44">
        <f t="shared" si="499"/>
        <v>0</v>
      </c>
      <c r="AN264" s="44">
        <f t="shared" si="553"/>
        <v>0</v>
      </c>
      <c r="AO264" s="44">
        <f t="shared" si="500"/>
        <v>0</v>
      </c>
      <c r="AP264" s="46">
        <f t="shared" si="501"/>
        <v>0</v>
      </c>
      <c r="AQ264" s="47">
        <f t="shared" si="502"/>
        <v>0</v>
      </c>
      <c r="AR264" s="604">
        <f t="shared" si="554"/>
        <v>0</v>
      </c>
      <c r="AS264" s="44">
        <f t="shared" si="555"/>
        <v>0</v>
      </c>
      <c r="AT264" s="44">
        <f t="shared" si="556"/>
        <v>0</v>
      </c>
      <c r="AU264" s="44">
        <f t="shared" si="557"/>
        <v>0</v>
      </c>
      <c r="AV264" s="44">
        <f t="shared" si="558"/>
        <v>0</v>
      </c>
      <c r="AW264" s="44">
        <f t="shared" si="559"/>
        <v>0</v>
      </c>
      <c r="AX264" s="44">
        <f t="shared" si="503"/>
        <v>0</v>
      </c>
      <c r="AY264" s="44">
        <f t="shared" si="560"/>
        <v>0</v>
      </c>
      <c r="AZ264" s="44">
        <f t="shared" si="504"/>
        <v>0</v>
      </c>
      <c r="BA264" s="44">
        <f t="shared" si="561"/>
        <v>0</v>
      </c>
      <c r="BB264" s="44">
        <f t="shared" si="505"/>
        <v>0</v>
      </c>
      <c r="BC264" s="46">
        <f t="shared" si="506"/>
        <v>0</v>
      </c>
      <c r="BD264" s="47">
        <f t="shared" si="507"/>
        <v>0</v>
      </c>
      <c r="BE264" s="604">
        <f t="shared" si="562"/>
        <v>0</v>
      </c>
      <c r="BF264" s="44">
        <f t="shared" si="563"/>
        <v>0</v>
      </c>
      <c r="BG264" s="44">
        <f t="shared" si="564"/>
        <v>0</v>
      </c>
      <c r="BH264" s="44">
        <f t="shared" si="565"/>
        <v>0</v>
      </c>
      <c r="BI264" s="44">
        <f t="shared" si="566"/>
        <v>0</v>
      </c>
      <c r="BJ264" s="44">
        <f t="shared" si="567"/>
        <v>0</v>
      </c>
      <c r="BK264" s="44">
        <f t="shared" si="508"/>
        <v>0</v>
      </c>
      <c r="BL264" s="44">
        <f t="shared" si="568"/>
        <v>0</v>
      </c>
      <c r="BM264" s="44">
        <f t="shared" si="509"/>
        <v>0</v>
      </c>
      <c r="BN264" s="44">
        <f t="shared" si="569"/>
        <v>0</v>
      </c>
      <c r="BO264" s="44">
        <f t="shared" si="510"/>
        <v>0</v>
      </c>
      <c r="BP264" s="46">
        <f t="shared" si="511"/>
        <v>0</v>
      </c>
      <c r="BQ264" s="47">
        <f t="shared" si="512"/>
        <v>0</v>
      </c>
      <c r="BR264" s="604">
        <f t="shared" si="570"/>
        <v>0</v>
      </c>
      <c r="BS264" s="44">
        <f t="shared" si="571"/>
        <v>0</v>
      </c>
      <c r="BT264" s="44">
        <f t="shared" si="572"/>
        <v>0</v>
      </c>
      <c r="BU264" s="44">
        <f t="shared" si="573"/>
        <v>0</v>
      </c>
      <c r="BV264" s="44">
        <f t="shared" si="574"/>
        <v>0</v>
      </c>
      <c r="BW264" s="44">
        <f t="shared" si="575"/>
        <v>0</v>
      </c>
      <c r="BX264" s="44">
        <f t="shared" si="513"/>
        <v>0</v>
      </c>
      <c r="BY264" s="44">
        <f t="shared" si="576"/>
        <v>0</v>
      </c>
      <c r="BZ264" s="44">
        <f t="shared" si="514"/>
        <v>0</v>
      </c>
      <c r="CA264" s="44">
        <f t="shared" si="577"/>
        <v>0</v>
      </c>
      <c r="CB264" s="44">
        <f t="shared" si="515"/>
        <v>0</v>
      </c>
      <c r="CC264" s="46">
        <f t="shared" si="516"/>
        <v>0</v>
      </c>
      <c r="CD264" s="47">
        <f t="shared" si="517"/>
        <v>0</v>
      </c>
      <c r="CE264" s="604">
        <f t="shared" si="578"/>
        <v>0</v>
      </c>
      <c r="CF264" s="44">
        <f t="shared" si="579"/>
        <v>0</v>
      </c>
      <c r="CG264" s="44">
        <f t="shared" si="580"/>
        <v>0</v>
      </c>
      <c r="CH264" s="44">
        <f t="shared" si="581"/>
        <v>0</v>
      </c>
      <c r="CI264" s="44">
        <f t="shared" si="582"/>
        <v>0</v>
      </c>
      <c r="CJ264" s="44">
        <f t="shared" si="583"/>
        <v>0</v>
      </c>
      <c r="CK264" s="44">
        <f t="shared" si="518"/>
        <v>0</v>
      </c>
      <c r="CL264" s="44">
        <f t="shared" si="584"/>
        <v>0</v>
      </c>
      <c r="CM264" s="44">
        <f t="shared" si="519"/>
        <v>0</v>
      </c>
      <c r="CN264" s="44">
        <f t="shared" si="585"/>
        <v>0</v>
      </c>
      <c r="CO264" s="44">
        <f t="shared" si="520"/>
        <v>0</v>
      </c>
      <c r="CP264" s="46">
        <f t="shared" si="521"/>
        <v>0</v>
      </c>
      <c r="CQ264" s="47">
        <f t="shared" si="522"/>
        <v>0</v>
      </c>
      <c r="CR264" s="604">
        <f t="shared" si="586"/>
        <v>0</v>
      </c>
      <c r="CS264" s="44">
        <f t="shared" si="587"/>
        <v>0</v>
      </c>
      <c r="CT264" s="44">
        <f t="shared" si="588"/>
        <v>0</v>
      </c>
      <c r="CU264" s="44">
        <f t="shared" si="589"/>
        <v>0</v>
      </c>
      <c r="CV264" s="44">
        <f t="shared" si="590"/>
        <v>0</v>
      </c>
      <c r="CW264" s="44">
        <f t="shared" si="591"/>
        <v>0</v>
      </c>
      <c r="CX264" s="44">
        <f t="shared" si="523"/>
        <v>0</v>
      </c>
      <c r="CY264" s="44">
        <f t="shared" si="592"/>
        <v>0</v>
      </c>
      <c r="CZ264" s="44">
        <f t="shared" si="524"/>
        <v>0</v>
      </c>
      <c r="DA264" s="44">
        <f t="shared" si="593"/>
        <v>0</v>
      </c>
      <c r="DB264" s="44">
        <f t="shared" si="525"/>
        <v>0</v>
      </c>
      <c r="DC264" s="46">
        <f t="shared" si="526"/>
        <v>0</v>
      </c>
      <c r="DD264" s="47">
        <f t="shared" si="527"/>
        <v>0</v>
      </c>
      <c r="DE264" s="604">
        <f t="shared" si="594"/>
        <v>0</v>
      </c>
      <c r="DF264" s="44">
        <f t="shared" si="595"/>
        <v>0</v>
      </c>
      <c r="DG264" s="44">
        <f t="shared" si="596"/>
        <v>0</v>
      </c>
      <c r="DH264" s="44">
        <f t="shared" si="597"/>
        <v>0</v>
      </c>
      <c r="DI264" s="44">
        <f t="shared" si="598"/>
        <v>0</v>
      </c>
      <c r="DJ264" s="44">
        <f t="shared" si="599"/>
        <v>0</v>
      </c>
      <c r="DK264" s="44">
        <f t="shared" si="528"/>
        <v>0</v>
      </c>
      <c r="DL264" s="44">
        <f t="shared" si="600"/>
        <v>0</v>
      </c>
      <c r="DM264" s="44">
        <f t="shared" si="529"/>
        <v>0</v>
      </c>
      <c r="DN264" s="44">
        <f t="shared" si="601"/>
        <v>0</v>
      </c>
      <c r="DO264" s="44">
        <f t="shared" si="530"/>
        <v>0</v>
      </c>
      <c r="DP264" s="46">
        <f t="shared" si="531"/>
        <v>0</v>
      </c>
      <c r="DQ264" s="47">
        <f t="shared" si="532"/>
        <v>0</v>
      </c>
      <c r="DR264" s="604">
        <f t="shared" si="602"/>
        <v>0</v>
      </c>
      <c r="DS264" s="44">
        <f t="shared" si="603"/>
        <v>0</v>
      </c>
      <c r="DT264" s="44">
        <f t="shared" si="604"/>
        <v>0</v>
      </c>
      <c r="DU264" s="44">
        <f t="shared" si="605"/>
        <v>0</v>
      </c>
      <c r="DV264" s="44">
        <f t="shared" si="606"/>
        <v>0</v>
      </c>
      <c r="DW264" s="44">
        <f t="shared" si="607"/>
        <v>0</v>
      </c>
      <c r="DX264" s="44">
        <f t="shared" si="533"/>
        <v>0</v>
      </c>
      <c r="DY264" s="44">
        <f t="shared" si="608"/>
        <v>0</v>
      </c>
      <c r="DZ264" s="44">
        <f t="shared" si="534"/>
        <v>0</v>
      </c>
      <c r="EA264" s="44">
        <f t="shared" si="609"/>
        <v>0</v>
      </c>
      <c r="EB264" s="44">
        <f t="shared" si="535"/>
        <v>0</v>
      </c>
      <c r="EC264" s="46">
        <f t="shared" si="536"/>
        <v>0</v>
      </c>
      <c r="ED264" s="47">
        <f t="shared" si="537"/>
        <v>0</v>
      </c>
    </row>
    <row r="265" spans="1:134" x14ac:dyDescent="0.35">
      <c r="A265" s="172"/>
      <c r="B265" s="173"/>
      <c r="C265" s="174"/>
      <c r="D265" s="175"/>
      <c r="E265" s="176"/>
      <c r="F265" s="177"/>
      <c r="G265" s="178"/>
      <c r="H265" s="179"/>
      <c r="I265" s="180"/>
      <c r="J265" s="181"/>
      <c r="K265" s="42">
        <f t="shared" si="488"/>
        <v>0</v>
      </c>
      <c r="L265" s="43">
        <f t="shared" si="489"/>
        <v>0</v>
      </c>
      <c r="M265" s="44">
        <f t="shared" si="490"/>
        <v>0</v>
      </c>
      <c r="N265" s="44"/>
      <c r="O265" s="44">
        <f t="shared" si="491"/>
        <v>0</v>
      </c>
      <c r="P265" s="45"/>
      <c r="Q265" s="44">
        <f t="shared" si="492"/>
        <v>0</v>
      </c>
      <c r="R265" s="604">
        <f t="shared" si="538"/>
        <v>0</v>
      </c>
      <c r="S265" s="44">
        <f t="shared" si="539"/>
        <v>0</v>
      </c>
      <c r="T265" s="44">
        <f t="shared" si="540"/>
        <v>0</v>
      </c>
      <c r="U265" s="44">
        <f t="shared" si="541"/>
        <v>0</v>
      </c>
      <c r="V265" s="44">
        <f t="shared" si="542"/>
        <v>0</v>
      </c>
      <c r="W265" s="44">
        <f t="shared" si="543"/>
        <v>0</v>
      </c>
      <c r="X265" s="44">
        <f t="shared" si="493"/>
        <v>0</v>
      </c>
      <c r="Y265" s="44">
        <f t="shared" si="544"/>
        <v>0</v>
      </c>
      <c r="Z265" s="44">
        <f t="shared" si="494"/>
        <v>0</v>
      </c>
      <c r="AA265" s="44">
        <f t="shared" si="545"/>
        <v>0</v>
      </c>
      <c r="AB265" s="44">
        <f t="shared" si="495"/>
        <v>0</v>
      </c>
      <c r="AC265" s="46">
        <f t="shared" si="496"/>
        <v>0</v>
      </c>
      <c r="AD265" s="47">
        <f t="shared" si="497"/>
        <v>0</v>
      </c>
      <c r="AE265" s="604">
        <f t="shared" si="546"/>
        <v>0</v>
      </c>
      <c r="AF265" s="44">
        <f t="shared" si="547"/>
        <v>0</v>
      </c>
      <c r="AG265" s="44">
        <f t="shared" si="548"/>
        <v>0</v>
      </c>
      <c r="AH265" s="44">
        <f t="shared" si="549"/>
        <v>0</v>
      </c>
      <c r="AI265" s="44">
        <f t="shared" si="550"/>
        <v>0</v>
      </c>
      <c r="AJ265" s="44">
        <f t="shared" si="551"/>
        <v>0</v>
      </c>
      <c r="AK265" s="44">
        <f t="shared" si="498"/>
        <v>0</v>
      </c>
      <c r="AL265" s="44">
        <f t="shared" si="552"/>
        <v>0</v>
      </c>
      <c r="AM265" s="44">
        <f t="shared" si="499"/>
        <v>0</v>
      </c>
      <c r="AN265" s="44">
        <f t="shared" si="553"/>
        <v>0</v>
      </c>
      <c r="AO265" s="44">
        <f t="shared" si="500"/>
        <v>0</v>
      </c>
      <c r="AP265" s="46">
        <f t="shared" si="501"/>
        <v>0</v>
      </c>
      <c r="AQ265" s="47">
        <f t="shared" si="502"/>
        <v>0</v>
      </c>
      <c r="AR265" s="604">
        <f t="shared" si="554"/>
        <v>0</v>
      </c>
      <c r="AS265" s="44">
        <f t="shared" si="555"/>
        <v>0</v>
      </c>
      <c r="AT265" s="44">
        <f t="shared" si="556"/>
        <v>0</v>
      </c>
      <c r="AU265" s="44">
        <f t="shared" si="557"/>
        <v>0</v>
      </c>
      <c r="AV265" s="44">
        <f t="shared" si="558"/>
        <v>0</v>
      </c>
      <c r="AW265" s="44">
        <f t="shared" si="559"/>
        <v>0</v>
      </c>
      <c r="AX265" s="44">
        <f t="shared" si="503"/>
        <v>0</v>
      </c>
      <c r="AY265" s="44">
        <f t="shared" si="560"/>
        <v>0</v>
      </c>
      <c r="AZ265" s="44">
        <f t="shared" si="504"/>
        <v>0</v>
      </c>
      <c r="BA265" s="44">
        <f t="shared" si="561"/>
        <v>0</v>
      </c>
      <c r="BB265" s="44">
        <f t="shared" si="505"/>
        <v>0</v>
      </c>
      <c r="BC265" s="46">
        <f t="shared" si="506"/>
        <v>0</v>
      </c>
      <c r="BD265" s="47">
        <f t="shared" si="507"/>
        <v>0</v>
      </c>
      <c r="BE265" s="604">
        <f t="shared" si="562"/>
        <v>0</v>
      </c>
      <c r="BF265" s="44">
        <f t="shared" si="563"/>
        <v>0</v>
      </c>
      <c r="BG265" s="44">
        <f t="shared" si="564"/>
        <v>0</v>
      </c>
      <c r="BH265" s="44">
        <f t="shared" si="565"/>
        <v>0</v>
      </c>
      <c r="BI265" s="44">
        <f t="shared" si="566"/>
        <v>0</v>
      </c>
      <c r="BJ265" s="44">
        <f t="shared" si="567"/>
        <v>0</v>
      </c>
      <c r="BK265" s="44">
        <f t="shared" si="508"/>
        <v>0</v>
      </c>
      <c r="BL265" s="44">
        <f t="shared" si="568"/>
        <v>0</v>
      </c>
      <c r="BM265" s="44">
        <f t="shared" si="509"/>
        <v>0</v>
      </c>
      <c r="BN265" s="44">
        <f t="shared" si="569"/>
        <v>0</v>
      </c>
      <c r="BO265" s="44">
        <f t="shared" si="510"/>
        <v>0</v>
      </c>
      <c r="BP265" s="46">
        <f t="shared" si="511"/>
        <v>0</v>
      </c>
      <c r="BQ265" s="47">
        <f t="shared" si="512"/>
        <v>0</v>
      </c>
      <c r="BR265" s="604">
        <f t="shared" si="570"/>
        <v>0</v>
      </c>
      <c r="BS265" s="44">
        <f t="shared" si="571"/>
        <v>0</v>
      </c>
      <c r="BT265" s="44">
        <f t="shared" si="572"/>
        <v>0</v>
      </c>
      <c r="BU265" s="44">
        <f t="shared" si="573"/>
        <v>0</v>
      </c>
      <c r="BV265" s="44">
        <f t="shared" si="574"/>
        <v>0</v>
      </c>
      <c r="BW265" s="44">
        <f t="shared" si="575"/>
        <v>0</v>
      </c>
      <c r="BX265" s="44">
        <f t="shared" si="513"/>
        <v>0</v>
      </c>
      <c r="BY265" s="44">
        <f t="shared" si="576"/>
        <v>0</v>
      </c>
      <c r="BZ265" s="44">
        <f t="shared" si="514"/>
        <v>0</v>
      </c>
      <c r="CA265" s="44">
        <f t="shared" si="577"/>
        <v>0</v>
      </c>
      <c r="CB265" s="44">
        <f t="shared" si="515"/>
        <v>0</v>
      </c>
      <c r="CC265" s="46">
        <f t="shared" si="516"/>
        <v>0</v>
      </c>
      <c r="CD265" s="47">
        <f t="shared" si="517"/>
        <v>0</v>
      </c>
      <c r="CE265" s="604">
        <f t="shared" si="578"/>
        <v>0</v>
      </c>
      <c r="CF265" s="44">
        <f t="shared" si="579"/>
        <v>0</v>
      </c>
      <c r="CG265" s="44">
        <f t="shared" si="580"/>
        <v>0</v>
      </c>
      <c r="CH265" s="44">
        <f t="shared" si="581"/>
        <v>0</v>
      </c>
      <c r="CI265" s="44">
        <f t="shared" si="582"/>
        <v>0</v>
      </c>
      <c r="CJ265" s="44">
        <f t="shared" si="583"/>
        <v>0</v>
      </c>
      <c r="CK265" s="44">
        <f t="shared" si="518"/>
        <v>0</v>
      </c>
      <c r="CL265" s="44">
        <f t="shared" si="584"/>
        <v>0</v>
      </c>
      <c r="CM265" s="44">
        <f t="shared" si="519"/>
        <v>0</v>
      </c>
      <c r="CN265" s="44">
        <f t="shared" si="585"/>
        <v>0</v>
      </c>
      <c r="CO265" s="44">
        <f t="shared" si="520"/>
        <v>0</v>
      </c>
      <c r="CP265" s="46">
        <f t="shared" si="521"/>
        <v>0</v>
      </c>
      <c r="CQ265" s="47">
        <f t="shared" si="522"/>
        <v>0</v>
      </c>
      <c r="CR265" s="604">
        <f t="shared" si="586"/>
        <v>0</v>
      </c>
      <c r="CS265" s="44">
        <f t="shared" si="587"/>
        <v>0</v>
      </c>
      <c r="CT265" s="44">
        <f t="shared" si="588"/>
        <v>0</v>
      </c>
      <c r="CU265" s="44">
        <f t="shared" si="589"/>
        <v>0</v>
      </c>
      <c r="CV265" s="44">
        <f t="shared" si="590"/>
        <v>0</v>
      </c>
      <c r="CW265" s="44">
        <f t="shared" si="591"/>
        <v>0</v>
      </c>
      <c r="CX265" s="44">
        <f t="shared" si="523"/>
        <v>0</v>
      </c>
      <c r="CY265" s="44">
        <f t="shared" si="592"/>
        <v>0</v>
      </c>
      <c r="CZ265" s="44">
        <f t="shared" si="524"/>
        <v>0</v>
      </c>
      <c r="DA265" s="44">
        <f t="shared" si="593"/>
        <v>0</v>
      </c>
      <c r="DB265" s="44">
        <f t="shared" si="525"/>
        <v>0</v>
      </c>
      <c r="DC265" s="46">
        <f t="shared" si="526"/>
        <v>0</v>
      </c>
      <c r="DD265" s="47">
        <f t="shared" si="527"/>
        <v>0</v>
      </c>
      <c r="DE265" s="604">
        <f t="shared" si="594"/>
        <v>0</v>
      </c>
      <c r="DF265" s="44">
        <f t="shared" si="595"/>
        <v>0</v>
      </c>
      <c r="DG265" s="44">
        <f t="shared" si="596"/>
        <v>0</v>
      </c>
      <c r="DH265" s="44">
        <f t="shared" si="597"/>
        <v>0</v>
      </c>
      <c r="DI265" s="44">
        <f t="shared" si="598"/>
        <v>0</v>
      </c>
      <c r="DJ265" s="44">
        <f t="shared" si="599"/>
        <v>0</v>
      </c>
      <c r="DK265" s="44">
        <f t="shared" si="528"/>
        <v>0</v>
      </c>
      <c r="DL265" s="44">
        <f t="shared" si="600"/>
        <v>0</v>
      </c>
      <c r="DM265" s="44">
        <f t="shared" si="529"/>
        <v>0</v>
      </c>
      <c r="DN265" s="44">
        <f t="shared" si="601"/>
        <v>0</v>
      </c>
      <c r="DO265" s="44">
        <f t="shared" si="530"/>
        <v>0</v>
      </c>
      <c r="DP265" s="46">
        <f t="shared" si="531"/>
        <v>0</v>
      </c>
      <c r="DQ265" s="47">
        <f t="shared" si="532"/>
        <v>0</v>
      </c>
      <c r="DR265" s="604">
        <f t="shared" si="602"/>
        <v>0</v>
      </c>
      <c r="DS265" s="44">
        <f t="shared" si="603"/>
        <v>0</v>
      </c>
      <c r="DT265" s="44">
        <f t="shared" si="604"/>
        <v>0</v>
      </c>
      <c r="DU265" s="44">
        <f t="shared" si="605"/>
        <v>0</v>
      </c>
      <c r="DV265" s="44">
        <f t="shared" si="606"/>
        <v>0</v>
      </c>
      <c r="DW265" s="44">
        <f t="shared" si="607"/>
        <v>0</v>
      </c>
      <c r="DX265" s="44">
        <f t="shared" si="533"/>
        <v>0</v>
      </c>
      <c r="DY265" s="44">
        <f t="shared" si="608"/>
        <v>0</v>
      </c>
      <c r="DZ265" s="44">
        <f t="shared" si="534"/>
        <v>0</v>
      </c>
      <c r="EA265" s="44">
        <f t="shared" si="609"/>
        <v>0</v>
      </c>
      <c r="EB265" s="44">
        <f t="shared" si="535"/>
        <v>0</v>
      </c>
      <c r="EC265" s="46">
        <f t="shared" si="536"/>
        <v>0</v>
      </c>
      <c r="ED265" s="47">
        <f t="shared" si="537"/>
        <v>0</v>
      </c>
    </row>
    <row r="266" spans="1:134" x14ac:dyDescent="0.35">
      <c r="A266" s="172"/>
      <c r="B266" s="173"/>
      <c r="C266" s="174"/>
      <c r="D266" s="175"/>
      <c r="E266" s="176"/>
      <c r="F266" s="177"/>
      <c r="G266" s="178"/>
      <c r="H266" s="179"/>
      <c r="I266" s="180"/>
      <c r="J266" s="181"/>
      <c r="K266" s="42">
        <f t="shared" si="488"/>
        <v>0</v>
      </c>
      <c r="L266" s="43">
        <f t="shared" si="489"/>
        <v>0</v>
      </c>
      <c r="M266" s="44">
        <f t="shared" si="490"/>
        <v>0</v>
      </c>
      <c r="N266" s="44"/>
      <c r="O266" s="44">
        <f t="shared" si="491"/>
        <v>0</v>
      </c>
      <c r="P266" s="45"/>
      <c r="Q266" s="44">
        <f t="shared" si="492"/>
        <v>0</v>
      </c>
      <c r="R266" s="604">
        <f t="shared" si="538"/>
        <v>0</v>
      </c>
      <c r="S266" s="44">
        <f t="shared" si="539"/>
        <v>0</v>
      </c>
      <c r="T266" s="44">
        <f t="shared" si="540"/>
        <v>0</v>
      </c>
      <c r="U266" s="44">
        <f t="shared" si="541"/>
        <v>0</v>
      </c>
      <c r="V266" s="44">
        <f t="shared" si="542"/>
        <v>0</v>
      </c>
      <c r="W266" s="44">
        <f t="shared" si="543"/>
        <v>0</v>
      </c>
      <c r="X266" s="44">
        <f t="shared" si="493"/>
        <v>0</v>
      </c>
      <c r="Y266" s="44">
        <f t="shared" si="544"/>
        <v>0</v>
      </c>
      <c r="Z266" s="44">
        <f t="shared" si="494"/>
        <v>0</v>
      </c>
      <c r="AA266" s="44">
        <f t="shared" si="545"/>
        <v>0</v>
      </c>
      <c r="AB266" s="44">
        <f t="shared" si="495"/>
        <v>0</v>
      </c>
      <c r="AC266" s="46">
        <f t="shared" si="496"/>
        <v>0</v>
      </c>
      <c r="AD266" s="47">
        <f t="shared" si="497"/>
        <v>0</v>
      </c>
      <c r="AE266" s="604">
        <f t="shared" si="546"/>
        <v>0</v>
      </c>
      <c r="AF266" s="44">
        <f t="shared" si="547"/>
        <v>0</v>
      </c>
      <c r="AG266" s="44">
        <f t="shared" si="548"/>
        <v>0</v>
      </c>
      <c r="AH266" s="44">
        <f t="shared" si="549"/>
        <v>0</v>
      </c>
      <c r="AI266" s="44">
        <f t="shared" si="550"/>
        <v>0</v>
      </c>
      <c r="AJ266" s="44">
        <f t="shared" si="551"/>
        <v>0</v>
      </c>
      <c r="AK266" s="44">
        <f t="shared" si="498"/>
        <v>0</v>
      </c>
      <c r="AL266" s="44">
        <f t="shared" si="552"/>
        <v>0</v>
      </c>
      <c r="AM266" s="44">
        <f t="shared" si="499"/>
        <v>0</v>
      </c>
      <c r="AN266" s="44">
        <f t="shared" si="553"/>
        <v>0</v>
      </c>
      <c r="AO266" s="44">
        <f t="shared" si="500"/>
        <v>0</v>
      </c>
      <c r="AP266" s="46">
        <f t="shared" si="501"/>
        <v>0</v>
      </c>
      <c r="AQ266" s="47">
        <f t="shared" si="502"/>
        <v>0</v>
      </c>
      <c r="AR266" s="604">
        <f t="shared" si="554"/>
        <v>0</v>
      </c>
      <c r="AS266" s="44">
        <f t="shared" si="555"/>
        <v>0</v>
      </c>
      <c r="AT266" s="44">
        <f t="shared" si="556"/>
        <v>0</v>
      </c>
      <c r="AU266" s="44">
        <f t="shared" si="557"/>
        <v>0</v>
      </c>
      <c r="AV266" s="44">
        <f t="shared" si="558"/>
        <v>0</v>
      </c>
      <c r="AW266" s="44">
        <f t="shared" si="559"/>
        <v>0</v>
      </c>
      <c r="AX266" s="44">
        <f t="shared" si="503"/>
        <v>0</v>
      </c>
      <c r="AY266" s="44">
        <f t="shared" si="560"/>
        <v>0</v>
      </c>
      <c r="AZ266" s="44">
        <f t="shared" si="504"/>
        <v>0</v>
      </c>
      <c r="BA266" s="44">
        <f t="shared" si="561"/>
        <v>0</v>
      </c>
      <c r="BB266" s="44">
        <f t="shared" si="505"/>
        <v>0</v>
      </c>
      <c r="BC266" s="46">
        <f t="shared" si="506"/>
        <v>0</v>
      </c>
      <c r="BD266" s="47">
        <f t="shared" si="507"/>
        <v>0</v>
      </c>
      <c r="BE266" s="604">
        <f t="shared" si="562"/>
        <v>0</v>
      </c>
      <c r="BF266" s="44">
        <f t="shared" si="563"/>
        <v>0</v>
      </c>
      <c r="BG266" s="44">
        <f t="shared" si="564"/>
        <v>0</v>
      </c>
      <c r="BH266" s="44">
        <f t="shared" si="565"/>
        <v>0</v>
      </c>
      <c r="BI266" s="44">
        <f t="shared" si="566"/>
        <v>0</v>
      </c>
      <c r="BJ266" s="44">
        <f t="shared" si="567"/>
        <v>0</v>
      </c>
      <c r="BK266" s="44">
        <f t="shared" si="508"/>
        <v>0</v>
      </c>
      <c r="BL266" s="44">
        <f t="shared" si="568"/>
        <v>0</v>
      </c>
      <c r="BM266" s="44">
        <f t="shared" si="509"/>
        <v>0</v>
      </c>
      <c r="BN266" s="44">
        <f t="shared" si="569"/>
        <v>0</v>
      </c>
      <c r="BO266" s="44">
        <f t="shared" si="510"/>
        <v>0</v>
      </c>
      <c r="BP266" s="46">
        <f t="shared" si="511"/>
        <v>0</v>
      </c>
      <c r="BQ266" s="47">
        <f t="shared" si="512"/>
        <v>0</v>
      </c>
      <c r="BR266" s="604">
        <f t="shared" si="570"/>
        <v>0</v>
      </c>
      <c r="BS266" s="44">
        <f t="shared" si="571"/>
        <v>0</v>
      </c>
      <c r="BT266" s="44">
        <f t="shared" si="572"/>
        <v>0</v>
      </c>
      <c r="BU266" s="44">
        <f t="shared" si="573"/>
        <v>0</v>
      </c>
      <c r="BV266" s="44">
        <f t="shared" si="574"/>
        <v>0</v>
      </c>
      <c r="BW266" s="44">
        <f t="shared" si="575"/>
        <v>0</v>
      </c>
      <c r="BX266" s="44">
        <f t="shared" si="513"/>
        <v>0</v>
      </c>
      <c r="BY266" s="44">
        <f t="shared" si="576"/>
        <v>0</v>
      </c>
      <c r="BZ266" s="44">
        <f t="shared" si="514"/>
        <v>0</v>
      </c>
      <c r="CA266" s="44">
        <f t="shared" si="577"/>
        <v>0</v>
      </c>
      <c r="CB266" s="44">
        <f t="shared" si="515"/>
        <v>0</v>
      </c>
      <c r="CC266" s="46">
        <f t="shared" si="516"/>
        <v>0</v>
      </c>
      <c r="CD266" s="47">
        <f t="shared" si="517"/>
        <v>0</v>
      </c>
      <c r="CE266" s="604">
        <f t="shared" si="578"/>
        <v>0</v>
      </c>
      <c r="CF266" s="44">
        <f t="shared" si="579"/>
        <v>0</v>
      </c>
      <c r="CG266" s="44">
        <f t="shared" si="580"/>
        <v>0</v>
      </c>
      <c r="CH266" s="44">
        <f t="shared" si="581"/>
        <v>0</v>
      </c>
      <c r="CI266" s="44">
        <f t="shared" si="582"/>
        <v>0</v>
      </c>
      <c r="CJ266" s="44">
        <f t="shared" si="583"/>
        <v>0</v>
      </c>
      <c r="CK266" s="44">
        <f t="shared" si="518"/>
        <v>0</v>
      </c>
      <c r="CL266" s="44">
        <f t="shared" si="584"/>
        <v>0</v>
      </c>
      <c r="CM266" s="44">
        <f t="shared" si="519"/>
        <v>0</v>
      </c>
      <c r="CN266" s="44">
        <f t="shared" si="585"/>
        <v>0</v>
      </c>
      <c r="CO266" s="44">
        <f t="shared" si="520"/>
        <v>0</v>
      </c>
      <c r="CP266" s="46">
        <f t="shared" si="521"/>
        <v>0</v>
      </c>
      <c r="CQ266" s="47">
        <f t="shared" si="522"/>
        <v>0</v>
      </c>
      <c r="CR266" s="604">
        <f t="shared" si="586"/>
        <v>0</v>
      </c>
      <c r="CS266" s="44">
        <f t="shared" si="587"/>
        <v>0</v>
      </c>
      <c r="CT266" s="44">
        <f t="shared" si="588"/>
        <v>0</v>
      </c>
      <c r="CU266" s="44">
        <f t="shared" si="589"/>
        <v>0</v>
      </c>
      <c r="CV266" s="44">
        <f t="shared" si="590"/>
        <v>0</v>
      </c>
      <c r="CW266" s="44">
        <f t="shared" si="591"/>
        <v>0</v>
      </c>
      <c r="CX266" s="44">
        <f t="shared" si="523"/>
        <v>0</v>
      </c>
      <c r="CY266" s="44">
        <f t="shared" si="592"/>
        <v>0</v>
      </c>
      <c r="CZ266" s="44">
        <f t="shared" si="524"/>
        <v>0</v>
      </c>
      <c r="DA266" s="44">
        <f t="shared" si="593"/>
        <v>0</v>
      </c>
      <c r="DB266" s="44">
        <f t="shared" si="525"/>
        <v>0</v>
      </c>
      <c r="DC266" s="46">
        <f t="shared" si="526"/>
        <v>0</v>
      </c>
      <c r="DD266" s="47">
        <f t="shared" si="527"/>
        <v>0</v>
      </c>
      <c r="DE266" s="604">
        <f t="shared" si="594"/>
        <v>0</v>
      </c>
      <c r="DF266" s="44">
        <f t="shared" si="595"/>
        <v>0</v>
      </c>
      <c r="DG266" s="44">
        <f t="shared" si="596"/>
        <v>0</v>
      </c>
      <c r="DH266" s="44">
        <f t="shared" si="597"/>
        <v>0</v>
      </c>
      <c r="DI266" s="44">
        <f t="shared" si="598"/>
        <v>0</v>
      </c>
      <c r="DJ266" s="44">
        <f t="shared" si="599"/>
        <v>0</v>
      </c>
      <c r="DK266" s="44">
        <f t="shared" si="528"/>
        <v>0</v>
      </c>
      <c r="DL266" s="44">
        <f t="shared" si="600"/>
        <v>0</v>
      </c>
      <c r="DM266" s="44">
        <f t="shared" si="529"/>
        <v>0</v>
      </c>
      <c r="DN266" s="44">
        <f t="shared" si="601"/>
        <v>0</v>
      </c>
      <c r="DO266" s="44">
        <f t="shared" si="530"/>
        <v>0</v>
      </c>
      <c r="DP266" s="46">
        <f t="shared" si="531"/>
        <v>0</v>
      </c>
      <c r="DQ266" s="47">
        <f t="shared" si="532"/>
        <v>0</v>
      </c>
      <c r="DR266" s="604">
        <f t="shared" si="602"/>
        <v>0</v>
      </c>
      <c r="DS266" s="44">
        <f t="shared" si="603"/>
        <v>0</v>
      </c>
      <c r="DT266" s="44">
        <f t="shared" si="604"/>
        <v>0</v>
      </c>
      <c r="DU266" s="44">
        <f t="shared" si="605"/>
        <v>0</v>
      </c>
      <c r="DV266" s="44">
        <f t="shared" si="606"/>
        <v>0</v>
      </c>
      <c r="DW266" s="44">
        <f t="shared" si="607"/>
        <v>0</v>
      </c>
      <c r="DX266" s="44">
        <f t="shared" si="533"/>
        <v>0</v>
      </c>
      <c r="DY266" s="44">
        <f t="shared" si="608"/>
        <v>0</v>
      </c>
      <c r="DZ266" s="44">
        <f t="shared" si="534"/>
        <v>0</v>
      </c>
      <c r="EA266" s="44">
        <f t="shared" si="609"/>
        <v>0</v>
      </c>
      <c r="EB266" s="44">
        <f t="shared" si="535"/>
        <v>0</v>
      </c>
      <c r="EC266" s="46">
        <f t="shared" si="536"/>
        <v>0</v>
      </c>
      <c r="ED266" s="47">
        <f t="shared" si="537"/>
        <v>0</v>
      </c>
    </row>
    <row r="267" spans="1:134" x14ac:dyDescent="0.35">
      <c r="A267" s="172"/>
      <c r="B267" s="173"/>
      <c r="C267" s="174"/>
      <c r="D267" s="175"/>
      <c r="E267" s="176"/>
      <c r="F267" s="177"/>
      <c r="G267" s="178"/>
      <c r="H267" s="179"/>
      <c r="I267" s="180"/>
      <c r="J267" s="181"/>
      <c r="K267" s="42">
        <f t="shared" si="488"/>
        <v>0</v>
      </c>
      <c r="L267" s="43">
        <f t="shared" si="489"/>
        <v>0</v>
      </c>
      <c r="M267" s="44">
        <f t="shared" si="490"/>
        <v>0</v>
      </c>
      <c r="N267" s="44"/>
      <c r="O267" s="44">
        <f t="shared" si="491"/>
        <v>0</v>
      </c>
      <c r="P267" s="45"/>
      <c r="Q267" s="44">
        <f t="shared" si="492"/>
        <v>0</v>
      </c>
      <c r="R267" s="604">
        <f t="shared" si="538"/>
        <v>0</v>
      </c>
      <c r="S267" s="44">
        <f t="shared" si="539"/>
        <v>0</v>
      </c>
      <c r="T267" s="44">
        <f t="shared" si="540"/>
        <v>0</v>
      </c>
      <c r="U267" s="44">
        <f t="shared" si="541"/>
        <v>0</v>
      </c>
      <c r="V267" s="44">
        <f t="shared" si="542"/>
        <v>0</v>
      </c>
      <c r="W267" s="44">
        <f t="shared" si="543"/>
        <v>0</v>
      </c>
      <c r="X267" s="44">
        <f t="shared" si="493"/>
        <v>0</v>
      </c>
      <c r="Y267" s="44">
        <f t="shared" si="544"/>
        <v>0</v>
      </c>
      <c r="Z267" s="44">
        <f t="shared" si="494"/>
        <v>0</v>
      </c>
      <c r="AA267" s="44">
        <f t="shared" si="545"/>
        <v>0</v>
      </c>
      <c r="AB267" s="44">
        <f t="shared" si="495"/>
        <v>0</v>
      </c>
      <c r="AC267" s="46">
        <f t="shared" si="496"/>
        <v>0</v>
      </c>
      <c r="AD267" s="47">
        <f t="shared" si="497"/>
        <v>0</v>
      </c>
      <c r="AE267" s="604">
        <f t="shared" si="546"/>
        <v>0</v>
      </c>
      <c r="AF267" s="44">
        <f t="shared" si="547"/>
        <v>0</v>
      </c>
      <c r="AG267" s="44">
        <f t="shared" si="548"/>
        <v>0</v>
      </c>
      <c r="AH267" s="44">
        <f t="shared" si="549"/>
        <v>0</v>
      </c>
      <c r="AI267" s="44">
        <f t="shared" si="550"/>
        <v>0</v>
      </c>
      <c r="AJ267" s="44">
        <f t="shared" si="551"/>
        <v>0</v>
      </c>
      <c r="AK267" s="44">
        <f t="shared" si="498"/>
        <v>0</v>
      </c>
      <c r="AL267" s="44">
        <f t="shared" si="552"/>
        <v>0</v>
      </c>
      <c r="AM267" s="44">
        <f t="shared" si="499"/>
        <v>0</v>
      </c>
      <c r="AN267" s="44">
        <f t="shared" si="553"/>
        <v>0</v>
      </c>
      <c r="AO267" s="44">
        <f t="shared" si="500"/>
        <v>0</v>
      </c>
      <c r="AP267" s="46">
        <f t="shared" si="501"/>
        <v>0</v>
      </c>
      <c r="AQ267" s="47">
        <f t="shared" si="502"/>
        <v>0</v>
      </c>
      <c r="AR267" s="604">
        <f t="shared" si="554"/>
        <v>0</v>
      </c>
      <c r="AS267" s="44">
        <f t="shared" si="555"/>
        <v>0</v>
      </c>
      <c r="AT267" s="44">
        <f t="shared" si="556"/>
        <v>0</v>
      </c>
      <c r="AU267" s="44">
        <f t="shared" si="557"/>
        <v>0</v>
      </c>
      <c r="AV267" s="44">
        <f t="shared" si="558"/>
        <v>0</v>
      </c>
      <c r="AW267" s="44">
        <f t="shared" si="559"/>
        <v>0</v>
      </c>
      <c r="AX267" s="44">
        <f t="shared" si="503"/>
        <v>0</v>
      </c>
      <c r="AY267" s="44">
        <f t="shared" si="560"/>
        <v>0</v>
      </c>
      <c r="AZ267" s="44">
        <f t="shared" si="504"/>
        <v>0</v>
      </c>
      <c r="BA267" s="44">
        <f t="shared" si="561"/>
        <v>0</v>
      </c>
      <c r="BB267" s="44">
        <f t="shared" si="505"/>
        <v>0</v>
      </c>
      <c r="BC267" s="46">
        <f t="shared" si="506"/>
        <v>0</v>
      </c>
      <c r="BD267" s="47">
        <f t="shared" si="507"/>
        <v>0</v>
      </c>
      <c r="BE267" s="604">
        <f t="shared" si="562"/>
        <v>0</v>
      </c>
      <c r="BF267" s="44">
        <f t="shared" si="563"/>
        <v>0</v>
      </c>
      <c r="BG267" s="44">
        <f t="shared" si="564"/>
        <v>0</v>
      </c>
      <c r="BH267" s="44">
        <f t="shared" si="565"/>
        <v>0</v>
      </c>
      <c r="BI267" s="44">
        <f t="shared" si="566"/>
        <v>0</v>
      </c>
      <c r="BJ267" s="44">
        <f t="shared" si="567"/>
        <v>0</v>
      </c>
      <c r="BK267" s="44">
        <f t="shared" si="508"/>
        <v>0</v>
      </c>
      <c r="BL267" s="44">
        <f t="shared" si="568"/>
        <v>0</v>
      </c>
      <c r="BM267" s="44">
        <f t="shared" si="509"/>
        <v>0</v>
      </c>
      <c r="BN267" s="44">
        <f t="shared" si="569"/>
        <v>0</v>
      </c>
      <c r="BO267" s="44">
        <f t="shared" si="510"/>
        <v>0</v>
      </c>
      <c r="BP267" s="46">
        <f t="shared" si="511"/>
        <v>0</v>
      </c>
      <c r="BQ267" s="47">
        <f t="shared" si="512"/>
        <v>0</v>
      </c>
      <c r="BR267" s="604">
        <f t="shared" si="570"/>
        <v>0</v>
      </c>
      <c r="BS267" s="44">
        <f t="shared" si="571"/>
        <v>0</v>
      </c>
      <c r="BT267" s="44">
        <f t="shared" si="572"/>
        <v>0</v>
      </c>
      <c r="BU267" s="44">
        <f t="shared" si="573"/>
        <v>0</v>
      </c>
      <c r="BV267" s="44">
        <f t="shared" si="574"/>
        <v>0</v>
      </c>
      <c r="BW267" s="44">
        <f t="shared" si="575"/>
        <v>0</v>
      </c>
      <c r="BX267" s="44">
        <f t="shared" si="513"/>
        <v>0</v>
      </c>
      <c r="BY267" s="44">
        <f t="shared" si="576"/>
        <v>0</v>
      </c>
      <c r="BZ267" s="44">
        <f t="shared" si="514"/>
        <v>0</v>
      </c>
      <c r="CA267" s="44">
        <f t="shared" si="577"/>
        <v>0</v>
      </c>
      <c r="CB267" s="44">
        <f t="shared" si="515"/>
        <v>0</v>
      </c>
      <c r="CC267" s="46">
        <f t="shared" si="516"/>
        <v>0</v>
      </c>
      <c r="CD267" s="47">
        <f t="shared" si="517"/>
        <v>0</v>
      </c>
      <c r="CE267" s="604">
        <f t="shared" si="578"/>
        <v>0</v>
      </c>
      <c r="CF267" s="44">
        <f t="shared" si="579"/>
        <v>0</v>
      </c>
      <c r="CG267" s="44">
        <f t="shared" si="580"/>
        <v>0</v>
      </c>
      <c r="CH267" s="44">
        <f t="shared" si="581"/>
        <v>0</v>
      </c>
      <c r="CI267" s="44">
        <f t="shared" si="582"/>
        <v>0</v>
      </c>
      <c r="CJ267" s="44">
        <f t="shared" si="583"/>
        <v>0</v>
      </c>
      <c r="CK267" s="44">
        <f t="shared" si="518"/>
        <v>0</v>
      </c>
      <c r="CL267" s="44">
        <f t="shared" si="584"/>
        <v>0</v>
      </c>
      <c r="CM267" s="44">
        <f t="shared" si="519"/>
        <v>0</v>
      </c>
      <c r="CN267" s="44">
        <f t="shared" si="585"/>
        <v>0</v>
      </c>
      <c r="CO267" s="44">
        <f t="shared" si="520"/>
        <v>0</v>
      </c>
      <c r="CP267" s="46">
        <f t="shared" si="521"/>
        <v>0</v>
      </c>
      <c r="CQ267" s="47">
        <f t="shared" si="522"/>
        <v>0</v>
      </c>
      <c r="CR267" s="604">
        <f t="shared" si="586"/>
        <v>0</v>
      </c>
      <c r="CS267" s="44">
        <f t="shared" si="587"/>
        <v>0</v>
      </c>
      <c r="CT267" s="44">
        <f t="shared" si="588"/>
        <v>0</v>
      </c>
      <c r="CU267" s="44">
        <f t="shared" si="589"/>
        <v>0</v>
      </c>
      <c r="CV267" s="44">
        <f t="shared" si="590"/>
        <v>0</v>
      </c>
      <c r="CW267" s="44">
        <f t="shared" si="591"/>
        <v>0</v>
      </c>
      <c r="CX267" s="44">
        <f t="shared" si="523"/>
        <v>0</v>
      </c>
      <c r="CY267" s="44">
        <f t="shared" si="592"/>
        <v>0</v>
      </c>
      <c r="CZ267" s="44">
        <f t="shared" si="524"/>
        <v>0</v>
      </c>
      <c r="DA267" s="44">
        <f t="shared" si="593"/>
        <v>0</v>
      </c>
      <c r="DB267" s="44">
        <f t="shared" si="525"/>
        <v>0</v>
      </c>
      <c r="DC267" s="46">
        <f t="shared" si="526"/>
        <v>0</v>
      </c>
      <c r="DD267" s="47">
        <f t="shared" si="527"/>
        <v>0</v>
      </c>
      <c r="DE267" s="604">
        <f t="shared" si="594"/>
        <v>0</v>
      </c>
      <c r="DF267" s="44">
        <f t="shared" si="595"/>
        <v>0</v>
      </c>
      <c r="DG267" s="44">
        <f t="shared" si="596"/>
        <v>0</v>
      </c>
      <c r="DH267" s="44">
        <f t="shared" si="597"/>
        <v>0</v>
      </c>
      <c r="DI267" s="44">
        <f t="shared" si="598"/>
        <v>0</v>
      </c>
      <c r="DJ267" s="44">
        <f t="shared" si="599"/>
        <v>0</v>
      </c>
      <c r="DK267" s="44">
        <f t="shared" si="528"/>
        <v>0</v>
      </c>
      <c r="DL267" s="44">
        <f t="shared" si="600"/>
        <v>0</v>
      </c>
      <c r="DM267" s="44">
        <f t="shared" si="529"/>
        <v>0</v>
      </c>
      <c r="DN267" s="44">
        <f t="shared" si="601"/>
        <v>0</v>
      </c>
      <c r="DO267" s="44">
        <f t="shared" si="530"/>
        <v>0</v>
      </c>
      <c r="DP267" s="46">
        <f t="shared" si="531"/>
        <v>0</v>
      </c>
      <c r="DQ267" s="47">
        <f t="shared" si="532"/>
        <v>0</v>
      </c>
      <c r="DR267" s="604">
        <f t="shared" si="602"/>
        <v>0</v>
      </c>
      <c r="DS267" s="44">
        <f t="shared" si="603"/>
        <v>0</v>
      </c>
      <c r="DT267" s="44">
        <f t="shared" si="604"/>
        <v>0</v>
      </c>
      <c r="DU267" s="44">
        <f t="shared" si="605"/>
        <v>0</v>
      </c>
      <c r="DV267" s="44">
        <f t="shared" si="606"/>
        <v>0</v>
      </c>
      <c r="DW267" s="44">
        <f t="shared" si="607"/>
        <v>0</v>
      </c>
      <c r="DX267" s="44">
        <f t="shared" si="533"/>
        <v>0</v>
      </c>
      <c r="DY267" s="44">
        <f t="shared" si="608"/>
        <v>0</v>
      </c>
      <c r="DZ267" s="44">
        <f t="shared" si="534"/>
        <v>0</v>
      </c>
      <c r="EA267" s="44">
        <f t="shared" si="609"/>
        <v>0</v>
      </c>
      <c r="EB267" s="44">
        <f t="shared" si="535"/>
        <v>0</v>
      </c>
      <c r="EC267" s="46">
        <f t="shared" si="536"/>
        <v>0</v>
      </c>
      <c r="ED267" s="47">
        <f t="shared" si="537"/>
        <v>0</v>
      </c>
    </row>
    <row r="268" spans="1:134" x14ac:dyDescent="0.35">
      <c r="A268" s="172"/>
      <c r="B268" s="173"/>
      <c r="C268" s="174"/>
      <c r="D268" s="175"/>
      <c r="E268" s="176"/>
      <c r="F268" s="177"/>
      <c r="G268" s="178"/>
      <c r="H268" s="179"/>
      <c r="I268" s="180"/>
      <c r="J268" s="181"/>
      <c r="K268" s="42">
        <f t="shared" si="488"/>
        <v>0</v>
      </c>
      <c r="L268" s="43">
        <f t="shared" si="489"/>
        <v>0</v>
      </c>
      <c r="M268" s="44">
        <f t="shared" si="490"/>
        <v>0</v>
      </c>
      <c r="N268" s="44"/>
      <c r="O268" s="44">
        <f t="shared" si="491"/>
        <v>0</v>
      </c>
      <c r="P268" s="45"/>
      <c r="Q268" s="44">
        <f t="shared" si="492"/>
        <v>0</v>
      </c>
      <c r="R268" s="604">
        <f t="shared" si="538"/>
        <v>0</v>
      </c>
      <c r="S268" s="44">
        <f t="shared" si="539"/>
        <v>0</v>
      </c>
      <c r="T268" s="44">
        <f t="shared" si="540"/>
        <v>0</v>
      </c>
      <c r="U268" s="44">
        <f t="shared" si="541"/>
        <v>0</v>
      </c>
      <c r="V268" s="44">
        <f t="shared" si="542"/>
        <v>0</v>
      </c>
      <c r="W268" s="44">
        <f t="shared" si="543"/>
        <v>0</v>
      </c>
      <c r="X268" s="44">
        <f t="shared" si="493"/>
        <v>0</v>
      </c>
      <c r="Y268" s="44">
        <f t="shared" si="544"/>
        <v>0</v>
      </c>
      <c r="Z268" s="44">
        <f t="shared" si="494"/>
        <v>0</v>
      </c>
      <c r="AA268" s="44">
        <f t="shared" si="545"/>
        <v>0</v>
      </c>
      <c r="AB268" s="44">
        <f t="shared" si="495"/>
        <v>0</v>
      </c>
      <c r="AC268" s="46">
        <f t="shared" si="496"/>
        <v>0</v>
      </c>
      <c r="AD268" s="47">
        <f t="shared" si="497"/>
        <v>0</v>
      </c>
      <c r="AE268" s="604">
        <f t="shared" si="546"/>
        <v>0</v>
      </c>
      <c r="AF268" s="44">
        <f t="shared" si="547"/>
        <v>0</v>
      </c>
      <c r="AG268" s="44">
        <f t="shared" si="548"/>
        <v>0</v>
      </c>
      <c r="AH268" s="44">
        <f t="shared" si="549"/>
        <v>0</v>
      </c>
      <c r="AI268" s="44">
        <f t="shared" si="550"/>
        <v>0</v>
      </c>
      <c r="AJ268" s="44">
        <f t="shared" si="551"/>
        <v>0</v>
      </c>
      <c r="AK268" s="44">
        <f t="shared" si="498"/>
        <v>0</v>
      </c>
      <c r="AL268" s="44">
        <f t="shared" si="552"/>
        <v>0</v>
      </c>
      <c r="AM268" s="44">
        <f t="shared" si="499"/>
        <v>0</v>
      </c>
      <c r="AN268" s="44">
        <f t="shared" si="553"/>
        <v>0</v>
      </c>
      <c r="AO268" s="44">
        <f t="shared" si="500"/>
        <v>0</v>
      </c>
      <c r="AP268" s="46">
        <f t="shared" si="501"/>
        <v>0</v>
      </c>
      <c r="AQ268" s="47">
        <f t="shared" si="502"/>
        <v>0</v>
      </c>
      <c r="AR268" s="604">
        <f t="shared" si="554"/>
        <v>0</v>
      </c>
      <c r="AS268" s="44">
        <f t="shared" si="555"/>
        <v>0</v>
      </c>
      <c r="AT268" s="44">
        <f t="shared" si="556"/>
        <v>0</v>
      </c>
      <c r="AU268" s="44">
        <f t="shared" si="557"/>
        <v>0</v>
      </c>
      <c r="AV268" s="44">
        <f t="shared" si="558"/>
        <v>0</v>
      </c>
      <c r="AW268" s="44">
        <f t="shared" si="559"/>
        <v>0</v>
      </c>
      <c r="AX268" s="44">
        <f t="shared" si="503"/>
        <v>0</v>
      </c>
      <c r="AY268" s="44">
        <f t="shared" si="560"/>
        <v>0</v>
      </c>
      <c r="AZ268" s="44">
        <f t="shared" si="504"/>
        <v>0</v>
      </c>
      <c r="BA268" s="44">
        <f t="shared" si="561"/>
        <v>0</v>
      </c>
      <c r="BB268" s="44">
        <f t="shared" si="505"/>
        <v>0</v>
      </c>
      <c r="BC268" s="46">
        <f t="shared" si="506"/>
        <v>0</v>
      </c>
      <c r="BD268" s="47">
        <f t="shared" si="507"/>
        <v>0</v>
      </c>
      <c r="BE268" s="604">
        <f t="shared" si="562"/>
        <v>0</v>
      </c>
      <c r="BF268" s="44">
        <f t="shared" si="563"/>
        <v>0</v>
      </c>
      <c r="BG268" s="44">
        <f t="shared" si="564"/>
        <v>0</v>
      </c>
      <c r="BH268" s="44">
        <f t="shared" si="565"/>
        <v>0</v>
      </c>
      <c r="BI268" s="44">
        <f t="shared" si="566"/>
        <v>0</v>
      </c>
      <c r="BJ268" s="44">
        <f t="shared" si="567"/>
        <v>0</v>
      </c>
      <c r="BK268" s="44">
        <f t="shared" si="508"/>
        <v>0</v>
      </c>
      <c r="BL268" s="44">
        <f t="shared" si="568"/>
        <v>0</v>
      </c>
      <c r="BM268" s="44">
        <f t="shared" si="509"/>
        <v>0</v>
      </c>
      <c r="BN268" s="44">
        <f t="shared" si="569"/>
        <v>0</v>
      </c>
      <c r="BO268" s="44">
        <f t="shared" si="510"/>
        <v>0</v>
      </c>
      <c r="BP268" s="46">
        <f t="shared" si="511"/>
        <v>0</v>
      </c>
      <c r="BQ268" s="47">
        <f t="shared" si="512"/>
        <v>0</v>
      </c>
      <c r="BR268" s="604">
        <f t="shared" si="570"/>
        <v>0</v>
      </c>
      <c r="BS268" s="44">
        <f t="shared" si="571"/>
        <v>0</v>
      </c>
      <c r="BT268" s="44">
        <f t="shared" si="572"/>
        <v>0</v>
      </c>
      <c r="BU268" s="44">
        <f t="shared" si="573"/>
        <v>0</v>
      </c>
      <c r="BV268" s="44">
        <f t="shared" si="574"/>
        <v>0</v>
      </c>
      <c r="BW268" s="44">
        <f t="shared" si="575"/>
        <v>0</v>
      </c>
      <c r="BX268" s="44">
        <f t="shared" si="513"/>
        <v>0</v>
      </c>
      <c r="BY268" s="44">
        <f t="shared" si="576"/>
        <v>0</v>
      </c>
      <c r="BZ268" s="44">
        <f t="shared" si="514"/>
        <v>0</v>
      </c>
      <c r="CA268" s="44">
        <f t="shared" si="577"/>
        <v>0</v>
      </c>
      <c r="CB268" s="44">
        <f t="shared" si="515"/>
        <v>0</v>
      </c>
      <c r="CC268" s="46">
        <f t="shared" si="516"/>
        <v>0</v>
      </c>
      <c r="CD268" s="47">
        <f t="shared" si="517"/>
        <v>0</v>
      </c>
      <c r="CE268" s="604">
        <f t="shared" si="578"/>
        <v>0</v>
      </c>
      <c r="CF268" s="44">
        <f t="shared" si="579"/>
        <v>0</v>
      </c>
      <c r="CG268" s="44">
        <f t="shared" si="580"/>
        <v>0</v>
      </c>
      <c r="CH268" s="44">
        <f t="shared" si="581"/>
        <v>0</v>
      </c>
      <c r="CI268" s="44">
        <f t="shared" si="582"/>
        <v>0</v>
      </c>
      <c r="CJ268" s="44">
        <f t="shared" si="583"/>
        <v>0</v>
      </c>
      <c r="CK268" s="44">
        <f t="shared" si="518"/>
        <v>0</v>
      </c>
      <c r="CL268" s="44">
        <f t="shared" si="584"/>
        <v>0</v>
      </c>
      <c r="CM268" s="44">
        <f t="shared" si="519"/>
        <v>0</v>
      </c>
      <c r="CN268" s="44">
        <f t="shared" si="585"/>
        <v>0</v>
      </c>
      <c r="CO268" s="44">
        <f t="shared" si="520"/>
        <v>0</v>
      </c>
      <c r="CP268" s="46">
        <f t="shared" si="521"/>
        <v>0</v>
      </c>
      <c r="CQ268" s="47">
        <f t="shared" si="522"/>
        <v>0</v>
      </c>
      <c r="CR268" s="604">
        <f t="shared" si="586"/>
        <v>0</v>
      </c>
      <c r="CS268" s="44">
        <f t="shared" si="587"/>
        <v>0</v>
      </c>
      <c r="CT268" s="44">
        <f t="shared" si="588"/>
        <v>0</v>
      </c>
      <c r="CU268" s="44">
        <f t="shared" si="589"/>
        <v>0</v>
      </c>
      <c r="CV268" s="44">
        <f t="shared" si="590"/>
        <v>0</v>
      </c>
      <c r="CW268" s="44">
        <f t="shared" si="591"/>
        <v>0</v>
      </c>
      <c r="CX268" s="44">
        <f t="shared" si="523"/>
        <v>0</v>
      </c>
      <c r="CY268" s="44">
        <f t="shared" si="592"/>
        <v>0</v>
      </c>
      <c r="CZ268" s="44">
        <f t="shared" si="524"/>
        <v>0</v>
      </c>
      <c r="DA268" s="44">
        <f t="shared" si="593"/>
        <v>0</v>
      </c>
      <c r="DB268" s="44">
        <f t="shared" si="525"/>
        <v>0</v>
      </c>
      <c r="DC268" s="46">
        <f t="shared" si="526"/>
        <v>0</v>
      </c>
      <c r="DD268" s="47">
        <f t="shared" si="527"/>
        <v>0</v>
      </c>
      <c r="DE268" s="604">
        <f t="shared" si="594"/>
        <v>0</v>
      </c>
      <c r="DF268" s="44">
        <f t="shared" si="595"/>
        <v>0</v>
      </c>
      <c r="DG268" s="44">
        <f t="shared" si="596"/>
        <v>0</v>
      </c>
      <c r="DH268" s="44">
        <f t="shared" si="597"/>
        <v>0</v>
      </c>
      <c r="DI268" s="44">
        <f t="shared" si="598"/>
        <v>0</v>
      </c>
      <c r="DJ268" s="44">
        <f t="shared" si="599"/>
        <v>0</v>
      </c>
      <c r="DK268" s="44">
        <f t="shared" si="528"/>
        <v>0</v>
      </c>
      <c r="DL268" s="44">
        <f t="shared" si="600"/>
        <v>0</v>
      </c>
      <c r="DM268" s="44">
        <f t="shared" si="529"/>
        <v>0</v>
      </c>
      <c r="DN268" s="44">
        <f t="shared" si="601"/>
        <v>0</v>
      </c>
      <c r="DO268" s="44">
        <f t="shared" si="530"/>
        <v>0</v>
      </c>
      <c r="DP268" s="46">
        <f t="shared" si="531"/>
        <v>0</v>
      </c>
      <c r="DQ268" s="47">
        <f t="shared" si="532"/>
        <v>0</v>
      </c>
      <c r="DR268" s="604">
        <f t="shared" si="602"/>
        <v>0</v>
      </c>
      <c r="DS268" s="44">
        <f t="shared" si="603"/>
        <v>0</v>
      </c>
      <c r="DT268" s="44">
        <f t="shared" si="604"/>
        <v>0</v>
      </c>
      <c r="DU268" s="44">
        <f t="shared" si="605"/>
        <v>0</v>
      </c>
      <c r="DV268" s="44">
        <f t="shared" si="606"/>
        <v>0</v>
      </c>
      <c r="DW268" s="44">
        <f t="shared" si="607"/>
        <v>0</v>
      </c>
      <c r="DX268" s="44">
        <f t="shared" si="533"/>
        <v>0</v>
      </c>
      <c r="DY268" s="44">
        <f t="shared" si="608"/>
        <v>0</v>
      </c>
      <c r="DZ268" s="44">
        <f t="shared" si="534"/>
        <v>0</v>
      </c>
      <c r="EA268" s="44">
        <f t="shared" si="609"/>
        <v>0</v>
      </c>
      <c r="EB268" s="44">
        <f t="shared" si="535"/>
        <v>0</v>
      </c>
      <c r="EC268" s="46">
        <f t="shared" si="536"/>
        <v>0</v>
      </c>
      <c r="ED268" s="47">
        <f t="shared" si="537"/>
        <v>0</v>
      </c>
    </row>
    <row r="269" spans="1:134" x14ac:dyDescent="0.35">
      <c r="A269" s="172"/>
      <c r="B269" s="173"/>
      <c r="C269" s="174"/>
      <c r="D269" s="175"/>
      <c r="E269" s="176"/>
      <c r="F269" s="177"/>
      <c r="G269" s="178"/>
      <c r="H269" s="179"/>
      <c r="I269" s="180"/>
      <c r="J269" s="181"/>
      <c r="K269" s="42">
        <f t="shared" si="488"/>
        <v>0</v>
      </c>
      <c r="L269" s="43">
        <f t="shared" si="489"/>
        <v>0</v>
      </c>
      <c r="M269" s="44">
        <f t="shared" si="490"/>
        <v>0</v>
      </c>
      <c r="N269" s="44"/>
      <c r="O269" s="44">
        <f t="shared" si="491"/>
        <v>0</v>
      </c>
      <c r="P269" s="45"/>
      <c r="Q269" s="44">
        <f t="shared" si="492"/>
        <v>0</v>
      </c>
      <c r="R269" s="604">
        <f t="shared" si="538"/>
        <v>0</v>
      </c>
      <c r="S269" s="44">
        <f t="shared" si="539"/>
        <v>0</v>
      </c>
      <c r="T269" s="44">
        <f t="shared" si="540"/>
        <v>0</v>
      </c>
      <c r="U269" s="44">
        <f t="shared" si="541"/>
        <v>0</v>
      </c>
      <c r="V269" s="44">
        <f t="shared" si="542"/>
        <v>0</v>
      </c>
      <c r="W269" s="44">
        <f t="shared" si="543"/>
        <v>0</v>
      </c>
      <c r="X269" s="44">
        <f t="shared" si="493"/>
        <v>0</v>
      </c>
      <c r="Y269" s="44">
        <f t="shared" si="544"/>
        <v>0</v>
      </c>
      <c r="Z269" s="44">
        <f t="shared" si="494"/>
        <v>0</v>
      </c>
      <c r="AA269" s="44">
        <f t="shared" si="545"/>
        <v>0</v>
      </c>
      <c r="AB269" s="44">
        <f t="shared" si="495"/>
        <v>0</v>
      </c>
      <c r="AC269" s="46">
        <f t="shared" si="496"/>
        <v>0</v>
      </c>
      <c r="AD269" s="47">
        <f t="shared" si="497"/>
        <v>0</v>
      </c>
      <c r="AE269" s="604">
        <f t="shared" si="546"/>
        <v>0</v>
      </c>
      <c r="AF269" s="44">
        <f t="shared" si="547"/>
        <v>0</v>
      </c>
      <c r="AG269" s="44">
        <f t="shared" si="548"/>
        <v>0</v>
      </c>
      <c r="AH269" s="44">
        <f t="shared" si="549"/>
        <v>0</v>
      </c>
      <c r="AI269" s="44">
        <f t="shared" si="550"/>
        <v>0</v>
      </c>
      <c r="AJ269" s="44">
        <f t="shared" si="551"/>
        <v>0</v>
      </c>
      <c r="AK269" s="44">
        <f t="shared" si="498"/>
        <v>0</v>
      </c>
      <c r="AL269" s="44">
        <f t="shared" si="552"/>
        <v>0</v>
      </c>
      <c r="AM269" s="44">
        <f t="shared" si="499"/>
        <v>0</v>
      </c>
      <c r="AN269" s="44">
        <f t="shared" si="553"/>
        <v>0</v>
      </c>
      <c r="AO269" s="44">
        <f t="shared" si="500"/>
        <v>0</v>
      </c>
      <c r="AP269" s="46">
        <f t="shared" si="501"/>
        <v>0</v>
      </c>
      <c r="AQ269" s="47">
        <f t="shared" si="502"/>
        <v>0</v>
      </c>
      <c r="AR269" s="604">
        <f t="shared" si="554"/>
        <v>0</v>
      </c>
      <c r="AS269" s="44">
        <f t="shared" si="555"/>
        <v>0</v>
      </c>
      <c r="AT269" s="44">
        <f t="shared" si="556"/>
        <v>0</v>
      </c>
      <c r="AU269" s="44">
        <f t="shared" si="557"/>
        <v>0</v>
      </c>
      <c r="AV269" s="44">
        <f t="shared" si="558"/>
        <v>0</v>
      </c>
      <c r="AW269" s="44">
        <f t="shared" si="559"/>
        <v>0</v>
      </c>
      <c r="AX269" s="44">
        <f t="shared" si="503"/>
        <v>0</v>
      </c>
      <c r="AY269" s="44">
        <f t="shared" si="560"/>
        <v>0</v>
      </c>
      <c r="AZ269" s="44">
        <f t="shared" si="504"/>
        <v>0</v>
      </c>
      <c r="BA269" s="44">
        <f t="shared" si="561"/>
        <v>0</v>
      </c>
      <c r="BB269" s="44">
        <f t="shared" si="505"/>
        <v>0</v>
      </c>
      <c r="BC269" s="46">
        <f t="shared" si="506"/>
        <v>0</v>
      </c>
      <c r="BD269" s="47">
        <f t="shared" si="507"/>
        <v>0</v>
      </c>
      <c r="BE269" s="604">
        <f t="shared" si="562"/>
        <v>0</v>
      </c>
      <c r="BF269" s="44">
        <f t="shared" si="563"/>
        <v>0</v>
      </c>
      <c r="BG269" s="44">
        <f t="shared" si="564"/>
        <v>0</v>
      </c>
      <c r="BH269" s="44">
        <f t="shared" si="565"/>
        <v>0</v>
      </c>
      <c r="BI269" s="44">
        <f t="shared" si="566"/>
        <v>0</v>
      </c>
      <c r="BJ269" s="44">
        <f t="shared" si="567"/>
        <v>0</v>
      </c>
      <c r="BK269" s="44">
        <f t="shared" si="508"/>
        <v>0</v>
      </c>
      <c r="BL269" s="44">
        <f t="shared" si="568"/>
        <v>0</v>
      </c>
      <c r="BM269" s="44">
        <f t="shared" si="509"/>
        <v>0</v>
      </c>
      <c r="BN269" s="44">
        <f t="shared" si="569"/>
        <v>0</v>
      </c>
      <c r="BO269" s="44">
        <f t="shared" si="510"/>
        <v>0</v>
      </c>
      <c r="BP269" s="46">
        <f t="shared" si="511"/>
        <v>0</v>
      </c>
      <c r="BQ269" s="47">
        <f t="shared" si="512"/>
        <v>0</v>
      </c>
      <c r="BR269" s="604">
        <f t="shared" si="570"/>
        <v>0</v>
      </c>
      <c r="BS269" s="44">
        <f t="shared" si="571"/>
        <v>0</v>
      </c>
      <c r="BT269" s="44">
        <f t="shared" si="572"/>
        <v>0</v>
      </c>
      <c r="BU269" s="44">
        <f t="shared" si="573"/>
        <v>0</v>
      </c>
      <c r="BV269" s="44">
        <f t="shared" si="574"/>
        <v>0</v>
      </c>
      <c r="BW269" s="44">
        <f t="shared" si="575"/>
        <v>0</v>
      </c>
      <c r="BX269" s="44">
        <f t="shared" si="513"/>
        <v>0</v>
      </c>
      <c r="BY269" s="44">
        <f t="shared" si="576"/>
        <v>0</v>
      </c>
      <c r="BZ269" s="44">
        <f t="shared" si="514"/>
        <v>0</v>
      </c>
      <c r="CA269" s="44">
        <f t="shared" si="577"/>
        <v>0</v>
      </c>
      <c r="CB269" s="44">
        <f t="shared" si="515"/>
        <v>0</v>
      </c>
      <c r="CC269" s="46">
        <f t="shared" si="516"/>
        <v>0</v>
      </c>
      <c r="CD269" s="47">
        <f t="shared" si="517"/>
        <v>0</v>
      </c>
      <c r="CE269" s="604">
        <f t="shared" si="578"/>
        <v>0</v>
      </c>
      <c r="CF269" s="44">
        <f t="shared" si="579"/>
        <v>0</v>
      </c>
      <c r="CG269" s="44">
        <f t="shared" si="580"/>
        <v>0</v>
      </c>
      <c r="CH269" s="44">
        <f t="shared" si="581"/>
        <v>0</v>
      </c>
      <c r="CI269" s="44">
        <f t="shared" si="582"/>
        <v>0</v>
      </c>
      <c r="CJ269" s="44">
        <f t="shared" si="583"/>
        <v>0</v>
      </c>
      <c r="CK269" s="44">
        <f t="shared" si="518"/>
        <v>0</v>
      </c>
      <c r="CL269" s="44">
        <f t="shared" si="584"/>
        <v>0</v>
      </c>
      <c r="CM269" s="44">
        <f t="shared" si="519"/>
        <v>0</v>
      </c>
      <c r="CN269" s="44">
        <f t="shared" si="585"/>
        <v>0</v>
      </c>
      <c r="CO269" s="44">
        <f t="shared" si="520"/>
        <v>0</v>
      </c>
      <c r="CP269" s="46">
        <f t="shared" si="521"/>
        <v>0</v>
      </c>
      <c r="CQ269" s="47">
        <f t="shared" si="522"/>
        <v>0</v>
      </c>
      <c r="CR269" s="604">
        <f t="shared" si="586"/>
        <v>0</v>
      </c>
      <c r="CS269" s="44">
        <f t="shared" si="587"/>
        <v>0</v>
      </c>
      <c r="CT269" s="44">
        <f t="shared" si="588"/>
        <v>0</v>
      </c>
      <c r="CU269" s="44">
        <f t="shared" si="589"/>
        <v>0</v>
      </c>
      <c r="CV269" s="44">
        <f t="shared" si="590"/>
        <v>0</v>
      </c>
      <c r="CW269" s="44">
        <f t="shared" si="591"/>
        <v>0</v>
      </c>
      <c r="CX269" s="44">
        <f t="shared" si="523"/>
        <v>0</v>
      </c>
      <c r="CY269" s="44">
        <f t="shared" si="592"/>
        <v>0</v>
      </c>
      <c r="CZ269" s="44">
        <f t="shared" si="524"/>
        <v>0</v>
      </c>
      <c r="DA269" s="44">
        <f t="shared" si="593"/>
        <v>0</v>
      </c>
      <c r="DB269" s="44">
        <f t="shared" si="525"/>
        <v>0</v>
      </c>
      <c r="DC269" s="46">
        <f t="shared" si="526"/>
        <v>0</v>
      </c>
      <c r="DD269" s="47">
        <f t="shared" si="527"/>
        <v>0</v>
      </c>
      <c r="DE269" s="604">
        <f t="shared" si="594"/>
        <v>0</v>
      </c>
      <c r="DF269" s="44">
        <f t="shared" si="595"/>
        <v>0</v>
      </c>
      <c r="DG269" s="44">
        <f t="shared" si="596"/>
        <v>0</v>
      </c>
      <c r="DH269" s="44">
        <f t="shared" si="597"/>
        <v>0</v>
      </c>
      <c r="DI269" s="44">
        <f t="shared" si="598"/>
        <v>0</v>
      </c>
      <c r="DJ269" s="44">
        <f t="shared" si="599"/>
        <v>0</v>
      </c>
      <c r="DK269" s="44">
        <f t="shared" si="528"/>
        <v>0</v>
      </c>
      <c r="DL269" s="44">
        <f t="shared" si="600"/>
        <v>0</v>
      </c>
      <c r="DM269" s="44">
        <f t="shared" si="529"/>
        <v>0</v>
      </c>
      <c r="DN269" s="44">
        <f t="shared" si="601"/>
        <v>0</v>
      </c>
      <c r="DO269" s="44">
        <f t="shared" si="530"/>
        <v>0</v>
      </c>
      <c r="DP269" s="46">
        <f t="shared" si="531"/>
        <v>0</v>
      </c>
      <c r="DQ269" s="47">
        <f t="shared" si="532"/>
        <v>0</v>
      </c>
      <c r="DR269" s="604">
        <f t="shared" si="602"/>
        <v>0</v>
      </c>
      <c r="DS269" s="44">
        <f t="shared" si="603"/>
        <v>0</v>
      </c>
      <c r="DT269" s="44">
        <f t="shared" si="604"/>
        <v>0</v>
      </c>
      <c r="DU269" s="44">
        <f t="shared" si="605"/>
        <v>0</v>
      </c>
      <c r="DV269" s="44">
        <f t="shared" si="606"/>
        <v>0</v>
      </c>
      <c r="DW269" s="44">
        <f t="shared" si="607"/>
        <v>0</v>
      </c>
      <c r="DX269" s="44">
        <f t="shared" si="533"/>
        <v>0</v>
      </c>
      <c r="DY269" s="44">
        <f t="shared" si="608"/>
        <v>0</v>
      </c>
      <c r="DZ269" s="44">
        <f t="shared" si="534"/>
        <v>0</v>
      </c>
      <c r="EA269" s="44">
        <f t="shared" si="609"/>
        <v>0</v>
      </c>
      <c r="EB269" s="44">
        <f t="shared" si="535"/>
        <v>0</v>
      </c>
      <c r="EC269" s="46">
        <f t="shared" si="536"/>
        <v>0</v>
      </c>
      <c r="ED269" s="47">
        <f t="shared" si="537"/>
        <v>0</v>
      </c>
    </row>
    <row r="270" spans="1:134" x14ac:dyDescent="0.35">
      <c r="A270" s="172"/>
      <c r="B270" s="173"/>
      <c r="C270" s="174"/>
      <c r="D270" s="175"/>
      <c r="E270" s="176"/>
      <c r="F270" s="177"/>
      <c r="G270" s="178"/>
      <c r="H270" s="179"/>
      <c r="I270" s="180"/>
      <c r="J270" s="181"/>
      <c r="K270" s="42">
        <f t="shared" si="488"/>
        <v>0</v>
      </c>
      <c r="L270" s="43">
        <f t="shared" si="489"/>
        <v>0</v>
      </c>
      <c r="M270" s="44">
        <f t="shared" si="490"/>
        <v>0</v>
      </c>
      <c r="N270" s="44"/>
      <c r="O270" s="44">
        <f t="shared" si="491"/>
        <v>0</v>
      </c>
      <c r="P270" s="45"/>
      <c r="Q270" s="44">
        <f t="shared" si="492"/>
        <v>0</v>
      </c>
      <c r="R270" s="604">
        <f t="shared" si="538"/>
        <v>0</v>
      </c>
      <c r="S270" s="44">
        <f t="shared" si="539"/>
        <v>0</v>
      </c>
      <c r="T270" s="44">
        <f t="shared" si="540"/>
        <v>0</v>
      </c>
      <c r="U270" s="44">
        <f t="shared" si="541"/>
        <v>0</v>
      </c>
      <c r="V270" s="44">
        <f t="shared" si="542"/>
        <v>0</v>
      </c>
      <c r="W270" s="44">
        <f t="shared" si="543"/>
        <v>0</v>
      </c>
      <c r="X270" s="44">
        <f t="shared" si="493"/>
        <v>0</v>
      </c>
      <c r="Y270" s="44">
        <f t="shared" si="544"/>
        <v>0</v>
      </c>
      <c r="Z270" s="44">
        <f t="shared" si="494"/>
        <v>0</v>
      </c>
      <c r="AA270" s="44">
        <f t="shared" si="545"/>
        <v>0</v>
      </c>
      <c r="AB270" s="44">
        <f t="shared" si="495"/>
        <v>0</v>
      </c>
      <c r="AC270" s="46">
        <f t="shared" si="496"/>
        <v>0</v>
      </c>
      <c r="AD270" s="47">
        <f t="shared" si="497"/>
        <v>0</v>
      </c>
      <c r="AE270" s="604">
        <f t="shared" si="546"/>
        <v>0</v>
      </c>
      <c r="AF270" s="44">
        <f t="shared" si="547"/>
        <v>0</v>
      </c>
      <c r="AG270" s="44">
        <f t="shared" si="548"/>
        <v>0</v>
      </c>
      <c r="AH270" s="44">
        <f t="shared" si="549"/>
        <v>0</v>
      </c>
      <c r="AI270" s="44">
        <f t="shared" si="550"/>
        <v>0</v>
      </c>
      <c r="AJ270" s="44">
        <f t="shared" si="551"/>
        <v>0</v>
      </c>
      <c r="AK270" s="44">
        <f t="shared" si="498"/>
        <v>0</v>
      </c>
      <c r="AL270" s="44">
        <f t="shared" si="552"/>
        <v>0</v>
      </c>
      <c r="AM270" s="44">
        <f t="shared" si="499"/>
        <v>0</v>
      </c>
      <c r="AN270" s="44">
        <f t="shared" si="553"/>
        <v>0</v>
      </c>
      <c r="AO270" s="44">
        <f t="shared" si="500"/>
        <v>0</v>
      </c>
      <c r="AP270" s="46">
        <f t="shared" si="501"/>
        <v>0</v>
      </c>
      <c r="AQ270" s="47">
        <f t="shared" si="502"/>
        <v>0</v>
      </c>
      <c r="AR270" s="604">
        <f t="shared" si="554"/>
        <v>0</v>
      </c>
      <c r="AS270" s="44">
        <f t="shared" si="555"/>
        <v>0</v>
      </c>
      <c r="AT270" s="44">
        <f t="shared" si="556"/>
        <v>0</v>
      </c>
      <c r="AU270" s="44">
        <f t="shared" si="557"/>
        <v>0</v>
      </c>
      <c r="AV270" s="44">
        <f t="shared" si="558"/>
        <v>0</v>
      </c>
      <c r="AW270" s="44">
        <f t="shared" si="559"/>
        <v>0</v>
      </c>
      <c r="AX270" s="44">
        <f t="shared" si="503"/>
        <v>0</v>
      </c>
      <c r="AY270" s="44">
        <f t="shared" si="560"/>
        <v>0</v>
      </c>
      <c r="AZ270" s="44">
        <f t="shared" si="504"/>
        <v>0</v>
      </c>
      <c r="BA270" s="44">
        <f t="shared" si="561"/>
        <v>0</v>
      </c>
      <c r="BB270" s="44">
        <f t="shared" si="505"/>
        <v>0</v>
      </c>
      <c r="BC270" s="46">
        <f t="shared" si="506"/>
        <v>0</v>
      </c>
      <c r="BD270" s="47">
        <f t="shared" si="507"/>
        <v>0</v>
      </c>
      <c r="BE270" s="604">
        <f t="shared" si="562"/>
        <v>0</v>
      </c>
      <c r="BF270" s="44">
        <f t="shared" si="563"/>
        <v>0</v>
      </c>
      <c r="BG270" s="44">
        <f t="shared" si="564"/>
        <v>0</v>
      </c>
      <c r="BH270" s="44">
        <f t="shared" si="565"/>
        <v>0</v>
      </c>
      <c r="BI270" s="44">
        <f t="shared" si="566"/>
        <v>0</v>
      </c>
      <c r="BJ270" s="44">
        <f t="shared" si="567"/>
        <v>0</v>
      </c>
      <c r="BK270" s="44">
        <f t="shared" si="508"/>
        <v>0</v>
      </c>
      <c r="BL270" s="44">
        <f t="shared" si="568"/>
        <v>0</v>
      </c>
      <c r="BM270" s="44">
        <f t="shared" si="509"/>
        <v>0</v>
      </c>
      <c r="BN270" s="44">
        <f t="shared" si="569"/>
        <v>0</v>
      </c>
      <c r="BO270" s="44">
        <f t="shared" si="510"/>
        <v>0</v>
      </c>
      <c r="BP270" s="46">
        <f t="shared" si="511"/>
        <v>0</v>
      </c>
      <c r="BQ270" s="47">
        <f t="shared" si="512"/>
        <v>0</v>
      </c>
      <c r="BR270" s="604">
        <f t="shared" si="570"/>
        <v>0</v>
      </c>
      <c r="BS270" s="44">
        <f t="shared" si="571"/>
        <v>0</v>
      </c>
      <c r="BT270" s="44">
        <f t="shared" si="572"/>
        <v>0</v>
      </c>
      <c r="BU270" s="44">
        <f t="shared" si="573"/>
        <v>0</v>
      </c>
      <c r="BV270" s="44">
        <f t="shared" si="574"/>
        <v>0</v>
      </c>
      <c r="BW270" s="44">
        <f t="shared" si="575"/>
        <v>0</v>
      </c>
      <c r="BX270" s="44">
        <f t="shared" si="513"/>
        <v>0</v>
      </c>
      <c r="BY270" s="44">
        <f t="shared" si="576"/>
        <v>0</v>
      </c>
      <c r="BZ270" s="44">
        <f t="shared" si="514"/>
        <v>0</v>
      </c>
      <c r="CA270" s="44">
        <f t="shared" si="577"/>
        <v>0</v>
      </c>
      <c r="CB270" s="44">
        <f t="shared" si="515"/>
        <v>0</v>
      </c>
      <c r="CC270" s="46">
        <f t="shared" si="516"/>
        <v>0</v>
      </c>
      <c r="CD270" s="47">
        <f t="shared" si="517"/>
        <v>0</v>
      </c>
      <c r="CE270" s="604">
        <f t="shared" si="578"/>
        <v>0</v>
      </c>
      <c r="CF270" s="44">
        <f t="shared" si="579"/>
        <v>0</v>
      </c>
      <c r="CG270" s="44">
        <f t="shared" si="580"/>
        <v>0</v>
      </c>
      <c r="CH270" s="44">
        <f t="shared" si="581"/>
        <v>0</v>
      </c>
      <c r="CI270" s="44">
        <f t="shared" si="582"/>
        <v>0</v>
      </c>
      <c r="CJ270" s="44">
        <f t="shared" si="583"/>
        <v>0</v>
      </c>
      <c r="CK270" s="44">
        <f t="shared" si="518"/>
        <v>0</v>
      </c>
      <c r="CL270" s="44">
        <f t="shared" si="584"/>
        <v>0</v>
      </c>
      <c r="CM270" s="44">
        <f t="shared" si="519"/>
        <v>0</v>
      </c>
      <c r="CN270" s="44">
        <f t="shared" si="585"/>
        <v>0</v>
      </c>
      <c r="CO270" s="44">
        <f t="shared" si="520"/>
        <v>0</v>
      </c>
      <c r="CP270" s="46">
        <f t="shared" si="521"/>
        <v>0</v>
      </c>
      <c r="CQ270" s="47">
        <f t="shared" si="522"/>
        <v>0</v>
      </c>
      <c r="CR270" s="604">
        <f t="shared" si="586"/>
        <v>0</v>
      </c>
      <c r="CS270" s="44">
        <f t="shared" si="587"/>
        <v>0</v>
      </c>
      <c r="CT270" s="44">
        <f t="shared" si="588"/>
        <v>0</v>
      </c>
      <c r="CU270" s="44">
        <f t="shared" si="589"/>
        <v>0</v>
      </c>
      <c r="CV270" s="44">
        <f t="shared" si="590"/>
        <v>0</v>
      </c>
      <c r="CW270" s="44">
        <f t="shared" si="591"/>
        <v>0</v>
      </c>
      <c r="CX270" s="44">
        <f t="shared" si="523"/>
        <v>0</v>
      </c>
      <c r="CY270" s="44">
        <f t="shared" si="592"/>
        <v>0</v>
      </c>
      <c r="CZ270" s="44">
        <f t="shared" si="524"/>
        <v>0</v>
      </c>
      <c r="DA270" s="44">
        <f t="shared" si="593"/>
        <v>0</v>
      </c>
      <c r="DB270" s="44">
        <f t="shared" si="525"/>
        <v>0</v>
      </c>
      <c r="DC270" s="46">
        <f t="shared" si="526"/>
        <v>0</v>
      </c>
      <c r="DD270" s="47">
        <f t="shared" si="527"/>
        <v>0</v>
      </c>
      <c r="DE270" s="604">
        <f t="shared" si="594"/>
        <v>0</v>
      </c>
      <c r="DF270" s="44">
        <f t="shared" si="595"/>
        <v>0</v>
      </c>
      <c r="DG270" s="44">
        <f t="shared" si="596"/>
        <v>0</v>
      </c>
      <c r="DH270" s="44">
        <f t="shared" si="597"/>
        <v>0</v>
      </c>
      <c r="DI270" s="44">
        <f t="shared" si="598"/>
        <v>0</v>
      </c>
      <c r="DJ270" s="44">
        <f t="shared" si="599"/>
        <v>0</v>
      </c>
      <c r="DK270" s="44">
        <f t="shared" si="528"/>
        <v>0</v>
      </c>
      <c r="DL270" s="44">
        <f t="shared" si="600"/>
        <v>0</v>
      </c>
      <c r="DM270" s="44">
        <f t="shared" si="529"/>
        <v>0</v>
      </c>
      <c r="DN270" s="44">
        <f t="shared" si="601"/>
        <v>0</v>
      </c>
      <c r="DO270" s="44">
        <f t="shared" si="530"/>
        <v>0</v>
      </c>
      <c r="DP270" s="46">
        <f t="shared" si="531"/>
        <v>0</v>
      </c>
      <c r="DQ270" s="47">
        <f t="shared" si="532"/>
        <v>0</v>
      </c>
      <c r="DR270" s="604">
        <f t="shared" si="602"/>
        <v>0</v>
      </c>
      <c r="DS270" s="44">
        <f t="shared" si="603"/>
        <v>0</v>
      </c>
      <c r="DT270" s="44">
        <f t="shared" si="604"/>
        <v>0</v>
      </c>
      <c r="DU270" s="44">
        <f t="shared" si="605"/>
        <v>0</v>
      </c>
      <c r="DV270" s="44">
        <f t="shared" si="606"/>
        <v>0</v>
      </c>
      <c r="DW270" s="44">
        <f t="shared" si="607"/>
        <v>0</v>
      </c>
      <c r="DX270" s="44">
        <f t="shared" si="533"/>
        <v>0</v>
      </c>
      <c r="DY270" s="44">
        <f t="shared" si="608"/>
        <v>0</v>
      </c>
      <c r="DZ270" s="44">
        <f t="shared" si="534"/>
        <v>0</v>
      </c>
      <c r="EA270" s="44">
        <f t="shared" si="609"/>
        <v>0</v>
      </c>
      <c r="EB270" s="44">
        <f t="shared" si="535"/>
        <v>0</v>
      </c>
      <c r="EC270" s="46">
        <f t="shared" si="536"/>
        <v>0</v>
      </c>
      <c r="ED270" s="47">
        <f t="shared" si="537"/>
        <v>0</v>
      </c>
    </row>
    <row r="271" spans="1:134" x14ac:dyDescent="0.35">
      <c r="A271" s="172"/>
      <c r="B271" s="173"/>
      <c r="C271" s="174"/>
      <c r="D271" s="175"/>
      <c r="E271" s="176"/>
      <c r="F271" s="177"/>
      <c r="G271" s="178"/>
      <c r="H271" s="179"/>
      <c r="I271" s="180"/>
      <c r="J271" s="181"/>
      <c r="K271" s="42">
        <f t="shared" si="488"/>
        <v>0</v>
      </c>
      <c r="L271" s="43">
        <f t="shared" si="489"/>
        <v>0</v>
      </c>
      <c r="M271" s="44">
        <f t="shared" si="490"/>
        <v>0</v>
      </c>
      <c r="N271" s="44"/>
      <c r="O271" s="44">
        <f t="shared" si="491"/>
        <v>0</v>
      </c>
      <c r="P271" s="45"/>
      <c r="Q271" s="44">
        <f t="shared" si="492"/>
        <v>0</v>
      </c>
      <c r="R271" s="604">
        <f t="shared" si="538"/>
        <v>0</v>
      </c>
      <c r="S271" s="44">
        <f t="shared" si="539"/>
        <v>0</v>
      </c>
      <c r="T271" s="44">
        <f t="shared" si="540"/>
        <v>0</v>
      </c>
      <c r="U271" s="44">
        <f t="shared" si="541"/>
        <v>0</v>
      </c>
      <c r="V271" s="44">
        <f t="shared" si="542"/>
        <v>0</v>
      </c>
      <c r="W271" s="44">
        <f t="shared" si="543"/>
        <v>0</v>
      </c>
      <c r="X271" s="44">
        <f t="shared" si="493"/>
        <v>0</v>
      </c>
      <c r="Y271" s="44">
        <f t="shared" si="544"/>
        <v>0</v>
      </c>
      <c r="Z271" s="44">
        <f t="shared" si="494"/>
        <v>0</v>
      </c>
      <c r="AA271" s="44">
        <f t="shared" si="545"/>
        <v>0</v>
      </c>
      <c r="AB271" s="44">
        <f t="shared" si="495"/>
        <v>0</v>
      </c>
      <c r="AC271" s="46">
        <f t="shared" si="496"/>
        <v>0</v>
      </c>
      <c r="AD271" s="47">
        <f t="shared" si="497"/>
        <v>0</v>
      </c>
      <c r="AE271" s="604">
        <f t="shared" si="546"/>
        <v>0</v>
      </c>
      <c r="AF271" s="44">
        <f t="shared" si="547"/>
        <v>0</v>
      </c>
      <c r="AG271" s="44">
        <f t="shared" si="548"/>
        <v>0</v>
      </c>
      <c r="AH271" s="44">
        <f t="shared" si="549"/>
        <v>0</v>
      </c>
      <c r="AI271" s="44">
        <f t="shared" si="550"/>
        <v>0</v>
      </c>
      <c r="AJ271" s="44">
        <f t="shared" si="551"/>
        <v>0</v>
      </c>
      <c r="AK271" s="44">
        <f t="shared" si="498"/>
        <v>0</v>
      </c>
      <c r="AL271" s="44">
        <f t="shared" si="552"/>
        <v>0</v>
      </c>
      <c r="AM271" s="44">
        <f t="shared" si="499"/>
        <v>0</v>
      </c>
      <c r="AN271" s="44">
        <f t="shared" si="553"/>
        <v>0</v>
      </c>
      <c r="AO271" s="44">
        <f t="shared" si="500"/>
        <v>0</v>
      </c>
      <c r="AP271" s="46">
        <f t="shared" si="501"/>
        <v>0</v>
      </c>
      <c r="AQ271" s="47">
        <f t="shared" si="502"/>
        <v>0</v>
      </c>
      <c r="AR271" s="604">
        <f t="shared" si="554"/>
        <v>0</v>
      </c>
      <c r="AS271" s="44">
        <f t="shared" si="555"/>
        <v>0</v>
      </c>
      <c r="AT271" s="44">
        <f t="shared" si="556"/>
        <v>0</v>
      </c>
      <c r="AU271" s="44">
        <f t="shared" si="557"/>
        <v>0</v>
      </c>
      <c r="AV271" s="44">
        <f t="shared" si="558"/>
        <v>0</v>
      </c>
      <c r="AW271" s="44">
        <f t="shared" si="559"/>
        <v>0</v>
      </c>
      <c r="AX271" s="44">
        <f t="shared" si="503"/>
        <v>0</v>
      </c>
      <c r="AY271" s="44">
        <f t="shared" si="560"/>
        <v>0</v>
      </c>
      <c r="AZ271" s="44">
        <f t="shared" si="504"/>
        <v>0</v>
      </c>
      <c r="BA271" s="44">
        <f t="shared" si="561"/>
        <v>0</v>
      </c>
      <c r="BB271" s="44">
        <f t="shared" si="505"/>
        <v>0</v>
      </c>
      <c r="BC271" s="46">
        <f t="shared" si="506"/>
        <v>0</v>
      </c>
      <c r="BD271" s="47">
        <f t="shared" si="507"/>
        <v>0</v>
      </c>
      <c r="BE271" s="604">
        <f t="shared" si="562"/>
        <v>0</v>
      </c>
      <c r="BF271" s="44">
        <f t="shared" si="563"/>
        <v>0</v>
      </c>
      <c r="BG271" s="44">
        <f t="shared" si="564"/>
        <v>0</v>
      </c>
      <c r="BH271" s="44">
        <f t="shared" si="565"/>
        <v>0</v>
      </c>
      <c r="BI271" s="44">
        <f t="shared" si="566"/>
        <v>0</v>
      </c>
      <c r="BJ271" s="44">
        <f t="shared" si="567"/>
        <v>0</v>
      </c>
      <c r="BK271" s="44">
        <f t="shared" si="508"/>
        <v>0</v>
      </c>
      <c r="BL271" s="44">
        <f t="shared" si="568"/>
        <v>0</v>
      </c>
      <c r="BM271" s="44">
        <f t="shared" si="509"/>
        <v>0</v>
      </c>
      <c r="BN271" s="44">
        <f t="shared" si="569"/>
        <v>0</v>
      </c>
      <c r="BO271" s="44">
        <f t="shared" si="510"/>
        <v>0</v>
      </c>
      <c r="BP271" s="46">
        <f t="shared" si="511"/>
        <v>0</v>
      </c>
      <c r="BQ271" s="47">
        <f t="shared" si="512"/>
        <v>0</v>
      </c>
      <c r="BR271" s="604">
        <f t="shared" si="570"/>
        <v>0</v>
      </c>
      <c r="BS271" s="44">
        <f t="shared" si="571"/>
        <v>0</v>
      </c>
      <c r="BT271" s="44">
        <f t="shared" si="572"/>
        <v>0</v>
      </c>
      <c r="BU271" s="44">
        <f t="shared" si="573"/>
        <v>0</v>
      </c>
      <c r="BV271" s="44">
        <f t="shared" si="574"/>
        <v>0</v>
      </c>
      <c r="BW271" s="44">
        <f t="shared" si="575"/>
        <v>0</v>
      </c>
      <c r="BX271" s="44">
        <f t="shared" si="513"/>
        <v>0</v>
      </c>
      <c r="BY271" s="44">
        <f t="shared" si="576"/>
        <v>0</v>
      </c>
      <c r="BZ271" s="44">
        <f t="shared" si="514"/>
        <v>0</v>
      </c>
      <c r="CA271" s="44">
        <f t="shared" si="577"/>
        <v>0</v>
      </c>
      <c r="CB271" s="44">
        <f t="shared" si="515"/>
        <v>0</v>
      </c>
      <c r="CC271" s="46">
        <f t="shared" si="516"/>
        <v>0</v>
      </c>
      <c r="CD271" s="47">
        <f t="shared" si="517"/>
        <v>0</v>
      </c>
      <c r="CE271" s="604">
        <f t="shared" si="578"/>
        <v>0</v>
      </c>
      <c r="CF271" s="44">
        <f t="shared" si="579"/>
        <v>0</v>
      </c>
      <c r="CG271" s="44">
        <f t="shared" si="580"/>
        <v>0</v>
      </c>
      <c r="CH271" s="44">
        <f t="shared" si="581"/>
        <v>0</v>
      </c>
      <c r="CI271" s="44">
        <f t="shared" si="582"/>
        <v>0</v>
      </c>
      <c r="CJ271" s="44">
        <f t="shared" si="583"/>
        <v>0</v>
      </c>
      <c r="CK271" s="44">
        <f t="shared" si="518"/>
        <v>0</v>
      </c>
      <c r="CL271" s="44">
        <f t="shared" si="584"/>
        <v>0</v>
      </c>
      <c r="CM271" s="44">
        <f t="shared" si="519"/>
        <v>0</v>
      </c>
      <c r="CN271" s="44">
        <f t="shared" si="585"/>
        <v>0</v>
      </c>
      <c r="CO271" s="44">
        <f t="shared" si="520"/>
        <v>0</v>
      </c>
      <c r="CP271" s="46">
        <f t="shared" si="521"/>
        <v>0</v>
      </c>
      <c r="CQ271" s="47">
        <f t="shared" si="522"/>
        <v>0</v>
      </c>
      <c r="CR271" s="604">
        <f t="shared" si="586"/>
        <v>0</v>
      </c>
      <c r="CS271" s="44">
        <f t="shared" si="587"/>
        <v>0</v>
      </c>
      <c r="CT271" s="44">
        <f t="shared" si="588"/>
        <v>0</v>
      </c>
      <c r="CU271" s="44">
        <f t="shared" si="589"/>
        <v>0</v>
      </c>
      <c r="CV271" s="44">
        <f t="shared" si="590"/>
        <v>0</v>
      </c>
      <c r="CW271" s="44">
        <f t="shared" si="591"/>
        <v>0</v>
      </c>
      <c r="CX271" s="44">
        <f t="shared" si="523"/>
        <v>0</v>
      </c>
      <c r="CY271" s="44">
        <f t="shared" si="592"/>
        <v>0</v>
      </c>
      <c r="CZ271" s="44">
        <f t="shared" si="524"/>
        <v>0</v>
      </c>
      <c r="DA271" s="44">
        <f t="shared" si="593"/>
        <v>0</v>
      </c>
      <c r="DB271" s="44">
        <f t="shared" si="525"/>
        <v>0</v>
      </c>
      <c r="DC271" s="46">
        <f t="shared" si="526"/>
        <v>0</v>
      </c>
      <c r="DD271" s="47">
        <f t="shared" si="527"/>
        <v>0</v>
      </c>
      <c r="DE271" s="604">
        <f t="shared" si="594"/>
        <v>0</v>
      </c>
      <c r="DF271" s="44">
        <f t="shared" si="595"/>
        <v>0</v>
      </c>
      <c r="DG271" s="44">
        <f t="shared" si="596"/>
        <v>0</v>
      </c>
      <c r="DH271" s="44">
        <f t="shared" si="597"/>
        <v>0</v>
      </c>
      <c r="DI271" s="44">
        <f t="shared" si="598"/>
        <v>0</v>
      </c>
      <c r="DJ271" s="44">
        <f t="shared" si="599"/>
        <v>0</v>
      </c>
      <c r="DK271" s="44">
        <f t="shared" si="528"/>
        <v>0</v>
      </c>
      <c r="DL271" s="44">
        <f t="shared" si="600"/>
        <v>0</v>
      </c>
      <c r="DM271" s="44">
        <f t="shared" si="529"/>
        <v>0</v>
      </c>
      <c r="DN271" s="44">
        <f t="shared" si="601"/>
        <v>0</v>
      </c>
      <c r="DO271" s="44">
        <f t="shared" si="530"/>
        <v>0</v>
      </c>
      <c r="DP271" s="46">
        <f t="shared" si="531"/>
        <v>0</v>
      </c>
      <c r="DQ271" s="47">
        <f t="shared" si="532"/>
        <v>0</v>
      </c>
      <c r="DR271" s="604">
        <f t="shared" si="602"/>
        <v>0</v>
      </c>
      <c r="DS271" s="44">
        <f t="shared" si="603"/>
        <v>0</v>
      </c>
      <c r="DT271" s="44">
        <f t="shared" si="604"/>
        <v>0</v>
      </c>
      <c r="DU271" s="44">
        <f t="shared" si="605"/>
        <v>0</v>
      </c>
      <c r="DV271" s="44">
        <f t="shared" si="606"/>
        <v>0</v>
      </c>
      <c r="DW271" s="44">
        <f t="shared" si="607"/>
        <v>0</v>
      </c>
      <c r="DX271" s="44">
        <f t="shared" si="533"/>
        <v>0</v>
      </c>
      <c r="DY271" s="44">
        <f t="shared" si="608"/>
        <v>0</v>
      </c>
      <c r="DZ271" s="44">
        <f t="shared" si="534"/>
        <v>0</v>
      </c>
      <c r="EA271" s="44">
        <f t="shared" si="609"/>
        <v>0</v>
      </c>
      <c r="EB271" s="44">
        <f t="shared" si="535"/>
        <v>0</v>
      </c>
      <c r="EC271" s="46">
        <f t="shared" si="536"/>
        <v>0</v>
      </c>
      <c r="ED271" s="47">
        <f t="shared" si="537"/>
        <v>0</v>
      </c>
    </row>
    <row r="272" spans="1:134" x14ac:dyDescent="0.35">
      <c r="A272" s="172"/>
      <c r="B272" s="173"/>
      <c r="C272" s="174"/>
      <c r="D272" s="175"/>
      <c r="E272" s="176"/>
      <c r="F272" s="177"/>
      <c r="G272" s="178"/>
      <c r="H272" s="179"/>
      <c r="I272" s="180"/>
      <c r="J272" s="181"/>
      <c r="K272" s="42">
        <f t="shared" si="488"/>
        <v>0</v>
      </c>
      <c r="L272" s="43">
        <f t="shared" si="489"/>
        <v>0</v>
      </c>
      <c r="M272" s="44">
        <f t="shared" si="490"/>
        <v>0</v>
      </c>
      <c r="N272" s="44"/>
      <c r="O272" s="44">
        <f t="shared" si="491"/>
        <v>0</v>
      </c>
      <c r="P272" s="45"/>
      <c r="Q272" s="44">
        <f t="shared" si="492"/>
        <v>0</v>
      </c>
      <c r="R272" s="604">
        <f t="shared" si="538"/>
        <v>0</v>
      </c>
      <c r="S272" s="44">
        <f t="shared" si="539"/>
        <v>0</v>
      </c>
      <c r="T272" s="44">
        <f t="shared" si="540"/>
        <v>0</v>
      </c>
      <c r="U272" s="44">
        <f t="shared" si="541"/>
        <v>0</v>
      </c>
      <c r="V272" s="44">
        <f t="shared" si="542"/>
        <v>0</v>
      </c>
      <c r="W272" s="44">
        <f t="shared" si="543"/>
        <v>0</v>
      </c>
      <c r="X272" s="44">
        <f t="shared" si="493"/>
        <v>0</v>
      </c>
      <c r="Y272" s="44">
        <f t="shared" si="544"/>
        <v>0</v>
      </c>
      <c r="Z272" s="44">
        <f t="shared" si="494"/>
        <v>0</v>
      </c>
      <c r="AA272" s="44">
        <f t="shared" si="545"/>
        <v>0</v>
      </c>
      <c r="AB272" s="44">
        <f t="shared" si="495"/>
        <v>0</v>
      </c>
      <c r="AC272" s="46">
        <f t="shared" si="496"/>
        <v>0</v>
      </c>
      <c r="AD272" s="47">
        <f t="shared" si="497"/>
        <v>0</v>
      </c>
      <c r="AE272" s="604">
        <f t="shared" si="546"/>
        <v>0</v>
      </c>
      <c r="AF272" s="44">
        <f t="shared" si="547"/>
        <v>0</v>
      </c>
      <c r="AG272" s="44">
        <f t="shared" si="548"/>
        <v>0</v>
      </c>
      <c r="AH272" s="44">
        <f t="shared" si="549"/>
        <v>0</v>
      </c>
      <c r="AI272" s="44">
        <f t="shared" si="550"/>
        <v>0</v>
      </c>
      <c r="AJ272" s="44">
        <f t="shared" si="551"/>
        <v>0</v>
      </c>
      <c r="AK272" s="44">
        <f t="shared" si="498"/>
        <v>0</v>
      </c>
      <c r="AL272" s="44">
        <f t="shared" si="552"/>
        <v>0</v>
      </c>
      <c r="AM272" s="44">
        <f t="shared" si="499"/>
        <v>0</v>
      </c>
      <c r="AN272" s="44">
        <f t="shared" si="553"/>
        <v>0</v>
      </c>
      <c r="AO272" s="44">
        <f t="shared" si="500"/>
        <v>0</v>
      </c>
      <c r="AP272" s="46">
        <f t="shared" si="501"/>
        <v>0</v>
      </c>
      <c r="AQ272" s="47">
        <f t="shared" si="502"/>
        <v>0</v>
      </c>
      <c r="AR272" s="604">
        <f t="shared" si="554"/>
        <v>0</v>
      </c>
      <c r="AS272" s="44">
        <f t="shared" si="555"/>
        <v>0</v>
      </c>
      <c r="AT272" s="44">
        <f t="shared" si="556"/>
        <v>0</v>
      </c>
      <c r="AU272" s="44">
        <f t="shared" si="557"/>
        <v>0</v>
      </c>
      <c r="AV272" s="44">
        <f t="shared" si="558"/>
        <v>0</v>
      </c>
      <c r="AW272" s="44">
        <f t="shared" si="559"/>
        <v>0</v>
      </c>
      <c r="AX272" s="44">
        <f t="shared" si="503"/>
        <v>0</v>
      </c>
      <c r="AY272" s="44">
        <f t="shared" si="560"/>
        <v>0</v>
      </c>
      <c r="AZ272" s="44">
        <f t="shared" si="504"/>
        <v>0</v>
      </c>
      <c r="BA272" s="44">
        <f t="shared" si="561"/>
        <v>0</v>
      </c>
      <c r="BB272" s="44">
        <f t="shared" si="505"/>
        <v>0</v>
      </c>
      <c r="BC272" s="46">
        <f t="shared" si="506"/>
        <v>0</v>
      </c>
      <c r="BD272" s="47">
        <f t="shared" si="507"/>
        <v>0</v>
      </c>
      <c r="BE272" s="604">
        <f t="shared" si="562"/>
        <v>0</v>
      </c>
      <c r="BF272" s="44">
        <f t="shared" si="563"/>
        <v>0</v>
      </c>
      <c r="BG272" s="44">
        <f t="shared" si="564"/>
        <v>0</v>
      </c>
      <c r="BH272" s="44">
        <f t="shared" si="565"/>
        <v>0</v>
      </c>
      <c r="BI272" s="44">
        <f t="shared" si="566"/>
        <v>0</v>
      </c>
      <c r="BJ272" s="44">
        <f t="shared" si="567"/>
        <v>0</v>
      </c>
      <c r="BK272" s="44">
        <f t="shared" si="508"/>
        <v>0</v>
      </c>
      <c r="BL272" s="44">
        <f t="shared" si="568"/>
        <v>0</v>
      </c>
      <c r="BM272" s="44">
        <f t="shared" si="509"/>
        <v>0</v>
      </c>
      <c r="BN272" s="44">
        <f t="shared" si="569"/>
        <v>0</v>
      </c>
      <c r="BO272" s="44">
        <f t="shared" si="510"/>
        <v>0</v>
      </c>
      <c r="BP272" s="46">
        <f t="shared" si="511"/>
        <v>0</v>
      </c>
      <c r="BQ272" s="47">
        <f t="shared" si="512"/>
        <v>0</v>
      </c>
      <c r="BR272" s="604">
        <f t="shared" si="570"/>
        <v>0</v>
      </c>
      <c r="BS272" s="44">
        <f t="shared" si="571"/>
        <v>0</v>
      </c>
      <c r="BT272" s="44">
        <f t="shared" si="572"/>
        <v>0</v>
      </c>
      <c r="BU272" s="44">
        <f t="shared" si="573"/>
        <v>0</v>
      </c>
      <c r="BV272" s="44">
        <f t="shared" si="574"/>
        <v>0</v>
      </c>
      <c r="BW272" s="44">
        <f t="shared" si="575"/>
        <v>0</v>
      </c>
      <c r="BX272" s="44">
        <f t="shared" si="513"/>
        <v>0</v>
      </c>
      <c r="BY272" s="44">
        <f t="shared" si="576"/>
        <v>0</v>
      </c>
      <c r="BZ272" s="44">
        <f t="shared" si="514"/>
        <v>0</v>
      </c>
      <c r="CA272" s="44">
        <f t="shared" si="577"/>
        <v>0</v>
      </c>
      <c r="CB272" s="44">
        <f t="shared" si="515"/>
        <v>0</v>
      </c>
      <c r="CC272" s="46">
        <f t="shared" si="516"/>
        <v>0</v>
      </c>
      <c r="CD272" s="47">
        <f t="shared" si="517"/>
        <v>0</v>
      </c>
      <c r="CE272" s="604">
        <f t="shared" si="578"/>
        <v>0</v>
      </c>
      <c r="CF272" s="44">
        <f t="shared" si="579"/>
        <v>0</v>
      </c>
      <c r="CG272" s="44">
        <f t="shared" si="580"/>
        <v>0</v>
      </c>
      <c r="CH272" s="44">
        <f t="shared" si="581"/>
        <v>0</v>
      </c>
      <c r="CI272" s="44">
        <f t="shared" si="582"/>
        <v>0</v>
      </c>
      <c r="CJ272" s="44">
        <f t="shared" si="583"/>
        <v>0</v>
      </c>
      <c r="CK272" s="44">
        <f t="shared" si="518"/>
        <v>0</v>
      </c>
      <c r="CL272" s="44">
        <f t="shared" si="584"/>
        <v>0</v>
      </c>
      <c r="CM272" s="44">
        <f t="shared" si="519"/>
        <v>0</v>
      </c>
      <c r="CN272" s="44">
        <f t="shared" si="585"/>
        <v>0</v>
      </c>
      <c r="CO272" s="44">
        <f t="shared" si="520"/>
        <v>0</v>
      </c>
      <c r="CP272" s="46">
        <f t="shared" si="521"/>
        <v>0</v>
      </c>
      <c r="CQ272" s="47">
        <f t="shared" si="522"/>
        <v>0</v>
      </c>
      <c r="CR272" s="604">
        <f t="shared" si="586"/>
        <v>0</v>
      </c>
      <c r="CS272" s="44">
        <f t="shared" si="587"/>
        <v>0</v>
      </c>
      <c r="CT272" s="44">
        <f t="shared" si="588"/>
        <v>0</v>
      </c>
      <c r="CU272" s="44">
        <f t="shared" si="589"/>
        <v>0</v>
      </c>
      <c r="CV272" s="44">
        <f t="shared" si="590"/>
        <v>0</v>
      </c>
      <c r="CW272" s="44">
        <f t="shared" si="591"/>
        <v>0</v>
      </c>
      <c r="CX272" s="44">
        <f t="shared" si="523"/>
        <v>0</v>
      </c>
      <c r="CY272" s="44">
        <f t="shared" si="592"/>
        <v>0</v>
      </c>
      <c r="CZ272" s="44">
        <f t="shared" si="524"/>
        <v>0</v>
      </c>
      <c r="DA272" s="44">
        <f t="shared" si="593"/>
        <v>0</v>
      </c>
      <c r="DB272" s="44">
        <f t="shared" si="525"/>
        <v>0</v>
      </c>
      <c r="DC272" s="46">
        <f t="shared" si="526"/>
        <v>0</v>
      </c>
      <c r="DD272" s="47">
        <f t="shared" si="527"/>
        <v>0</v>
      </c>
      <c r="DE272" s="604">
        <f t="shared" si="594"/>
        <v>0</v>
      </c>
      <c r="DF272" s="44">
        <f t="shared" si="595"/>
        <v>0</v>
      </c>
      <c r="DG272" s="44">
        <f t="shared" si="596"/>
        <v>0</v>
      </c>
      <c r="DH272" s="44">
        <f t="shared" si="597"/>
        <v>0</v>
      </c>
      <c r="DI272" s="44">
        <f t="shared" si="598"/>
        <v>0</v>
      </c>
      <c r="DJ272" s="44">
        <f t="shared" si="599"/>
        <v>0</v>
      </c>
      <c r="DK272" s="44">
        <f t="shared" si="528"/>
        <v>0</v>
      </c>
      <c r="DL272" s="44">
        <f t="shared" si="600"/>
        <v>0</v>
      </c>
      <c r="DM272" s="44">
        <f t="shared" si="529"/>
        <v>0</v>
      </c>
      <c r="DN272" s="44">
        <f t="shared" si="601"/>
        <v>0</v>
      </c>
      <c r="DO272" s="44">
        <f t="shared" si="530"/>
        <v>0</v>
      </c>
      <c r="DP272" s="46">
        <f t="shared" si="531"/>
        <v>0</v>
      </c>
      <c r="DQ272" s="47">
        <f t="shared" si="532"/>
        <v>0</v>
      </c>
      <c r="DR272" s="604">
        <f t="shared" si="602"/>
        <v>0</v>
      </c>
      <c r="DS272" s="44">
        <f t="shared" si="603"/>
        <v>0</v>
      </c>
      <c r="DT272" s="44">
        <f t="shared" si="604"/>
        <v>0</v>
      </c>
      <c r="DU272" s="44">
        <f t="shared" si="605"/>
        <v>0</v>
      </c>
      <c r="DV272" s="44">
        <f t="shared" si="606"/>
        <v>0</v>
      </c>
      <c r="DW272" s="44">
        <f t="shared" si="607"/>
        <v>0</v>
      </c>
      <c r="DX272" s="44">
        <f t="shared" si="533"/>
        <v>0</v>
      </c>
      <c r="DY272" s="44">
        <f t="shared" si="608"/>
        <v>0</v>
      </c>
      <c r="DZ272" s="44">
        <f t="shared" si="534"/>
        <v>0</v>
      </c>
      <c r="EA272" s="44">
        <f t="shared" si="609"/>
        <v>0</v>
      </c>
      <c r="EB272" s="44">
        <f t="shared" si="535"/>
        <v>0</v>
      </c>
      <c r="EC272" s="46">
        <f t="shared" si="536"/>
        <v>0</v>
      </c>
      <c r="ED272" s="47">
        <f t="shared" si="537"/>
        <v>0</v>
      </c>
    </row>
    <row r="273" spans="1:134" x14ac:dyDescent="0.35">
      <c r="A273" s="172"/>
      <c r="B273" s="173"/>
      <c r="C273" s="174"/>
      <c r="D273" s="175"/>
      <c r="E273" s="176"/>
      <c r="F273" s="177"/>
      <c r="G273" s="178"/>
      <c r="H273" s="179"/>
      <c r="I273" s="180"/>
      <c r="J273" s="181"/>
      <c r="K273" s="42">
        <f t="shared" si="488"/>
        <v>0</v>
      </c>
      <c r="L273" s="43">
        <f t="shared" si="489"/>
        <v>0</v>
      </c>
      <c r="M273" s="44">
        <f t="shared" si="490"/>
        <v>0</v>
      </c>
      <c r="N273" s="44"/>
      <c r="O273" s="44">
        <f t="shared" si="491"/>
        <v>0</v>
      </c>
      <c r="P273" s="45"/>
      <c r="Q273" s="44">
        <f t="shared" si="492"/>
        <v>0</v>
      </c>
      <c r="R273" s="604">
        <f t="shared" si="538"/>
        <v>0</v>
      </c>
      <c r="S273" s="44">
        <f t="shared" si="539"/>
        <v>0</v>
      </c>
      <c r="T273" s="44">
        <f t="shared" si="540"/>
        <v>0</v>
      </c>
      <c r="U273" s="44">
        <f t="shared" si="541"/>
        <v>0</v>
      </c>
      <c r="V273" s="44">
        <f t="shared" si="542"/>
        <v>0</v>
      </c>
      <c r="W273" s="44">
        <f t="shared" si="543"/>
        <v>0</v>
      </c>
      <c r="X273" s="44">
        <f t="shared" si="493"/>
        <v>0</v>
      </c>
      <c r="Y273" s="44">
        <f t="shared" si="544"/>
        <v>0</v>
      </c>
      <c r="Z273" s="44">
        <f t="shared" si="494"/>
        <v>0</v>
      </c>
      <c r="AA273" s="44">
        <f t="shared" si="545"/>
        <v>0</v>
      </c>
      <c r="AB273" s="44">
        <f t="shared" si="495"/>
        <v>0</v>
      </c>
      <c r="AC273" s="46">
        <f t="shared" si="496"/>
        <v>0</v>
      </c>
      <c r="AD273" s="47">
        <f t="shared" si="497"/>
        <v>0</v>
      </c>
      <c r="AE273" s="604">
        <f t="shared" si="546"/>
        <v>0</v>
      </c>
      <c r="AF273" s="44">
        <f t="shared" si="547"/>
        <v>0</v>
      </c>
      <c r="AG273" s="44">
        <f t="shared" si="548"/>
        <v>0</v>
      </c>
      <c r="AH273" s="44">
        <f t="shared" si="549"/>
        <v>0</v>
      </c>
      <c r="AI273" s="44">
        <f t="shared" si="550"/>
        <v>0</v>
      </c>
      <c r="AJ273" s="44">
        <f t="shared" si="551"/>
        <v>0</v>
      </c>
      <c r="AK273" s="44">
        <f t="shared" si="498"/>
        <v>0</v>
      </c>
      <c r="AL273" s="44">
        <f t="shared" si="552"/>
        <v>0</v>
      </c>
      <c r="AM273" s="44">
        <f t="shared" si="499"/>
        <v>0</v>
      </c>
      <c r="AN273" s="44">
        <f t="shared" si="553"/>
        <v>0</v>
      </c>
      <c r="AO273" s="44">
        <f t="shared" si="500"/>
        <v>0</v>
      </c>
      <c r="AP273" s="46">
        <f t="shared" si="501"/>
        <v>0</v>
      </c>
      <c r="AQ273" s="47">
        <f t="shared" si="502"/>
        <v>0</v>
      </c>
      <c r="AR273" s="604">
        <f t="shared" si="554"/>
        <v>0</v>
      </c>
      <c r="AS273" s="44">
        <f t="shared" si="555"/>
        <v>0</v>
      </c>
      <c r="AT273" s="44">
        <f t="shared" si="556"/>
        <v>0</v>
      </c>
      <c r="AU273" s="44">
        <f t="shared" si="557"/>
        <v>0</v>
      </c>
      <c r="AV273" s="44">
        <f t="shared" si="558"/>
        <v>0</v>
      </c>
      <c r="AW273" s="44">
        <f t="shared" si="559"/>
        <v>0</v>
      </c>
      <c r="AX273" s="44">
        <f t="shared" si="503"/>
        <v>0</v>
      </c>
      <c r="AY273" s="44">
        <f t="shared" si="560"/>
        <v>0</v>
      </c>
      <c r="AZ273" s="44">
        <f t="shared" si="504"/>
        <v>0</v>
      </c>
      <c r="BA273" s="44">
        <f t="shared" si="561"/>
        <v>0</v>
      </c>
      <c r="BB273" s="44">
        <f t="shared" si="505"/>
        <v>0</v>
      </c>
      <c r="BC273" s="46">
        <f t="shared" si="506"/>
        <v>0</v>
      </c>
      <c r="BD273" s="47">
        <f t="shared" si="507"/>
        <v>0</v>
      </c>
      <c r="BE273" s="604">
        <f t="shared" si="562"/>
        <v>0</v>
      </c>
      <c r="BF273" s="44">
        <f t="shared" si="563"/>
        <v>0</v>
      </c>
      <c r="BG273" s="44">
        <f t="shared" si="564"/>
        <v>0</v>
      </c>
      <c r="BH273" s="44">
        <f t="shared" si="565"/>
        <v>0</v>
      </c>
      <c r="BI273" s="44">
        <f t="shared" si="566"/>
        <v>0</v>
      </c>
      <c r="BJ273" s="44">
        <f t="shared" si="567"/>
        <v>0</v>
      </c>
      <c r="BK273" s="44">
        <f t="shared" si="508"/>
        <v>0</v>
      </c>
      <c r="BL273" s="44">
        <f t="shared" si="568"/>
        <v>0</v>
      </c>
      <c r="BM273" s="44">
        <f t="shared" si="509"/>
        <v>0</v>
      </c>
      <c r="BN273" s="44">
        <f t="shared" si="569"/>
        <v>0</v>
      </c>
      <c r="BO273" s="44">
        <f t="shared" si="510"/>
        <v>0</v>
      </c>
      <c r="BP273" s="46">
        <f t="shared" si="511"/>
        <v>0</v>
      </c>
      <c r="BQ273" s="47">
        <f t="shared" si="512"/>
        <v>0</v>
      </c>
      <c r="BR273" s="604">
        <f t="shared" si="570"/>
        <v>0</v>
      </c>
      <c r="BS273" s="44">
        <f t="shared" si="571"/>
        <v>0</v>
      </c>
      <c r="BT273" s="44">
        <f t="shared" si="572"/>
        <v>0</v>
      </c>
      <c r="BU273" s="44">
        <f t="shared" si="573"/>
        <v>0</v>
      </c>
      <c r="BV273" s="44">
        <f t="shared" si="574"/>
        <v>0</v>
      </c>
      <c r="BW273" s="44">
        <f t="shared" si="575"/>
        <v>0</v>
      </c>
      <c r="BX273" s="44">
        <f t="shared" si="513"/>
        <v>0</v>
      </c>
      <c r="BY273" s="44">
        <f t="shared" si="576"/>
        <v>0</v>
      </c>
      <c r="BZ273" s="44">
        <f t="shared" si="514"/>
        <v>0</v>
      </c>
      <c r="CA273" s="44">
        <f t="shared" si="577"/>
        <v>0</v>
      </c>
      <c r="CB273" s="44">
        <f t="shared" si="515"/>
        <v>0</v>
      </c>
      <c r="CC273" s="46">
        <f t="shared" si="516"/>
        <v>0</v>
      </c>
      <c r="CD273" s="47">
        <f t="shared" si="517"/>
        <v>0</v>
      </c>
      <c r="CE273" s="604">
        <f t="shared" si="578"/>
        <v>0</v>
      </c>
      <c r="CF273" s="44">
        <f t="shared" si="579"/>
        <v>0</v>
      </c>
      <c r="CG273" s="44">
        <f t="shared" si="580"/>
        <v>0</v>
      </c>
      <c r="CH273" s="44">
        <f t="shared" si="581"/>
        <v>0</v>
      </c>
      <c r="CI273" s="44">
        <f t="shared" si="582"/>
        <v>0</v>
      </c>
      <c r="CJ273" s="44">
        <f t="shared" si="583"/>
        <v>0</v>
      </c>
      <c r="CK273" s="44">
        <f t="shared" si="518"/>
        <v>0</v>
      </c>
      <c r="CL273" s="44">
        <f t="shared" si="584"/>
        <v>0</v>
      </c>
      <c r="CM273" s="44">
        <f t="shared" si="519"/>
        <v>0</v>
      </c>
      <c r="CN273" s="44">
        <f t="shared" si="585"/>
        <v>0</v>
      </c>
      <c r="CO273" s="44">
        <f t="shared" si="520"/>
        <v>0</v>
      </c>
      <c r="CP273" s="46">
        <f t="shared" si="521"/>
        <v>0</v>
      </c>
      <c r="CQ273" s="47">
        <f t="shared" si="522"/>
        <v>0</v>
      </c>
      <c r="CR273" s="604">
        <f t="shared" si="586"/>
        <v>0</v>
      </c>
      <c r="CS273" s="44">
        <f t="shared" si="587"/>
        <v>0</v>
      </c>
      <c r="CT273" s="44">
        <f t="shared" si="588"/>
        <v>0</v>
      </c>
      <c r="CU273" s="44">
        <f t="shared" si="589"/>
        <v>0</v>
      </c>
      <c r="CV273" s="44">
        <f t="shared" si="590"/>
        <v>0</v>
      </c>
      <c r="CW273" s="44">
        <f t="shared" si="591"/>
        <v>0</v>
      </c>
      <c r="CX273" s="44">
        <f t="shared" si="523"/>
        <v>0</v>
      </c>
      <c r="CY273" s="44">
        <f t="shared" si="592"/>
        <v>0</v>
      </c>
      <c r="CZ273" s="44">
        <f t="shared" si="524"/>
        <v>0</v>
      </c>
      <c r="DA273" s="44">
        <f t="shared" si="593"/>
        <v>0</v>
      </c>
      <c r="DB273" s="44">
        <f t="shared" si="525"/>
        <v>0</v>
      </c>
      <c r="DC273" s="46">
        <f t="shared" si="526"/>
        <v>0</v>
      </c>
      <c r="DD273" s="47">
        <f t="shared" si="527"/>
        <v>0</v>
      </c>
      <c r="DE273" s="604">
        <f t="shared" si="594"/>
        <v>0</v>
      </c>
      <c r="DF273" s="44">
        <f t="shared" si="595"/>
        <v>0</v>
      </c>
      <c r="DG273" s="44">
        <f t="shared" si="596"/>
        <v>0</v>
      </c>
      <c r="DH273" s="44">
        <f t="shared" si="597"/>
        <v>0</v>
      </c>
      <c r="DI273" s="44">
        <f t="shared" si="598"/>
        <v>0</v>
      </c>
      <c r="DJ273" s="44">
        <f t="shared" si="599"/>
        <v>0</v>
      </c>
      <c r="DK273" s="44">
        <f t="shared" si="528"/>
        <v>0</v>
      </c>
      <c r="DL273" s="44">
        <f t="shared" si="600"/>
        <v>0</v>
      </c>
      <c r="DM273" s="44">
        <f t="shared" si="529"/>
        <v>0</v>
      </c>
      <c r="DN273" s="44">
        <f t="shared" si="601"/>
        <v>0</v>
      </c>
      <c r="DO273" s="44">
        <f t="shared" si="530"/>
        <v>0</v>
      </c>
      <c r="DP273" s="46">
        <f t="shared" si="531"/>
        <v>0</v>
      </c>
      <c r="DQ273" s="47">
        <f t="shared" si="532"/>
        <v>0</v>
      </c>
      <c r="DR273" s="604">
        <f t="shared" si="602"/>
        <v>0</v>
      </c>
      <c r="DS273" s="44">
        <f t="shared" si="603"/>
        <v>0</v>
      </c>
      <c r="DT273" s="44">
        <f t="shared" si="604"/>
        <v>0</v>
      </c>
      <c r="DU273" s="44">
        <f t="shared" si="605"/>
        <v>0</v>
      </c>
      <c r="DV273" s="44">
        <f t="shared" si="606"/>
        <v>0</v>
      </c>
      <c r="DW273" s="44">
        <f t="shared" si="607"/>
        <v>0</v>
      </c>
      <c r="DX273" s="44">
        <f t="shared" si="533"/>
        <v>0</v>
      </c>
      <c r="DY273" s="44">
        <f t="shared" si="608"/>
        <v>0</v>
      </c>
      <c r="DZ273" s="44">
        <f t="shared" si="534"/>
        <v>0</v>
      </c>
      <c r="EA273" s="44">
        <f t="shared" si="609"/>
        <v>0</v>
      </c>
      <c r="EB273" s="44">
        <f t="shared" si="535"/>
        <v>0</v>
      </c>
      <c r="EC273" s="46">
        <f t="shared" si="536"/>
        <v>0</v>
      </c>
      <c r="ED273" s="47">
        <f t="shared" si="537"/>
        <v>0</v>
      </c>
    </row>
    <row r="274" spans="1:134" x14ac:dyDescent="0.35">
      <c r="A274" s="172"/>
      <c r="B274" s="173"/>
      <c r="C274" s="174"/>
      <c r="D274" s="175"/>
      <c r="E274" s="176"/>
      <c r="F274" s="177"/>
      <c r="G274" s="178"/>
      <c r="H274" s="179"/>
      <c r="I274" s="180"/>
      <c r="J274" s="181"/>
      <c r="K274" s="42">
        <f t="shared" si="488"/>
        <v>0</v>
      </c>
      <c r="L274" s="43">
        <f t="shared" si="489"/>
        <v>0</v>
      </c>
      <c r="M274" s="44">
        <f t="shared" si="490"/>
        <v>0</v>
      </c>
      <c r="N274" s="44"/>
      <c r="O274" s="44">
        <f t="shared" si="491"/>
        <v>0</v>
      </c>
      <c r="P274" s="45"/>
      <c r="Q274" s="44">
        <f t="shared" si="492"/>
        <v>0</v>
      </c>
      <c r="R274" s="604">
        <f t="shared" si="538"/>
        <v>0</v>
      </c>
      <c r="S274" s="44">
        <f t="shared" si="539"/>
        <v>0</v>
      </c>
      <c r="T274" s="44">
        <f t="shared" si="540"/>
        <v>0</v>
      </c>
      <c r="U274" s="44">
        <f t="shared" si="541"/>
        <v>0</v>
      </c>
      <c r="V274" s="44">
        <f t="shared" si="542"/>
        <v>0</v>
      </c>
      <c r="W274" s="44">
        <f t="shared" si="543"/>
        <v>0</v>
      </c>
      <c r="X274" s="44">
        <f t="shared" si="493"/>
        <v>0</v>
      </c>
      <c r="Y274" s="44">
        <f t="shared" si="544"/>
        <v>0</v>
      </c>
      <c r="Z274" s="44">
        <f t="shared" si="494"/>
        <v>0</v>
      </c>
      <c r="AA274" s="44">
        <f t="shared" si="545"/>
        <v>0</v>
      </c>
      <c r="AB274" s="44">
        <f t="shared" si="495"/>
        <v>0</v>
      </c>
      <c r="AC274" s="46">
        <f t="shared" si="496"/>
        <v>0</v>
      </c>
      <c r="AD274" s="47">
        <f t="shared" si="497"/>
        <v>0</v>
      </c>
      <c r="AE274" s="604">
        <f t="shared" si="546"/>
        <v>0</v>
      </c>
      <c r="AF274" s="44">
        <f t="shared" si="547"/>
        <v>0</v>
      </c>
      <c r="AG274" s="44">
        <f t="shared" si="548"/>
        <v>0</v>
      </c>
      <c r="AH274" s="44">
        <f t="shared" si="549"/>
        <v>0</v>
      </c>
      <c r="AI274" s="44">
        <f t="shared" si="550"/>
        <v>0</v>
      </c>
      <c r="AJ274" s="44">
        <f t="shared" si="551"/>
        <v>0</v>
      </c>
      <c r="AK274" s="44">
        <f t="shared" si="498"/>
        <v>0</v>
      </c>
      <c r="AL274" s="44">
        <f t="shared" si="552"/>
        <v>0</v>
      </c>
      <c r="AM274" s="44">
        <f t="shared" si="499"/>
        <v>0</v>
      </c>
      <c r="AN274" s="44">
        <f t="shared" si="553"/>
        <v>0</v>
      </c>
      <c r="AO274" s="44">
        <f t="shared" si="500"/>
        <v>0</v>
      </c>
      <c r="AP274" s="46">
        <f t="shared" si="501"/>
        <v>0</v>
      </c>
      <c r="AQ274" s="47">
        <f t="shared" si="502"/>
        <v>0</v>
      </c>
      <c r="AR274" s="604">
        <f t="shared" si="554"/>
        <v>0</v>
      </c>
      <c r="AS274" s="44">
        <f t="shared" si="555"/>
        <v>0</v>
      </c>
      <c r="AT274" s="44">
        <f t="shared" si="556"/>
        <v>0</v>
      </c>
      <c r="AU274" s="44">
        <f t="shared" si="557"/>
        <v>0</v>
      </c>
      <c r="AV274" s="44">
        <f t="shared" si="558"/>
        <v>0</v>
      </c>
      <c r="AW274" s="44">
        <f t="shared" si="559"/>
        <v>0</v>
      </c>
      <c r="AX274" s="44">
        <f t="shared" si="503"/>
        <v>0</v>
      </c>
      <c r="AY274" s="44">
        <f t="shared" si="560"/>
        <v>0</v>
      </c>
      <c r="AZ274" s="44">
        <f t="shared" si="504"/>
        <v>0</v>
      </c>
      <c r="BA274" s="44">
        <f t="shared" si="561"/>
        <v>0</v>
      </c>
      <c r="BB274" s="44">
        <f t="shared" si="505"/>
        <v>0</v>
      </c>
      <c r="BC274" s="46">
        <f t="shared" si="506"/>
        <v>0</v>
      </c>
      <c r="BD274" s="47">
        <f t="shared" si="507"/>
        <v>0</v>
      </c>
      <c r="BE274" s="604">
        <f t="shared" si="562"/>
        <v>0</v>
      </c>
      <c r="BF274" s="44">
        <f t="shared" si="563"/>
        <v>0</v>
      </c>
      <c r="BG274" s="44">
        <f t="shared" si="564"/>
        <v>0</v>
      </c>
      <c r="BH274" s="44">
        <f t="shared" si="565"/>
        <v>0</v>
      </c>
      <c r="BI274" s="44">
        <f t="shared" si="566"/>
        <v>0</v>
      </c>
      <c r="BJ274" s="44">
        <f t="shared" si="567"/>
        <v>0</v>
      </c>
      <c r="BK274" s="44">
        <f t="shared" si="508"/>
        <v>0</v>
      </c>
      <c r="BL274" s="44">
        <f t="shared" si="568"/>
        <v>0</v>
      </c>
      <c r="BM274" s="44">
        <f t="shared" si="509"/>
        <v>0</v>
      </c>
      <c r="BN274" s="44">
        <f t="shared" si="569"/>
        <v>0</v>
      </c>
      <c r="BO274" s="44">
        <f t="shared" si="510"/>
        <v>0</v>
      </c>
      <c r="BP274" s="46">
        <f t="shared" si="511"/>
        <v>0</v>
      </c>
      <c r="BQ274" s="47">
        <f t="shared" si="512"/>
        <v>0</v>
      </c>
      <c r="BR274" s="604">
        <f t="shared" si="570"/>
        <v>0</v>
      </c>
      <c r="BS274" s="44">
        <f t="shared" si="571"/>
        <v>0</v>
      </c>
      <c r="BT274" s="44">
        <f t="shared" si="572"/>
        <v>0</v>
      </c>
      <c r="BU274" s="44">
        <f t="shared" si="573"/>
        <v>0</v>
      </c>
      <c r="BV274" s="44">
        <f t="shared" si="574"/>
        <v>0</v>
      </c>
      <c r="BW274" s="44">
        <f t="shared" si="575"/>
        <v>0</v>
      </c>
      <c r="BX274" s="44">
        <f t="shared" si="513"/>
        <v>0</v>
      </c>
      <c r="BY274" s="44">
        <f t="shared" si="576"/>
        <v>0</v>
      </c>
      <c r="BZ274" s="44">
        <f t="shared" si="514"/>
        <v>0</v>
      </c>
      <c r="CA274" s="44">
        <f t="shared" si="577"/>
        <v>0</v>
      </c>
      <c r="CB274" s="44">
        <f t="shared" si="515"/>
        <v>0</v>
      </c>
      <c r="CC274" s="46">
        <f t="shared" si="516"/>
        <v>0</v>
      </c>
      <c r="CD274" s="47">
        <f t="shared" si="517"/>
        <v>0</v>
      </c>
      <c r="CE274" s="604">
        <f t="shared" si="578"/>
        <v>0</v>
      </c>
      <c r="CF274" s="44">
        <f t="shared" si="579"/>
        <v>0</v>
      </c>
      <c r="CG274" s="44">
        <f t="shared" si="580"/>
        <v>0</v>
      </c>
      <c r="CH274" s="44">
        <f t="shared" si="581"/>
        <v>0</v>
      </c>
      <c r="CI274" s="44">
        <f t="shared" si="582"/>
        <v>0</v>
      </c>
      <c r="CJ274" s="44">
        <f t="shared" si="583"/>
        <v>0</v>
      </c>
      <c r="CK274" s="44">
        <f t="shared" si="518"/>
        <v>0</v>
      </c>
      <c r="CL274" s="44">
        <f t="shared" si="584"/>
        <v>0</v>
      </c>
      <c r="CM274" s="44">
        <f t="shared" si="519"/>
        <v>0</v>
      </c>
      <c r="CN274" s="44">
        <f t="shared" si="585"/>
        <v>0</v>
      </c>
      <c r="CO274" s="44">
        <f t="shared" si="520"/>
        <v>0</v>
      </c>
      <c r="CP274" s="46">
        <f t="shared" si="521"/>
        <v>0</v>
      </c>
      <c r="CQ274" s="47">
        <f t="shared" si="522"/>
        <v>0</v>
      </c>
      <c r="CR274" s="604">
        <f t="shared" si="586"/>
        <v>0</v>
      </c>
      <c r="CS274" s="44">
        <f t="shared" si="587"/>
        <v>0</v>
      </c>
      <c r="CT274" s="44">
        <f t="shared" si="588"/>
        <v>0</v>
      </c>
      <c r="CU274" s="44">
        <f t="shared" si="589"/>
        <v>0</v>
      </c>
      <c r="CV274" s="44">
        <f t="shared" si="590"/>
        <v>0</v>
      </c>
      <c r="CW274" s="44">
        <f t="shared" si="591"/>
        <v>0</v>
      </c>
      <c r="CX274" s="44">
        <f t="shared" si="523"/>
        <v>0</v>
      </c>
      <c r="CY274" s="44">
        <f t="shared" si="592"/>
        <v>0</v>
      </c>
      <c r="CZ274" s="44">
        <f t="shared" si="524"/>
        <v>0</v>
      </c>
      <c r="DA274" s="44">
        <f t="shared" si="593"/>
        <v>0</v>
      </c>
      <c r="DB274" s="44">
        <f t="shared" si="525"/>
        <v>0</v>
      </c>
      <c r="DC274" s="46">
        <f t="shared" si="526"/>
        <v>0</v>
      </c>
      <c r="DD274" s="47">
        <f t="shared" si="527"/>
        <v>0</v>
      </c>
      <c r="DE274" s="604">
        <f t="shared" si="594"/>
        <v>0</v>
      </c>
      <c r="DF274" s="44">
        <f t="shared" si="595"/>
        <v>0</v>
      </c>
      <c r="DG274" s="44">
        <f t="shared" si="596"/>
        <v>0</v>
      </c>
      <c r="DH274" s="44">
        <f t="shared" si="597"/>
        <v>0</v>
      </c>
      <c r="DI274" s="44">
        <f t="shared" si="598"/>
        <v>0</v>
      </c>
      <c r="DJ274" s="44">
        <f t="shared" si="599"/>
        <v>0</v>
      </c>
      <c r="DK274" s="44">
        <f t="shared" si="528"/>
        <v>0</v>
      </c>
      <c r="DL274" s="44">
        <f t="shared" si="600"/>
        <v>0</v>
      </c>
      <c r="DM274" s="44">
        <f t="shared" si="529"/>
        <v>0</v>
      </c>
      <c r="DN274" s="44">
        <f t="shared" si="601"/>
        <v>0</v>
      </c>
      <c r="DO274" s="44">
        <f t="shared" si="530"/>
        <v>0</v>
      </c>
      <c r="DP274" s="46">
        <f t="shared" si="531"/>
        <v>0</v>
      </c>
      <c r="DQ274" s="47">
        <f t="shared" si="532"/>
        <v>0</v>
      </c>
      <c r="DR274" s="604">
        <f t="shared" si="602"/>
        <v>0</v>
      </c>
      <c r="DS274" s="44">
        <f t="shared" si="603"/>
        <v>0</v>
      </c>
      <c r="DT274" s="44">
        <f t="shared" si="604"/>
        <v>0</v>
      </c>
      <c r="DU274" s="44">
        <f t="shared" si="605"/>
        <v>0</v>
      </c>
      <c r="DV274" s="44">
        <f t="shared" si="606"/>
        <v>0</v>
      </c>
      <c r="DW274" s="44">
        <f t="shared" si="607"/>
        <v>0</v>
      </c>
      <c r="DX274" s="44">
        <f t="shared" si="533"/>
        <v>0</v>
      </c>
      <c r="DY274" s="44">
        <f t="shared" si="608"/>
        <v>0</v>
      </c>
      <c r="DZ274" s="44">
        <f t="shared" si="534"/>
        <v>0</v>
      </c>
      <c r="EA274" s="44">
        <f t="shared" si="609"/>
        <v>0</v>
      </c>
      <c r="EB274" s="44">
        <f t="shared" si="535"/>
        <v>0</v>
      </c>
      <c r="EC274" s="46">
        <f t="shared" si="536"/>
        <v>0</v>
      </c>
      <c r="ED274" s="47">
        <f t="shared" si="537"/>
        <v>0</v>
      </c>
    </row>
    <row r="275" spans="1:134" x14ac:dyDescent="0.35">
      <c r="A275" s="172"/>
      <c r="B275" s="173"/>
      <c r="C275" s="174"/>
      <c r="D275" s="175"/>
      <c r="E275" s="176"/>
      <c r="F275" s="177"/>
      <c r="G275" s="178"/>
      <c r="H275" s="179"/>
      <c r="I275" s="180"/>
      <c r="J275" s="181"/>
      <c r="K275" s="42">
        <f t="shared" si="488"/>
        <v>0</v>
      </c>
      <c r="L275" s="43">
        <f t="shared" si="489"/>
        <v>0</v>
      </c>
      <c r="M275" s="44">
        <f t="shared" si="490"/>
        <v>0</v>
      </c>
      <c r="N275" s="44"/>
      <c r="O275" s="44">
        <f t="shared" si="491"/>
        <v>0</v>
      </c>
      <c r="P275" s="45"/>
      <c r="Q275" s="44">
        <f t="shared" si="492"/>
        <v>0</v>
      </c>
      <c r="R275" s="604">
        <f t="shared" si="538"/>
        <v>0</v>
      </c>
      <c r="S275" s="44">
        <f t="shared" si="539"/>
        <v>0</v>
      </c>
      <c r="T275" s="44">
        <f t="shared" si="540"/>
        <v>0</v>
      </c>
      <c r="U275" s="44">
        <f t="shared" si="541"/>
        <v>0</v>
      </c>
      <c r="V275" s="44">
        <f t="shared" si="542"/>
        <v>0</v>
      </c>
      <c r="W275" s="44">
        <f t="shared" si="543"/>
        <v>0</v>
      </c>
      <c r="X275" s="44">
        <f t="shared" si="493"/>
        <v>0</v>
      </c>
      <c r="Y275" s="44">
        <f t="shared" si="544"/>
        <v>0</v>
      </c>
      <c r="Z275" s="44">
        <f t="shared" si="494"/>
        <v>0</v>
      </c>
      <c r="AA275" s="44">
        <f t="shared" si="545"/>
        <v>0</v>
      </c>
      <c r="AB275" s="44">
        <f t="shared" si="495"/>
        <v>0</v>
      </c>
      <c r="AC275" s="46">
        <f t="shared" si="496"/>
        <v>0</v>
      </c>
      <c r="AD275" s="47">
        <f t="shared" si="497"/>
        <v>0</v>
      </c>
      <c r="AE275" s="604">
        <f t="shared" si="546"/>
        <v>0</v>
      </c>
      <c r="AF275" s="44">
        <f t="shared" si="547"/>
        <v>0</v>
      </c>
      <c r="AG275" s="44">
        <f t="shared" si="548"/>
        <v>0</v>
      </c>
      <c r="AH275" s="44">
        <f t="shared" si="549"/>
        <v>0</v>
      </c>
      <c r="AI275" s="44">
        <f t="shared" si="550"/>
        <v>0</v>
      </c>
      <c r="AJ275" s="44">
        <f t="shared" si="551"/>
        <v>0</v>
      </c>
      <c r="AK275" s="44">
        <f t="shared" si="498"/>
        <v>0</v>
      </c>
      <c r="AL275" s="44">
        <f t="shared" si="552"/>
        <v>0</v>
      </c>
      <c r="AM275" s="44">
        <f t="shared" si="499"/>
        <v>0</v>
      </c>
      <c r="AN275" s="44">
        <f t="shared" si="553"/>
        <v>0</v>
      </c>
      <c r="AO275" s="44">
        <f t="shared" si="500"/>
        <v>0</v>
      </c>
      <c r="AP275" s="46">
        <f t="shared" si="501"/>
        <v>0</v>
      </c>
      <c r="AQ275" s="47">
        <f t="shared" si="502"/>
        <v>0</v>
      </c>
      <c r="AR275" s="604">
        <f t="shared" si="554"/>
        <v>0</v>
      </c>
      <c r="AS275" s="44">
        <f t="shared" si="555"/>
        <v>0</v>
      </c>
      <c r="AT275" s="44">
        <f t="shared" si="556"/>
        <v>0</v>
      </c>
      <c r="AU275" s="44">
        <f t="shared" si="557"/>
        <v>0</v>
      </c>
      <c r="AV275" s="44">
        <f t="shared" si="558"/>
        <v>0</v>
      </c>
      <c r="AW275" s="44">
        <f t="shared" si="559"/>
        <v>0</v>
      </c>
      <c r="AX275" s="44">
        <f t="shared" si="503"/>
        <v>0</v>
      </c>
      <c r="AY275" s="44">
        <f t="shared" si="560"/>
        <v>0</v>
      </c>
      <c r="AZ275" s="44">
        <f t="shared" si="504"/>
        <v>0</v>
      </c>
      <c r="BA275" s="44">
        <f t="shared" si="561"/>
        <v>0</v>
      </c>
      <c r="BB275" s="44">
        <f t="shared" si="505"/>
        <v>0</v>
      </c>
      <c r="BC275" s="46">
        <f t="shared" si="506"/>
        <v>0</v>
      </c>
      <c r="BD275" s="47">
        <f t="shared" si="507"/>
        <v>0</v>
      </c>
      <c r="BE275" s="604">
        <f t="shared" si="562"/>
        <v>0</v>
      </c>
      <c r="BF275" s="44">
        <f t="shared" si="563"/>
        <v>0</v>
      </c>
      <c r="BG275" s="44">
        <f t="shared" si="564"/>
        <v>0</v>
      </c>
      <c r="BH275" s="44">
        <f t="shared" si="565"/>
        <v>0</v>
      </c>
      <c r="BI275" s="44">
        <f t="shared" si="566"/>
        <v>0</v>
      </c>
      <c r="BJ275" s="44">
        <f t="shared" si="567"/>
        <v>0</v>
      </c>
      <c r="BK275" s="44">
        <f t="shared" si="508"/>
        <v>0</v>
      </c>
      <c r="BL275" s="44">
        <f t="shared" si="568"/>
        <v>0</v>
      </c>
      <c r="BM275" s="44">
        <f t="shared" si="509"/>
        <v>0</v>
      </c>
      <c r="BN275" s="44">
        <f t="shared" si="569"/>
        <v>0</v>
      </c>
      <c r="BO275" s="44">
        <f t="shared" si="510"/>
        <v>0</v>
      </c>
      <c r="BP275" s="46">
        <f t="shared" si="511"/>
        <v>0</v>
      </c>
      <c r="BQ275" s="47">
        <f t="shared" si="512"/>
        <v>0</v>
      </c>
      <c r="BR275" s="604">
        <f t="shared" si="570"/>
        <v>0</v>
      </c>
      <c r="BS275" s="44">
        <f t="shared" si="571"/>
        <v>0</v>
      </c>
      <c r="BT275" s="44">
        <f t="shared" si="572"/>
        <v>0</v>
      </c>
      <c r="BU275" s="44">
        <f t="shared" si="573"/>
        <v>0</v>
      </c>
      <c r="BV275" s="44">
        <f t="shared" si="574"/>
        <v>0</v>
      </c>
      <c r="BW275" s="44">
        <f t="shared" si="575"/>
        <v>0</v>
      </c>
      <c r="BX275" s="44">
        <f t="shared" si="513"/>
        <v>0</v>
      </c>
      <c r="BY275" s="44">
        <f t="shared" si="576"/>
        <v>0</v>
      </c>
      <c r="BZ275" s="44">
        <f t="shared" si="514"/>
        <v>0</v>
      </c>
      <c r="CA275" s="44">
        <f t="shared" si="577"/>
        <v>0</v>
      </c>
      <c r="CB275" s="44">
        <f t="shared" si="515"/>
        <v>0</v>
      </c>
      <c r="CC275" s="46">
        <f t="shared" si="516"/>
        <v>0</v>
      </c>
      <c r="CD275" s="47">
        <f t="shared" si="517"/>
        <v>0</v>
      </c>
      <c r="CE275" s="604">
        <f t="shared" si="578"/>
        <v>0</v>
      </c>
      <c r="CF275" s="44">
        <f t="shared" si="579"/>
        <v>0</v>
      </c>
      <c r="CG275" s="44">
        <f t="shared" si="580"/>
        <v>0</v>
      </c>
      <c r="CH275" s="44">
        <f t="shared" si="581"/>
        <v>0</v>
      </c>
      <c r="CI275" s="44">
        <f t="shared" si="582"/>
        <v>0</v>
      </c>
      <c r="CJ275" s="44">
        <f t="shared" si="583"/>
        <v>0</v>
      </c>
      <c r="CK275" s="44">
        <f t="shared" si="518"/>
        <v>0</v>
      </c>
      <c r="CL275" s="44">
        <f t="shared" si="584"/>
        <v>0</v>
      </c>
      <c r="CM275" s="44">
        <f t="shared" si="519"/>
        <v>0</v>
      </c>
      <c r="CN275" s="44">
        <f t="shared" si="585"/>
        <v>0</v>
      </c>
      <c r="CO275" s="44">
        <f t="shared" si="520"/>
        <v>0</v>
      </c>
      <c r="CP275" s="46">
        <f t="shared" si="521"/>
        <v>0</v>
      </c>
      <c r="CQ275" s="47">
        <f t="shared" si="522"/>
        <v>0</v>
      </c>
      <c r="CR275" s="604">
        <f t="shared" si="586"/>
        <v>0</v>
      </c>
      <c r="CS275" s="44">
        <f t="shared" si="587"/>
        <v>0</v>
      </c>
      <c r="CT275" s="44">
        <f t="shared" si="588"/>
        <v>0</v>
      </c>
      <c r="CU275" s="44">
        <f t="shared" si="589"/>
        <v>0</v>
      </c>
      <c r="CV275" s="44">
        <f t="shared" si="590"/>
        <v>0</v>
      </c>
      <c r="CW275" s="44">
        <f t="shared" si="591"/>
        <v>0</v>
      </c>
      <c r="CX275" s="44">
        <f t="shared" si="523"/>
        <v>0</v>
      </c>
      <c r="CY275" s="44">
        <f t="shared" si="592"/>
        <v>0</v>
      </c>
      <c r="CZ275" s="44">
        <f t="shared" si="524"/>
        <v>0</v>
      </c>
      <c r="DA275" s="44">
        <f t="shared" si="593"/>
        <v>0</v>
      </c>
      <c r="DB275" s="44">
        <f t="shared" si="525"/>
        <v>0</v>
      </c>
      <c r="DC275" s="46">
        <f t="shared" si="526"/>
        <v>0</v>
      </c>
      <c r="DD275" s="47">
        <f t="shared" si="527"/>
        <v>0</v>
      </c>
      <c r="DE275" s="604">
        <f t="shared" si="594"/>
        <v>0</v>
      </c>
      <c r="DF275" s="44">
        <f t="shared" si="595"/>
        <v>0</v>
      </c>
      <c r="DG275" s="44">
        <f t="shared" si="596"/>
        <v>0</v>
      </c>
      <c r="DH275" s="44">
        <f t="shared" si="597"/>
        <v>0</v>
      </c>
      <c r="DI275" s="44">
        <f t="shared" si="598"/>
        <v>0</v>
      </c>
      <c r="DJ275" s="44">
        <f t="shared" si="599"/>
        <v>0</v>
      </c>
      <c r="DK275" s="44">
        <f t="shared" si="528"/>
        <v>0</v>
      </c>
      <c r="DL275" s="44">
        <f t="shared" si="600"/>
        <v>0</v>
      </c>
      <c r="DM275" s="44">
        <f t="shared" si="529"/>
        <v>0</v>
      </c>
      <c r="DN275" s="44">
        <f t="shared" si="601"/>
        <v>0</v>
      </c>
      <c r="DO275" s="44">
        <f t="shared" si="530"/>
        <v>0</v>
      </c>
      <c r="DP275" s="46">
        <f t="shared" si="531"/>
        <v>0</v>
      </c>
      <c r="DQ275" s="47">
        <f t="shared" si="532"/>
        <v>0</v>
      </c>
      <c r="DR275" s="604">
        <f t="shared" si="602"/>
        <v>0</v>
      </c>
      <c r="DS275" s="44">
        <f t="shared" si="603"/>
        <v>0</v>
      </c>
      <c r="DT275" s="44">
        <f t="shared" si="604"/>
        <v>0</v>
      </c>
      <c r="DU275" s="44">
        <f t="shared" si="605"/>
        <v>0</v>
      </c>
      <c r="DV275" s="44">
        <f t="shared" si="606"/>
        <v>0</v>
      </c>
      <c r="DW275" s="44">
        <f t="shared" si="607"/>
        <v>0</v>
      </c>
      <c r="DX275" s="44">
        <f t="shared" si="533"/>
        <v>0</v>
      </c>
      <c r="DY275" s="44">
        <f t="shared" si="608"/>
        <v>0</v>
      </c>
      <c r="DZ275" s="44">
        <f t="shared" si="534"/>
        <v>0</v>
      </c>
      <c r="EA275" s="44">
        <f t="shared" si="609"/>
        <v>0</v>
      </c>
      <c r="EB275" s="44">
        <f t="shared" si="535"/>
        <v>0</v>
      </c>
      <c r="EC275" s="46">
        <f t="shared" si="536"/>
        <v>0</v>
      </c>
      <c r="ED275" s="47">
        <f t="shared" si="537"/>
        <v>0</v>
      </c>
    </row>
    <row r="276" spans="1:134" x14ac:dyDescent="0.35">
      <c r="A276" s="172"/>
      <c r="B276" s="173"/>
      <c r="C276" s="174"/>
      <c r="D276" s="175"/>
      <c r="E276" s="176"/>
      <c r="F276" s="177"/>
      <c r="G276" s="178"/>
      <c r="H276" s="179"/>
      <c r="I276" s="180"/>
      <c r="J276" s="181"/>
      <c r="K276" s="42">
        <f t="shared" si="488"/>
        <v>0</v>
      </c>
      <c r="L276" s="43">
        <f t="shared" si="489"/>
        <v>0</v>
      </c>
      <c r="M276" s="44">
        <f t="shared" si="490"/>
        <v>0</v>
      </c>
      <c r="N276" s="44"/>
      <c r="O276" s="44">
        <f t="shared" si="491"/>
        <v>0</v>
      </c>
      <c r="P276" s="45"/>
      <c r="Q276" s="44">
        <f t="shared" si="492"/>
        <v>0</v>
      </c>
      <c r="R276" s="604">
        <f t="shared" si="538"/>
        <v>0</v>
      </c>
      <c r="S276" s="44">
        <f t="shared" si="539"/>
        <v>0</v>
      </c>
      <c r="T276" s="44">
        <f t="shared" si="540"/>
        <v>0</v>
      </c>
      <c r="U276" s="44">
        <f t="shared" si="541"/>
        <v>0</v>
      </c>
      <c r="V276" s="44">
        <f t="shared" si="542"/>
        <v>0</v>
      </c>
      <c r="W276" s="44">
        <f t="shared" si="543"/>
        <v>0</v>
      </c>
      <c r="X276" s="44">
        <f t="shared" si="493"/>
        <v>0</v>
      </c>
      <c r="Y276" s="44">
        <f t="shared" si="544"/>
        <v>0</v>
      </c>
      <c r="Z276" s="44">
        <f t="shared" si="494"/>
        <v>0</v>
      </c>
      <c r="AA276" s="44">
        <f t="shared" si="545"/>
        <v>0</v>
      </c>
      <c r="AB276" s="44">
        <f t="shared" si="495"/>
        <v>0</v>
      </c>
      <c r="AC276" s="46">
        <f t="shared" si="496"/>
        <v>0</v>
      </c>
      <c r="AD276" s="47">
        <f t="shared" si="497"/>
        <v>0</v>
      </c>
      <c r="AE276" s="604">
        <f t="shared" si="546"/>
        <v>0</v>
      </c>
      <c r="AF276" s="44">
        <f t="shared" si="547"/>
        <v>0</v>
      </c>
      <c r="AG276" s="44">
        <f t="shared" si="548"/>
        <v>0</v>
      </c>
      <c r="AH276" s="44">
        <f t="shared" si="549"/>
        <v>0</v>
      </c>
      <c r="AI276" s="44">
        <f t="shared" si="550"/>
        <v>0</v>
      </c>
      <c r="AJ276" s="44">
        <f t="shared" si="551"/>
        <v>0</v>
      </c>
      <c r="AK276" s="44">
        <f t="shared" si="498"/>
        <v>0</v>
      </c>
      <c r="AL276" s="44">
        <f t="shared" si="552"/>
        <v>0</v>
      </c>
      <c r="AM276" s="44">
        <f t="shared" si="499"/>
        <v>0</v>
      </c>
      <c r="AN276" s="44">
        <f t="shared" si="553"/>
        <v>0</v>
      </c>
      <c r="AO276" s="44">
        <f t="shared" si="500"/>
        <v>0</v>
      </c>
      <c r="AP276" s="46">
        <f t="shared" si="501"/>
        <v>0</v>
      </c>
      <c r="AQ276" s="47">
        <f t="shared" si="502"/>
        <v>0</v>
      </c>
      <c r="AR276" s="604">
        <f t="shared" si="554"/>
        <v>0</v>
      </c>
      <c r="AS276" s="44">
        <f t="shared" si="555"/>
        <v>0</v>
      </c>
      <c r="AT276" s="44">
        <f t="shared" si="556"/>
        <v>0</v>
      </c>
      <c r="AU276" s="44">
        <f t="shared" si="557"/>
        <v>0</v>
      </c>
      <c r="AV276" s="44">
        <f t="shared" si="558"/>
        <v>0</v>
      </c>
      <c r="AW276" s="44">
        <f t="shared" si="559"/>
        <v>0</v>
      </c>
      <c r="AX276" s="44">
        <f t="shared" si="503"/>
        <v>0</v>
      </c>
      <c r="AY276" s="44">
        <f t="shared" si="560"/>
        <v>0</v>
      </c>
      <c r="AZ276" s="44">
        <f t="shared" si="504"/>
        <v>0</v>
      </c>
      <c r="BA276" s="44">
        <f t="shared" si="561"/>
        <v>0</v>
      </c>
      <c r="BB276" s="44">
        <f t="shared" si="505"/>
        <v>0</v>
      </c>
      <c r="BC276" s="46">
        <f t="shared" si="506"/>
        <v>0</v>
      </c>
      <c r="BD276" s="47">
        <f t="shared" si="507"/>
        <v>0</v>
      </c>
      <c r="BE276" s="604">
        <f t="shared" si="562"/>
        <v>0</v>
      </c>
      <c r="BF276" s="44">
        <f t="shared" si="563"/>
        <v>0</v>
      </c>
      <c r="BG276" s="44">
        <f t="shared" si="564"/>
        <v>0</v>
      </c>
      <c r="BH276" s="44">
        <f t="shared" si="565"/>
        <v>0</v>
      </c>
      <c r="BI276" s="44">
        <f t="shared" si="566"/>
        <v>0</v>
      </c>
      <c r="BJ276" s="44">
        <f t="shared" si="567"/>
        <v>0</v>
      </c>
      <c r="BK276" s="44">
        <f t="shared" si="508"/>
        <v>0</v>
      </c>
      <c r="BL276" s="44">
        <f t="shared" si="568"/>
        <v>0</v>
      </c>
      <c r="BM276" s="44">
        <f t="shared" si="509"/>
        <v>0</v>
      </c>
      <c r="BN276" s="44">
        <f t="shared" si="569"/>
        <v>0</v>
      </c>
      <c r="BO276" s="44">
        <f t="shared" si="510"/>
        <v>0</v>
      </c>
      <c r="BP276" s="46">
        <f t="shared" si="511"/>
        <v>0</v>
      </c>
      <c r="BQ276" s="47">
        <f t="shared" si="512"/>
        <v>0</v>
      </c>
      <c r="BR276" s="604">
        <f t="shared" si="570"/>
        <v>0</v>
      </c>
      <c r="BS276" s="44">
        <f t="shared" si="571"/>
        <v>0</v>
      </c>
      <c r="BT276" s="44">
        <f t="shared" si="572"/>
        <v>0</v>
      </c>
      <c r="BU276" s="44">
        <f t="shared" si="573"/>
        <v>0</v>
      </c>
      <c r="BV276" s="44">
        <f t="shared" si="574"/>
        <v>0</v>
      </c>
      <c r="BW276" s="44">
        <f t="shared" si="575"/>
        <v>0</v>
      </c>
      <c r="BX276" s="44">
        <f t="shared" si="513"/>
        <v>0</v>
      </c>
      <c r="BY276" s="44">
        <f t="shared" si="576"/>
        <v>0</v>
      </c>
      <c r="BZ276" s="44">
        <f t="shared" si="514"/>
        <v>0</v>
      </c>
      <c r="CA276" s="44">
        <f t="shared" si="577"/>
        <v>0</v>
      </c>
      <c r="CB276" s="44">
        <f t="shared" si="515"/>
        <v>0</v>
      </c>
      <c r="CC276" s="46">
        <f t="shared" si="516"/>
        <v>0</v>
      </c>
      <c r="CD276" s="47">
        <f t="shared" si="517"/>
        <v>0</v>
      </c>
      <c r="CE276" s="604">
        <f t="shared" si="578"/>
        <v>0</v>
      </c>
      <c r="CF276" s="44">
        <f t="shared" si="579"/>
        <v>0</v>
      </c>
      <c r="CG276" s="44">
        <f t="shared" si="580"/>
        <v>0</v>
      </c>
      <c r="CH276" s="44">
        <f t="shared" si="581"/>
        <v>0</v>
      </c>
      <c r="CI276" s="44">
        <f t="shared" si="582"/>
        <v>0</v>
      </c>
      <c r="CJ276" s="44">
        <f t="shared" si="583"/>
        <v>0</v>
      </c>
      <c r="CK276" s="44">
        <f t="shared" si="518"/>
        <v>0</v>
      </c>
      <c r="CL276" s="44">
        <f t="shared" si="584"/>
        <v>0</v>
      </c>
      <c r="CM276" s="44">
        <f t="shared" si="519"/>
        <v>0</v>
      </c>
      <c r="CN276" s="44">
        <f t="shared" si="585"/>
        <v>0</v>
      </c>
      <c r="CO276" s="44">
        <f t="shared" si="520"/>
        <v>0</v>
      </c>
      <c r="CP276" s="46">
        <f t="shared" si="521"/>
        <v>0</v>
      </c>
      <c r="CQ276" s="47">
        <f t="shared" si="522"/>
        <v>0</v>
      </c>
      <c r="CR276" s="604">
        <f t="shared" si="586"/>
        <v>0</v>
      </c>
      <c r="CS276" s="44">
        <f t="shared" si="587"/>
        <v>0</v>
      </c>
      <c r="CT276" s="44">
        <f t="shared" si="588"/>
        <v>0</v>
      </c>
      <c r="CU276" s="44">
        <f t="shared" si="589"/>
        <v>0</v>
      </c>
      <c r="CV276" s="44">
        <f t="shared" si="590"/>
        <v>0</v>
      </c>
      <c r="CW276" s="44">
        <f t="shared" si="591"/>
        <v>0</v>
      </c>
      <c r="CX276" s="44">
        <f t="shared" si="523"/>
        <v>0</v>
      </c>
      <c r="CY276" s="44">
        <f t="shared" si="592"/>
        <v>0</v>
      </c>
      <c r="CZ276" s="44">
        <f t="shared" si="524"/>
        <v>0</v>
      </c>
      <c r="DA276" s="44">
        <f t="shared" si="593"/>
        <v>0</v>
      </c>
      <c r="DB276" s="44">
        <f t="shared" si="525"/>
        <v>0</v>
      </c>
      <c r="DC276" s="46">
        <f t="shared" si="526"/>
        <v>0</v>
      </c>
      <c r="DD276" s="47">
        <f t="shared" si="527"/>
        <v>0</v>
      </c>
      <c r="DE276" s="604">
        <f t="shared" si="594"/>
        <v>0</v>
      </c>
      <c r="DF276" s="44">
        <f t="shared" si="595"/>
        <v>0</v>
      </c>
      <c r="DG276" s="44">
        <f t="shared" si="596"/>
        <v>0</v>
      </c>
      <c r="DH276" s="44">
        <f t="shared" si="597"/>
        <v>0</v>
      </c>
      <c r="DI276" s="44">
        <f t="shared" si="598"/>
        <v>0</v>
      </c>
      <c r="DJ276" s="44">
        <f t="shared" si="599"/>
        <v>0</v>
      </c>
      <c r="DK276" s="44">
        <f t="shared" si="528"/>
        <v>0</v>
      </c>
      <c r="DL276" s="44">
        <f t="shared" si="600"/>
        <v>0</v>
      </c>
      <c r="DM276" s="44">
        <f t="shared" si="529"/>
        <v>0</v>
      </c>
      <c r="DN276" s="44">
        <f t="shared" si="601"/>
        <v>0</v>
      </c>
      <c r="DO276" s="44">
        <f t="shared" si="530"/>
        <v>0</v>
      </c>
      <c r="DP276" s="46">
        <f t="shared" si="531"/>
        <v>0</v>
      </c>
      <c r="DQ276" s="47">
        <f t="shared" si="532"/>
        <v>0</v>
      </c>
      <c r="DR276" s="604">
        <f t="shared" si="602"/>
        <v>0</v>
      </c>
      <c r="DS276" s="44">
        <f t="shared" si="603"/>
        <v>0</v>
      </c>
      <c r="DT276" s="44">
        <f t="shared" si="604"/>
        <v>0</v>
      </c>
      <c r="DU276" s="44">
        <f t="shared" si="605"/>
        <v>0</v>
      </c>
      <c r="DV276" s="44">
        <f t="shared" si="606"/>
        <v>0</v>
      </c>
      <c r="DW276" s="44">
        <f t="shared" si="607"/>
        <v>0</v>
      </c>
      <c r="DX276" s="44">
        <f t="shared" si="533"/>
        <v>0</v>
      </c>
      <c r="DY276" s="44">
        <f t="shared" si="608"/>
        <v>0</v>
      </c>
      <c r="DZ276" s="44">
        <f t="shared" si="534"/>
        <v>0</v>
      </c>
      <c r="EA276" s="44">
        <f t="shared" si="609"/>
        <v>0</v>
      </c>
      <c r="EB276" s="44">
        <f t="shared" si="535"/>
        <v>0</v>
      </c>
      <c r="EC276" s="46">
        <f t="shared" si="536"/>
        <v>0</v>
      </c>
      <c r="ED276" s="47">
        <f t="shared" si="537"/>
        <v>0</v>
      </c>
    </row>
    <row r="277" spans="1:134" x14ac:dyDescent="0.35">
      <c r="A277" s="172"/>
      <c r="B277" s="173"/>
      <c r="C277" s="174"/>
      <c r="D277" s="175"/>
      <c r="E277" s="176"/>
      <c r="F277" s="177"/>
      <c r="G277" s="178"/>
      <c r="H277" s="179"/>
      <c r="I277" s="180"/>
      <c r="J277" s="181"/>
      <c r="K277" s="42">
        <f t="shared" si="488"/>
        <v>0</v>
      </c>
      <c r="L277" s="43">
        <f t="shared" si="489"/>
        <v>0</v>
      </c>
      <c r="M277" s="44">
        <f t="shared" si="490"/>
        <v>0</v>
      </c>
      <c r="N277" s="44"/>
      <c r="O277" s="44">
        <f t="shared" si="491"/>
        <v>0</v>
      </c>
      <c r="P277" s="45"/>
      <c r="Q277" s="44">
        <f t="shared" si="492"/>
        <v>0</v>
      </c>
      <c r="R277" s="604">
        <f t="shared" si="538"/>
        <v>0</v>
      </c>
      <c r="S277" s="44">
        <f t="shared" si="539"/>
        <v>0</v>
      </c>
      <c r="T277" s="44">
        <f t="shared" si="540"/>
        <v>0</v>
      </c>
      <c r="U277" s="44">
        <f t="shared" si="541"/>
        <v>0</v>
      </c>
      <c r="V277" s="44">
        <f t="shared" si="542"/>
        <v>0</v>
      </c>
      <c r="W277" s="44">
        <f t="shared" si="543"/>
        <v>0</v>
      </c>
      <c r="X277" s="44">
        <f t="shared" si="493"/>
        <v>0</v>
      </c>
      <c r="Y277" s="44">
        <f t="shared" si="544"/>
        <v>0</v>
      </c>
      <c r="Z277" s="44">
        <f t="shared" si="494"/>
        <v>0</v>
      </c>
      <c r="AA277" s="44">
        <f t="shared" si="545"/>
        <v>0</v>
      </c>
      <c r="AB277" s="44">
        <f t="shared" si="495"/>
        <v>0</v>
      </c>
      <c r="AC277" s="46">
        <f t="shared" si="496"/>
        <v>0</v>
      </c>
      <c r="AD277" s="47">
        <f t="shared" si="497"/>
        <v>0</v>
      </c>
      <c r="AE277" s="604">
        <f t="shared" si="546"/>
        <v>0</v>
      </c>
      <c r="AF277" s="44">
        <f t="shared" si="547"/>
        <v>0</v>
      </c>
      <c r="AG277" s="44">
        <f t="shared" si="548"/>
        <v>0</v>
      </c>
      <c r="AH277" s="44">
        <f t="shared" si="549"/>
        <v>0</v>
      </c>
      <c r="AI277" s="44">
        <f t="shared" si="550"/>
        <v>0</v>
      </c>
      <c r="AJ277" s="44">
        <f t="shared" si="551"/>
        <v>0</v>
      </c>
      <c r="AK277" s="44">
        <f t="shared" si="498"/>
        <v>0</v>
      </c>
      <c r="AL277" s="44">
        <f t="shared" si="552"/>
        <v>0</v>
      </c>
      <c r="AM277" s="44">
        <f t="shared" si="499"/>
        <v>0</v>
      </c>
      <c r="AN277" s="44">
        <f t="shared" si="553"/>
        <v>0</v>
      </c>
      <c r="AO277" s="44">
        <f t="shared" si="500"/>
        <v>0</v>
      </c>
      <c r="AP277" s="46">
        <f t="shared" si="501"/>
        <v>0</v>
      </c>
      <c r="AQ277" s="47">
        <f t="shared" si="502"/>
        <v>0</v>
      </c>
      <c r="AR277" s="604">
        <f t="shared" si="554"/>
        <v>0</v>
      </c>
      <c r="AS277" s="44">
        <f t="shared" si="555"/>
        <v>0</v>
      </c>
      <c r="AT277" s="44">
        <f t="shared" si="556"/>
        <v>0</v>
      </c>
      <c r="AU277" s="44">
        <f t="shared" si="557"/>
        <v>0</v>
      </c>
      <c r="AV277" s="44">
        <f t="shared" si="558"/>
        <v>0</v>
      </c>
      <c r="AW277" s="44">
        <f t="shared" si="559"/>
        <v>0</v>
      </c>
      <c r="AX277" s="44">
        <f t="shared" si="503"/>
        <v>0</v>
      </c>
      <c r="AY277" s="44">
        <f t="shared" si="560"/>
        <v>0</v>
      </c>
      <c r="AZ277" s="44">
        <f t="shared" si="504"/>
        <v>0</v>
      </c>
      <c r="BA277" s="44">
        <f t="shared" si="561"/>
        <v>0</v>
      </c>
      <c r="BB277" s="44">
        <f t="shared" si="505"/>
        <v>0</v>
      </c>
      <c r="BC277" s="46">
        <f t="shared" si="506"/>
        <v>0</v>
      </c>
      <c r="BD277" s="47">
        <f t="shared" si="507"/>
        <v>0</v>
      </c>
      <c r="BE277" s="604">
        <f t="shared" si="562"/>
        <v>0</v>
      </c>
      <c r="BF277" s="44">
        <f t="shared" si="563"/>
        <v>0</v>
      </c>
      <c r="BG277" s="44">
        <f t="shared" si="564"/>
        <v>0</v>
      </c>
      <c r="BH277" s="44">
        <f t="shared" si="565"/>
        <v>0</v>
      </c>
      <c r="BI277" s="44">
        <f t="shared" si="566"/>
        <v>0</v>
      </c>
      <c r="BJ277" s="44">
        <f t="shared" si="567"/>
        <v>0</v>
      </c>
      <c r="BK277" s="44">
        <f t="shared" si="508"/>
        <v>0</v>
      </c>
      <c r="BL277" s="44">
        <f t="shared" si="568"/>
        <v>0</v>
      </c>
      <c r="BM277" s="44">
        <f t="shared" si="509"/>
        <v>0</v>
      </c>
      <c r="BN277" s="44">
        <f t="shared" si="569"/>
        <v>0</v>
      </c>
      <c r="BO277" s="44">
        <f t="shared" si="510"/>
        <v>0</v>
      </c>
      <c r="BP277" s="46">
        <f t="shared" si="511"/>
        <v>0</v>
      </c>
      <c r="BQ277" s="47">
        <f t="shared" si="512"/>
        <v>0</v>
      </c>
      <c r="BR277" s="604">
        <f t="shared" si="570"/>
        <v>0</v>
      </c>
      <c r="BS277" s="44">
        <f t="shared" si="571"/>
        <v>0</v>
      </c>
      <c r="BT277" s="44">
        <f t="shared" si="572"/>
        <v>0</v>
      </c>
      <c r="BU277" s="44">
        <f t="shared" si="573"/>
        <v>0</v>
      </c>
      <c r="BV277" s="44">
        <f t="shared" si="574"/>
        <v>0</v>
      </c>
      <c r="BW277" s="44">
        <f t="shared" si="575"/>
        <v>0</v>
      </c>
      <c r="BX277" s="44">
        <f t="shared" si="513"/>
        <v>0</v>
      </c>
      <c r="BY277" s="44">
        <f t="shared" si="576"/>
        <v>0</v>
      </c>
      <c r="BZ277" s="44">
        <f t="shared" si="514"/>
        <v>0</v>
      </c>
      <c r="CA277" s="44">
        <f t="shared" si="577"/>
        <v>0</v>
      </c>
      <c r="CB277" s="44">
        <f t="shared" si="515"/>
        <v>0</v>
      </c>
      <c r="CC277" s="46">
        <f t="shared" si="516"/>
        <v>0</v>
      </c>
      <c r="CD277" s="47">
        <f t="shared" si="517"/>
        <v>0</v>
      </c>
      <c r="CE277" s="604">
        <f t="shared" si="578"/>
        <v>0</v>
      </c>
      <c r="CF277" s="44">
        <f t="shared" si="579"/>
        <v>0</v>
      </c>
      <c r="CG277" s="44">
        <f t="shared" si="580"/>
        <v>0</v>
      </c>
      <c r="CH277" s="44">
        <f t="shared" si="581"/>
        <v>0</v>
      </c>
      <c r="CI277" s="44">
        <f t="shared" si="582"/>
        <v>0</v>
      </c>
      <c r="CJ277" s="44">
        <f t="shared" si="583"/>
        <v>0</v>
      </c>
      <c r="CK277" s="44">
        <f t="shared" si="518"/>
        <v>0</v>
      </c>
      <c r="CL277" s="44">
        <f t="shared" si="584"/>
        <v>0</v>
      </c>
      <c r="CM277" s="44">
        <f t="shared" si="519"/>
        <v>0</v>
      </c>
      <c r="CN277" s="44">
        <f t="shared" si="585"/>
        <v>0</v>
      </c>
      <c r="CO277" s="44">
        <f t="shared" si="520"/>
        <v>0</v>
      </c>
      <c r="CP277" s="46">
        <f t="shared" si="521"/>
        <v>0</v>
      </c>
      <c r="CQ277" s="47">
        <f t="shared" si="522"/>
        <v>0</v>
      </c>
      <c r="CR277" s="604">
        <f t="shared" si="586"/>
        <v>0</v>
      </c>
      <c r="CS277" s="44">
        <f t="shared" si="587"/>
        <v>0</v>
      </c>
      <c r="CT277" s="44">
        <f t="shared" si="588"/>
        <v>0</v>
      </c>
      <c r="CU277" s="44">
        <f t="shared" si="589"/>
        <v>0</v>
      </c>
      <c r="CV277" s="44">
        <f t="shared" si="590"/>
        <v>0</v>
      </c>
      <c r="CW277" s="44">
        <f t="shared" si="591"/>
        <v>0</v>
      </c>
      <c r="CX277" s="44">
        <f t="shared" si="523"/>
        <v>0</v>
      </c>
      <c r="CY277" s="44">
        <f t="shared" si="592"/>
        <v>0</v>
      </c>
      <c r="CZ277" s="44">
        <f t="shared" si="524"/>
        <v>0</v>
      </c>
      <c r="DA277" s="44">
        <f t="shared" si="593"/>
        <v>0</v>
      </c>
      <c r="DB277" s="44">
        <f t="shared" si="525"/>
        <v>0</v>
      </c>
      <c r="DC277" s="46">
        <f t="shared" si="526"/>
        <v>0</v>
      </c>
      <c r="DD277" s="47">
        <f t="shared" si="527"/>
        <v>0</v>
      </c>
      <c r="DE277" s="604">
        <f t="shared" si="594"/>
        <v>0</v>
      </c>
      <c r="DF277" s="44">
        <f t="shared" si="595"/>
        <v>0</v>
      </c>
      <c r="DG277" s="44">
        <f t="shared" si="596"/>
        <v>0</v>
      </c>
      <c r="DH277" s="44">
        <f t="shared" si="597"/>
        <v>0</v>
      </c>
      <c r="DI277" s="44">
        <f t="shared" si="598"/>
        <v>0</v>
      </c>
      <c r="DJ277" s="44">
        <f t="shared" si="599"/>
        <v>0</v>
      </c>
      <c r="DK277" s="44">
        <f t="shared" si="528"/>
        <v>0</v>
      </c>
      <c r="DL277" s="44">
        <f t="shared" si="600"/>
        <v>0</v>
      </c>
      <c r="DM277" s="44">
        <f t="shared" si="529"/>
        <v>0</v>
      </c>
      <c r="DN277" s="44">
        <f t="shared" si="601"/>
        <v>0</v>
      </c>
      <c r="DO277" s="44">
        <f t="shared" si="530"/>
        <v>0</v>
      </c>
      <c r="DP277" s="46">
        <f t="shared" si="531"/>
        <v>0</v>
      </c>
      <c r="DQ277" s="47">
        <f t="shared" si="532"/>
        <v>0</v>
      </c>
      <c r="DR277" s="604">
        <f t="shared" si="602"/>
        <v>0</v>
      </c>
      <c r="DS277" s="44">
        <f t="shared" si="603"/>
        <v>0</v>
      </c>
      <c r="DT277" s="44">
        <f t="shared" si="604"/>
        <v>0</v>
      </c>
      <c r="DU277" s="44">
        <f t="shared" si="605"/>
        <v>0</v>
      </c>
      <c r="DV277" s="44">
        <f t="shared" si="606"/>
        <v>0</v>
      </c>
      <c r="DW277" s="44">
        <f t="shared" si="607"/>
        <v>0</v>
      </c>
      <c r="DX277" s="44">
        <f t="shared" si="533"/>
        <v>0</v>
      </c>
      <c r="DY277" s="44">
        <f t="shared" si="608"/>
        <v>0</v>
      </c>
      <c r="DZ277" s="44">
        <f t="shared" si="534"/>
        <v>0</v>
      </c>
      <c r="EA277" s="44">
        <f t="shared" si="609"/>
        <v>0</v>
      </c>
      <c r="EB277" s="44">
        <f t="shared" si="535"/>
        <v>0</v>
      </c>
      <c r="EC277" s="46">
        <f t="shared" si="536"/>
        <v>0</v>
      </c>
      <c r="ED277" s="47">
        <f t="shared" si="537"/>
        <v>0</v>
      </c>
    </row>
    <row r="278" spans="1:134" x14ac:dyDescent="0.35">
      <c r="A278" s="172"/>
      <c r="B278" s="173"/>
      <c r="C278" s="174"/>
      <c r="D278" s="175"/>
      <c r="E278" s="176"/>
      <c r="F278" s="177"/>
      <c r="G278" s="178"/>
      <c r="H278" s="179"/>
      <c r="I278" s="180"/>
      <c r="J278" s="181"/>
      <c r="K278" s="42">
        <f t="shared" si="488"/>
        <v>0</v>
      </c>
      <c r="L278" s="43">
        <f t="shared" si="489"/>
        <v>0</v>
      </c>
      <c r="M278" s="44">
        <f t="shared" si="490"/>
        <v>0</v>
      </c>
      <c r="N278" s="44"/>
      <c r="O278" s="44">
        <f t="shared" si="491"/>
        <v>0</v>
      </c>
      <c r="P278" s="45"/>
      <c r="Q278" s="44">
        <f t="shared" si="492"/>
        <v>0</v>
      </c>
      <c r="R278" s="604">
        <f t="shared" si="538"/>
        <v>0</v>
      </c>
      <c r="S278" s="44">
        <f t="shared" si="539"/>
        <v>0</v>
      </c>
      <c r="T278" s="44">
        <f t="shared" si="540"/>
        <v>0</v>
      </c>
      <c r="U278" s="44">
        <f t="shared" si="541"/>
        <v>0</v>
      </c>
      <c r="V278" s="44">
        <f t="shared" si="542"/>
        <v>0</v>
      </c>
      <c r="W278" s="44">
        <f t="shared" si="543"/>
        <v>0</v>
      </c>
      <c r="X278" s="44">
        <f t="shared" si="493"/>
        <v>0</v>
      </c>
      <c r="Y278" s="44">
        <f t="shared" si="544"/>
        <v>0</v>
      </c>
      <c r="Z278" s="44">
        <f t="shared" si="494"/>
        <v>0</v>
      </c>
      <c r="AA278" s="44">
        <f t="shared" si="545"/>
        <v>0</v>
      </c>
      <c r="AB278" s="44">
        <f t="shared" si="495"/>
        <v>0</v>
      </c>
      <c r="AC278" s="46">
        <f t="shared" si="496"/>
        <v>0</v>
      </c>
      <c r="AD278" s="47">
        <f t="shared" si="497"/>
        <v>0</v>
      </c>
      <c r="AE278" s="604">
        <f t="shared" si="546"/>
        <v>0</v>
      </c>
      <c r="AF278" s="44">
        <f t="shared" si="547"/>
        <v>0</v>
      </c>
      <c r="AG278" s="44">
        <f t="shared" si="548"/>
        <v>0</v>
      </c>
      <c r="AH278" s="44">
        <f t="shared" si="549"/>
        <v>0</v>
      </c>
      <c r="AI278" s="44">
        <f t="shared" si="550"/>
        <v>0</v>
      </c>
      <c r="AJ278" s="44">
        <f t="shared" si="551"/>
        <v>0</v>
      </c>
      <c r="AK278" s="44">
        <f t="shared" si="498"/>
        <v>0</v>
      </c>
      <c r="AL278" s="44">
        <f t="shared" si="552"/>
        <v>0</v>
      </c>
      <c r="AM278" s="44">
        <f t="shared" si="499"/>
        <v>0</v>
      </c>
      <c r="AN278" s="44">
        <f t="shared" si="553"/>
        <v>0</v>
      </c>
      <c r="AO278" s="44">
        <f t="shared" si="500"/>
        <v>0</v>
      </c>
      <c r="AP278" s="46">
        <f t="shared" si="501"/>
        <v>0</v>
      </c>
      <c r="AQ278" s="47">
        <f t="shared" si="502"/>
        <v>0</v>
      </c>
      <c r="AR278" s="604">
        <f t="shared" si="554"/>
        <v>0</v>
      </c>
      <c r="AS278" s="44">
        <f t="shared" si="555"/>
        <v>0</v>
      </c>
      <c r="AT278" s="44">
        <f t="shared" si="556"/>
        <v>0</v>
      </c>
      <c r="AU278" s="44">
        <f t="shared" si="557"/>
        <v>0</v>
      </c>
      <c r="AV278" s="44">
        <f t="shared" si="558"/>
        <v>0</v>
      </c>
      <c r="AW278" s="44">
        <f t="shared" si="559"/>
        <v>0</v>
      </c>
      <c r="AX278" s="44">
        <f t="shared" si="503"/>
        <v>0</v>
      </c>
      <c r="AY278" s="44">
        <f t="shared" si="560"/>
        <v>0</v>
      </c>
      <c r="AZ278" s="44">
        <f t="shared" si="504"/>
        <v>0</v>
      </c>
      <c r="BA278" s="44">
        <f t="shared" si="561"/>
        <v>0</v>
      </c>
      <c r="BB278" s="44">
        <f t="shared" si="505"/>
        <v>0</v>
      </c>
      <c r="BC278" s="46">
        <f t="shared" si="506"/>
        <v>0</v>
      </c>
      <c r="BD278" s="47">
        <f t="shared" si="507"/>
        <v>0</v>
      </c>
      <c r="BE278" s="604">
        <f t="shared" si="562"/>
        <v>0</v>
      </c>
      <c r="BF278" s="44">
        <f t="shared" si="563"/>
        <v>0</v>
      </c>
      <c r="BG278" s="44">
        <f t="shared" si="564"/>
        <v>0</v>
      </c>
      <c r="BH278" s="44">
        <f t="shared" si="565"/>
        <v>0</v>
      </c>
      <c r="BI278" s="44">
        <f t="shared" si="566"/>
        <v>0</v>
      </c>
      <c r="BJ278" s="44">
        <f t="shared" si="567"/>
        <v>0</v>
      </c>
      <c r="BK278" s="44">
        <f t="shared" si="508"/>
        <v>0</v>
      </c>
      <c r="BL278" s="44">
        <f t="shared" si="568"/>
        <v>0</v>
      </c>
      <c r="BM278" s="44">
        <f t="shared" si="509"/>
        <v>0</v>
      </c>
      <c r="BN278" s="44">
        <f t="shared" si="569"/>
        <v>0</v>
      </c>
      <c r="BO278" s="44">
        <f t="shared" si="510"/>
        <v>0</v>
      </c>
      <c r="BP278" s="46">
        <f t="shared" si="511"/>
        <v>0</v>
      </c>
      <c r="BQ278" s="47">
        <f t="shared" si="512"/>
        <v>0</v>
      </c>
      <c r="BR278" s="604">
        <f t="shared" si="570"/>
        <v>0</v>
      </c>
      <c r="BS278" s="44">
        <f t="shared" si="571"/>
        <v>0</v>
      </c>
      <c r="BT278" s="44">
        <f t="shared" si="572"/>
        <v>0</v>
      </c>
      <c r="BU278" s="44">
        <f t="shared" si="573"/>
        <v>0</v>
      </c>
      <c r="BV278" s="44">
        <f t="shared" si="574"/>
        <v>0</v>
      </c>
      <c r="BW278" s="44">
        <f t="shared" si="575"/>
        <v>0</v>
      </c>
      <c r="BX278" s="44">
        <f t="shared" si="513"/>
        <v>0</v>
      </c>
      <c r="BY278" s="44">
        <f t="shared" si="576"/>
        <v>0</v>
      </c>
      <c r="BZ278" s="44">
        <f t="shared" si="514"/>
        <v>0</v>
      </c>
      <c r="CA278" s="44">
        <f t="shared" si="577"/>
        <v>0</v>
      </c>
      <c r="CB278" s="44">
        <f t="shared" si="515"/>
        <v>0</v>
      </c>
      <c r="CC278" s="46">
        <f t="shared" si="516"/>
        <v>0</v>
      </c>
      <c r="CD278" s="47">
        <f t="shared" si="517"/>
        <v>0</v>
      </c>
      <c r="CE278" s="604">
        <f t="shared" si="578"/>
        <v>0</v>
      </c>
      <c r="CF278" s="44">
        <f t="shared" si="579"/>
        <v>0</v>
      </c>
      <c r="CG278" s="44">
        <f t="shared" si="580"/>
        <v>0</v>
      </c>
      <c r="CH278" s="44">
        <f t="shared" si="581"/>
        <v>0</v>
      </c>
      <c r="CI278" s="44">
        <f t="shared" si="582"/>
        <v>0</v>
      </c>
      <c r="CJ278" s="44">
        <f t="shared" si="583"/>
        <v>0</v>
      </c>
      <c r="CK278" s="44">
        <f t="shared" si="518"/>
        <v>0</v>
      </c>
      <c r="CL278" s="44">
        <f t="shared" si="584"/>
        <v>0</v>
      </c>
      <c r="CM278" s="44">
        <f t="shared" si="519"/>
        <v>0</v>
      </c>
      <c r="CN278" s="44">
        <f t="shared" si="585"/>
        <v>0</v>
      </c>
      <c r="CO278" s="44">
        <f t="shared" si="520"/>
        <v>0</v>
      </c>
      <c r="CP278" s="46">
        <f t="shared" si="521"/>
        <v>0</v>
      </c>
      <c r="CQ278" s="47">
        <f t="shared" si="522"/>
        <v>0</v>
      </c>
      <c r="CR278" s="604">
        <f t="shared" si="586"/>
        <v>0</v>
      </c>
      <c r="CS278" s="44">
        <f t="shared" si="587"/>
        <v>0</v>
      </c>
      <c r="CT278" s="44">
        <f t="shared" si="588"/>
        <v>0</v>
      </c>
      <c r="CU278" s="44">
        <f t="shared" si="589"/>
        <v>0</v>
      </c>
      <c r="CV278" s="44">
        <f t="shared" si="590"/>
        <v>0</v>
      </c>
      <c r="CW278" s="44">
        <f t="shared" si="591"/>
        <v>0</v>
      </c>
      <c r="CX278" s="44">
        <f t="shared" si="523"/>
        <v>0</v>
      </c>
      <c r="CY278" s="44">
        <f t="shared" si="592"/>
        <v>0</v>
      </c>
      <c r="CZ278" s="44">
        <f t="shared" si="524"/>
        <v>0</v>
      </c>
      <c r="DA278" s="44">
        <f t="shared" si="593"/>
        <v>0</v>
      </c>
      <c r="DB278" s="44">
        <f t="shared" si="525"/>
        <v>0</v>
      </c>
      <c r="DC278" s="46">
        <f t="shared" si="526"/>
        <v>0</v>
      </c>
      <c r="DD278" s="47">
        <f t="shared" si="527"/>
        <v>0</v>
      </c>
      <c r="DE278" s="604">
        <f t="shared" si="594"/>
        <v>0</v>
      </c>
      <c r="DF278" s="44">
        <f t="shared" si="595"/>
        <v>0</v>
      </c>
      <c r="DG278" s="44">
        <f t="shared" si="596"/>
        <v>0</v>
      </c>
      <c r="DH278" s="44">
        <f t="shared" si="597"/>
        <v>0</v>
      </c>
      <c r="DI278" s="44">
        <f t="shared" si="598"/>
        <v>0</v>
      </c>
      <c r="DJ278" s="44">
        <f t="shared" si="599"/>
        <v>0</v>
      </c>
      <c r="DK278" s="44">
        <f t="shared" si="528"/>
        <v>0</v>
      </c>
      <c r="DL278" s="44">
        <f t="shared" si="600"/>
        <v>0</v>
      </c>
      <c r="DM278" s="44">
        <f t="shared" si="529"/>
        <v>0</v>
      </c>
      <c r="DN278" s="44">
        <f t="shared" si="601"/>
        <v>0</v>
      </c>
      <c r="DO278" s="44">
        <f t="shared" si="530"/>
        <v>0</v>
      </c>
      <c r="DP278" s="46">
        <f t="shared" si="531"/>
        <v>0</v>
      </c>
      <c r="DQ278" s="47">
        <f t="shared" si="532"/>
        <v>0</v>
      </c>
      <c r="DR278" s="604">
        <f t="shared" si="602"/>
        <v>0</v>
      </c>
      <c r="DS278" s="44">
        <f t="shared" si="603"/>
        <v>0</v>
      </c>
      <c r="DT278" s="44">
        <f t="shared" si="604"/>
        <v>0</v>
      </c>
      <c r="DU278" s="44">
        <f t="shared" si="605"/>
        <v>0</v>
      </c>
      <c r="DV278" s="44">
        <f t="shared" si="606"/>
        <v>0</v>
      </c>
      <c r="DW278" s="44">
        <f t="shared" si="607"/>
        <v>0</v>
      </c>
      <c r="DX278" s="44">
        <f t="shared" si="533"/>
        <v>0</v>
      </c>
      <c r="DY278" s="44">
        <f t="shared" si="608"/>
        <v>0</v>
      </c>
      <c r="DZ278" s="44">
        <f t="shared" si="534"/>
        <v>0</v>
      </c>
      <c r="EA278" s="44">
        <f t="shared" si="609"/>
        <v>0</v>
      </c>
      <c r="EB278" s="44">
        <f t="shared" si="535"/>
        <v>0</v>
      </c>
      <c r="EC278" s="46">
        <f t="shared" si="536"/>
        <v>0</v>
      </c>
      <c r="ED278" s="47">
        <f t="shared" si="537"/>
        <v>0</v>
      </c>
    </row>
    <row r="279" spans="1:134" x14ac:dyDescent="0.35">
      <c r="A279" s="172"/>
      <c r="B279" s="173"/>
      <c r="C279" s="174"/>
      <c r="D279" s="175"/>
      <c r="E279" s="176"/>
      <c r="F279" s="177"/>
      <c r="G279" s="178"/>
      <c r="H279" s="179"/>
      <c r="I279" s="180"/>
      <c r="J279" s="181"/>
      <c r="K279" s="42">
        <f t="shared" si="488"/>
        <v>0</v>
      </c>
      <c r="L279" s="43">
        <f t="shared" si="489"/>
        <v>0</v>
      </c>
      <c r="M279" s="44">
        <f t="shared" si="490"/>
        <v>0</v>
      </c>
      <c r="N279" s="44"/>
      <c r="O279" s="44">
        <f t="shared" si="491"/>
        <v>0</v>
      </c>
      <c r="P279" s="45"/>
      <c r="Q279" s="44">
        <f t="shared" si="492"/>
        <v>0</v>
      </c>
      <c r="R279" s="604">
        <f t="shared" si="538"/>
        <v>0</v>
      </c>
      <c r="S279" s="44">
        <f t="shared" si="539"/>
        <v>0</v>
      </c>
      <c r="T279" s="44">
        <f t="shared" si="540"/>
        <v>0</v>
      </c>
      <c r="U279" s="44">
        <f t="shared" si="541"/>
        <v>0</v>
      </c>
      <c r="V279" s="44">
        <f t="shared" si="542"/>
        <v>0</v>
      </c>
      <c r="W279" s="44">
        <f t="shared" si="543"/>
        <v>0</v>
      </c>
      <c r="X279" s="44">
        <f t="shared" si="493"/>
        <v>0</v>
      </c>
      <c r="Y279" s="44">
        <f t="shared" si="544"/>
        <v>0</v>
      </c>
      <c r="Z279" s="44">
        <f t="shared" si="494"/>
        <v>0</v>
      </c>
      <c r="AA279" s="44">
        <f t="shared" si="545"/>
        <v>0</v>
      </c>
      <c r="AB279" s="44">
        <f t="shared" si="495"/>
        <v>0</v>
      </c>
      <c r="AC279" s="46">
        <f t="shared" si="496"/>
        <v>0</v>
      </c>
      <c r="AD279" s="47">
        <f t="shared" si="497"/>
        <v>0</v>
      </c>
      <c r="AE279" s="604">
        <f t="shared" si="546"/>
        <v>0</v>
      </c>
      <c r="AF279" s="44">
        <f t="shared" si="547"/>
        <v>0</v>
      </c>
      <c r="AG279" s="44">
        <f t="shared" si="548"/>
        <v>0</v>
      </c>
      <c r="AH279" s="44">
        <f t="shared" si="549"/>
        <v>0</v>
      </c>
      <c r="AI279" s="44">
        <f t="shared" si="550"/>
        <v>0</v>
      </c>
      <c r="AJ279" s="44">
        <f t="shared" si="551"/>
        <v>0</v>
      </c>
      <c r="AK279" s="44">
        <f t="shared" si="498"/>
        <v>0</v>
      </c>
      <c r="AL279" s="44">
        <f t="shared" si="552"/>
        <v>0</v>
      </c>
      <c r="AM279" s="44">
        <f t="shared" si="499"/>
        <v>0</v>
      </c>
      <c r="AN279" s="44">
        <f t="shared" si="553"/>
        <v>0</v>
      </c>
      <c r="AO279" s="44">
        <f t="shared" si="500"/>
        <v>0</v>
      </c>
      <c r="AP279" s="46">
        <f t="shared" si="501"/>
        <v>0</v>
      </c>
      <c r="AQ279" s="47">
        <f t="shared" si="502"/>
        <v>0</v>
      </c>
      <c r="AR279" s="604">
        <f t="shared" si="554"/>
        <v>0</v>
      </c>
      <c r="AS279" s="44">
        <f t="shared" si="555"/>
        <v>0</v>
      </c>
      <c r="AT279" s="44">
        <f t="shared" si="556"/>
        <v>0</v>
      </c>
      <c r="AU279" s="44">
        <f t="shared" si="557"/>
        <v>0</v>
      </c>
      <c r="AV279" s="44">
        <f t="shared" si="558"/>
        <v>0</v>
      </c>
      <c r="AW279" s="44">
        <f t="shared" si="559"/>
        <v>0</v>
      </c>
      <c r="AX279" s="44">
        <f t="shared" si="503"/>
        <v>0</v>
      </c>
      <c r="AY279" s="44">
        <f t="shared" si="560"/>
        <v>0</v>
      </c>
      <c r="AZ279" s="44">
        <f t="shared" si="504"/>
        <v>0</v>
      </c>
      <c r="BA279" s="44">
        <f t="shared" si="561"/>
        <v>0</v>
      </c>
      <c r="BB279" s="44">
        <f t="shared" si="505"/>
        <v>0</v>
      </c>
      <c r="BC279" s="46">
        <f t="shared" si="506"/>
        <v>0</v>
      </c>
      <c r="BD279" s="47">
        <f t="shared" si="507"/>
        <v>0</v>
      </c>
      <c r="BE279" s="604">
        <f t="shared" si="562"/>
        <v>0</v>
      </c>
      <c r="BF279" s="44">
        <f t="shared" si="563"/>
        <v>0</v>
      </c>
      <c r="BG279" s="44">
        <f t="shared" si="564"/>
        <v>0</v>
      </c>
      <c r="BH279" s="44">
        <f t="shared" si="565"/>
        <v>0</v>
      </c>
      <c r="BI279" s="44">
        <f t="shared" si="566"/>
        <v>0</v>
      </c>
      <c r="BJ279" s="44">
        <f t="shared" si="567"/>
        <v>0</v>
      </c>
      <c r="BK279" s="44">
        <f t="shared" si="508"/>
        <v>0</v>
      </c>
      <c r="BL279" s="44">
        <f t="shared" si="568"/>
        <v>0</v>
      </c>
      <c r="BM279" s="44">
        <f t="shared" si="509"/>
        <v>0</v>
      </c>
      <c r="BN279" s="44">
        <f t="shared" si="569"/>
        <v>0</v>
      </c>
      <c r="BO279" s="44">
        <f t="shared" si="510"/>
        <v>0</v>
      </c>
      <c r="BP279" s="46">
        <f t="shared" si="511"/>
        <v>0</v>
      </c>
      <c r="BQ279" s="47">
        <f t="shared" si="512"/>
        <v>0</v>
      </c>
      <c r="BR279" s="604">
        <f t="shared" si="570"/>
        <v>0</v>
      </c>
      <c r="BS279" s="44">
        <f t="shared" si="571"/>
        <v>0</v>
      </c>
      <c r="BT279" s="44">
        <f t="shared" si="572"/>
        <v>0</v>
      </c>
      <c r="BU279" s="44">
        <f t="shared" si="573"/>
        <v>0</v>
      </c>
      <c r="BV279" s="44">
        <f t="shared" si="574"/>
        <v>0</v>
      </c>
      <c r="BW279" s="44">
        <f t="shared" si="575"/>
        <v>0</v>
      </c>
      <c r="BX279" s="44">
        <f t="shared" si="513"/>
        <v>0</v>
      </c>
      <c r="BY279" s="44">
        <f t="shared" si="576"/>
        <v>0</v>
      </c>
      <c r="BZ279" s="44">
        <f t="shared" si="514"/>
        <v>0</v>
      </c>
      <c r="CA279" s="44">
        <f t="shared" si="577"/>
        <v>0</v>
      </c>
      <c r="CB279" s="44">
        <f t="shared" si="515"/>
        <v>0</v>
      </c>
      <c r="CC279" s="46">
        <f t="shared" si="516"/>
        <v>0</v>
      </c>
      <c r="CD279" s="47">
        <f t="shared" si="517"/>
        <v>0</v>
      </c>
      <c r="CE279" s="604">
        <f t="shared" si="578"/>
        <v>0</v>
      </c>
      <c r="CF279" s="44">
        <f t="shared" si="579"/>
        <v>0</v>
      </c>
      <c r="CG279" s="44">
        <f t="shared" si="580"/>
        <v>0</v>
      </c>
      <c r="CH279" s="44">
        <f t="shared" si="581"/>
        <v>0</v>
      </c>
      <c r="CI279" s="44">
        <f t="shared" si="582"/>
        <v>0</v>
      </c>
      <c r="CJ279" s="44">
        <f t="shared" si="583"/>
        <v>0</v>
      </c>
      <c r="CK279" s="44">
        <f t="shared" si="518"/>
        <v>0</v>
      </c>
      <c r="CL279" s="44">
        <f t="shared" si="584"/>
        <v>0</v>
      </c>
      <c r="CM279" s="44">
        <f t="shared" si="519"/>
        <v>0</v>
      </c>
      <c r="CN279" s="44">
        <f t="shared" si="585"/>
        <v>0</v>
      </c>
      <c r="CO279" s="44">
        <f t="shared" si="520"/>
        <v>0</v>
      </c>
      <c r="CP279" s="46">
        <f t="shared" si="521"/>
        <v>0</v>
      </c>
      <c r="CQ279" s="47">
        <f t="shared" si="522"/>
        <v>0</v>
      </c>
      <c r="CR279" s="604">
        <f t="shared" si="586"/>
        <v>0</v>
      </c>
      <c r="CS279" s="44">
        <f t="shared" si="587"/>
        <v>0</v>
      </c>
      <c r="CT279" s="44">
        <f t="shared" si="588"/>
        <v>0</v>
      </c>
      <c r="CU279" s="44">
        <f t="shared" si="589"/>
        <v>0</v>
      </c>
      <c r="CV279" s="44">
        <f t="shared" si="590"/>
        <v>0</v>
      </c>
      <c r="CW279" s="44">
        <f t="shared" si="591"/>
        <v>0</v>
      </c>
      <c r="CX279" s="44">
        <f t="shared" si="523"/>
        <v>0</v>
      </c>
      <c r="CY279" s="44">
        <f t="shared" si="592"/>
        <v>0</v>
      </c>
      <c r="CZ279" s="44">
        <f t="shared" si="524"/>
        <v>0</v>
      </c>
      <c r="DA279" s="44">
        <f t="shared" si="593"/>
        <v>0</v>
      </c>
      <c r="DB279" s="44">
        <f t="shared" si="525"/>
        <v>0</v>
      </c>
      <c r="DC279" s="46">
        <f t="shared" si="526"/>
        <v>0</v>
      </c>
      <c r="DD279" s="47">
        <f t="shared" si="527"/>
        <v>0</v>
      </c>
      <c r="DE279" s="604">
        <f t="shared" si="594"/>
        <v>0</v>
      </c>
      <c r="DF279" s="44">
        <f t="shared" si="595"/>
        <v>0</v>
      </c>
      <c r="DG279" s="44">
        <f t="shared" si="596"/>
        <v>0</v>
      </c>
      <c r="DH279" s="44">
        <f t="shared" si="597"/>
        <v>0</v>
      </c>
      <c r="DI279" s="44">
        <f t="shared" si="598"/>
        <v>0</v>
      </c>
      <c r="DJ279" s="44">
        <f t="shared" si="599"/>
        <v>0</v>
      </c>
      <c r="DK279" s="44">
        <f t="shared" si="528"/>
        <v>0</v>
      </c>
      <c r="DL279" s="44">
        <f t="shared" si="600"/>
        <v>0</v>
      </c>
      <c r="DM279" s="44">
        <f t="shared" si="529"/>
        <v>0</v>
      </c>
      <c r="DN279" s="44">
        <f t="shared" si="601"/>
        <v>0</v>
      </c>
      <c r="DO279" s="44">
        <f t="shared" si="530"/>
        <v>0</v>
      </c>
      <c r="DP279" s="46">
        <f t="shared" si="531"/>
        <v>0</v>
      </c>
      <c r="DQ279" s="47">
        <f t="shared" si="532"/>
        <v>0</v>
      </c>
      <c r="DR279" s="604">
        <f t="shared" si="602"/>
        <v>0</v>
      </c>
      <c r="DS279" s="44">
        <f t="shared" si="603"/>
        <v>0</v>
      </c>
      <c r="DT279" s="44">
        <f t="shared" si="604"/>
        <v>0</v>
      </c>
      <c r="DU279" s="44">
        <f t="shared" si="605"/>
        <v>0</v>
      </c>
      <c r="DV279" s="44">
        <f t="shared" si="606"/>
        <v>0</v>
      </c>
      <c r="DW279" s="44">
        <f t="shared" si="607"/>
        <v>0</v>
      </c>
      <c r="DX279" s="44">
        <f t="shared" si="533"/>
        <v>0</v>
      </c>
      <c r="DY279" s="44">
        <f t="shared" si="608"/>
        <v>0</v>
      </c>
      <c r="DZ279" s="44">
        <f t="shared" si="534"/>
        <v>0</v>
      </c>
      <c r="EA279" s="44">
        <f t="shared" si="609"/>
        <v>0</v>
      </c>
      <c r="EB279" s="44">
        <f t="shared" si="535"/>
        <v>0</v>
      </c>
      <c r="EC279" s="46">
        <f t="shared" si="536"/>
        <v>0</v>
      </c>
      <c r="ED279" s="47">
        <f t="shared" si="537"/>
        <v>0</v>
      </c>
    </row>
    <row r="280" spans="1:134" x14ac:dyDescent="0.35">
      <c r="A280" s="172"/>
      <c r="B280" s="173"/>
      <c r="C280" s="174"/>
      <c r="D280" s="175"/>
      <c r="E280" s="176"/>
      <c r="F280" s="177"/>
      <c r="G280" s="178"/>
      <c r="H280" s="179"/>
      <c r="I280" s="180"/>
      <c r="J280" s="181"/>
      <c r="K280" s="42">
        <f t="shared" si="488"/>
        <v>0</v>
      </c>
      <c r="L280" s="43">
        <f t="shared" si="489"/>
        <v>0</v>
      </c>
      <c r="M280" s="44">
        <f t="shared" si="490"/>
        <v>0</v>
      </c>
      <c r="N280" s="44"/>
      <c r="O280" s="44">
        <f t="shared" si="491"/>
        <v>0</v>
      </c>
      <c r="P280" s="45"/>
      <c r="Q280" s="44">
        <f t="shared" si="492"/>
        <v>0</v>
      </c>
      <c r="R280" s="604">
        <f t="shared" si="538"/>
        <v>0</v>
      </c>
      <c r="S280" s="44">
        <f t="shared" si="539"/>
        <v>0</v>
      </c>
      <c r="T280" s="44">
        <f t="shared" si="540"/>
        <v>0</v>
      </c>
      <c r="U280" s="44">
        <f t="shared" si="541"/>
        <v>0</v>
      </c>
      <c r="V280" s="44">
        <f t="shared" si="542"/>
        <v>0</v>
      </c>
      <c r="W280" s="44">
        <f t="shared" si="543"/>
        <v>0</v>
      </c>
      <c r="X280" s="44">
        <f t="shared" si="493"/>
        <v>0</v>
      </c>
      <c r="Y280" s="44">
        <f t="shared" si="544"/>
        <v>0</v>
      </c>
      <c r="Z280" s="44">
        <f t="shared" si="494"/>
        <v>0</v>
      </c>
      <c r="AA280" s="44">
        <f t="shared" si="545"/>
        <v>0</v>
      </c>
      <c r="AB280" s="44">
        <f t="shared" si="495"/>
        <v>0</v>
      </c>
      <c r="AC280" s="46">
        <f t="shared" si="496"/>
        <v>0</v>
      </c>
      <c r="AD280" s="47">
        <f t="shared" si="497"/>
        <v>0</v>
      </c>
      <c r="AE280" s="604">
        <f t="shared" si="546"/>
        <v>0</v>
      </c>
      <c r="AF280" s="44">
        <f t="shared" si="547"/>
        <v>0</v>
      </c>
      <c r="AG280" s="44">
        <f t="shared" si="548"/>
        <v>0</v>
      </c>
      <c r="AH280" s="44">
        <f t="shared" si="549"/>
        <v>0</v>
      </c>
      <c r="AI280" s="44">
        <f t="shared" si="550"/>
        <v>0</v>
      </c>
      <c r="AJ280" s="44">
        <f t="shared" si="551"/>
        <v>0</v>
      </c>
      <c r="AK280" s="44">
        <f t="shared" si="498"/>
        <v>0</v>
      </c>
      <c r="AL280" s="44">
        <f t="shared" si="552"/>
        <v>0</v>
      </c>
      <c r="AM280" s="44">
        <f t="shared" si="499"/>
        <v>0</v>
      </c>
      <c r="AN280" s="44">
        <f t="shared" si="553"/>
        <v>0</v>
      </c>
      <c r="AO280" s="44">
        <f t="shared" si="500"/>
        <v>0</v>
      </c>
      <c r="AP280" s="46">
        <f t="shared" si="501"/>
        <v>0</v>
      </c>
      <c r="AQ280" s="47">
        <f t="shared" si="502"/>
        <v>0</v>
      </c>
      <c r="AR280" s="604">
        <f t="shared" si="554"/>
        <v>0</v>
      </c>
      <c r="AS280" s="44">
        <f t="shared" si="555"/>
        <v>0</v>
      </c>
      <c r="AT280" s="44">
        <f t="shared" si="556"/>
        <v>0</v>
      </c>
      <c r="AU280" s="44">
        <f t="shared" si="557"/>
        <v>0</v>
      </c>
      <c r="AV280" s="44">
        <f t="shared" si="558"/>
        <v>0</v>
      </c>
      <c r="AW280" s="44">
        <f t="shared" si="559"/>
        <v>0</v>
      </c>
      <c r="AX280" s="44">
        <f t="shared" si="503"/>
        <v>0</v>
      </c>
      <c r="AY280" s="44">
        <f t="shared" si="560"/>
        <v>0</v>
      </c>
      <c r="AZ280" s="44">
        <f t="shared" si="504"/>
        <v>0</v>
      </c>
      <c r="BA280" s="44">
        <f t="shared" si="561"/>
        <v>0</v>
      </c>
      <c r="BB280" s="44">
        <f t="shared" si="505"/>
        <v>0</v>
      </c>
      <c r="BC280" s="46">
        <f t="shared" si="506"/>
        <v>0</v>
      </c>
      <c r="BD280" s="47">
        <f t="shared" si="507"/>
        <v>0</v>
      </c>
      <c r="BE280" s="604">
        <f t="shared" si="562"/>
        <v>0</v>
      </c>
      <c r="BF280" s="44">
        <f t="shared" si="563"/>
        <v>0</v>
      </c>
      <c r="BG280" s="44">
        <f t="shared" si="564"/>
        <v>0</v>
      </c>
      <c r="BH280" s="44">
        <f t="shared" si="565"/>
        <v>0</v>
      </c>
      <c r="BI280" s="44">
        <f t="shared" si="566"/>
        <v>0</v>
      </c>
      <c r="BJ280" s="44">
        <f t="shared" si="567"/>
        <v>0</v>
      </c>
      <c r="BK280" s="44">
        <f t="shared" si="508"/>
        <v>0</v>
      </c>
      <c r="BL280" s="44">
        <f t="shared" si="568"/>
        <v>0</v>
      </c>
      <c r="BM280" s="44">
        <f t="shared" si="509"/>
        <v>0</v>
      </c>
      <c r="BN280" s="44">
        <f t="shared" si="569"/>
        <v>0</v>
      </c>
      <c r="BO280" s="44">
        <f t="shared" si="510"/>
        <v>0</v>
      </c>
      <c r="BP280" s="46">
        <f t="shared" si="511"/>
        <v>0</v>
      </c>
      <c r="BQ280" s="47">
        <f t="shared" si="512"/>
        <v>0</v>
      </c>
      <c r="BR280" s="604">
        <f t="shared" si="570"/>
        <v>0</v>
      </c>
      <c r="BS280" s="44">
        <f t="shared" si="571"/>
        <v>0</v>
      </c>
      <c r="BT280" s="44">
        <f t="shared" si="572"/>
        <v>0</v>
      </c>
      <c r="BU280" s="44">
        <f t="shared" si="573"/>
        <v>0</v>
      </c>
      <c r="BV280" s="44">
        <f t="shared" si="574"/>
        <v>0</v>
      </c>
      <c r="BW280" s="44">
        <f t="shared" si="575"/>
        <v>0</v>
      </c>
      <c r="BX280" s="44">
        <f t="shared" si="513"/>
        <v>0</v>
      </c>
      <c r="BY280" s="44">
        <f t="shared" si="576"/>
        <v>0</v>
      </c>
      <c r="BZ280" s="44">
        <f t="shared" si="514"/>
        <v>0</v>
      </c>
      <c r="CA280" s="44">
        <f t="shared" si="577"/>
        <v>0</v>
      </c>
      <c r="CB280" s="44">
        <f t="shared" si="515"/>
        <v>0</v>
      </c>
      <c r="CC280" s="46">
        <f t="shared" si="516"/>
        <v>0</v>
      </c>
      <c r="CD280" s="47">
        <f t="shared" si="517"/>
        <v>0</v>
      </c>
      <c r="CE280" s="604">
        <f t="shared" si="578"/>
        <v>0</v>
      </c>
      <c r="CF280" s="44">
        <f t="shared" si="579"/>
        <v>0</v>
      </c>
      <c r="CG280" s="44">
        <f t="shared" si="580"/>
        <v>0</v>
      </c>
      <c r="CH280" s="44">
        <f t="shared" si="581"/>
        <v>0</v>
      </c>
      <c r="CI280" s="44">
        <f t="shared" si="582"/>
        <v>0</v>
      </c>
      <c r="CJ280" s="44">
        <f t="shared" si="583"/>
        <v>0</v>
      </c>
      <c r="CK280" s="44">
        <f t="shared" si="518"/>
        <v>0</v>
      </c>
      <c r="CL280" s="44">
        <f t="shared" si="584"/>
        <v>0</v>
      </c>
      <c r="CM280" s="44">
        <f t="shared" si="519"/>
        <v>0</v>
      </c>
      <c r="CN280" s="44">
        <f t="shared" si="585"/>
        <v>0</v>
      </c>
      <c r="CO280" s="44">
        <f t="shared" si="520"/>
        <v>0</v>
      </c>
      <c r="CP280" s="46">
        <f t="shared" si="521"/>
        <v>0</v>
      </c>
      <c r="CQ280" s="47">
        <f t="shared" si="522"/>
        <v>0</v>
      </c>
      <c r="CR280" s="604">
        <f t="shared" si="586"/>
        <v>0</v>
      </c>
      <c r="CS280" s="44">
        <f t="shared" si="587"/>
        <v>0</v>
      </c>
      <c r="CT280" s="44">
        <f t="shared" si="588"/>
        <v>0</v>
      </c>
      <c r="CU280" s="44">
        <f t="shared" si="589"/>
        <v>0</v>
      </c>
      <c r="CV280" s="44">
        <f t="shared" si="590"/>
        <v>0</v>
      </c>
      <c r="CW280" s="44">
        <f t="shared" si="591"/>
        <v>0</v>
      </c>
      <c r="CX280" s="44">
        <f t="shared" si="523"/>
        <v>0</v>
      </c>
      <c r="CY280" s="44">
        <f t="shared" si="592"/>
        <v>0</v>
      </c>
      <c r="CZ280" s="44">
        <f t="shared" si="524"/>
        <v>0</v>
      </c>
      <c r="DA280" s="44">
        <f t="shared" si="593"/>
        <v>0</v>
      </c>
      <c r="DB280" s="44">
        <f t="shared" si="525"/>
        <v>0</v>
      </c>
      <c r="DC280" s="46">
        <f t="shared" si="526"/>
        <v>0</v>
      </c>
      <c r="DD280" s="47">
        <f t="shared" si="527"/>
        <v>0</v>
      </c>
      <c r="DE280" s="604">
        <f t="shared" si="594"/>
        <v>0</v>
      </c>
      <c r="DF280" s="44">
        <f t="shared" si="595"/>
        <v>0</v>
      </c>
      <c r="DG280" s="44">
        <f t="shared" si="596"/>
        <v>0</v>
      </c>
      <c r="DH280" s="44">
        <f t="shared" si="597"/>
        <v>0</v>
      </c>
      <c r="DI280" s="44">
        <f t="shared" si="598"/>
        <v>0</v>
      </c>
      <c r="DJ280" s="44">
        <f t="shared" si="599"/>
        <v>0</v>
      </c>
      <c r="DK280" s="44">
        <f t="shared" si="528"/>
        <v>0</v>
      </c>
      <c r="DL280" s="44">
        <f t="shared" si="600"/>
        <v>0</v>
      </c>
      <c r="DM280" s="44">
        <f t="shared" si="529"/>
        <v>0</v>
      </c>
      <c r="DN280" s="44">
        <f t="shared" si="601"/>
        <v>0</v>
      </c>
      <c r="DO280" s="44">
        <f t="shared" si="530"/>
        <v>0</v>
      </c>
      <c r="DP280" s="46">
        <f t="shared" si="531"/>
        <v>0</v>
      </c>
      <c r="DQ280" s="47">
        <f t="shared" si="532"/>
        <v>0</v>
      </c>
      <c r="DR280" s="604">
        <f t="shared" si="602"/>
        <v>0</v>
      </c>
      <c r="DS280" s="44">
        <f t="shared" si="603"/>
        <v>0</v>
      </c>
      <c r="DT280" s="44">
        <f t="shared" si="604"/>
        <v>0</v>
      </c>
      <c r="DU280" s="44">
        <f t="shared" si="605"/>
        <v>0</v>
      </c>
      <c r="DV280" s="44">
        <f t="shared" si="606"/>
        <v>0</v>
      </c>
      <c r="DW280" s="44">
        <f t="shared" si="607"/>
        <v>0</v>
      </c>
      <c r="DX280" s="44">
        <f t="shared" si="533"/>
        <v>0</v>
      </c>
      <c r="DY280" s="44">
        <f t="shared" si="608"/>
        <v>0</v>
      </c>
      <c r="DZ280" s="44">
        <f t="shared" si="534"/>
        <v>0</v>
      </c>
      <c r="EA280" s="44">
        <f t="shared" si="609"/>
        <v>0</v>
      </c>
      <c r="EB280" s="44">
        <f t="shared" si="535"/>
        <v>0</v>
      </c>
      <c r="EC280" s="46">
        <f t="shared" si="536"/>
        <v>0</v>
      </c>
      <c r="ED280" s="47">
        <f t="shared" si="537"/>
        <v>0</v>
      </c>
    </row>
    <row r="281" spans="1:134" x14ac:dyDescent="0.35">
      <c r="A281" s="172"/>
      <c r="B281" s="173"/>
      <c r="C281" s="174"/>
      <c r="D281" s="175"/>
      <c r="E281" s="176"/>
      <c r="F281" s="177"/>
      <c r="G281" s="178"/>
      <c r="H281" s="179"/>
      <c r="I281" s="180"/>
      <c r="J281" s="181"/>
      <c r="K281" s="42">
        <f t="shared" si="488"/>
        <v>0</v>
      </c>
      <c r="L281" s="43">
        <f t="shared" si="489"/>
        <v>0</v>
      </c>
      <c r="M281" s="44">
        <f t="shared" si="490"/>
        <v>0</v>
      </c>
      <c r="N281" s="44"/>
      <c r="O281" s="44">
        <f t="shared" si="491"/>
        <v>0</v>
      </c>
      <c r="P281" s="45"/>
      <c r="Q281" s="44">
        <f t="shared" si="492"/>
        <v>0</v>
      </c>
      <c r="R281" s="604">
        <f t="shared" si="538"/>
        <v>0</v>
      </c>
      <c r="S281" s="44">
        <f t="shared" si="539"/>
        <v>0</v>
      </c>
      <c r="T281" s="44">
        <f t="shared" si="540"/>
        <v>0</v>
      </c>
      <c r="U281" s="44">
        <f t="shared" si="541"/>
        <v>0</v>
      </c>
      <c r="V281" s="44">
        <f t="shared" si="542"/>
        <v>0</v>
      </c>
      <c r="W281" s="44">
        <f t="shared" si="543"/>
        <v>0</v>
      </c>
      <c r="X281" s="44">
        <f t="shared" si="493"/>
        <v>0</v>
      </c>
      <c r="Y281" s="44">
        <f t="shared" si="544"/>
        <v>0</v>
      </c>
      <c r="Z281" s="44">
        <f t="shared" si="494"/>
        <v>0</v>
      </c>
      <c r="AA281" s="44">
        <f t="shared" si="545"/>
        <v>0</v>
      </c>
      <c r="AB281" s="44">
        <f t="shared" si="495"/>
        <v>0</v>
      </c>
      <c r="AC281" s="46">
        <f t="shared" si="496"/>
        <v>0</v>
      </c>
      <c r="AD281" s="47">
        <f t="shared" si="497"/>
        <v>0</v>
      </c>
      <c r="AE281" s="604">
        <f t="shared" si="546"/>
        <v>0</v>
      </c>
      <c r="AF281" s="44">
        <f t="shared" si="547"/>
        <v>0</v>
      </c>
      <c r="AG281" s="44">
        <f t="shared" si="548"/>
        <v>0</v>
      </c>
      <c r="AH281" s="44">
        <f t="shared" si="549"/>
        <v>0</v>
      </c>
      <c r="AI281" s="44">
        <f t="shared" si="550"/>
        <v>0</v>
      </c>
      <c r="AJ281" s="44">
        <f t="shared" si="551"/>
        <v>0</v>
      </c>
      <c r="AK281" s="44">
        <f t="shared" si="498"/>
        <v>0</v>
      </c>
      <c r="AL281" s="44">
        <f t="shared" si="552"/>
        <v>0</v>
      </c>
      <c r="AM281" s="44">
        <f t="shared" si="499"/>
        <v>0</v>
      </c>
      <c r="AN281" s="44">
        <f t="shared" si="553"/>
        <v>0</v>
      </c>
      <c r="AO281" s="44">
        <f t="shared" si="500"/>
        <v>0</v>
      </c>
      <c r="AP281" s="46">
        <f t="shared" si="501"/>
        <v>0</v>
      </c>
      <c r="AQ281" s="47">
        <f t="shared" si="502"/>
        <v>0</v>
      </c>
      <c r="AR281" s="604">
        <f t="shared" si="554"/>
        <v>0</v>
      </c>
      <c r="AS281" s="44">
        <f t="shared" si="555"/>
        <v>0</v>
      </c>
      <c r="AT281" s="44">
        <f t="shared" si="556"/>
        <v>0</v>
      </c>
      <c r="AU281" s="44">
        <f t="shared" si="557"/>
        <v>0</v>
      </c>
      <c r="AV281" s="44">
        <f t="shared" si="558"/>
        <v>0</v>
      </c>
      <c r="AW281" s="44">
        <f t="shared" si="559"/>
        <v>0</v>
      </c>
      <c r="AX281" s="44">
        <f t="shared" si="503"/>
        <v>0</v>
      </c>
      <c r="AY281" s="44">
        <f t="shared" si="560"/>
        <v>0</v>
      </c>
      <c r="AZ281" s="44">
        <f t="shared" si="504"/>
        <v>0</v>
      </c>
      <c r="BA281" s="44">
        <f t="shared" si="561"/>
        <v>0</v>
      </c>
      <c r="BB281" s="44">
        <f t="shared" si="505"/>
        <v>0</v>
      </c>
      <c r="BC281" s="46">
        <f t="shared" si="506"/>
        <v>0</v>
      </c>
      <c r="BD281" s="47">
        <f t="shared" si="507"/>
        <v>0</v>
      </c>
      <c r="BE281" s="604">
        <f t="shared" si="562"/>
        <v>0</v>
      </c>
      <c r="BF281" s="44">
        <f t="shared" si="563"/>
        <v>0</v>
      </c>
      <c r="BG281" s="44">
        <f t="shared" si="564"/>
        <v>0</v>
      </c>
      <c r="BH281" s="44">
        <f t="shared" si="565"/>
        <v>0</v>
      </c>
      <c r="BI281" s="44">
        <f t="shared" si="566"/>
        <v>0</v>
      </c>
      <c r="BJ281" s="44">
        <f t="shared" si="567"/>
        <v>0</v>
      </c>
      <c r="BK281" s="44">
        <f t="shared" si="508"/>
        <v>0</v>
      </c>
      <c r="BL281" s="44">
        <f t="shared" si="568"/>
        <v>0</v>
      </c>
      <c r="BM281" s="44">
        <f t="shared" si="509"/>
        <v>0</v>
      </c>
      <c r="BN281" s="44">
        <f t="shared" si="569"/>
        <v>0</v>
      </c>
      <c r="BO281" s="44">
        <f t="shared" si="510"/>
        <v>0</v>
      </c>
      <c r="BP281" s="46">
        <f t="shared" si="511"/>
        <v>0</v>
      </c>
      <c r="BQ281" s="47">
        <f t="shared" si="512"/>
        <v>0</v>
      </c>
      <c r="BR281" s="604">
        <f t="shared" si="570"/>
        <v>0</v>
      </c>
      <c r="BS281" s="44">
        <f t="shared" si="571"/>
        <v>0</v>
      </c>
      <c r="BT281" s="44">
        <f t="shared" si="572"/>
        <v>0</v>
      </c>
      <c r="BU281" s="44">
        <f t="shared" si="573"/>
        <v>0</v>
      </c>
      <c r="BV281" s="44">
        <f t="shared" si="574"/>
        <v>0</v>
      </c>
      <c r="BW281" s="44">
        <f t="shared" si="575"/>
        <v>0</v>
      </c>
      <c r="BX281" s="44">
        <f t="shared" si="513"/>
        <v>0</v>
      </c>
      <c r="BY281" s="44">
        <f t="shared" si="576"/>
        <v>0</v>
      </c>
      <c r="BZ281" s="44">
        <f t="shared" si="514"/>
        <v>0</v>
      </c>
      <c r="CA281" s="44">
        <f t="shared" si="577"/>
        <v>0</v>
      </c>
      <c r="CB281" s="44">
        <f t="shared" si="515"/>
        <v>0</v>
      </c>
      <c r="CC281" s="46">
        <f t="shared" si="516"/>
        <v>0</v>
      </c>
      <c r="CD281" s="47">
        <f t="shared" si="517"/>
        <v>0</v>
      </c>
      <c r="CE281" s="604">
        <f t="shared" si="578"/>
        <v>0</v>
      </c>
      <c r="CF281" s="44">
        <f t="shared" si="579"/>
        <v>0</v>
      </c>
      <c r="CG281" s="44">
        <f t="shared" si="580"/>
        <v>0</v>
      </c>
      <c r="CH281" s="44">
        <f t="shared" si="581"/>
        <v>0</v>
      </c>
      <c r="CI281" s="44">
        <f t="shared" si="582"/>
        <v>0</v>
      </c>
      <c r="CJ281" s="44">
        <f t="shared" si="583"/>
        <v>0</v>
      </c>
      <c r="CK281" s="44">
        <f t="shared" si="518"/>
        <v>0</v>
      </c>
      <c r="CL281" s="44">
        <f t="shared" si="584"/>
        <v>0</v>
      </c>
      <c r="CM281" s="44">
        <f t="shared" si="519"/>
        <v>0</v>
      </c>
      <c r="CN281" s="44">
        <f t="shared" si="585"/>
        <v>0</v>
      </c>
      <c r="CO281" s="44">
        <f t="shared" si="520"/>
        <v>0</v>
      </c>
      <c r="CP281" s="46">
        <f t="shared" si="521"/>
        <v>0</v>
      </c>
      <c r="CQ281" s="47">
        <f t="shared" si="522"/>
        <v>0</v>
      </c>
      <c r="CR281" s="604">
        <f t="shared" si="586"/>
        <v>0</v>
      </c>
      <c r="CS281" s="44">
        <f t="shared" si="587"/>
        <v>0</v>
      </c>
      <c r="CT281" s="44">
        <f t="shared" si="588"/>
        <v>0</v>
      </c>
      <c r="CU281" s="44">
        <f t="shared" si="589"/>
        <v>0</v>
      </c>
      <c r="CV281" s="44">
        <f t="shared" si="590"/>
        <v>0</v>
      </c>
      <c r="CW281" s="44">
        <f t="shared" si="591"/>
        <v>0</v>
      </c>
      <c r="CX281" s="44">
        <f t="shared" si="523"/>
        <v>0</v>
      </c>
      <c r="CY281" s="44">
        <f t="shared" si="592"/>
        <v>0</v>
      </c>
      <c r="CZ281" s="44">
        <f t="shared" si="524"/>
        <v>0</v>
      </c>
      <c r="DA281" s="44">
        <f t="shared" si="593"/>
        <v>0</v>
      </c>
      <c r="DB281" s="44">
        <f t="shared" si="525"/>
        <v>0</v>
      </c>
      <c r="DC281" s="46">
        <f t="shared" si="526"/>
        <v>0</v>
      </c>
      <c r="DD281" s="47">
        <f t="shared" si="527"/>
        <v>0</v>
      </c>
      <c r="DE281" s="604">
        <f t="shared" si="594"/>
        <v>0</v>
      </c>
      <c r="DF281" s="44">
        <f t="shared" si="595"/>
        <v>0</v>
      </c>
      <c r="DG281" s="44">
        <f t="shared" si="596"/>
        <v>0</v>
      </c>
      <c r="DH281" s="44">
        <f t="shared" si="597"/>
        <v>0</v>
      </c>
      <c r="DI281" s="44">
        <f t="shared" si="598"/>
        <v>0</v>
      </c>
      <c r="DJ281" s="44">
        <f t="shared" si="599"/>
        <v>0</v>
      </c>
      <c r="DK281" s="44">
        <f t="shared" si="528"/>
        <v>0</v>
      </c>
      <c r="DL281" s="44">
        <f t="shared" si="600"/>
        <v>0</v>
      </c>
      <c r="DM281" s="44">
        <f t="shared" si="529"/>
        <v>0</v>
      </c>
      <c r="DN281" s="44">
        <f t="shared" si="601"/>
        <v>0</v>
      </c>
      <c r="DO281" s="44">
        <f t="shared" si="530"/>
        <v>0</v>
      </c>
      <c r="DP281" s="46">
        <f t="shared" si="531"/>
        <v>0</v>
      </c>
      <c r="DQ281" s="47">
        <f t="shared" si="532"/>
        <v>0</v>
      </c>
      <c r="DR281" s="604">
        <f t="shared" si="602"/>
        <v>0</v>
      </c>
      <c r="DS281" s="44">
        <f t="shared" si="603"/>
        <v>0</v>
      </c>
      <c r="DT281" s="44">
        <f t="shared" si="604"/>
        <v>0</v>
      </c>
      <c r="DU281" s="44">
        <f t="shared" si="605"/>
        <v>0</v>
      </c>
      <c r="DV281" s="44">
        <f t="shared" si="606"/>
        <v>0</v>
      </c>
      <c r="DW281" s="44">
        <f t="shared" si="607"/>
        <v>0</v>
      </c>
      <c r="DX281" s="44">
        <f t="shared" si="533"/>
        <v>0</v>
      </c>
      <c r="DY281" s="44">
        <f t="shared" si="608"/>
        <v>0</v>
      </c>
      <c r="DZ281" s="44">
        <f t="shared" si="534"/>
        <v>0</v>
      </c>
      <c r="EA281" s="44">
        <f t="shared" si="609"/>
        <v>0</v>
      </c>
      <c r="EB281" s="44">
        <f t="shared" si="535"/>
        <v>0</v>
      </c>
      <c r="EC281" s="46">
        <f t="shared" si="536"/>
        <v>0</v>
      </c>
      <c r="ED281" s="47">
        <f t="shared" si="537"/>
        <v>0</v>
      </c>
    </row>
    <row r="282" spans="1:134" x14ac:dyDescent="0.35">
      <c r="A282" s="172"/>
      <c r="B282" s="173"/>
      <c r="C282" s="174"/>
      <c r="D282" s="175"/>
      <c r="E282" s="176"/>
      <c r="F282" s="177"/>
      <c r="G282" s="178"/>
      <c r="H282" s="179"/>
      <c r="I282" s="180"/>
      <c r="J282" s="181"/>
      <c r="K282" s="42">
        <f t="shared" si="488"/>
        <v>0</v>
      </c>
      <c r="L282" s="43">
        <f t="shared" si="489"/>
        <v>0</v>
      </c>
      <c r="M282" s="44">
        <f t="shared" si="490"/>
        <v>0</v>
      </c>
      <c r="N282" s="44"/>
      <c r="O282" s="44">
        <f t="shared" si="491"/>
        <v>0</v>
      </c>
      <c r="P282" s="45"/>
      <c r="Q282" s="44">
        <f t="shared" si="492"/>
        <v>0</v>
      </c>
      <c r="R282" s="604">
        <f t="shared" si="538"/>
        <v>0</v>
      </c>
      <c r="S282" s="44">
        <f t="shared" si="539"/>
        <v>0</v>
      </c>
      <c r="T282" s="44">
        <f t="shared" si="540"/>
        <v>0</v>
      </c>
      <c r="U282" s="44">
        <f t="shared" si="541"/>
        <v>0</v>
      </c>
      <c r="V282" s="44">
        <f t="shared" si="542"/>
        <v>0</v>
      </c>
      <c r="W282" s="44">
        <f t="shared" si="543"/>
        <v>0</v>
      </c>
      <c r="X282" s="44">
        <f t="shared" si="493"/>
        <v>0</v>
      </c>
      <c r="Y282" s="44">
        <f t="shared" si="544"/>
        <v>0</v>
      </c>
      <c r="Z282" s="44">
        <f t="shared" si="494"/>
        <v>0</v>
      </c>
      <c r="AA282" s="44">
        <f t="shared" si="545"/>
        <v>0</v>
      </c>
      <c r="AB282" s="44">
        <f t="shared" si="495"/>
        <v>0</v>
      </c>
      <c r="AC282" s="46">
        <f t="shared" si="496"/>
        <v>0</v>
      </c>
      <c r="AD282" s="47">
        <f t="shared" si="497"/>
        <v>0</v>
      </c>
      <c r="AE282" s="604">
        <f t="shared" si="546"/>
        <v>0</v>
      </c>
      <c r="AF282" s="44">
        <f t="shared" si="547"/>
        <v>0</v>
      </c>
      <c r="AG282" s="44">
        <f t="shared" si="548"/>
        <v>0</v>
      </c>
      <c r="AH282" s="44">
        <f t="shared" si="549"/>
        <v>0</v>
      </c>
      <c r="AI282" s="44">
        <f t="shared" si="550"/>
        <v>0</v>
      </c>
      <c r="AJ282" s="44">
        <f t="shared" si="551"/>
        <v>0</v>
      </c>
      <c r="AK282" s="44">
        <f t="shared" si="498"/>
        <v>0</v>
      </c>
      <c r="AL282" s="44">
        <f t="shared" si="552"/>
        <v>0</v>
      </c>
      <c r="AM282" s="44">
        <f t="shared" si="499"/>
        <v>0</v>
      </c>
      <c r="AN282" s="44">
        <f t="shared" si="553"/>
        <v>0</v>
      </c>
      <c r="AO282" s="44">
        <f t="shared" si="500"/>
        <v>0</v>
      </c>
      <c r="AP282" s="46">
        <f t="shared" si="501"/>
        <v>0</v>
      </c>
      <c r="AQ282" s="47">
        <f t="shared" si="502"/>
        <v>0</v>
      </c>
      <c r="AR282" s="604">
        <f t="shared" si="554"/>
        <v>0</v>
      </c>
      <c r="AS282" s="44">
        <f t="shared" si="555"/>
        <v>0</v>
      </c>
      <c r="AT282" s="44">
        <f t="shared" si="556"/>
        <v>0</v>
      </c>
      <c r="AU282" s="44">
        <f t="shared" si="557"/>
        <v>0</v>
      </c>
      <c r="AV282" s="44">
        <f t="shared" si="558"/>
        <v>0</v>
      </c>
      <c r="AW282" s="44">
        <f t="shared" si="559"/>
        <v>0</v>
      </c>
      <c r="AX282" s="44">
        <f t="shared" si="503"/>
        <v>0</v>
      </c>
      <c r="AY282" s="44">
        <f t="shared" si="560"/>
        <v>0</v>
      </c>
      <c r="AZ282" s="44">
        <f t="shared" si="504"/>
        <v>0</v>
      </c>
      <c r="BA282" s="44">
        <f t="shared" si="561"/>
        <v>0</v>
      </c>
      <c r="BB282" s="44">
        <f t="shared" si="505"/>
        <v>0</v>
      </c>
      <c r="BC282" s="46">
        <f t="shared" si="506"/>
        <v>0</v>
      </c>
      <c r="BD282" s="47">
        <f t="shared" si="507"/>
        <v>0</v>
      </c>
      <c r="BE282" s="604">
        <f t="shared" si="562"/>
        <v>0</v>
      </c>
      <c r="BF282" s="44">
        <f t="shared" si="563"/>
        <v>0</v>
      </c>
      <c r="BG282" s="44">
        <f t="shared" si="564"/>
        <v>0</v>
      </c>
      <c r="BH282" s="44">
        <f t="shared" si="565"/>
        <v>0</v>
      </c>
      <c r="BI282" s="44">
        <f t="shared" si="566"/>
        <v>0</v>
      </c>
      <c r="BJ282" s="44">
        <f t="shared" si="567"/>
        <v>0</v>
      </c>
      <c r="BK282" s="44">
        <f t="shared" si="508"/>
        <v>0</v>
      </c>
      <c r="BL282" s="44">
        <f t="shared" si="568"/>
        <v>0</v>
      </c>
      <c r="BM282" s="44">
        <f t="shared" si="509"/>
        <v>0</v>
      </c>
      <c r="BN282" s="44">
        <f t="shared" si="569"/>
        <v>0</v>
      </c>
      <c r="BO282" s="44">
        <f t="shared" si="510"/>
        <v>0</v>
      </c>
      <c r="BP282" s="46">
        <f t="shared" si="511"/>
        <v>0</v>
      </c>
      <c r="BQ282" s="47">
        <f t="shared" si="512"/>
        <v>0</v>
      </c>
      <c r="BR282" s="604">
        <f t="shared" si="570"/>
        <v>0</v>
      </c>
      <c r="BS282" s="44">
        <f t="shared" si="571"/>
        <v>0</v>
      </c>
      <c r="BT282" s="44">
        <f t="shared" si="572"/>
        <v>0</v>
      </c>
      <c r="BU282" s="44">
        <f t="shared" si="573"/>
        <v>0</v>
      </c>
      <c r="BV282" s="44">
        <f t="shared" si="574"/>
        <v>0</v>
      </c>
      <c r="BW282" s="44">
        <f t="shared" si="575"/>
        <v>0</v>
      </c>
      <c r="BX282" s="44">
        <f t="shared" si="513"/>
        <v>0</v>
      </c>
      <c r="BY282" s="44">
        <f t="shared" si="576"/>
        <v>0</v>
      </c>
      <c r="BZ282" s="44">
        <f t="shared" si="514"/>
        <v>0</v>
      </c>
      <c r="CA282" s="44">
        <f t="shared" si="577"/>
        <v>0</v>
      </c>
      <c r="CB282" s="44">
        <f t="shared" si="515"/>
        <v>0</v>
      </c>
      <c r="CC282" s="46">
        <f t="shared" si="516"/>
        <v>0</v>
      </c>
      <c r="CD282" s="47">
        <f t="shared" si="517"/>
        <v>0</v>
      </c>
      <c r="CE282" s="604">
        <f t="shared" si="578"/>
        <v>0</v>
      </c>
      <c r="CF282" s="44">
        <f t="shared" si="579"/>
        <v>0</v>
      </c>
      <c r="CG282" s="44">
        <f t="shared" si="580"/>
        <v>0</v>
      </c>
      <c r="CH282" s="44">
        <f t="shared" si="581"/>
        <v>0</v>
      </c>
      <c r="CI282" s="44">
        <f t="shared" si="582"/>
        <v>0</v>
      </c>
      <c r="CJ282" s="44">
        <f t="shared" si="583"/>
        <v>0</v>
      </c>
      <c r="CK282" s="44">
        <f t="shared" si="518"/>
        <v>0</v>
      </c>
      <c r="CL282" s="44">
        <f t="shared" si="584"/>
        <v>0</v>
      </c>
      <c r="CM282" s="44">
        <f t="shared" si="519"/>
        <v>0</v>
      </c>
      <c r="CN282" s="44">
        <f t="shared" si="585"/>
        <v>0</v>
      </c>
      <c r="CO282" s="44">
        <f t="shared" si="520"/>
        <v>0</v>
      </c>
      <c r="CP282" s="46">
        <f t="shared" si="521"/>
        <v>0</v>
      </c>
      <c r="CQ282" s="47">
        <f t="shared" si="522"/>
        <v>0</v>
      </c>
      <c r="CR282" s="604">
        <f t="shared" si="586"/>
        <v>0</v>
      </c>
      <c r="CS282" s="44">
        <f t="shared" si="587"/>
        <v>0</v>
      </c>
      <c r="CT282" s="44">
        <f t="shared" si="588"/>
        <v>0</v>
      </c>
      <c r="CU282" s="44">
        <f t="shared" si="589"/>
        <v>0</v>
      </c>
      <c r="CV282" s="44">
        <f t="shared" si="590"/>
        <v>0</v>
      </c>
      <c r="CW282" s="44">
        <f t="shared" si="591"/>
        <v>0</v>
      </c>
      <c r="CX282" s="44">
        <f t="shared" si="523"/>
        <v>0</v>
      </c>
      <c r="CY282" s="44">
        <f t="shared" si="592"/>
        <v>0</v>
      </c>
      <c r="CZ282" s="44">
        <f t="shared" si="524"/>
        <v>0</v>
      </c>
      <c r="DA282" s="44">
        <f t="shared" si="593"/>
        <v>0</v>
      </c>
      <c r="DB282" s="44">
        <f t="shared" si="525"/>
        <v>0</v>
      </c>
      <c r="DC282" s="46">
        <f t="shared" si="526"/>
        <v>0</v>
      </c>
      <c r="DD282" s="47">
        <f t="shared" si="527"/>
        <v>0</v>
      </c>
      <c r="DE282" s="604">
        <f t="shared" si="594"/>
        <v>0</v>
      </c>
      <c r="DF282" s="44">
        <f t="shared" si="595"/>
        <v>0</v>
      </c>
      <c r="DG282" s="44">
        <f t="shared" si="596"/>
        <v>0</v>
      </c>
      <c r="DH282" s="44">
        <f t="shared" si="597"/>
        <v>0</v>
      </c>
      <c r="DI282" s="44">
        <f t="shared" si="598"/>
        <v>0</v>
      </c>
      <c r="DJ282" s="44">
        <f t="shared" si="599"/>
        <v>0</v>
      </c>
      <c r="DK282" s="44">
        <f t="shared" si="528"/>
        <v>0</v>
      </c>
      <c r="DL282" s="44">
        <f t="shared" si="600"/>
        <v>0</v>
      </c>
      <c r="DM282" s="44">
        <f t="shared" si="529"/>
        <v>0</v>
      </c>
      <c r="DN282" s="44">
        <f t="shared" si="601"/>
        <v>0</v>
      </c>
      <c r="DO282" s="44">
        <f t="shared" si="530"/>
        <v>0</v>
      </c>
      <c r="DP282" s="46">
        <f t="shared" si="531"/>
        <v>0</v>
      </c>
      <c r="DQ282" s="47">
        <f t="shared" si="532"/>
        <v>0</v>
      </c>
      <c r="DR282" s="604">
        <f t="shared" si="602"/>
        <v>0</v>
      </c>
      <c r="DS282" s="44">
        <f t="shared" si="603"/>
        <v>0</v>
      </c>
      <c r="DT282" s="44">
        <f t="shared" si="604"/>
        <v>0</v>
      </c>
      <c r="DU282" s="44">
        <f t="shared" si="605"/>
        <v>0</v>
      </c>
      <c r="DV282" s="44">
        <f t="shared" si="606"/>
        <v>0</v>
      </c>
      <c r="DW282" s="44">
        <f t="shared" si="607"/>
        <v>0</v>
      </c>
      <c r="DX282" s="44">
        <f t="shared" si="533"/>
        <v>0</v>
      </c>
      <c r="DY282" s="44">
        <f t="shared" si="608"/>
        <v>0</v>
      </c>
      <c r="DZ282" s="44">
        <f t="shared" si="534"/>
        <v>0</v>
      </c>
      <c r="EA282" s="44">
        <f t="shared" si="609"/>
        <v>0</v>
      </c>
      <c r="EB282" s="44">
        <f t="shared" si="535"/>
        <v>0</v>
      </c>
      <c r="EC282" s="46">
        <f t="shared" si="536"/>
        <v>0</v>
      </c>
      <c r="ED282" s="47">
        <f t="shared" si="537"/>
        <v>0</v>
      </c>
    </row>
    <row r="283" spans="1:134" x14ac:dyDescent="0.35">
      <c r="A283" s="172"/>
      <c r="B283" s="173"/>
      <c r="C283" s="174"/>
      <c r="D283" s="175"/>
      <c r="E283" s="176"/>
      <c r="F283" s="177"/>
      <c r="G283" s="178"/>
      <c r="H283" s="179"/>
      <c r="I283" s="180"/>
      <c r="J283" s="181"/>
      <c r="K283" s="42">
        <f t="shared" si="488"/>
        <v>0</v>
      </c>
      <c r="L283" s="43">
        <f t="shared" si="489"/>
        <v>0</v>
      </c>
      <c r="M283" s="44">
        <f t="shared" si="490"/>
        <v>0</v>
      </c>
      <c r="N283" s="44"/>
      <c r="O283" s="44">
        <f t="shared" si="491"/>
        <v>0</v>
      </c>
      <c r="P283" s="45"/>
      <c r="Q283" s="44">
        <f t="shared" si="492"/>
        <v>0</v>
      </c>
      <c r="R283" s="604">
        <f t="shared" si="538"/>
        <v>0</v>
      </c>
      <c r="S283" s="44">
        <f t="shared" si="539"/>
        <v>0</v>
      </c>
      <c r="T283" s="44">
        <f t="shared" si="540"/>
        <v>0</v>
      </c>
      <c r="U283" s="44">
        <f t="shared" si="541"/>
        <v>0</v>
      </c>
      <c r="V283" s="44">
        <f t="shared" si="542"/>
        <v>0</v>
      </c>
      <c r="W283" s="44">
        <f t="shared" si="543"/>
        <v>0</v>
      </c>
      <c r="X283" s="44">
        <f t="shared" si="493"/>
        <v>0</v>
      </c>
      <c r="Y283" s="44">
        <f t="shared" si="544"/>
        <v>0</v>
      </c>
      <c r="Z283" s="44">
        <f t="shared" si="494"/>
        <v>0</v>
      </c>
      <c r="AA283" s="44">
        <f t="shared" si="545"/>
        <v>0</v>
      </c>
      <c r="AB283" s="44">
        <f t="shared" si="495"/>
        <v>0</v>
      </c>
      <c r="AC283" s="46">
        <f t="shared" si="496"/>
        <v>0</v>
      </c>
      <c r="AD283" s="47">
        <f t="shared" si="497"/>
        <v>0</v>
      </c>
      <c r="AE283" s="604">
        <f t="shared" si="546"/>
        <v>0</v>
      </c>
      <c r="AF283" s="44">
        <f t="shared" si="547"/>
        <v>0</v>
      </c>
      <c r="AG283" s="44">
        <f t="shared" si="548"/>
        <v>0</v>
      </c>
      <c r="AH283" s="44">
        <f t="shared" si="549"/>
        <v>0</v>
      </c>
      <c r="AI283" s="44">
        <f t="shared" si="550"/>
        <v>0</v>
      </c>
      <c r="AJ283" s="44">
        <f t="shared" si="551"/>
        <v>0</v>
      </c>
      <c r="AK283" s="44">
        <f t="shared" si="498"/>
        <v>0</v>
      </c>
      <c r="AL283" s="44">
        <f t="shared" si="552"/>
        <v>0</v>
      </c>
      <c r="AM283" s="44">
        <f t="shared" si="499"/>
        <v>0</v>
      </c>
      <c r="AN283" s="44">
        <f t="shared" si="553"/>
        <v>0</v>
      </c>
      <c r="AO283" s="44">
        <f t="shared" si="500"/>
        <v>0</v>
      </c>
      <c r="AP283" s="46">
        <f t="shared" si="501"/>
        <v>0</v>
      </c>
      <c r="AQ283" s="47">
        <f t="shared" si="502"/>
        <v>0</v>
      </c>
      <c r="AR283" s="604">
        <f t="shared" si="554"/>
        <v>0</v>
      </c>
      <c r="AS283" s="44">
        <f t="shared" si="555"/>
        <v>0</v>
      </c>
      <c r="AT283" s="44">
        <f t="shared" si="556"/>
        <v>0</v>
      </c>
      <c r="AU283" s="44">
        <f t="shared" si="557"/>
        <v>0</v>
      </c>
      <c r="AV283" s="44">
        <f t="shared" si="558"/>
        <v>0</v>
      </c>
      <c r="AW283" s="44">
        <f t="shared" si="559"/>
        <v>0</v>
      </c>
      <c r="AX283" s="44">
        <f t="shared" si="503"/>
        <v>0</v>
      </c>
      <c r="AY283" s="44">
        <f t="shared" si="560"/>
        <v>0</v>
      </c>
      <c r="AZ283" s="44">
        <f t="shared" si="504"/>
        <v>0</v>
      </c>
      <c r="BA283" s="44">
        <f t="shared" si="561"/>
        <v>0</v>
      </c>
      <c r="BB283" s="44">
        <f t="shared" si="505"/>
        <v>0</v>
      </c>
      <c r="BC283" s="46">
        <f t="shared" si="506"/>
        <v>0</v>
      </c>
      <c r="BD283" s="47">
        <f t="shared" si="507"/>
        <v>0</v>
      </c>
      <c r="BE283" s="604">
        <f t="shared" si="562"/>
        <v>0</v>
      </c>
      <c r="BF283" s="44">
        <f t="shared" si="563"/>
        <v>0</v>
      </c>
      <c r="BG283" s="44">
        <f t="shared" si="564"/>
        <v>0</v>
      </c>
      <c r="BH283" s="44">
        <f t="shared" si="565"/>
        <v>0</v>
      </c>
      <c r="BI283" s="44">
        <f t="shared" si="566"/>
        <v>0</v>
      </c>
      <c r="BJ283" s="44">
        <f t="shared" si="567"/>
        <v>0</v>
      </c>
      <c r="BK283" s="44">
        <f t="shared" si="508"/>
        <v>0</v>
      </c>
      <c r="BL283" s="44">
        <f t="shared" si="568"/>
        <v>0</v>
      </c>
      <c r="BM283" s="44">
        <f t="shared" si="509"/>
        <v>0</v>
      </c>
      <c r="BN283" s="44">
        <f t="shared" si="569"/>
        <v>0</v>
      </c>
      <c r="BO283" s="44">
        <f t="shared" si="510"/>
        <v>0</v>
      </c>
      <c r="BP283" s="46">
        <f t="shared" si="511"/>
        <v>0</v>
      </c>
      <c r="BQ283" s="47">
        <f t="shared" si="512"/>
        <v>0</v>
      </c>
      <c r="BR283" s="604">
        <f t="shared" si="570"/>
        <v>0</v>
      </c>
      <c r="BS283" s="44">
        <f t="shared" si="571"/>
        <v>0</v>
      </c>
      <c r="BT283" s="44">
        <f t="shared" si="572"/>
        <v>0</v>
      </c>
      <c r="BU283" s="44">
        <f t="shared" si="573"/>
        <v>0</v>
      </c>
      <c r="BV283" s="44">
        <f t="shared" si="574"/>
        <v>0</v>
      </c>
      <c r="BW283" s="44">
        <f t="shared" si="575"/>
        <v>0</v>
      </c>
      <c r="BX283" s="44">
        <f t="shared" si="513"/>
        <v>0</v>
      </c>
      <c r="BY283" s="44">
        <f t="shared" si="576"/>
        <v>0</v>
      </c>
      <c r="BZ283" s="44">
        <f t="shared" si="514"/>
        <v>0</v>
      </c>
      <c r="CA283" s="44">
        <f t="shared" si="577"/>
        <v>0</v>
      </c>
      <c r="CB283" s="44">
        <f t="shared" si="515"/>
        <v>0</v>
      </c>
      <c r="CC283" s="46">
        <f t="shared" si="516"/>
        <v>0</v>
      </c>
      <c r="CD283" s="47">
        <f t="shared" si="517"/>
        <v>0</v>
      </c>
      <c r="CE283" s="604">
        <f t="shared" si="578"/>
        <v>0</v>
      </c>
      <c r="CF283" s="44">
        <f t="shared" si="579"/>
        <v>0</v>
      </c>
      <c r="CG283" s="44">
        <f t="shared" si="580"/>
        <v>0</v>
      </c>
      <c r="CH283" s="44">
        <f t="shared" si="581"/>
        <v>0</v>
      </c>
      <c r="CI283" s="44">
        <f t="shared" si="582"/>
        <v>0</v>
      </c>
      <c r="CJ283" s="44">
        <f t="shared" si="583"/>
        <v>0</v>
      </c>
      <c r="CK283" s="44">
        <f t="shared" si="518"/>
        <v>0</v>
      </c>
      <c r="CL283" s="44">
        <f t="shared" si="584"/>
        <v>0</v>
      </c>
      <c r="CM283" s="44">
        <f t="shared" si="519"/>
        <v>0</v>
      </c>
      <c r="CN283" s="44">
        <f t="shared" si="585"/>
        <v>0</v>
      </c>
      <c r="CO283" s="44">
        <f t="shared" si="520"/>
        <v>0</v>
      </c>
      <c r="CP283" s="46">
        <f t="shared" si="521"/>
        <v>0</v>
      </c>
      <c r="CQ283" s="47">
        <f t="shared" si="522"/>
        <v>0</v>
      </c>
      <c r="CR283" s="604">
        <f t="shared" si="586"/>
        <v>0</v>
      </c>
      <c r="CS283" s="44">
        <f t="shared" si="587"/>
        <v>0</v>
      </c>
      <c r="CT283" s="44">
        <f t="shared" si="588"/>
        <v>0</v>
      </c>
      <c r="CU283" s="44">
        <f t="shared" si="589"/>
        <v>0</v>
      </c>
      <c r="CV283" s="44">
        <f t="shared" si="590"/>
        <v>0</v>
      </c>
      <c r="CW283" s="44">
        <f t="shared" si="591"/>
        <v>0</v>
      </c>
      <c r="CX283" s="44">
        <f t="shared" si="523"/>
        <v>0</v>
      </c>
      <c r="CY283" s="44">
        <f t="shared" si="592"/>
        <v>0</v>
      </c>
      <c r="CZ283" s="44">
        <f t="shared" si="524"/>
        <v>0</v>
      </c>
      <c r="DA283" s="44">
        <f t="shared" si="593"/>
        <v>0</v>
      </c>
      <c r="DB283" s="44">
        <f t="shared" si="525"/>
        <v>0</v>
      </c>
      <c r="DC283" s="46">
        <f t="shared" si="526"/>
        <v>0</v>
      </c>
      <c r="DD283" s="47">
        <f t="shared" si="527"/>
        <v>0</v>
      </c>
      <c r="DE283" s="604">
        <f t="shared" si="594"/>
        <v>0</v>
      </c>
      <c r="DF283" s="44">
        <f t="shared" si="595"/>
        <v>0</v>
      </c>
      <c r="DG283" s="44">
        <f t="shared" si="596"/>
        <v>0</v>
      </c>
      <c r="DH283" s="44">
        <f t="shared" si="597"/>
        <v>0</v>
      </c>
      <c r="DI283" s="44">
        <f t="shared" si="598"/>
        <v>0</v>
      </c>
      <c r="DJ283" s="44">
        <f t="shared" si="599"/>
        <v>0</v>
      </c>
      <c r="DK283" s="44">
        <f t="shared" si="528"/>
        <v>0</v>
      </c>
      <c r="DL283" s="44">
        <f t="shared" si="600"/>
        <v>0</v>
      </c>
      <c r="DM283" s="44">
        <f t="shared" si="529"/>
        <v>0</v>
      </c>
      <c r="DN283" s="44">
        <f t="shared" si="601"/>
        <v>0</v>
      </c>
      <c r="DO283" s="44">
        <f t="shared" si="530"/>
        <v>0</v>
      </c>
      <c r="DP283" s="46">
        <f t="shared" si="531"/>
        <v>0</v>
      </c>
      <c r="DQ283" s="47">
        <f t="shared" si="532"/>
        <v>0</v>
      </c>
      <c r="DR283" s="604">
        <f t="shared" si="602"/>
        <v>0</v>
      </c>
      <c r="DS283" s="44">
        <f t="shared" si="603"/>
        <v>0</v>
      </c>
      <c r="DT283" s="44">
        <f t="shared" si="604"/>
        <v>0</v>
      </c>
      <c r="DU283" s="44">
        <f t="shared" si="605"/>
        <v>0</v>
      </c>
      <c r="DV283" s="44">
        <f t="shared" si="606"/>
        <v>0</v>
      </c>
      <c r="DW283" s="44">
        <f t="shared" si="607"/>
        <v>0</v>
      </c>
      <c r="DX283" s="44">
        <f t="shared" si="533"/>
        <v>0</v>
      </c>
      <c r="DY283" s="44">
        <f t="shared" si="608"/>
        <v>0</v>
      </c>
      <c r="DZ283" s="44">
        <f t="shared" si="534"/>
        <v>0</v>
      </c>
      <c r="EA283" s="44">
        <f t="shared" si="609"/>
        <v>0</v>
      </c>
      <c r="EB283" s="44">
        <f t="shared" si="535"/>
        <v>0</v>
      </c>
      <c r="EC283" s="46">
        <f t="shared" si="536"/>
        <v>0</v>
      </c>
      <c r="ED283" s="47">
        <f t="shared" si="537"/>
        <v>0</v>
      </c>
    </row>
    <row r="284" spans="1:134" x14ac:dyDescent="0.35">
      <c r="A284" s="172"/>
      <c r="B284" s="173"/>
      <c r="C284" s="174"/>
      <c r="D284" s="175"/>
      <c r="E284" s="176"/>
      <c r="F284" s="177"/>
      <c r="G284" s="178"/>
      <c r="H284" s="179"/>
      <c r="I284" s="180"/>
      <c r="J284" s="181"/>
      <c r="K284" s="42">
        <f t="shared" si="488"/>
        <v>0</v>
      </c>
      <c r="L284" s="43">
        <f t="shared" si="489"/>
        <v>0</v>
      </c>
      <c r="M284" s="44">
        <f t="shared" si="490"/>
        <v>0</v>
      </c>
      <c r="N284" s="44"/>
      <c r="O284" s="44">
        <f t="shared" si="491"/>
        <v>0</v>
      </c>
      <c r="P284" s="45"/>
      <c r="Q284" s="44">
        <f t="shared" si="492"/>
        <v>0</v>
      </c>
      <c r="R284" s="604">
        <f t="shared" si="538"/>
        <v>0</v>
      </c>
      <c r="S284" s="44">
        <f t="shared" si="539"/>
        <v>0</v>
      </c>
      <c r="T284" s="44">
        <f t="shared" si="540"/>
        <v>0</v>
      </c>
      <c r="U284" s="44">
        <f t="shared" si="541"/>
        <v>0</v>
      </c>
      <c r="V284" s="44">
        <f t="shared" si="542"/>
        <v>0</v>
      </c>
      <c r="W284" s="44">
        <f t="shared" si="543"/>
        <v>0</v>
      </c>
      <c r="X284" s="44">
        <f t="shared" si="493"/>
        <v>0</v>
      </c>
      <c r="Y284" s="44">
        <f t="shared" si="544"/>
        <v>0</v>
      </c>
      <c r="Z284" s="44">
        <f t="shared" si="494"/>
        <v>0</v>
      </c>
      <c r="AA284" s="44">
        <f t="shared" si="545"/>
        <v>0</v>
      </c>
      <c r="AB284" s="44">
        <f t="shared" si="495"/>
        <v>0</v>
      </c>
      <c r="AC284" s="46">
        <f t="shared" si="496"/>
        <v>0</v>
      </c>
      <c r="AD284" s="47">
        <f t="shared" si="497"/>
        <v>0</v>
      </c>
      <c r="AE284" s="604">
        <f t="shared" si="546"/>
        <v>0</v>
      </c>
      <c r="AF284" s="44">
        <f t="shared" si="547"/>
        <v>0</v>
      </c>
      <c r="AG284" s="44">
        <f t="shared" si="548"/>
        <v>0</v>
      </c>
      <c r="AH284" s="44">
        <f t="shared" si="549"/>
        <v>0</v>
      </c>
      <c r="AI284" s="44">
        <f t="shared" si="550"/>
        <v>0</v>
      </c>
      <c r="AJ284" s="44">
        <f t="shared" si="551"/>
        <v>0</v>
      </c>
      <c r="AK284" s="44">
        <f t="shared" si="498"/>
        <v>0</v>
      </c>
      <c r="AL284" s="44">
        <f t="shared" si="552"/>
        <v>0</v>
      </c>
      <c r="AM284" s="44">
        <f t="shared" si="499"/>
        <v>0</v>
      </c>
      <c r="AN284" s="44">
        <f t="shared" si="553"/>
        <v>0</v>
      </c>
      <c r="AO284" s="44">
        <f t="shared" si="500"/>
        <v>0</v>
      </c>
      <c r="AP284" s="46">
        <f t="shared" si="501"/>
        <v>0</v>
      </c>
      <c r="AQ284" s="47">
        <f t="shared" si="502"/>
        <v>0</v>
      </c>
      <c r="AR284" s="604">
        <f t="shared" si="554"/>
        <v>0</v>
      </c>
      <c r="AS284" s="44">
        <f t="shared" si="555"/>
        <v>0</v>
      </c>
      <c r="AT284" s="44">
        <f t="shared" si="556"/>
        <v>0</v>
      </c>
      <c r="AU284" s="44">
        <f t="shared" si="557"/>
        <v>0</v>
      </c>
      <c r="AV284" s="44">
        <f t="shared" si="558"/>
        <v>0</v>
      </c>
      <c r="AW284" s="44">
        <f t="shared" si="559"/>
        <v>0</v>
      </c>
      <c r="AX284" s="44">
        <f t="shared" si="503"/>
        <v>0</v>
      </c>
      <c r="AY284" s="44">
        <f t="shared" si="560"/>
        <v>0</v>
      </c>
      <c r="AZ284" s="44">
        <f t="shared" si="504"/>
        <v>0</v>
      </c>
      <c r="BA284" s="44">
        <f t="shared" si="561"/>
        <v>0</v>
      </c>
      <c r="BB284" s="44">
        <f t="shared" si="505"/>
        <v>0</v>
      </c>
      <c r="BC284" s="46">
        <f t="shared" si="506"/>
        <v>0</v>
      </c>
      <c r="BD284" s="47">
        <f t="shared" si="507"/>
        <v>0</v>
      </c>
      <c r="BE284" s="604">
        <f t="shared" si="562"/>
        <v>0</v>
      </c>
      <c r="BF284" s="44">
        <f t="shared" si="563"/>
        <v>0</v>
      </c>
      <c r="BG284" s="44">
        <f t="shared" si="564"/>
        <v>0</v>
      </c>
      <c r="BH284" s="44">
        <f t="shared" si="565"/>
        <v>0</v>
      </c>
      <c r="BI284" s="44">
        <f t="shared" si="566"/>
        <v>0</v>
      </c>
      <c r="BJ284" s="44">
        <f t="shared" si="567"/>
        <v>0</v>
      </c>
      <c r="BK284" s="44">
        <f t="shared" si="508"/>
        <v>0</v>
      </c>
      <c r="BL284" s="44">
        <f t="shared" si="568"/>
        <v>0</v>
      </c>
      <c r="BM284" s="44">
        <f t="shared" si="509"/>
        <v>0</v>
      </c>
      <c r="BN284" s="44">
        <f t="shared" si="569"/>
        <v>0</v>
      </c>
      <c r="BO284" s="44">
        <f t="shared" si="510"/>
        <v>0</v>
      </c>
      <c r="BP284" s="46">
        <f t="shared" si="511"/>
        <v>0</v>
      </c>
      <c r="BQ284" s="47">
        <f t="shared" si="512"/>
        <v>0</v>
      </c>
      <c r="BR284" s="604">
        <f t="shared" si="570"/>
        <v>0</v>
      </c>
      <c r="BS284" s="44">
        <f t="shared" si="571"/>
        <v>0</v>
      </c>
      <c r="BT284" s="44">
        <f t="shared" si="572"/>
        <v>0</v>
      </c>
      <c r="BU284" s="44">
        <f t="shared" si="573"/>
        <v>0</v>
      </c>
      <c r="BV284" s="44">
        <f t="shared" si="574"/>
        <v>0</v>
      </c>
      <c r="BW284" s="44">
        <f t="shared" si="575"/>
        <v>0</v>
      </c>
      <c r="BX284" s="44">
        <f t="shared" si="513"/>
        <v>0</v>
      </c>
      <c r="BY284" s="44">
        <f t="shared" si="576"/>
        <v>0</v>
      </c>
      <c r="BZ284" s="44">
        <f t="shared" si="514"/>
        <v>0</v>
      </c>
      <c r="CA284" s="44">
        <f t="shared" si="577"/>
        <v>0</v>
      </c>
      <c r="CB284" s="44">
        <f t="shared" si="515"/>
        <v>0</v>
      </c>
      <c r="CC284" s="46">
        <f t="shared" si="516"/>
        <v>0</v>
      </c>
      <c r="CD284" s="47">
        <f t="shared" si="517"/>
        <v>0</v>
      </c>
      <c r="CE284" s="604">
        <f t="shared" si="578"/>
        <v>0</v>
      </c>
      <c r="CF284" s="44">
        <f t="shared" si="579"/>
        <v>0</v>
      </c>
      <c r="CG284" s="44">
        <f t="shared" si="580"/>
        <v>0</v>
      </c>
      <c r="CH284" s="44">
        <f t="shared" si="581"/>
        <v>0</v>
      </c>
      <c r="CI284" s="44">
        <f t="shared" si="582"/>
        <v>0</v>
      </c>
      <c r="CJ284" s="44">
        <f t="shared" si="583"/>
        <v>0</v>
      </c>
      <c r="CK284" s="44">
        <f t="shared" si="518"/>
        <v>0</v>
      </c>
      <c r="CL284" s="44">
        <f t="shared" si="584"/>
        <v>0</v>
      </c>
      <c r="CM284" s="44">
        <f t="shared" si="519"/>
        <v>0</v>
      </c>
      <c r="CN284" s="44">
        <f t="shared" si="585"/>
        <v>0</v>
      </c>
      <c r="CO284" s="44">
        <f t="shared" si="520"/>
        <v>0</v>
      </c>
      <c r="CP284" s="46">
        <f t="shared" si="521"/>
        <v>0</v>
      </c>
      <c r="CQ284" s="47">
        <f t="shared" si="522"/>
        <v>0</v>
      </c>
      <c r="CR284" s="604">
        <f t="shared" si="586"/>
        <v>0</v>
      </c>
      <c r="CS284" s="44">
        <f t="shared" si="587"/>
        <v>0</v>
      </c>
      <c r="CT284" s="44">
        <f t="shared" si="588"/>
        <v>0</v>
      </c>
      <c r="CU284" s="44">
        <f t="shared" si="589"/>
        <v>0</v>
      </c>
      <c r="CV284" s="44">
        <f t="shared" si="590"/>
        <v>0</v>
      </c>
      <c r="CW284" s="44">
        <f t="shared" si="591"/>
        <v>0</v>
      </c>
      <c r="CX284" s="44">
        <f t="shared" si="523"/>
        <v>0</v>
      </c>
      <c r="CY284" s="44">
        <f t="shared" si="592"/>
        <v>0</v>
      </c>
      <c r="CZ284" s="44">
        <f t="shared" si="524"/>
        <v>0</v>
      </c>
      <c r="DA284" s="44">
        <f t="shared" si="593"/>
        <v>0</v>
      </c>
      <c r="DB284" s="44">
        <f t="shared" si="525"/>
        <v>0</v>
      </c>
      <c r="DC284" s="46">
        <f t="shared" si="526"/>
        <v>0</v>
      </c>
      <c r="DD284" s="47">
        <f t="shared" si="527"/>
        <v>0</v>
      </c>
      <c r="DE284" s="604">
        <f t="shared" si="594"/>
        <v>0</v>
      </c>
      <c r="DF284" s="44">
        <f t="shared" si="595"/>
        <v>0</v>
      </c>
      <c r="DG284" s="44">
        <f t="shared" si="596"/>
        <v>0</v>
      </c>
      <c r="DH284" s="44">
        <f t="shared" si="597"/>
        <v>0</v>
      </c>
      <c r="DI284" s="44">
        <f t="shared" si="598"/>
        <v>0</v>
      </c>
      <c r="DJ284" s="44">
        <f t="shared" si="599"/>
        <v>0</v>
      </c>
      <c r="DK284" s="44">
        <f t="shared" si="528"/>
        <v>0</v>
      </c>
      <c r="DL284" s="44">
        <f t="shared" si="600"/>
        <v>0</v>
      </c>
      <c r="DM284" s="44">
        <f t="shared" si="529"/>
        <v>0</v>
      </c>
      <c r="DN284" s="44">
        <f t="shared" si="601"/>
        <v>0</v>
      </c>
      <c r="DO284" s="44">
        <f t="shared" si="530"/>
        <v>0</v>
      </c>
      <c r="DP284" s="46">
        <f t="shared" si="531"/>
        <v>0</v>
      </c>
      <c r="DQ284" s="47">
        <f t="shared" si="532"/>
        <v>0</v>
      </c>
      <c r="DR284" s="604">
        <f t="shared" si="602"/>
        <v>0</v>
      </c>
      <c r="DS284" s="44">
        <f t="shared" si="603"/>
        <v>0</v>
      </c>
      <c r="DT284" s="44">
        <f t="shared" si="604"/>
        <v>0</v>
      </c>
      <c r="DU284" s="44">
        <f t="shared" si="605"/>
        <v>0</v>
      </c>
      <c r="DV284" s="44">
        <f t="shared" si="606"/>
        <v>0</v>
      </c>
      <c r="DW284" s="44">
        <f t="shared" si="607"/>
        <v>0</v>
      </c>
      <c r="DX284" s="44">
        <f t="shared" si="533"/>
        <v>0</v>
      </c>
      <c r="DY284" s="44">
        <f t="shared" si="608"/>
        <v>0</v>
      </c>
      <c r="DZ284" s="44">
        <f t="shared" si="534"/>
        <v>0</v>
      </c>
      <c r="EA284" s="44">
        <f t="shared" si="609"/>
        <v>0</v>
      </c>
      <c r="EB284" s="44">
        <f t="shared" si="535"/>
        <v>0</v>
      </c>
      <c r="EC284" s="46">
        <f t="shared" si="536"/>
        <v>0</v>
      </c>
      <c r="ED284" s="47">
        <f t="shared" si="537"/>
        <v>0</v>
      </c>
    </row>
    <row r="285" spans="1:134" x14ac:dyDescent="0.35">
      <c r="A285" s="172"/>
      <c r="B285" s="173"/>
      <c r="C285" s="174"/>
      <c r="D285" s="175"/>
      <c r="E285" s="176"/>
      <c r="F285" s="177"/>
      <c r="G285" s="178"/>
      <c r="H285" s="179"/>
      <c r="I285" s="180"/>
      <c r="J285" s="181"/>
      <c r="K285" s="42">
        <f t="shared" si="488"/>
        <v>0</v>
      </c>
      <c r="L285" s="43">
        <f t="shared" si="489"/>
        <v>0</v>
      </c>
      <c r="M285" s="44">
        <f t="shared" si="490"/>
        <v>0</v>
      </c>
      <c r="N285" s="44"/>
      <c r="O285" s="44">
        <f t="shared" si="491"/>
        <v>0</v>
      </c>
      <c r="P285" s="45"/>
      <c r="Q285" s="44">
        <f t="shared" si="492"/>
        <v>0</v>
      </c>
      <c r="R285" s="604">
        <f t="shared" si="538"/>
        <v>0</v>
      </c>
      <c r="S285" s="44">
        <f t="shared" si="539"/>
        <v>0</v>
      </c>
      <c r="T285" s="44">
        <f t="shared" si="540"/>
        <v>0</v>
      </c>
      <c r="U285" s="44">
        <f t="shared" si="541"/>
        <v>0</v>
      </c>
      <c r="V285" s="44">
        <f t="shared" si="542"/>
        <v>0</v>
      </c>
      <c r="W285" s="44">
        <f t="shared" si="543"/>
        <v>0</v>
      </c>
      <c r="X285" s="44">
        <f t="shared" si="493"/>
        <v>0</v>
      </c>
      <c r="Y285" s="44">
        <f t="shared" si="544"/>
        <v>0</v>
      </c>
      <c r="Z285" s="44">
        <f t="shared" si="494"/>
        <v>0</v>
      </c>
      <c r="AA285" s="44">
        <f t="shared" si="545"/>
        <v>0</v>
      </c>
      <c r="AB285" s="44">
        <f t="shared" si="495"/>
        <v>0</v>
      </c>
      <c r="AC285" s="46">
        <f t="shared" si="496"/>
        <v>0</v>
      </c>
      <c r="AD285" s="47">
        <f t="shared" si="497"/>
        <v>0</v>
      </c>
      <c r="AE285" s="604">
        <f t="shared" si="546"/>
        <v>0</v>
      </c>
      <c r="AF285" s="44">
        <f t="shared" si="547"/>
        <v>0</v>
      </c>
      <c r="AG285" s="44">
        <f t="shared" si="548"/>
        <v>0</v>
      </c>
      <c r="AH285" s="44">
        <f t="shared" si="549"/>
        <v>0</v>
      </c>
      <c r="AI285" s="44">
        <f t="shared" si="550"/>
        <v>0</v>
      </c>
      <c r="AJ285" s="44">
        <f t="shared" si="551"/>
        <v>0</v>
      </c>
      <c r="AK285" s="44">
        <f t="shared" si="498"/>
        <v>0</v>
      </c>
      <c r="AL285" s="44">
        <f t="shared" si="552"/>
        <v>0</v>
      </c>
      <c r="AM285" s="44">
        <f t="shared" si="499"/>
        <v>0</v>
      </c>
      <c r="AN285" s="44">
        <f t="shared" si="553"/>
        <v>0</v>
      </c>
      <c r="AO285" s="44">
        <f t="shared" si="500"/>
        <v>0</v>
      </c>
      <c r="AP285" s="46">
        <f t="shared" si="501"/>
        <v>0</v>
      </c>
      <c r="AQ285" s="47">
        <f t="shared" si="502"/>
        <v>0</v>
      </c>
      <c r="AR285" s="604">
        <f t="shared" si="554"/>
        <v>0</v>
      </c>
      <c r="AS285" s="44">
        <f t="shared" si="555"/>
        <v>0</v>
      </c>
      <c r="AT285" s="44">
        <f t="shared" si="556"/>
        <v>0</v>
      </c>
      <c r="AU285" s="44">
        <f t="shared" si="557"/>
        <v>0</v>
      </c>
      <c r="AV285" s="44">
        <f t="shared" si="558"/>
        <v>0</v>
      </c>
      <c r="AW285" s="44">
        <f t="shared" si="559"/>
        <v>0</v>
      </c>
      <c r="AX285" s="44">
        <f t="shared" si="503"/>
        <v>0</v>
      </c>
      <c r="AY285" s="44">
        <f t="shared" si="560"/>
        <v>0</v>
      </c>
      <c r="AZ285" s="44">
        <f t="shared" si="504"/>
        <v>0</v>
      </c>
      <c r="BA285" s="44">
        <f t="shared" si="561"/>
        <v>0</v>
      </c>
      <c r="BB285" s="44">
        <f t="shared" si="505"/>
        <v>0</v>
      </c>
      <c r="BC285" s="46">
        <f t="shared" si="506"/>
        <v>0</v>
      </c>
      <c r="BD285" s="47">
        <f t="shared" si="507"/>
        <v>0</v>
      </c>
      <c r="BE285" s="604">
        <f t="shared" si="562"/>
        <v>0</v>
      </c>
      <c r="BF285" s="44">
        <f t="shared" si="563"/>
        <v>0</v>
      </c>
      <c r="BG285" s="44">
        <f t="shared" si="564"/>
        <v>0</v>
      </c>
      <c r="BH285" s="44">
        <f t="shared" si="565"/>
        <v>0</v>
      </c>
      <c r="BI285" s="44">
        <f t="shared" si="566"/>
        <v>0</v>
      </c>
      <c r="BJ285" s="44">
        <f t="shared" si="567"/>
        <v>0</v>
      </c>
      <c r="BK285" s="44">
        <f t="shared" si="508"/>
        <v>0</v>
      </c>
      <c r="BL285" s="44">
        <f t="shared" si="568"/>
        <v>0</v>
      </c>
      <c r="BM285" s="44">
        <f t="shared" si="509"/>
        <v>0</v>
      </c>
      <c r="BN285" s="44">
        <f t="shared" si="569"/>
        <v>0</v>
      </c>
      <c r="BO285" s="44">
        <f t="shared" si="510"/>
        <v>0</v>
      </c>
      <c r="BP285" s="46">
        <f t="shared" si="511"/>
        <v>0</v>
      </c>
      <c r="BQ285" s="47">
        <f t="shared" si="512"/>
        <v>0</v>
      </c>
      <c r="BR285" s="604">
        <f t="shared" si="570"/>
        <v>0</v>
      </c>
      <c r="BS285" s="44">
        <f t="shared" si="571"/>
        <v>0</v>
      </c>
      <c r="BT285" s="44">
        <f t="shared" si="572"/>
        <v>0</v>
      </c>
      <c r="BU285" s="44">
        <f t="shared" si="573"/>
        <v>0</v>
      </c>
      <c r="BV285" s="44">
        <f t="shared" si="574"/>
        <v>0</v>
      </c>
      <c r="BW285" s="44">
        <f t="shared" si="575"/>
        <v>0</v>
      </c>
      <c r="BX285" s="44">
        <f t="shared" si="513"/>
        <v>0</v>
      </c>
      <c r="BY285" s="44">
        <f t="shared" si="576"/>
        <v>0</v>
      </c>
      <c r="BZ285" s="44">
        <f t="shared" si="514"/>
        <v>0</v>
      </c>
      <c r="CA285" s="44">
        <f t="shared" si="577"/>
        <v>0</v>
      </c>
      <c r="CB285" s="44">
        <f t="shared" si="515"/>
        <v>0</v>
      </c>
      <c r="CC285" s="46">
        <f t="shared" si="516"/>
        <v>0</v>
      </c>
      <c r="CD285" s="47">
        <f t="shared" si="517"/>
        <v>0</v>
      </c>
      <c r="CE285" s="604">
        <f t="shared" si="578"/>
        <v>0</v>
      </c>
      <c r="CF285" s="44">
        <f t="shared" si="579"/>
        <v>0</v>
      </c>
      <c r="CG285" s="44">
        <f t="shared" si="580"/>
        <v>0</v>
      </c>
      <c r="CH285" s="44">
        <f t="shared" si="581"/>
        <v>0</v>
      </c>
      <c r="CI285" s="44">
        <f t="shared" si="582"/>
        <v>0</v>
      </c>
      <c r="CJ285" s="44">
        <f t="shared" si="583"/>
        <v>0</v>
      </c>
      <c r="CK285" s="44">
        <f t="shared" si="518"/>
        <v>0</v>
      </c>
      <c r="CL285" s="44">
        <f t="shared" si="584"/>
        <v>0</v>
      </c>
      <c r="CM285" s="44">
        <f t="shared" si="519"/>
        <v>0</v>
      </c>
      <c r="CN285" s="44">
        <f t="shared" si="585"/>
        <v>0</v>
      </c>
      <c r="CO285" s="44">
        <f t="shared" si="520"/>
        <v>0</v>
      </c>
      <c r="CP285" s="46">
        <f t="shared" si="521"/>
        <v>0</v>
      </c>
      <c r="CQ285" s="47">
        <f t="shared" si="522"/>
        <v>0</v>
      </c>
      <c r="CR285" s="604">
        <f t="shared" si="586"/>
        <v>0</v>
      </c>
      <c r="CS285" s="44">
        <f t="shared" si="587"/>
        <v>0</v>
      </c>
      <c r="CT285" s="44">
        <f t="shared" si="588"/>
        <v>0</v>
      </c>
      <c r="CU285" s="44">
        <f t="shared" si="589"/>
        <v>0</v>
      </c>
      <c r="CV285" s="44">
        <f t="shared" si="590"/>
        <v>0</v>
      </c>
      <c r="CW285" s="44">
        <f t="shared" si="591"/>
        <v>0</v>
      </c>
      <c r="CX285" s="44">
        <f t="shared" si="523"/>
        <v>0</v>
      </c>
      <c r="CY285" s="44">
        <f t="shared" si="592"/>
        <v>0</v>
      </c>
      <c r="CZ285" s="44">
        <f t="shared" si="524"/>
        <v>0</v>
      </c>
      <c r="DA285" s="44">
        <f t="shared" si="593"/>
        <v>0</v>
      </c>
      <c r="DB285" s="44">
        <f t="shared" si="525"/>
        <v>0</v>
      </c>
      <c r="DC285" s="46">
        <f t="shared" si="526"/>
        <v>0</v>
      </c>
      <c r="DD285" s="47">
        <f t="shared" si="527"/>
        <v>0</v>
      </c>
      <c r="DE285" s="604">
        <f t="shared" si="594"/>
        <v>0</v>
      </c>
      <c r="DF285" s="44">
        <f t="shared" si="595"/>
        <v>0</v>
      </c>
      <c r="DG285" s="44">
        <f t="shared" si="596"/>
        <v>0</v>
      </c>
      <c r="DH285" s="44">
        <f t="shared" si="597"/>
        <v>0</v>
      </c>
      <c r="DI285" s="44">
        <f t="shared" si="598"/>
        <v>0</v>
      </c>
      <c r="DJ285" s="44">
        <f t="shared" si="599"/>
        <v>0</v>
      </c>
      <c r="DK285" s="44">
        <f t="shared" si="528"/>
        <v>0</v>
      </c>
      <c r="DL285" s="44">
        <f t="shared" si="600"/>
        <v>0</v>
      </c>
      <c r="DM285" s="44">
        <f t="shared" si="529"/>
        <v>0</v>
      </c>
      <c r="DN285" s="44">
        <f t="shared" si="601"/>
        <v>0</v>
      </c>
      <c r="DO285" s="44">
        <f t="shared" si="530"/>
        <v>0</v>
      </c>
      <c r="DP285" s="46">
        <f t="shared" si="531"/>
        <v>0</v>
      </c>
      <c r="DQ285" s="47">
        <f t="shared" si="532"/>
        <v>0</v>
      </c>
      <c r="DR285" s="604">
        <f t="shared" si="602"/>
        <v>0</v>
      </c>
      <c r="DS285" s="44">
        <f t="shared" si="603"/>
        <v>0</v>
      </c>
      <c r="DT285" s="44">
        <f t="shared" si="604"/>
        <v>0</v>
      </c>
      <c r="DU285" s="44">
        <f t="shared" si="605"/>
        <v>0</v>
      </c>
      <c r="DV285" s="44">
        <f t="shared" si="606"/>
        <v>0</v>
      </c>
      <c r="DW285" s="44">
        <f t="shared" si="607"/>
        <v>0</v>
      </c>
      <c r="DX285" s="44">
        <f t="shared" si="533"/>
        <v>0</v>
      </c>
      <c r="DY285" s="44">
        <f t="shared" si="608"/>
        <v>0</v>
      </c>
      <c r="DZ285" s="44">
        <f t="shared" si="534"/>
        <v>0</v>
      </c>
      <c r="EA285" s="44">
        <f t="shared" si="609"/>
        <v>0</v>
      </c>
      <c r="EB285" s="44">
        <f t="shared" si="535"/>
        <v>0</v>
      </c>
      <c r="EC285" s="46">
        <f t="shared" si="536"/>
        <v>0</v>
      </c>
      <c r="ED285" s="47">
        <f t="shared" si="537"/>
        <v>0</v>
      </c>
    </row>
    <row r="286" spans="1:134" x14ac:dyDescent="0.35">
      <c r="A286" s="172"/>
      <c r="B286" s="173"/>
      <c r="C286" s="174"/>
      <c r="D286" s="175"/>
      <c r="E286" s="176"/>
      <c r="F286" s="177"/>
      <c r="G286" s="178"/>
      <c r="H286" s="179"/>
      <c r="I286" s="180"/>
      <c r="J286" s="181"/>
      <c r="K286" s="42">
        <f t="shared" si="488"/>
        <v>0</v>
      </c>
      <c r="L286" s="43">
        <f t="shared" si="489"/>
        <v>0</v>
      </c>
      <c r="M286" s="44">
        <f t="shared" si="490"/>
        <v>0</v>
      </c>
      <c r="N286" s="44"/>
      <c r="O286" s="44">
        <f t="shared" si="491"/>
        <v>0</v>
      </c>
      <c r="P286" s="45"/>
      <c r="Q286" s="44">
        <f t="shared" si="492"/>
        <v>0</v>
      </c>
      <c r="R286" s="604">
        <f t="shared" si="538"/>
        <v>0</v>
      </c>
      <c r="S286" s="44">
        <f t="shared" si="539"/>
        <v>0</v>
      </c>
      <c r="T286" s="44">
        <f t="shared" si="540"/>
        <v>0</v>
      </c>
      <c r="U286" s="44">
        <f t="shared" si="541"/>
        <v>0</v>
      </c>
      <c r="V286" s="44">
        <f t="shared" si="542"/>
        <v>0</v>
      </c>
      <c r="W286" s="44">
        <f t="shared" si="543"/>
        <v>0</v>
      </c>
      <c r="X286" s="44">
        <f t="shared" si="493"/>
        <v>0</v>
      </c>
      <c r="Y286" s="44">
        <f t="shared" si="544"/>
        <v>0</v>
      </c>
      <c r="Z286" s="44">
        <f t="shared" si="494"/>
        <v>0</v>
      </c>
      <c r="AA286" s="44">
        <f t="shared" si="545"/>
        <v>0</v>
      </c>
      <c r="AB286" s="44">
        <f t="shared" si="495"/>
        <v>0</v>
      </c>
      <c r="AC286" s="46">
        <f t="shared" si="496"/>
        <v>0</v>
      </c>
      <c r="AD286" s="47">
        <f t="shared" si="497"/>
        <v>0</v>
      </c>
      <c r="AE286" s="604">
        <f t="shared" si="546"/>
        <v>0</v>
      </c>
      <c r="AF286" s="44">
        <f t="shared" si="547"/>
        <v>0</v>
      </c>
      <c r="AG286" s="44">
        <f t="shared" si="548"/>
        <v>0</v>
      </c>
      <c r="AH286" s="44">
        <f t="shared" si="549"/>
        <v>0</v>
      </c>
      <c r="AI286" s="44">
        <f t="shared" si="550"/>
        <v>0</v>
      </c>
      <c r="AJ286" s="44">
        <f t="shared" si="551"/>
        <v>0</v>
      </c>
      <c r="AK286" s="44">
        <f t="shared" si="498"/>
        <v>0</v>
      </c>
      <c r="AL286" s="44">
        <f t="shared" si="552"/>
        <v>0</v>
      </c>
      <c r="AM286" s="44">
        <f t="shared" si="499"/>
        <v>0</v>
      </c>
      <c r="AN286" s="44">
        <f t="shared" si="553"/>
        <v>0</v>
      </c>
      <c r="AO286" s="44">
        <f t="shared" si="500"/>
        <v>0</v>
      </c>
      <c r="AP286" s="46">
        <f t="shared" si="501"/>
        <v>0</v>
      </c>
      <c r="AQ286" s="47">
        <f t="shared" si="502"/>
        <v>0</v>
      </c>
      <c r="AR286" s="604">
        <f t="shared" si="554"/>
        <v>0</v>
      </c>
      <c r="AS286" s="44">
        <f t="shared" si="555"/>
        <v>0</v>
      </c>
      <c r="AT286" s="44">
        <f t="shared" si="556"/>
        <v>0</v>
      </c>
      <c r="AU286" s="44">
        <f t="shared" si="557"/>
        <v>0</v>
      </c>
      <c r="AV286" s="44">
        <f t="shared" si="558"/>
        <v>0</v>
      </c>
      <c r="AW286" s="44">
        <f t="shared" si="559"/>
        <v>0</v>
      </c>
      <c r="AX286" s="44">
        <f t="shared" si="503"/>
        <v>0</v>
      </c>
      <c r="AY286" s="44">
        <f t="shared" si="560"/>
        <v>0</v>
      </c>
      <c r="AZ286" s="44">
        <f t="shared" si="504"/>
        <v>0</v>
      </c>
      <c r="BA286" s="44">
        <f t="shared" si="561"/>
        <v>0</v>
      </c>
      <c r="BB286" s="44">
        <f t="shared" si="505"/>
        <v>0</v>
      </c>
      <c r="BC286" s="46">
        <f t="shared" si="506"/>
        <v>0</v>
      </c>
      <c r="BD286" s="47">
        <f t="shared" si="507"/>
        <v>0</v>
      </c>
      <c r="BE286" s="604">
        <f t="shared" si="562"/>
        <v>0</v>
      </c>
      <c r="BF286" s="44">
        <f t="shared" si="563"/>
        <v>0</v>
      </c>
      <c r="BG286" s="44">
        <f t="shared" si="564"/>
        <v>0</v>
      </c>
      <c r="BH286" s="44">
        <f t="shared" si="565"/>
        <v>0</v>
      </c>
      <c r="BI286" s="44">
        <f t="shared" si="566"/>
        <v>0</v>
      </c>
      <c r="BJ286" s="44">
        <f t="shared" si="567"/>
        <v>0</v>
      </c>
      <c r="BK286" s="44">
        <f t="shared" si="508"/>
        <v>0</v>
      </c>
      <c r="BL286" s="44">
        <f t="shared" si="568"/>
        <v>0</v>
      </c>
      <c r="BM286" s="44">
        <f t="shared" si="509"/>
        <v>0</v>
      </c>
      <c r="BN286" s="44">
        <f t="shared" si="569"/>
        <v>0</v>
      </c>
      <c r="BO286" s="44">
        <f t="shared" si="510"/>
        <v>0</v>
      </c>
      <c r="BP286" s="46">
        <f t="shared" si="511"/>
        <v>0</v>
      </c>
      <c r="BQ286" s="47">
        <f t="shared" si="512"/>
        <v>0</v>
      </c>
      <c r="BR286" s="604">
        <f t="shared" si="570"/>
        <v>0</v>
      </c>
      <c r="BS286" s="44">
        <f t="shared" si="571"/>
        <v>0</v>
      </c>
      <c r="BT286" s="44">
        <f t="shared" si="572"/>
        <v>0</v>
      </c>
      <c r="BU286" s="44">
        <f t="shared" si="573"/>
        <v>0</v>
      </c>
      <c r="BV286" s="44">
        <f t="shared" si="574"/>
        <v>0</v>
      </c>
      <c r="BW286" s="44">
        <f t="shared" si="575"/>
        <v>0</v>
      </c>
      <c r="BX286" s="44">
        <f t="shared" si="513"/>
        <v>0</v>
      </c>
      <c r="BY286" s="44">
        <f t="shared" si="576"/>
        <v>0</v>
      </c>
      <c r="BZ286" s="44">
        <f t="shared" si="514"/>
        <v>0</v>
      </c>
      <c r="CA286" s="44">
        <f t="shared" si="577"/>
        <v>0</v>
      </c>
      <c r="CB286" s="44">
        <f t="shared" si="515"/>
        <v>0</v>
      </c>
      <c r="CC286" s="46">
        <f t="shared" si="516"/>
        <v>0</v>
      </c>
      <c r="CD286" s="47">
        <f t="shared" si="517"/>
        <v>0</v>
      </c>
      <c r="CE286" s="604">
        <f t="shared" si="578"/>
        <v>0</v>
      </c>
      <c r="CF286" s="44">
        <f t="shared" si="579"/>
        <v>0</v>
      </c>
      <c r="CG286" s="44">
        <f t="shared" si="580"/>
        <v>0</v>
      </c>
      <c r="CH286" s="44">
        <f t="shared" si="581"/>
        <v>0</v>
      </c>
      <c r="CI286" s="44">
        <f t="shared" si="582"/>
        <v>0</v>
      </c>
      <c r="CJ286" s="44">
        <f t="shared" si="583"/>
        <v>0</v>
      </c>
      <c r="CK286" s="44">
        <f t="shared" si="518"/>
        <v>0</v>
      </c>
      <c r="CL286" s="44">
        <f t="shared" si="584"/>
        <v>0</v>
      </c>
      <c r="CM286" s="44">
        <f t="shared" si="519"/>
        <v>0</v>
      </c>
      <c r="CN286" s="44">
        <f t="shared" si="585"/>
        <v>0</v>
      </c>
      <c r="CO286" s="44">
        <f t="shared" si="520"/>
        <v>0</v>
      </c>
      <c r="CP286" s="46">
        <f t="shared" si="521"/>
        <v>0</v>
      </c>
      <c r="CQ286" s="47">
        <f t="shared" si="522"/>
        <v>0</v>
      </c>
      <c r="CR286" s="604">
        <f t="shared" si="586"/>
        <v>0</v>
      </c>
      <c r="CS286" s="44">
        <f t="shared" si="587"/>
        <v>0</v>
      </c>
      <c r="CT286" s="44">
        <f t="shared" si="588"/>
        <v>0</v>
      </c>
      <c r="CU286" s="44">
        <f t="shared" si="589"/>
        <v>0</v>
      </c>
      <c r="CV286" s="44">
        <f t="shared" si="590"/>
        <v>0</v>
      </c>
      <c r="CW286" s="44">
        <f t="shared" si="591"/>
        <v>0</v>
      </c>
      <c r="CX286" s="44">
        <f t="shared" si="523"/>
        <v>0</v>
      </c>
      <c r="CY286" s="44">
        <f t="shared" si="592"/>
        <v>0</v>
      </c>
      <c r="CZ286" s="44">
        <f t="shared" si="524"/>
        <v>0</v>
      </c>
      <c r="DA286" s="44">
        <f t="shared" si="593"/>
        <v>0</v>
      </c>
      <c r="DB286" s="44">
        <f t="shared" si="525"/>
        <v>0</v>
      </c>
      <c r="DC286" s="46">
        <f t="shared" si="526"/>
        <v>0</v>
      </c>
      <c r="DD286" s="47">
        <f t="shared" si="527"/>
        <v>0</v>
      </c>
      <c r="DE286" s="604">
        <f t="shared" si="594"/>
        <v>0</v>
      </c>
      <c r="DF286" s="44">
        <f t="shared" si="595"/>
        <v>0</v>
      </c>
      <c r="DG286" s="44">
        <f t="shared" si="596"/>
        <v>0</v>
      </c>
      <c r="DH286" s="44">
        <f t="shared" si="597"/>
        <v>0</v>
      </c>
      <c r="DI286" s="44">
        <f t="shared" si="598"/>
        <v>0</v>
      </c>
      <c r="DJ286" s="44">
        <f t="shared" si="599"/>
        <v>0</v>
      </c>
      <c r="DK286" s="44">
        <f t="shared" si="528"/>
        <v>0</v>
      </c>
      <c r="DL286" s="44">
        <f t="shared" si="600"/>
        <v>0</v>
      </c>
      <c r="DM286" s="44">
        <f t="shared" si="529"/>
        <v>0</v>
      </c>
      <c r="DN286" s="44">
        <f t="shared" si="601"/>
        <v>0</v>
      </c>
      <c r="DO286" s="44">
        <f t="shared" si="530"/>
        <v>0</v>
      </c>
      <c r="DP286" s="46">
        <f t="shared" si="531"/>
        <v>0</v>
      </c>
      <c r="DQ286" s="47">
        <f t="shared" si="532"/>
        <v>0</v>
      </c>
      <c r="DR286" s="604">
        <f t="shared" si="602"/>
        <v>0</v>
      </c>
      <c r="DS286" s="44">
        <f t="shared" si="603"/>
        <v>0</v>
      </c>
      <c r="DT286" s="44">
        <f t="shared" si="604"/>
        <v>0</v>
      </c>
      <c r="DU286" s="44">
        <f t="shared" si="605"/>
        <v>0</v>
      </c>
      <c r="DV286" s="44">
        <f t="shared" si="606"/>
        <v>0</v>
      </c>
      <c r="DW286" s="44">
        <f t="shared" si="607"/>
        <v>0</v>
      </c>
      <c r="DX286" s="44">
        <f t="shared" si="533"/>
        <v>0</v>
      </c>
      <c r="DY286" s="44">
        <f t="shared" si="608"/>
        <v>0</v>
      </c>
      <c r="DZ286" s="44">
        <f t="shared" si="534"/>
        <v>0</v>
      </c>
      <c r="EA286" s="44">
        <f t="shared" si="609"/>
        <v>0</v>
      </c>
      <c r="EB286" s="44">
        <f t="shared" si="535"/>
        <v>0</v>
      </c>
      <c r="EC286" s="46">
        <f t="shared" si="536"/>
        <v>0</v>
      </c>
      <c r="ED286" s="47">
        <f t="shared" si="537"/>
        <v>0</v>
      </c>
    </row>
    <row r="287" spans="1:134" x14ac:dyDescent="0.35">
      <c r="A287" s="172"/>
      <c r="B287" s="173"/>
      <c r="C287" s="174"/>
      <c r="D287" s="175"/>
      <c r="E287" s="176"/>
      <c r="F287" s="177"/>
      <c r="G287" s="178"/>
      <c r="H287" s="179"/>
      <c r="I287" s="180"/>
      <c r="J287" s="181"/>
      <c r="K287" s="42">
        <f t="shared" si="488"/>
        <v>0</v>
      </c>
      <c r="L287" s="43">
        <f t="shared" si="489"/>
        <v>0</v>
      </c>
      <c r="M287" s="44">
        <f t="shared" si="490"/>
        <v>0</v>
      </c>
      <c r="N287" s="44"/>
      <c r="O287" s="44">
        <f t="shared" si="491"/>
        <v>0</v>
      </c>
      <c r="P287" s="45"/>
      <c r="Q287" s="44">
        <f t="shared" si="492"/>
        <v>0</v>
      </c>
      <c r="R287" s="604">
        <f t="shared" si="538"/>
        <v>0</v>
      </c>
      <c r="S287" s="44">
        <f t="shared" si="539"/>
        <v>0</v>
      </c>
      <c r="T287" s="44">
        <f t="shared" si="540"/>
        <v>0</v>
      </c>
      <c r="U287" s="44">
        <f t="shared" si="541"/>
        <v>0</v>
      </c>
      <c r="V287" s="44">
        <f t="shared" si="542"/>
        <v>0</v>
      </c>
      <c r="W287" s="44">
        <f t="shared" si="543"/>
        <v>0</v>
      </c>
      <c r="X287" s="44">
        <f t="shared" si="493"/>
        <v>0</v>
      </c>
      <c r="Y287" s="44">
        <f t="shared" si="544"/>
        <v>0</v>
      </c>
      <c r="Z287" s="44">
        <f t="shared" si="494"/>
        <v>0</v>
      </c>
      <c r="AA287" s="44">
        <f t="shared" si="545"/>
        <v>0</v>
      </c>
      <c r="AB287" s="44">
        <f t="shared" si="495"/>
        <v>0</v>
      </c>
      <c r="AC287" s="46">
        <f t="shared" si="496"/>
        <v>0</v>
      </c>
      <c r="AD287" s="47">
        <f t="shared" si="497"/>
        <v>0</v>
      </c>
      <c r="AE287" s="604">
        <f t="shared" si="546"/>
        <v>0</v>
      </c>
      <c r="AF287" s="44">
        <f t="shared" si="547"/>
        <v>0</v>
      </c>
      <c r="AG287" s="44">
        <f t="shared" si="548"/>
        <v>0</v>
      </c>
      <c r="AH287" s="44">
        <f t="shared" si="549"/>
        <v>0</v>
      </c>
      <c r="AI287" s="44">
        <f t="shared" si="550"/>
        <v>0</v>
      </c>
      <c r="AJ287" s="44">
        <f t="shared" si="551"/>
        <v>0</v>
      </c>
      <c r="AK287" s="44">
        <f t="shared" si="498"/>
        <v>0</v>
      </c>
      <c r="AL287" s="44">
        <f t="shared" si="552"/>
        <v>0</v>
      </c>
      <c r="AM287" s="44">
        <f t="shared" si="499"/>
        <v>0</v>
      </c>
      <c r="AN287" s="44">
        <f t="shared" si="553"/>
        <v>0</v>
      </c>
      <c r="AO287" s="44">
        <f t="shared" si="500"/>
        <v>0</v>
      </c>
      <c r="AP287" s="46">
        <f t="shared" si="501"/>
        <v>0</v>
      </c>
      <c r="AQ287" s="47">
        <f t="shared" si="502"/>
        <v>0</v>
      </c>
      <c r="AR287" s="604">
        <f t="shared" si="554"/>
        <v>0</v>
      </c>
      <c r="AS287" s="44">
        <f t="shared" si="555"/>
        <v>0</v>
      </c>
      <c r="AT287" s="44">
        <f t="shared" si="556"/>
        <v>0</v>
      </c>
      <c r="AU287" s="44">
        <f t="shared" si="557"/>
        <v>0</v>
      </c>
      <c r="AV287" s="44">
        <f t="shared" si="558"/>
        <v>0</v>
      </c>
      <c r="AW287" s="44">
        <f t="shared" si="559"/>
        <v>0</v>
      </c>
      <c r="AX287" s="44">
        <f t="shared" si="503"/>
        <v>0</v>
      </c>
      <c r="AY287" s="44">
        <f t="shared" si="560"/>
        <v>0</v>
      </c>
      <c r="AZ287" s="44">
        <f t="shared" si="504"/>
        <v>0</v>
      </c>
      <c r="BA287" s="44">
        <f t="shared" si="561"/>
        <v>0</v>
      </c>
      <c r="BB287" s="44">
        <f t="shared" si="505"/>
        <v>0</v>
      </c>
      <c r="BC287" s="46">
        <f t="shared" si="506"/>
        <v>0</v>
      </c>
      <c r="BD287" s="47">
        <f t="shared" si="507"/>
        <v>0</v>
      </c>
      <c r="BE287" s="604">
        <f t="shared" si="562"/>
        <v>0</v>
      </c>
      <c r="BF287" s="44">
        <f t="shared" si="563"/>
        <v>0</v>
      </c>
      <c r="BG287" s="44">
        <f t="shared" si="564"/>
        <v>0</v>
      </c>
      <c r="BH287" s="44">
        <f t="shared" si="565"/>
        <v>0</v>
      </c>
      <c r="BI287" s="44">
        <f t="shared" si="566"/>
        <v>0</v>
      </c>
      <c r="BJ287" s="44">
        <f t="shared" si="567"/>
        <v>0</v>
      </c>
      <c r="BK287" s="44">
        <f t="shared" si="508"/>
        <v>0</v>
      </c>
      <c r="BL287" s="44">
        <f t="shared" si="568"/>
        <v>0</v>
      </c>
      <c r="BM287" s="44">
        <f t="shared" si="509"/>
        <v>0</v>
      </c>
      <c r="BN287" s="44">
        <f t="shared" si="569"/>
        <v>0</v>
      </c>
      <c r="BO287" s="44">
        <f t="shared" si="510"/>
        <v>0</v>
      </c>
      <c r="BP287" s="46">
        <f t="shared" si="511"/>
        <v>0</v>
      </c>
      <c r="BQ287" s="47">
        <f t="shared" si="512"/>
        <v>0</v>
      </c>
      <c r="BR287" s="604">
        <f t="shared" si="570"/>
        <v>0</v>
      </c>
      <c r="BS287" s="44">
        <f t="shared" si="571"/>
        <v>0</v>
      </c>
      <c r="BT287" s="44">
        <f t="shared" si="572"/>
        <v>0</v>
      </c>
      <c r="BU287" s="44">
        <f t="shared" si="573"/>
        <v>0</v>
      </c>
      <c r="BV287" s="44">
        <f t="shared" si="574"/>
        <v>0</v>
      </c>
      <c r="BW287" s="44">
        <f t="shared" si="575"/>
        <v>0</v>
      </c>
      <c r="BX287" s="44">
        <f t="shared" si="513"/>
        <v>0</v>
      </c>
      <c r="BY287" s="44">
        <f t="shared" si="576"/>
        <v>0</v>
      </c>
      <c r="BZ287" s="44">
        <f t="shared" si="514"/>
        <v>0</v>
      </c>
      <c r="CA287" s="44">
        <f t="shared" si="577"/>
        <v>0</v>
      </c>
      <c r="CB287" s="44">
        <f t="shared" si="515"/>
        <v>0</v>
      </c>
      <c r="CC287" s="46">
        <f t="shared" si="516"/>
        <v>0</v>
      </c>
      <c r="CD287" s="47">
        <f t="shared" si="517"/>
        <v>0</v>
      </c>
      <c r="CE287" s="604">
        <f t="shared" si="578"/>
        <v>0</v>
      </c>
      <c r="CF287" s="44">
        <f t="shared" si="579"/>
        <v>0</v>
      </c>
      <c r="CG287" s="44">
        <f t="shared" si="580"/>
        <v>0</v>
      </c>
      <c r="CH287" s="44">
        <f t="shared" si="581"/>
        <v>0</v>
      </c>
      <c r="CI287" s="44">
        <f t="shared" si="582"/>
        <v>0</v>
      </c>
      <c r="CJ287" s="44">
        <f t="shared" si="583"/>
        <v>0</v>
      </c>
      <c r="CK287" s="44">
        <f t="shared" si="518"/>
        <v>0</v>
      </c>
      <c r="CL287" s="44">
        <f t="shared" si="584"/>
        <v>0</v>
      </c>
      <c r="CM287" s="44">
        <f t="shared" si="519"/>
        <v>0</v>
      </c>
      <c r="CN287" s="44">
        <f t="shared" si="585"/>
        <v>0</v>
      </c>
      <c r="CO287" s="44">
        <f t="shared" si="520"/>
        <v>0</v>
      </c>
      <c r="CP287" s="46">
        <f t="shared" si="521"/>
        <v>0</v>
      </c>
      <c r="CQ287" s="47">
        <f t="shared" si="522"/>
        <v>0</v>
      </c>
      <c r="CR287" s="604">
        <f t="shared" si="586"/>
        <v>0</v>
      </c>
      <c r="CS287" s="44">
        <f t="shared" si="587"/>
        <v>0</v>
      </c>
      <c r="CT287" s="44">
        <f t="shared" si="588"/>
        <v>0</v>
      </c>
      <c r="CU287" s="44">
        <f t="shared" si="589"/>
        <v>0</v>
      </c>
      <c r="CV287" s="44">
        <f t="shared" si="590"/>
        <v>0</v>
      </c>
      <c r="CW287" s="44">
        <f t="shared" si="591"/>
        <v>0</v>
      </c>
      <c r="CX287" s="44">
        <f t="shared" si="523"/>
        <v>0</v>
      </c>
      <c r="CY287" s="44">
        <f t="shared" si="592"/>
        <v>0</v>
      </c>
      <c r="CZ287" s="44">
        <f t="shared" si="524"/>
        <v>0</v>
      </c>
      <c r="DA287" s="44">
        <f t="shared" si="593"/>
        <v>0</v>
      </c>
      <c r="DB287" s="44">
        <f t="shared" si="525"/>
        <v>0</v>
      </c>
      <c r="DC287" s="46">
        <f t="shared" si="526"/>
        <v>0</v>
      </c>
      <c r="DD287" s="47">
        <f t="shared" si="527"/>
        <v>0</v>
      </c>
      <c r="DE287" s="604">
        <f t="shared" si="594"/>
        <v>0</v>
      </c>
      <c r="DF287" s="44">
        <f t="shared" si="595"/>
        <v>0</v>
      </c>
      <c r="DG287" s="44">
        <f t="shared" si="596"/>
        <v>0</v>
      </c>
      <c r="DH287" s="44">
        <f t="shared" si="597"/>
        <v>0</v>
      </c>
      <c r="DI287" s="44">
        <f t="shared" si="598"/>
        <v>0</v>
      </c>
      <c r="DJ287" s="44">
        <f t="shared" si="599"/>
        <v>0</v>
      </c>
      <c r="DK287" s="44">
        <f t="shared" si="528"/>
        <v>0</v>
      </c>
      <c r="DL287" s="44">
        <f t="shared" si="600"/>
        <v>0</v>
      </c>
      <c r="DM287" s="44">
        <f t="shared" si="529"/>
        <v>0</v>
      </c>
      <c r="DN287" s="44">
        <f t="shared" si="601"/>
        <v>0</v>
      </c>
      <c r="DO287" s="44">
        <f t="shared" si="530"/>
        <v>0</v>
      </c>
      <c r="DP287" s="46">
        <f t="shared" si="531"/>
        <v>0</v>
      </c>
      <c r="DQ287" s="47">
        <f t="shared" si="532"/>
        <v>0</v>
      </c>
      <c r="DR287" s="604">
        <f t="shared" si="602"/>
        <v>0</v>
      </c>
      <c r="DS287" s="44">
        <f t="shared" si="603"/>
        <v>0</v>
      </c>
      <c r="DT287" s="44">
        <f t="shared" si="604"/>
        <v>0</v>
      </c>
      <c r="DU287" s="44">
        <f t="shared" si="605"/>
        <v>0</v>
      </c>
      <c r="DV287" s="44">
        <f t="shared" si="606"/>
        <v>0</v>
      </c>
      <c r="DW287" s="44">
        <f t="shared" si="607"/>
        <v>0</v>
      </c>
      <c r="DX287" s="44">
        <f t="shared" si="533"/>
        <v>0</v>
      </c>
      <c r="DY287" s="44">
        <f t="shared" si="608"/>
        <v>0</v>
      </c>
      <c r="DZ287" s="44">
        <f t="shared" si="534"/>
        <v>0</v>
      </c>
      <c r="EA287" s="44">
        <f t="shared" si="609"/>
        <v>0</v>
      </c>
      <c r="EB287" s="44">
        <f t="shared" si="535"/>
        <v>0</v>
      </c>
      <c r="EC287" s="46">
        <f t="shared" si="536"/>
        <v>0</v>
      </c>
      <c r="ED287" s="47">
        <f t="shared" si="537"/>
        <v>0</v>
      </c>
    </row>
    <row r="288" spans="1:134" x14ac:dyDescent="0.35">
      <c r="A288" s="172"/>
      <c r="B288" s="173"/>
      <c r="C288" s="174"/>
      <c r="D288" s="175"/>
      <c r="E288" s="176"/>
      <c r="F288" s="177"/>
      <c r="G288" s="178"/>
      <c r="H288" s="179"/>
      <c r="I288" s="180"/>
      <c r="J288" s="181"/>
      <c r="K288" s="42">
        <f t="shared" si="488"/>
        <v>0</v>
      </c>
      <c r="L288" s="43">
        <f t="shared" si="489"/>
        <v>0</v>
      </c>
      <c r="M288" s="44">
        <f t="shared" si="490"/>
        <v>0</v>
      </c>
      <c r="N288" s="44"/>
      <c r="O288" s="44">
        <f t="shared" si="491"/>
        <v>0</v>
      </c>
      <c r="P288" s="45"/>
      <c r="Q288" s="44">
        <f t="shared" si="492"/>
        <v>0</v>
      </c>
      <c r="R288" s="604">
        <f t="shared" si="538"/>
        <v>0</v>
      </c>
      <c r="S288" s="44">
        <f t="shared" si="539"/>
        <v>0</v>
      </c>
      <c r="T288" s="44">
        <f t="shared" si="540"/>
        <v>0</v>
      </c>
      <c r="U288" s="44">
        <f t="shared" si="541"/>
        <v>0</v>
      </c>
      <c r="V288" s="44">
        <f t="shared" si="542"/>
        <v>0</v>
      </c>
      <c r="W288" s="44">
        <f t="shared" si="543"/>
        <v>0</v>
      </c>
      <c r="X288" s="44">
        <f t="shared" si="493"/>
        <v>0</v>
      </c>
      <c r="Y288" s="44">
        <f t="shared" si="544"/>
        <v>0</v>
      </c>
      <c r="Z288" s="44">
        <f t="shared" si="494"/>
        <v>0</v>
      </c>
      <c r="AA288" s="44">
        <f t="shared" si="545"/>
        <v>0</v>
      </c>
      <c r="AB288" s="44">
        <f t="shared" si="495"/>
        <v>0</v>
      </c>
      <c r="AC288" s="46">
        <f t="shared" si="496"/>
        <v>0</v>
      </c>
      <c r="AD288" s="47">
        <f t="shared" si="497"/>
        <v>0</v>
      </c>
      <c r="AE288" s="604">
        <f t="shared" si="546"/>
        <v>0</v>
      </c>
      <c r="AF288" s="44">
        <f t="shared" si="547"/>
        <v>0</v>
      </c>
      <c r="AG288" s="44">
        <f t="shared" si="548"/>
        <v>0</v>
      </c>
      <c r="AH288" s="44">
        <f t="shared" si="549"/>
        <v>0</v>
      </c>
      <c r="AI288" s="44">
        <f t="shared" si="550"/>
        <v>0</v>
      </c>
      <c r="AJ288" s="44">
        <f t="shared" si="551"/>
        <v>0</v>
      </c>
      <c r="AK288" s="44">
        <f t="shared" si="498"/>
        <v>0</v>
      </c>
      <c r="AL288" s="44">
        <f t="shared" si="552"/>
        <v>0</v>
      </c>
      <c r="AM288" s="44">
        <f t="shared" si="499"/>
        <v>0</v>
      </c>
      <c r="AN288" s="44">
        <f t="shared" si="553"/>
        <v>0</v>
      </c>
      <c r="AO288" s="44">
        <f t="shared" si="500"/>
        <v>0</v>
      </c>
      <c r="AP288" s="46">
        <f t="shared" si="501"/>
        <v>0</v>
      </c>
      <c r="AQ288" s="47">
        <f t="shared" si="502"/>
        <v>0</v>
      </c>
      <c r="AR288" s="604">
        <f t="shared" si="554"/>
        <v>0</v>
      </c>
      <c r="AS288" s="44">
        <f t="shared" si="555"/>
        <v>0</v>
      </c>
      <c r="AT288" s="44">
        <f t="shared" si="556"/>
        <v>0</v>
      </c>
      <c r="AU288" s="44">
        <f t="shared" si="557"/>
        <v>0</v>
      </c>
      <c r="AV288" s="44">
        <f t="shared" si="558"/>
        <v>0</v>
      </c>
      <c r="AW288" s="44">
        <f t="shared" si="559"/>
        <v>0</v>
      </c>
      <c r="AX288" s="44">
        <f t="shared" si="503"/>
        <v>0</v>
      </c>
      <c r="AY288" s="44">
        <f t="shared" si="560"/>
        <v>0</v>
      </c>
      <c r="AZ288" s="44">
        <f t="shared" si="504"/>
        <v>0</v>
      </c>
      <c r="BA288" s="44">
        <f t="shared" si="561"/>
        <v>0</v>
      </c>
      <c r="BB288" s="44">
        <f t="shared" si="505"/>
        <v>0</v>
      </c>
      <c r="BC288" s="46">
        <f t="shared" si="506"/>
        <v>0</v>
      </c>
      <c r="BD288" s="47">
        <f t="shared" si="507"/>
        <v>0</v>
      </c>
      <c r="BE288" s="604">
        <f t="shared" si="562"/>
        <v>0</v>
      </c>
      <c r="BF288" s="44">
        <f t="shared" si="563"/>
        <v>0</v>
      </c>
      <c r="BG288" s="44">
        <f t="shared" si="564"/>
        <v>0</v>
      </c>
      <c r="BH288" s="44">
        <f t="shared" si="565"/>
        <v>0</v>
      </c>
      <c r="BI288" s="44">
        <f t="shared" si="566"/>
        <v>0</v>
      </c>
      <c r="BJ288" s="44">
        <f t="shared" si="567"/>
        <v>0</v>
      </c>
      <c r="BK288" s="44">
        <f t="shared" si="508"/>
        <v>0</v>
      </c>
      <c r="BL288" s="44">
        <f t="shared" si="568"/>
        <v>0</v>
      </c>
      <c r="BM288" s="44">
        <f t="shared" si="509"/>
        <v>0</v>
      </c>
      <c r="BN288" s="44">
        <f t="shared" si="569"/>
        <v>0</v>
      </c>
      <c r="BO288" s="44">
        <f t="shared" si="510"/>
        <v>0</v>
      </c>
      <c r="BP288" s="46">
        <f t="shared" si="511"/>
        <v>0</v>
      </c>
      <c r="BQ288" s="47">
        <f t="shared" si="512"/>
        <v>0</v>
      </c>
      <c r="BR288" s="604">
        <f t="shared" si="570"/>
        <v>0</v>
      </c>
      <c r="BS288" s="44">
        <f t="shared" si="571"/>
        <v>0</v>
      </c>
      <c r="BT288" s="44">
        <f t="shared" si="572"/>
        <v>0</v>
      </c>
      <c r="BU288" s="44">
        <f t="shared" si="573"/>
        <v>0</v>
      </c>
      <c r="BV288" s="44">
        <f t="shared" si="574"/>
        <v>0</v>
      </c>
      <c r="BW288" s="44">
        <f t="shared" si="575"/>
        <v>0</v>
      </c>
      <c r="BX288" s="44">
        <f t="shared" si="513"/>
        <v>0</v>
      </c>
      <c r="BY288" s="44">
        <f t="shared" si="576"/>
        <v>0</v>
      </c>
      <c r="BZ288" s="44">
        <f t="shared" si="514"/>
        <v>0</v>
      </c>
      <c r="CA288" s="44">
        <f t="shared" si="577"/>
        <v>0</v>
      </c>
      <c r="CB288" s="44">
        <f t="shared" si="515"/>
        <v>0</v>
      </c>
      <c r="CC288" s="46">
        <f t="shared" si="516"/>
        <v>0</v>
      </c>
      <c r="CD288" s="47">
        <f t="shared" si="517"/>
        <v>0</v>
      </c>
      <c r="CE288" s="604">
        <f t="shared" si="578"/>
        <v>0</v>
      </c>
      <c r="CF288" s="44">
        <f t="shared" si="579"/>
        <v>0</v>
      </c>
      <c r="CG288" s="44">
        <f t="shared" si="580"/>
        <v>0</v>
      </c>
      <c r="CH288" s="44">
        <f t="shared" si="581"/>
        <v>0</v>
      </c>
      <c r="CI288" s="44">
        <f t="shared" si="582"/>
        <v>0</v>
      </c>
      <c r="CJ288" s="44">
        <f t="shared" si="583"/>
        <v>0</v>
      </c>
      <c r="CK288" s="44">
        <f t="shared" si="518"/>
        <v>0</v>
      </c>
      <c r="CL288" s="44">
        <f t="shared" si="584"/>
        <v>0</v>
      </c>
      <c r="CM288" s="44">
        <f t="shared" si="519"/>
        <v>0</v>
      </c>
      <c r="CN288" s="44">
        <f t="shared" si="585"/>
        <v>0</v>
      </c>
      <c r="CO288" s="44">
        <f t="shared" si="520"/>
        <v>0</v>
      </c>
      <c r="CP288" s="46">
        <f t="shared" si="521"/>
        <v>0</v>
      </c>
      <c r="CQ288" s="47">
        <f t="shared" si="522"/>
        <v>0</v>
      </c>
      <c r="CR288" s="604">
        <f t="shared" si="586"/>
        <v>0</v>
      </c>
      <c r="CS288" s="44">
        <f t="shared" si="587"/>
        <v>0</v>
      </c>
      <c r="CT288" s="44">
        <f t="shared" si="588"/>
        <v>0</v>
      </c>
      <c r="CU288" s="44">
        <f t="shared" si="589"/>
        <v>0</v>
      </c>
      <c r="CV288" s="44">
        <f t="shared" si="590"/>
        <v>0</v>
      </c>
      <c r="CW288" s="44">
        <f t="shared" si="591"/>
        <v>0</v>
      </c>
      <c r="CX288" s="44">
        <f t="shared" si="523"/>
        <v>0</v>
      </c>
      <c r="CY288" s="44">
        <f t="shared" si="592"/>
        <v>0</v>
      </c>
      <c r="CZ288" s="44">
        <f t="shared" si="524"/>
        <v>0</v>
      </c>
      <c r="DA288" s="44">
        <f t="shared" si="593"/>
        <v>0</v>
      </c>
      <c r="DB288" s="44">
        <f t="shared" si="525"/>
        <v>0</v>
      </c>
      <c r="DC288" s="46">
        <f t="shared" si="526"/>
        <v>0</v>
      </c>
      <c r="DD288" s="47">
        <f t="shared" si="527"/>
        <v>0</v>
      </c>
      <c r="DE288" s="604">
        <f t="shared" si="594"/>
        <v>0</v>
      </c>
      <c r="DF288" s="44">
        <f t="shared" si="595"/>
        <v>0</v>
      </c>
      <c r="DG288" s="44">
        <f t="shared" si="596"/>
        <v>0</v>
      </c>
      <c r="DH288" s="44">
        <f t="shared" si="597"/>
        <v>0</v>
      </c>
      <c r="DI288" s="44">
        <f t="shared" si="598"/>
        <v>0</v>
      </c>
      <c r="DJ288" s="44">
        <f t="shared" si="599"/>
        <v>0</v>
      </c>
      <c r="DK288" s="44">
        <f t="shared" si="528"/>
        <v>0</v>
      </c>
      <c r="DL288" s="44">
        <f t="shared" si="600"/>
        <v>0</v>
      </c>
      <c r="DM288" s="44">
        <f t="shared" si="529"/>
        <v>0</v>
      </c>
      <c r="DN288" s="44">
        <f t="shared" si="601"/>
        <v>0</v>
      </c>
      <c r="DO288" s="44">
        <f t="shared" si="530"/>
        <v>0</v>
      </c>
      <c r="DP288" s="46">
        <f t="shared" si="531"/>
        <v>0</v>
      </c>
      <c r="DQ288" s="47">
        <f t="shared" si="532"/>
        <v>0</v>
      </c>
      <c r="DR288" s="604">
        <f t="shared" si="602"/>
        <v>0</v>
      </c>
      <c r="DS288" s="44">
        <f t="shared" si="603"/>
        <v>0</v>
      </c>
      <c r="DT288" s="44">
        <f t="shared" si="604"/>
        <v>0</v>
      </c>
      <c r="DU288" s="44">
        <f t="shared" si="605"/>
        <v>0</v>
      </c>
      <c r="DV288" s="44">
        <f t="shared" si="606"/>
        <v>0</v>
      </c>
      <c r="DW288" s="44">
        <f t="shared" si="607"/>
        <v>0</v>
      </c>
      <c r="DX288" s="44">
        <f t="shared" si="533"/>
        <v>0</v>
      </c>
      <c r="DY288" s="44">
        <f t="shared" si="608"/>
        <v>0</v>
      </c>
      <c r="DZ288" s="44">
        <f t="shared" si="534"/>
        <v>0</v>
      </c>
      <c r="EA288" s="44">
        <f t="shared" si="609"/>
        <v>0</v>
      </c>
      <c r="EB288" s="44">
        <f t="shared" si="535"/>
        <v>0</v>
      </c>
      <c r="EC288" s="46">
        <f t="shared" si="536"/>
        <v>0</v>
      </c>
      <c r="ED288" s="47">
        <f t="shared" si="537"/>
        <v>0</v>
      </c>
    </row>
    <row r="289" spans="1:134" x14ac:dyDescent="0.35">
      <c r="A289" s="172"/>
      <c r="B289" s="173"/>
      <c r="C289" s="174"/>
      <c r="D289" s="175"/>
      <c r="E289" s="176"/>
      <c r="F289" s="177"/>
      <c r="G289" s="178"/>
      <c r="H289" s="179"/>
      <c r="I289" s="180"/>
      <c r="J289" s="181"/>
      <c r="K289" s="42">
        <f t="shared" si="488"/>
        <v>0</v>
      </c>
      <c r="L289" s="43">
        <f t="shared" si="489"/>
        <v>0</v>
      </c>
      <c r="M289" s="44">
        <f t="shared" si="490"/>
        <v>0</v>
      </c>
      <c r="N289" s="44"/>
      <c r="O289" s="44">
        <f t="shared" si="491"/>
        <v>0</v>
      </c>
      <c r="P289" s="45"/>
      <c r="Q289" s="44">
        <f t="shared" si="492"/>
        <v>0</v>
      </c>
      <c r="R289" s="604">
        <f t="shared" si="538"/>
        <v>0</v>
      </c>
      <c r="S289" s="44">
        <f t="shared" si="539"/>
        <v>0</v>
      </c>
      <c r="T289" s="44">
        <f t="shared" si="540"/>
        <v>0</v>
      </c>
      <c r="U289" s="44">
        <f t="shared" si="541"/>
        <v>0</v>
      </c>
      <c r="V289" s="44">
        <f t="shared" si="542"/>
        <v>0</v>
      </c>
      <c r="W289" s="44">
        <f t="shared" si="543"/>
        <v>0</v>
      </c>
      <c r="X289" s="44">
        <f t="shared" si="493"/>
        <v>0</v>
      </c>
      <c r="Y289" s="44">
        <f t="shared" si="544"/>
        <v>0</v>
      </c>
      <c r="Z289" s="44">
        <f t="shared" si="494"/>
        <v>0</v>
      </c>
      <c r="AA289" s="44">
        <f t="shared" si="545"/>
        <v>0</v>
      </c>
      <c r="AB289" s="44">
        <f t="shared" si="495"/>
        <v>0</v>
      </c>
      <c r="AC289" s="46">
        <f t="shared" si="496"/>
        <v>0</v>
      </c>
      <c r="AD289" s="47">
        <f t="shared" si="497"/>
        <v>0</v>
      </c>
      <c r="AE289" s="604">
        <f t="shared" si="546"/>
        <v>0</v>
      </c>
      <c r="AF289" s="44">
        <f t="shared" si="547"/>
        <v>0</v>
      </c>
      <c r="AG289" s="44">
        <f t="shared" si="548"/>
        <v>0</v>
      </c>
      <c r="AH289" s="44">
        <f t="shared" si="549"/>
        <v>0</v>
      </c>
      <c r="AI289" s="44">
        <f t="shared" si="550"/>
        <v>0</v>
      </c>
      <c r="AJ289" s="44">
        <f t="shared" si="551"/>
        <v>0</v>
      </c>
      <c r="AK289" s="44">
        <f t="shared" si="498"/>
        <v>0</v>
      </c>
      <c r="AL289" s="44">
        <f t="shared" si="552"/>
        <v>0</v>
      </c>
      <c r="AM289" s="44">
        <f t="shared" si="499"/>
        <v>0</v>
      </c>
      <c r="AN289" s="44">
        <f t="shared" si="553"/>
        <v>0</v>
      </c>
      <c r="AO289" s="44">
        <f t="shared" si="500"/>
        <v>0</v>
      </c>
      <c r="AP289" s="46">
        <f t="shared" si="501"/>
        <v>0</v>
      </c>
      <c r="AQ289" s="47">
        <f t="shared" si="502"/>
        <v>0</v>
      </c>
      <c r="AR289" s="604">
        <f t="shared" si="554"/>
        <v>0</v>
      </c>
      <c r="AS289" s="44">
        <f t="shared" si="555"/>
        <v>0</v>
      </c>
      <c r="AT289" s="44">
        <f t="shared" si="556"/>
        <v>0</v>
      </c>
      <c r="AU289" s="44">
        <f t="shared" si="557"/>
        <v>0</v>
      </c>
      <c r="AV289" s="44">
        <f t="shared" si="558"/>
        <v>0</v>
      </c>
      <c r="AW289" s="44">
        <f t="shared" si="559"/>
        <v>0</v>
      </c>
      <c r="AX289" s="44">
        <f t="shared" si="503"/>
        <v>0</v>
      </c>
      <c r="AY289" s="44">
        <f t="shared" si="560"/>
        <v>0</v>
      </c>
      <c r="AZ289" s="44">
        <f t="shared" si="504"/>
        <v>0</v>
      </c>
      <c r="BA289" s="44">
        <f t="shared" si="561"/>
        <v>0</v>
      </c>
      <c r="BB289" s="44">
        <f t="shared" si="505"/>
        <v>0</v>
      </c>
      <c r="BC289" s="46">
        <f t="shared" si="506"/>
        <v>0</v>
      </c>
      <c r="BD289" s="47">
        <f t="shared" si="507"/>
        <v>0</v>
      </c>
      <c r="BE289" s="604">
        <f t="shared" si="562"/>
        <v>0</v>
      </c>
      <c r="BF289" s="44">
        <f t="shared" si="563"/>
        <v>0</v>
      </c>
      <c r="BG289" s="44">
        <f t="shared" si="564"/>
        <v>0</v>
      </c>
      <c r="BH289" s="44">
        <f t="shared" si="565"/>
        <v>0</v>
      </c>
      <c r="BI289" s="44">
        <f t="shared" si="566"/>
        <v>0</v>
      </c>
      <c r="BJ289" s="44">
        <f t="shared" si="567"/>
        <v>0</v>
      </c>
      <c r="BK289" s="44">
        <f t="shared" si="508"/>
        <v>0</v>
      </c>
      <c r="BL289" s="44">
        <f t="shared" si="568"/>
        <v>0</v>
      </c>
      <c r="BM289" s="44">
        <f t="shared" si="509"/>
        <v>0</v>
      </c>
      <c r="BN289" s="44">
        <f t="shared" si="569"/>
        <v>0</v>
      </c>
      <c r="BO289" s="44">
        <f t="shared" si="510"/>
        <v>0</v>
      </c>
      <c r="BP289" s="46">
        <f t="shared" si="511"/>
        <v>0</v>
      </c>
      <c r="BQ289" s="47">
        <f t="shared" si="512"/>
        <v>0</v>
      </c>
      <c r="BR289" s="604">
        <f t="shared" si="570"/>
        <v>0</v>
      </c>
      <c r="BS289" s="44">
        <f t="shared" si="571"/>
        <v>0</v>
      </c>
      <c r="BT289" s="44">
        <f t="shared" si="572"/>
        <v>0</v>
      </c>
      <c r="BU289" s="44">
        <f t="shared" si="573"/>
        <v>0</v>
      </c>
      <c r="BV289" s="44">
        <f t="shared" si="574"/>
        <v>0</v>
      </c>
      <c r="BW289" s="44">
        <f t="shared" si="575"/>
        <v>0</v>
      </c>
      <c r="BX289" s="44">
        <f t="shared" si="513"/>
        <v>0</v>
      </c>
      <c r="BY289" s="44">
        <f t="shared" si="576"/>
        <v>0</v>
      </c>
      <c r="BZ289" s="44">
        <f t="shared" si="514"/>
        <v>0</v>
      </c>
      <c r="CA289" s="44">
        <f t="shared" si="577"/>
        <v>0</v>
      </c>
      <c r="CB289" s="44">
        <f t="shared" si="515"/>
        <v>0</v>
      </c>
      <c r="CC289" s="46">
        <f t="shared" si="516"/>
        <v>0</v>
      </c>
      <c r="CD289" s="47">
        <f t="shared" si="517"/>
        <v>0</v>
      </c>
      <c r="CE289" s="604">
        <f t="shared" si="578"/>
        <v>0</v>
      </c>
      <c r="CF289" s="44">
        <f t="shared" si="579"/>
        <v>0</v>
      </c>
      <c r="CG289" s="44">
        <f t="shared" si="580"/>
        <v>0</v>
      </c>
      <c r="CH289" s="44">
        <f t="shared" si="581"/>
        <v>0</v>
      </c>
      <c r="CI289" s="44">
        <f t="shared" si="582"/>
        <v>0</v>
      </c>
      <c r="CJ289" s="44">
        <f t="shared" si="583"/>
        <v>0</v>
      </c>
      <c r="CK289" s="44">
        <f t="shared" si="518"/>
        <v>0</v>
      </c>
      <c r="CL289" s="44">
        <f t="shared" si="584"/>
        <v>0</v>
      </c>
      <c r="CM289" s="44">
        <f t="shared" si="519"/>
        <v>0</v>
      </c>
      <c r="CN289" s="44">
        <f t="shared" si="585"/>
        <v>0</v>
      </c>
      <c r="CO289" s="44">
        <f t="shared" si="520"/>
        <v>0</v>
      </c>
      <c r="CP289" s="46">
        <f t="shared" si="521"/>
        <v>0</v>
      </c>
      <c r="CQ289" s="47">
        <f t="shared" si="522"/>
        <v>0</v>
      </c>
      <c r="CR289" s="604">
        <f t="shared" si="586"/>
        <v>0</v>
      </c>
      <c r="CS289" s="44">
        <f t="shared" si="587"/>
        <v>0</v>
      </c>
      <c r="CT289" s="44">
        <f t="shared" si="588"/>
        <v>0</v>
      </c>
      <c r="CU289" s="44">
        <f t="shared" si="589"/>
        <v>0</v>
      </c>
      <c r="CV289" s="44">
        <f t="shared" si="590"/>
        <v>0</v>
      </c>
      <c r="CW289" s="44">
        <f t="shared" si="591"/>
        <v>0</v>
      </c>
      <c r="CX289" s="44">
        <f t="shared" si="523"/>
        <v>0</v>
      </c>
      <c r="CY289" s="44">
        <f t="shared" si="592"/>
        <v>0</v>
      </c>
      <c r="CZ289" s="44">
        <f t="shared" si="524"/>
        <v>0</v>
      </c>
      <c r="DA289" s="44">
        <f t="shared" si="593"/>
        <v>0</v>
      </c>
      <c r="DB289" s="44">
        <f t="shared" si="525"/>
        <v>0</v>
      </c>
      <c r="DC289" s="46">
        <f t="shared" si="526"/>
        <v>0</v>
      </c>
      <c r="DD289" s="47">
        <f t="shared" si="527"/>
        <v>0</v>
      </c>
      <c r="DE289" s="604">
        <f t="shared" si="594"/>
        <v>0</v>
      </c>
      <c r="DF289" s="44">
        <f t="shared" si="595"/>
        <v>0</v>
      </c>
      <c r="DG289" s="44">
        <f t="shared" si="596"/>
        <v>0</v>
      </c>
      <c r="DH289" s="44">
        <f t="shared" si="597"/>
        <v>0</v>
      </c>
      <c r="DI289" s="44">
        <f t="shared" si="598"/>
        <v>0</v>
      </c>
      <c r="DJ289" s="44">
        <f t="shared" si="599"/>
        <v>0</v>
      </c>
      <c r="DK289" s="44">
        <f t="shared" si="528"/>
        <v>0</v>
      </c>
      <c r="DL289" s="44">
        <f t="shared" si="600"/>
        <v>0</v>
      </c>
      <c r="DM289" s="44">
        <f t="shared" si="529"/>
        <v>0</v>
      </c>
      <c r="DN289" s="44">
        <f t="shared" si="601"/>
        <v>0</v>
      </c>
      <c r="DO289" s="44">
        <f t="shared" si="530"/>
        <v>0</v>
      </c>
      <c r="DP289" s="46">
        <f t="shared" si="531"/>
        <v>0</v>
      </c>
      <c r="DQ289" s="47">
        <f t="shared" si="532"/>
        <v>0</v>
      </c>
      <c r="DR289" s="604">
        <f t="shared" si="602"/>
        <v>0</v>
      </c>
      <c r="DS289" s="44">
        <f t="shared" si="603"/>
        <v>0</v>
      </c>
      <c r="DT289" s="44">
        <f t="shared" si="604"/>
        <v>0</v>
      </c>
      <c r="DU289" s="44">
        <f t="shared" si="605"/>
        <v>0</v>
      </c>
      <c r="DV289" s="44">
        <f t="shared" si="606"/>
        <v>0</v>
      </c>
      <c r="DW289" s="44">
        <f t="shared" si="607"/>
        <v>0</v>
      </c>
      <c r="DX289" s="44">
        <f t="shared" si="533"/>
        <v>0</v>
      </c>
      <c r="DY289" s="44">
        <f t="shared" si="608"/>
        <v>0</v>
      </c>
      <c r="DZ289" s="44">
        <f t="shared" si="534"/>
        <v>0</v>
      </c>
      <c r="EA289" s="44">
        <f t="shared" si="609"/>
        <v>0</v>
      </c>
      <c r="EB289" s="44">
        <f t="shared" si="535"/>
        <v>0</v>
      </c>
      <c r="EC289" s="46">
        <f t="shared" si="536"/>
        <v>0</v>
      </c>
      <c r="ED289" s="47">
        <f t="shared" si="537"/>
        <v>0</v>
      </c>
    </row>
    <row r="290" spans="1:134" x14ac:dyDescent="0.35">
      <c r="A290" s="172"/>
      <c r="B290" s="173"/>
      <c r="C290" s="174"/>
      <c r="D290" s="175"/>
      <c r="E290" s="176"/>
      <c r="F290" s="177"/>
      <c r="G290" s="178"/>
      <c r="H290" s="179"/>
      <c r="I290" s="180"/>
      <c r="J290" s="181"/>
      <c r="K290" s="42">
        <f t="shared" si="488"/>
        <v>0</v>
      </c>
      <c r="L290" s="43">
        <f t="shared" si="489"/>
        <v>0</v>
      </c>
      <c r="M290" s="44">
        <f t="shared" si="490"/>
        <v>0</v>
      </c>
      <c r="N290" s="44"/>
      <c r="O290" s="44">
        <f t="shared" si="491"/>
        <v>0</v>
      </c>
      <c r="P290" s="45"/>
      <c r="Q290" s="44">
        <f t="shared" si="492"/>
        <v>0</v>
      </c>
      <c r="R290" s="604">
        <f t="shared" si="538"/>
        <v>0</v>
      </c>
      <c r="S290" s="44">
        <f t="shared" si="539"/>
        <v>0</v>
      </c>
      <c r="T290" s="44">
        <f t="shared" si="540"/>
        <v>0</v>
      </c>
      <c r="U290" s="44">
        <f t="shared" si="541"/>
        <v>0</v>
      </c>
      <c r="V290" s="44">
        <f t="shared" si="542"/>
        <v>0</v>
      </c>
      <c r="W290" s="44">
        <f t="shared" si="543"/>
        <v>0</v>
      </c>
      <c r="X290" s="44">
        <f t="shared" si="493"/>
        <v>0</v>
      </c>
      <c r="Y290" s="44">
        <f t="shared" si="544"/>
        <v>0</v>
      </c>
      <c r="Z290" s="44">
        <f t="shared" si="494"/>
        <v>0</v>
      </c>
      <c r="AA290" s="44">
        <f t="shared" si="545"/>
        <v>0</v>
      </c>
      <c r="AB290" s="44">
        <f t="shared" si="495"/>
        <v>0</v>
      </c>
      <c r="AC290" s="46">
        <f t="shared" si="496"/>
        <v>0</v>
      </c>
      <c r="AD290" s="47">
        <f t="shared" si="497"/>
        <v>0</v>
      </c>
      <c r="AE290" s="604">
        <f t="shared" si="546"/>
        <v>0</v>
      </c>
      <c r="AF290" s="44">
        <f t="shared" si="547"/>
        <v>0</v>
      </c>
      <c r="AG290" s="44">
        <f t="shared" si="548"/>
        <v>0</v>
      </c>
      <c r="AH290" s="44">
        <f t="shared" si="549"/>
        <v>0</v>
      </c>
      <c r="AI290" s="44">
        <f t="shared" si="550"/>
        <v>0</v>
      </c>
      <c r="AJ290" s="44">
        <f t="shared" si="551"/>
        <v>0</v>
      </c>
      <c r="AK290" s="44">
        <f t="shared" si="498"/>
        <v>0</v>
      </c>
      <c r="AL290" s="44">
        <f t="shared" si="552"/>
        <v>0</v>
      </c>
      <c r="AM290" s="44">
        <f t="shared" si="499"/>
        <v>0</v>
      </c>
      <c r="AN290" s="44">
        <f t="shared" si="553"/>
        <v>0</v>
      </c>
      <c r="AO290" s="44">
        <f t="shared" si="500"/>
        <v>0</v>
      </c>
      <c r="AP290" s="46">
        <f t="shared" si="501"/>
        <v>0</v>
      </c>
      <c r="AQ290" s="47">
        <f t="shared" si="502"/>
        <v>0</v>
      </c>
      <c r="AR290" s="604">
        <f t="shared" si="554"/>
        <v>0</v>
      </c>
      <c r="AS290" s="44">
        <f t="shared" si="555"/>
        <v>0</v>
      </c>
      <c r="AT290" s="44">
        <f t="shared" si="556"/>
        <v>0</v>
      </c>
      <c r="AU290" s="44">
        <f t="shared" si="557"/>
        <v>0</v>
      </c>
      <c r="AV290" s="44">
        <f t="shared" si="558"/>
        <v>0</v>
      </c>
      <c r="AW290" s="44">
        <f t="shared" si="559"/>
        <v>0</v>
      </c>
      <c r="AX290" s="44">
        <f t="shared" si="503"/>
        <v>0</v>
      </c>
      <c r="AY290" s="44">
        <f t="shared" si="560"/>
        <v>0</v>
      </c>
      <c r="AZ290" s="44">
        <f t="shared" si="504"/>
        <v>0</v>
      </c>
      <c r="BA290" s="44">
        <f t="shared" si="561"/>
        <v>0</v>
      </c>
      <c r="BB290" s="44">
        <f t="shared" si="505"/>
        <v>0</v>
      </c>
      <c r="BC290" s="46">
        <f t="shared" si="506"/>
        <v>0</v>
      </c>
      <c r="BD290" s="47">
        <f t="shared" si="507"/>
        <v>0</v>
      </c>
      <c r="BE290" s="604">
        <f t="shared" si="562"/>
        <v>0</v>
      </c>
      <c r="BF290" s="44">
        <f t="shared" si="563"/>
        <v>0</v>
      </c>
      <c r="BG290" s="44">
        <f t="shared" si="564"/>
        <v>0</v>
      </c>
      <c r="BH290" s="44">
        <f t="shared" si="565"/>
        <v>0</v>
      </c>
      <c r="BI290" s="44">
        <f t="shared" si="566"/>
        <v>0</v>
      </c>
      <c r="BJ290" s="44">
        <f t="shared" si="567"/>
        <v>0</v>
      </c>
      <c r="BK290" s="44">
        <f t="shared" si="508"/>
        <v>0</v>
      </c>
      <c r="BL290" s="44">
        <f t="shared" si="568"/>
        <v>0</v>
      </c>
      <c r="BM290" s="44">
        <f t="shared" si="509"/>
        <v>0</v>
      </c>
      <c r="BN290" s="44">
        <f t="shared" si="569"/>
        <v>0</v>
      </c>
      <c r="BO290" s="44">
        <f t="shared" si="510"/>
        <v>0</v>
      </c>
      <c r="BP290" s="46">
        <f t="shared" si="511"/>
        <v>0</v>
      </c>
      <c r="BQ290" s="47">
        <f t="shared" si="512"/>
        <v>0</v>
      </c>
      <c r="BR290" s="604">
        <f t="shared" si="570"/>
        <v>0</v>
      </c>
      <c r="BS290" s="44">
        <f t="shared" si="571"/>
        <v>0</v>
      </c>
      <c r="BT290" s="44">
        <f t="shared" si="572"/>
        <v>0</v>
      </c>
      <c r="BU290" s="44">
        <f t="shared" si="573"/>
        <v>0</v>
      </c>
      <c r="BV290" s="44">
        <f t="shared" si="574"/>
        <v>0</v>
      </c>
      <c r="BW290" s="44">
        <f t="shared" si="575"/>
        <v>0</v>
      </c>
      <c r="BX290" s="44">
        <f t="shared" si="513"/>
        <v>0</v>
      </c>
      <c r="BY290" s="44">
        <f t="shared" si="576"/>
        <v>0</v>
      </c>
      <c r="BZ290" s="44">
        <f t="shared" si="514"/>
        <v>0</v>
      </c>
      <c r="CA290" s="44">
        <f t="shared" si="577"/>
        <v>0</v>
      </c>
      <c r="CB290" s="44">
        <f t="shared" si="515"/>
        <v>0</v>
      </c>
      <c r="CC290" s="46">
        <f t="shared" si="516"/>
        <v>0</v>
      </c>
      <c r="CD290" s="47">
        <f t="shared" si="517"/>
        <v>0</v>
      </c>
      <c r="CE290" s="604">
        <f t="shared" si="578"/>
        <v>0</v>
      </c>
      <c r="CF290" s="44">
        <f t="shared" si="579"/>
        <v>0</v>
      </c>
      <c r="CG290" s="44">
        <f t="shared" si="580"/>
        <v>0</v>
      </c>
      <c r="CH290" s="44">
        <f t="shared" si="581"/>
        <v>0</v>
      </c>
      <c r="CI290" s="44">
        <f t="shared" si="582"/>
        <v>0</v>
      </c>
      <c r="CJ290" s="44">
        <f t="shared" si="583"/>
        <v>0</v>
      </c>
      <c r="CK290" s="44">
        <f t="shared" si="518"/>
        <v>0</v>
      </c>
      <c r="CL290" s="44">
        <f t="shared" si="584"/>
        <v>0</v>
      </c>
      <c r="CM290" s="44">
        <f t="shared" si="519"/>
        <v>0</v>
      </c>
      <c r="CN290" s="44">
        <f t="shared" si="585"/>
        <v>0</v>
      </c>
      <c r="CO290" s="44">
        <f t="shared" si="520"/>
        <v>0</v>
      </c>
      <c r="CP290" s="46">
        <f t="shared" si="521"/>
        <v>0</v>
      </c>
      <c r="CQ290" s="47">
        <f t="shared" si="522"/>
        <v>0</v>
      </c>
      <c r="CR290" s="604">
        <f t="shared" si="586"/>
        <v>0</v>
      </c>
      <c r="CS290" s="44">
        <f t="shared" si="587"/>
        <v>0</v>
      </c>
      <c r="CT290" s="44">
        <f t="shared" si="588"/>
        <v>0</v>
      </c>
      <c r="CU290" s="44">
        <f t="shared" si="589"/>
        <v>0</v>
      </c>
      <c r="CV290" s="44">
        <f t="shared" si="590"/>
        <v>0</v>
      </c>
      <c r="CW290" s="44">
        <f t="shared" si="591"/>
        <v>0</v>
      </c>
      <c r="CX290" s="44">
        <f t="shared" si="523"/>
        <v>0</v>
      </c>
      <c r="CY290" s="44">
        <f t="shared" si="592"/>
        <v>0</v>
      </c>
      <c r="CZ290" s="44">
        <f t="shared" si="524"/>
        <v>0</v>
      </c>
      <c r="DA290" s="44">
        <f t="shared" si="593"/>
        <v>0</v>
      </c>
      <c r="DB290" s="44">
        <f t="shared" si="525"/>
        <v>0</v>
      </c>
      <c r="DC290" s="46">
        <f t="shared" si="526"/>
        <v>0</v>
      </c>
      <c r="DD290" s="47">
        <f t="shared" si="527"/>
        <v>0</v>
      </c>
      <c r="DE290" s="604">
        <f t="shared" si="594"/>
        <v>0</v>
      </c>
      <c r="DF290" s="44">
        <f t="shared" si="595"/>
        <v>0</v>
      </c>
      <c r="DG290" s="44">
        <f t="shared" si="596"/>
        <v>0</v>
      </c>
      <c r="DH290" s="44">
        <f t="shared" si="597"/>
        <v>0</v>
      </c>
      <c r="DI290" s="44">
        <f t="shared" si="598"/>
        <v>0</v>
      </c>
      <c r="DJ290" s="44">
        <f t="shared" si="599"/>
        <v>0</v>
      </c>
      <c r="DK290" s="44">
        <f t="shared" si="528"/>
        <v>0</v>
      </c>
      <c r="DL290" s="44">
        <f t="shared" si="600"/>
        <v>0</v>
      </c>
      <c r="DM290" s="44">
        <f t="shared" si="529"/>
        <v>0</v>
      </c>
      <c r="DN290" s="44">
        <f t="shared" si="601"/>
        <v>0</v>
      </c>
      <c r="DO290" s="44">
        <f t="shared" si="530"/>
        <v>0</v>
      </c>
      <c r="DP290" s="46">
        <f t="shared" si="531"/>
        <v>0</v>
      </c>
      <c r="DQ290" s="47">
        <f t="shared" si="532"/>
        <v>0</v>
      </c>
      <c r="DR290" s="604">
        <f t="shared" si="602"/>
        <v>0</v>
      </c>
      <c r="DS290" s="44">
        <f t="shared" si="603"/>
        <v>0</v>
      </c>
      <c r="DT290" s="44">
        <f t="shared" si="604"/>
        <v>0</v>
      </c>
      <c r="DU290" s="44">
        <f t="shared" si="605"/>
        <v>0</v>
      </c>
      <c r="DV290" s="44">
        <f t="shared" si="606"/>
        <v>0</v>
      </c>
      <c r="DW290" s="44">
        <f t="shared" si="607"/>
        <v>0</v>
      </c>
      <c r="DX290" s="44">
        <f t="shared" si="533"/>
        <v>0</v>
      </c>
      <c r="DY290" s="44">
        <f t="shared" si="608"/>
        <v>0</v>
      </c>
      <c r="DZ290" s="44">
        <f t="shared" si="534"/>
        <v>0</v>
      </c>
      <c r="EA290" s="44">
        <f t="shared" si="609"/>
        <v>0</v>
      </c>
      <c r="EB290" s="44">
        <f t="shared" si="535"/>
        <v>0</v>
      </c>
      <c r="EC290" s="46">
        <f t="shared" si="536"/>
        <v>0</v>
      </c>
      <c r="ED290" s="47">
        <f t="shared" si="537"/>
        <v>0</v>
      </c>
    </row>
    <row r="291" spans="1:134" x14ac:dyDescent="0.35">
      <c r="A291" s="172"/>
      <c r="B291" s="173"/>
      <c r="C291" s="174"/>
      <c r="D291" s="175"/>
      <c r="E291" s="176"/>
      <c r="F291" s="177"/>
      <c r="G291" s="178"/>
      <c r="H291" s="179"/>
      <c r="I291" s="180"/>
      <c r="J291" s="181"/>
      <c r="K291" s="42">
        <f t="shared" si="488"/>
        <v>0</v>
      </c>
      <c r="L291" s="43">
        <f t="shared" si="489"/>
        <v>0</v>
      </c>
      <c r="M291" s="44">
        <f t="shared" si="490"/>
        <v>0</v>
      </c>
      <c r="N291" s="44"/>
      <c r="O291" s="44">
        <f t="shared" si="491"/>
        <v>0</v>
      </c>
      <c r="P291" s="45"/>
      <c r="Q291" s="44">
        <f t="shared" si="492"/>
        <v>0</v>
      </c>
      <c r="R291" s="604">
        <f t="shared" si="538"/>
        <v>0</v>
      </c>
      <c r="S291" s="44">
        <f t="shared" si="539"/>
        <v>0</v>
      </c>
      <c r="T291" s="44">
        <f t="shared" si="540"/>
        <v>0</v>
      </c>
      <c r="U291" s="44">
        <f t="shared" si="541"/>
        <v>0</v>
      </c>
      <c r="V291" s="44">
        <f t="shared" si="542"/>
        <v>0</v>
      </c>
      <c r="W291" s="44">
        <f t="shared" si="543"/>
        <v>0</v>
      </c>
      <c r="X291" s="44">
        <f t="shared" si="493"/>
        <v>0</v>
      </c>
      <c r="Y291" s="44">
        <f t="shared" si="544"/>
        <v>0</v>
      </c>
      <c r="Z291" s="44">
        <f t="shared" si="494"/>
        <v>0</v>
      </c>
      <c r="AA291" s="44">
        <f t="shared" si="545"/>
        <v>0</v>
      </c>
      <c r="AB291" s="44">
        <f t="shared" si="495"/>
        <v>0</v>
      </c>
      <c r="AC291" s="46">
        <f t="shared" si="496"/>
        <v>0</v>
      </c>
      <c r="AD291" s="47">
        <f t="shared" si="497"/>
        <v>0</v>
      </c>
      <c r="AE291" s="604">
        <f t="shared" si="546"/>
        <v>0</v>
      </c>
      <c r="AF291" s="44">
        <f t="shared" si="547"/>
        <v>0</v>
      </c>
      <c r="AG291" s="44">
        <f t="shared" si="548"/>
        <v>0</v>
      </c>
      <c r="AH291" s="44">
        <f t="shared" si="549"/>
        <v>0</v>
      </c>
      <c r="AI291" s="44">
        <f t="shared" si="550"/>
        <v>0</v>
      </c>
      <c r="AJ291" s="44">
        <f t="shared" si="551"/>
        <v>0</v>
      </c>
      <c r="AK291" s="44">
        <f t="shared" si="498"/>
        <v>0</v>
      </c>
      <c r="AL291" s="44">
        <f t="shared" si="552"/>
        <v>0</v>
      </c>
      <c r="AM291" s="44">
        <f t="shared" si="499"/>
        <v>0</v>
      </c>
      <c r="AN291" s="44">
        <f t="shared" si="553"/>
        <v>0</v>
      </c>
      <c r="AO291" s="44">
        <f t="shared" si="500"/>
        <v>0</v>
      </c>
      <c r="AP291" s="46">
        <f t="shared" si="501"/>
        <v>0</v>
      </c>
      <c r="AQ291" s="47">
        <f t="shared" si="502"/>
        <v>0</v>
      </c>
      <c r="AR291" s="604">
        <f t="shared" si="554"/>
        <v>0</v>
      </c>
      <c r="AS291" s="44">
        <f t="shared" si="555"/>
        <v>0</v>
      </c>
      <c r="AT291" s="44">
        <f t="shared" si="556"/>
        <v>0</v>
      </c>
      <c r="AU291" s="44">
        <f t="shared" si="557"/>
        <v>0</v>
      </c>
      <c r="AV291" s="44">
        <f t="shared" si="558"/>
        <v>0</v>
      </c>
      <c r="AW291" s="44">
        <f t="shared" si="559"/>
        <v>0</v>
      </c>
      <c r="AX291" s="44">
        <f t="shared" si="503"/>
        <v>0</v>
      </c>
      <c r="AY291" s="44">
        <f t="shared" si="560"/>
        <v>0</v>
      </c>
      <c r="AZ291" s="44">
        <f t="shared" si="504"/>
        <v>0</v>
      </c>
      <c r="BA291" s="44">
        <f t="shared" si="561"/>
        <v>0</v>
      </c>
      <c r="BB291" s="44">
        <f t="shared" si="505"/>
        <v>0</v>
      </c>
      <c r="BC291" s="46">
        <f t="shared" si="506"/>
        <v>0</v>
      </c>
      <c r="BD291" s="47">
        <f t="shared" si="507"/>
        <v>0</v>
      </c>
      <c r="BE291" s="604">
        <f t="shared" si="562"/>
        <v>0</v>
      </c>
      <c r="BF291" s="44">
        <f t="shared" si="563"/>
        <v>0</v>
      </c>
      <c r="BG291" s="44">
        <f t="shared" si="564"/>
        <v>0</v>
      </c>
      <c r="BH291" s="44">
        <f t="shared" si="565"/>
        <v>0</v>
      </c>
      <c r="BI291" s="44">
        <f t="shared" si="566"/>
        <v>0</v>
      </c>
      <c r="BJ291" s="44">
        <f t="shared" si="567"/>
        <v>0</v>
      </c>
      <c r="BK291" s="44">
        <f t="shared" si="508"/>
        <v>0</v>
      </c>
      <c r="BL291" s="44">
        <f t="shared" si="568"/>
        <v>0</v>
      </c>
      <c r="BM291" s="44">
        <f t="shared" si="509"/>
        <v>0</v>
      </c>
      <c r="BN291" s="44">
        <f t="shared" si="569"/>
        <v>0</v>
      </c>
      <c r="BO291" s="44">
        <f t="shared" si="510"/>
        <v>0</v>
      </c>
      <c r="BP291" s="46">
        <f t="shared" si="511"/>
        <v>0</v>
      </c>
      <c r="BQ291" s="47">
        <f t="shared" si="512"/>
        <v>0</v>
      </c>
      <c r="BR291" s="604">
        <f t="shared" si="570"/>
        <v>0</v>
      </c>
      <c r="BS291" s="44">
        <f t="shared" si="571"/>
        <v>0</v>
      </c>
      <c r="BT291" s="44">
        <f t="shared" si="572"/>
        <v>0</v>
      </c>
      <c r="BU291" s="44">
        <f t="shared" si="573"/>
        <v>0</v>
      </c>
      <c r="BV291" s="44">
        <f t="shared" si="574"/>
        <v>0</v>
      </c>
      <c r="BW291" s="44">
        <f t="shared" si="575"/>
        <v>0</v>
      </c>
      <c r="BX291" s="44">
        <f t="shared" si="513"/>
        <v>0</v>
      </c>
      <c r="BY291" s="44">
        <f t="shared" si="576"/>
        <v>0</v>
      </c>
      <c r="BZ291" s="44">
        <f t="shared" si="514"/>
        <v>0</v>
      </c>
      <c r="CA291" s="44">
        <f t="shared" si="577"/>
        <v>0</v>
      </c>
      <c r="CB291" s="44">
        <f t="shared" si="515"/>
        <v>0</v>
      </c>
      <c r="CC291" s="46">
        <f t="shared" si="516"/>
        <v>0</v>
      </c>
      <c r="CD291" s="47">
        <f t="shared" si="517"/>
        <v>0</v>
      </c>
      <c r="CE291" s="604">
        <f t="shared" si="578"/>
        <v>0</v>
      </c>
      <c r="CF291" s="44">
        <f t="shared" si="579"/>
        <v>0</v>
      </c>
      <c r="CG291" s="44">
        <f t="shared" si="580"/>
        <v>0</v>
      </c>
      <c r="CH291" s="44">
        <f t="shared" si="581"/>
        <v>0</v>
      </c>
      <c r="CI291" s="44">
        <f t="shared" si="582"/>
        <v>0</v>
      </c>
      <c r="CJ291" s="44">
        <f t="shared" si="583"/>
        <v>0</v>
      </c>
      <c r="CK291" s="44">
        <f t="shared" si="518"/>
        <v>0</v>
      </c>
      <c r="CL291" s="44">
        <f t="shared" si="584"/>
        <v>0</v>
      </c>
      <c r="CM291" s="44">
        <f t="shared" si="519"/>
        <v>0</v>
      </c>
      <c r="CN291" s="44">
        <f t="shared" si="585"/>
        <v>0</v>
      </c>
      <c r="CO291" s="44">
        <f t="shared" si="520"/>
        <v>0</v>
      </c>
      <c r="CP291" s="46">
        <f t="shared" si="521"/>
        <v>0</v>
      </c>
      <c r="CQ291" s="47">
        <f t="shared" si="522"/>
        <v>0</v>
      </c>
      <c r="CR291" s="604">
        <f t="shared" si="586"/>
        <v>0</v>
      </c>
      <c r="CS291" s="44">
        <f t="shared" si="587"/>
        <v>0</v>
      </c>
      <c r="CT291" s="44">
        <f t="shared" si="588"/>
        <v>0</v>
      </c>
      <c r="CU291" s="44">
        <f t="shared" si="589"/>
        <v>0</v>
      </c>
      <c r="CV291" s="44">
        <f t="shared" si="590"/>
        <v>0</v>
      </c>
      <c r="CW291" s="44">
        <f t="shared" si="591"/>
        <v>0</v>
      </c>
      <c r="CX291" s="44">
        <f t="shared" si="523"/>
        <v>0</v>
      </c>
      <c r="CY291" s="44">
        <f t="shared" si="592"/>
        <v>0</v>
      </c>
      <c r="CZ291" s="44">
        <f t="shared" si="524"/>
        <v>0</v>
      </c>
      <c r="DA291" s="44">
        <f t="shared" si="593"/>
        <v>0</v>
      </c>
      <c r="DB291" s="44">
        <f t="shared" si="525"/>
        <v>0</v>
      </c>
      <c r="DC291" s="46">
        <f t="shared" si="526"/>
        <v>0</v>
      </c>
      <c r="DD291" s="47">
        <f t="shared" si="527"/>
        <v>0</v>
      </c>
      <c r="DE291" s="604">
        <f t="shared" si="594"/>
        <v>0</v>
      </c>
      <c r="DF291" s="44">
        <f t="shared" si="595"/>
        <v>0</v>
      </c>
      <c r="DG291" s="44">
        <f t="shared" si="596"/>
        <v>0</v>
      </c>
      <c r="DH291" s="44">
        <f t="shared" si="597"/>
        <v>0</v>
      </c>
      <c r="DI291" s="44">
        <f t="shared" si="598"/>
        <v>0</v>
      </c>
      <c r="DJ291" s="44">
        <f t="shared" si="599"/>
        <v>0</v>
      </c>
      <c r="DK291" s="44">
        <f t="shared" si="528"/>
        <v>0</v>
      </c>
      <c r="DL291" s="44">
        <f t="shared" si="600"/>
        <v>0</v>
      </c>
      <c r="DM291" s="44">
        <f t="shared" si="529"/>
        <v>0</v>
      </c>
      <c r="DN291" s="44">
        <f t="shared" si="601"/>
        <v>0</v>
      </c>
      <c r="DO291" s="44">
        <f t="shared" si="530"/>
        <v>0</v>
      </c>
      <c r="DP291" s="46">
        <f t="shared" si="531"/>
        <v>0</v>
      </c>
      <c r="DQ291" s="47">
        <f t="shared" si="532"/>
        <v>0</v>
      </c>
      <c r="DR291" s="604">
        <f t="shared" si="602"/>
        <v>0</v>
      </c>
      <c r="DS291" s="44">
        <f t="shared" si="603"/>
        <v>0</v>
      </c>
      <c r="DT291" s="44">
        <f t="shared" si="604"/>
        <v>0</v>
      </c>
      <c r="DU291" s="44">
        <f t="shared" si="605"/>
        <v>0</v>
      </c>
      <c r="DV291" s="44">
        <f t="shared" si="606"/>
        <v>0</v>
      </c>
      <c r="DW291" s="44">
        <f t="shared" si="607"/>
        <v>0</v>
      </c>
      <c r="DX291" s="44">
        <f t="shared" si="533"/>
        <v>0</v>
      </c>
      <c r="DY291" s="44">
        <f t="shared" si="608"/>
        <v>0</v>
      </c>
      <c r="DZ291" s="44">
        <f t="shared" si="534"/>
        <v>0</v>
      </c>
      <c r="EA291" s="44">
        <f t="shared" si="609"/>
        <v>0</v>
      </c>
      <c r="EB291" s="44">
        <f t="shared" si="535"/>
        <v>0</v>
      </c>
      <c r="EC291" s="46">
        <f t="shared" si="536"/>
        <v>0</v>
      </c>
      <c r="ED291" s="47">
        <f t="shared" si="537"/>
        <v>0</v>
      </c>
    </row>
    <row r="292" spans="1:134" x14ac:dyDescent="0.35">
      <c r="A292" s="172"/>
      <c r="B292" s="173"/>
      <c r="C292" s="174"/>
      <c r="D292" s="175"/>
      <c r="E292" s="176"/>
      <c r="F292" s="177"/>
      <c r="G292" s="178"/>
      <c r="H292" s="179"/>
      <c r="I292" s="180"/>
      <c r="J292" s="181"/>
      <c r="K292" s="42">
        <f t="shared" si="488"/>
        <v>0</v>
      </c>
      <c r="L292" s="43">
        <f t="shared" si="489"/>
        <v>0</v>
      </c>
      <c r="M292" s="44">
        <f t="shared" si="490"/>
        <v>0</v>
      </c>
      <c r="N292" s="44"/>
      <c r="O292" s="44">
        <f t="shared" si="491"/>
        <v>0</v>
      </c>
      <c r="P292" s="45"/>
      <c r="Q292" s="44">
        <f t="shared" si="492"/>
        <v>0</v>
      </c>
      <c r="R292" s="604">
        <f t="shared" si="538"/>
        <v>0</v>
      </c>
      <c r="S292" s="44">
        <f t="shared" si="539"/>
        <v>0</v>
      </c>
      <c r="T292" s="44">
        <f t="shared" si="540"/>
        <v>0</v>
      </c>
      <c r="U292" s="44">
        <f t="shared" si="541"/>
        <v>0</v>
      </c>
      <c r="V292" s="44">
        <f t="shared" si="542"/>
        <v>0</v>
      </c>
      <c r="W292" s="44">
        <f t="shared" si="543"/>
        <v>0</v>
      </c>
      <c r="X292" s="44">
        <f t="shared" si="493"/>
        <v>0</v>
      </c>
      <c r="Y292" s="44">
        <f t="shared" si="544"/>
        <v>0</v>
      </c>
      <c r="Z292" s="44">
        <f t="shared" si="494"/>
        <v>0</v>
      </c>
      <c r="AA292" s="44">
        <f t="shared" si="545"/>
        <v>0</v>
      </c>
      <c r="AB292" s="44">
        <f t="shared" si="495"/>
        <v>0</v>
      </c>
      <c r="AC292" s="46">
        <f t="shared" si="496"/>
        <v>0</v>
      </c>
      <c r="AD292" s="47">
        <f t="shared" si="497"/>
        <v>0</v>
      </c>
      <c r="AE292" s="604">
        <f t="shared" si="546"/>
        <v>0</v>
      </c>
      <c r="AF292" s="44">
        <f t="shared" si="547"/>
        <v>0</v>
      </c>
      <c r="AG292" s="44">
        <f t="shared" si="548"/>
        <v>0</v>
      </c>
      <c r="AH292" s="44">
        <f t="shared" si="549"/>
        <v>0</v>
      </c>
      <c r="AI292" s="44">
        <f t="shared" si="550"/>
        <v>0</v>
      </c>
      <c r="AJ292" s="44">
        <f t="shared" si="551"/>
        <v>0</v>
      </c>
      <c r="AK292" s="44">
        <f t="shared" si="498"/>
        <v>0</v>
      </c>
      <c r="AL292" s="44">
        <f t="shared" si="552"/>
        <v>0</v>
      </c>
      <c r="AM292" s="44">
        <f t="shared" si="499"/>
        <v>0</v>
      </c>
      <c r="AN292" s="44">
        <f t="shared" si="553"/>
        <v>0</v>
      </c>
      <c r="AO292" s="44">
        <f t="shared" si="500"/>
        <v>0</v>
      </c>
      <c r="AP292" s="46">
        <f t="shared" si="501"/>
        <v>0</v>
      </c>
      <c r="AQ292" s="47">
        <f t="shared" si="502"/>
        <v>0</v>
      </c>
      <c r="AR292" s="604">
        <f t="shared" si="554"/>
        <v>0</v>
      </c>
      <c r="AS292" s="44">
        <f t="shared" si="555"/>
        <v>0</v>
      </c>
      <c r="AT292" s="44">
        <f t="shared" si="556"/>
        <v>0</v>
      </c>
      <c r="AU292" s="44">
        <f t="shared" si="557"/>
        <v>0</v>
      </c>
      <c r="AV292" s="44">
        <f t="shared" si="558"/>
        <v>0</v>
      </c>
      <c r="AW292" s="44">
        <f t="shared" si="559"/>
        <v>0</v>
      </c>
      <c r="AX292" s="44">
        <f t="shared" si="503"/>
        <v>0</v>
      </c>
      <c r="AY292" s="44">
        <f t="shared" si="560"/>
        <v>0</v>
      </c>
      <c r="AZ292" s="44">
        <f t="shared" si="504"/>
        <v>0</v>
      </c>
      <c r="BA292" s="44">
        <f t="shared" si="561"/>
        <v>0</v>
      </c>
      <c r="BB292" s="44">
        <f t="shared" si="505"/>
        <v>0</v>
      </c>
      <c r="BC292" s="46">
        <f t="shared" si="506"/>
        <v>0</v>
      </c>
      <c r="BD292" s="47">
        <f t="shared" si="507"/>
        <v>0</v>
      </c>
      <c r="BE292" s="604">
        <f t="shared" si="562"/>
        <v>0</v>
      </c>
      <c r="BF292" s="44">
        <f t="shared" si="563"/>
        <v>0</v>
      </c>
      <c r="BG292" s="44">
        <f t="shared" si="564"/>
        <v>0</v>
      </c>
      <c r="BH292" s="44">
        <f t="shared" si="565"/>
        <v>0</v>
      </c>
      <c r="BI292" s="44">
        <f t="shared" si="566"/>
        <v>0</v>
      </c>
      <c r="BJ292" s="44">
        <f t="shared" si="567"/>
        <v>0</v>
      </c>
      <c r="BK292" s="44">
        <f t="shared" si="508"/>
        <v>0</v>
      </c>
      <c r="BL292" s="44">
        <f t="shared" si="568"/>
        <v>0</v>
      </c>
      <c r="BM292" s="44">
        <f t="shared" si="509"/>
        <v>0</v>
      </c>
      <c r="BN292" s="44">
        <f t="shared" si="569"/>
        <v>0</v>
      </c>
      <c r="BO292" s="44">
        <f t="shared" si="510"/>
        <v>0</v>
      </c>
      <c r="BP292" s="46">
        <f t="shared" si="511"/>
        <v>0</v>
      </c>
      <c r="BQ292" s="47">
        <f t="shared" si="512"/>
        <v>0</v>
      </c>
      <c r="BR292" s="604">
        <f t="shared" si="570"/>
        <v>0</v>
      </c>
      <c r="BS292" s="44">
        <f t="shared" si="571"/>
        <v>0</v>
      </c>
      <c r="BT292" s="44">
        <f t="shared" si="572"/>
        <v>0</v>
      </c>
      <c r="BU292" s="44">
        <f t="shared" si="573"/>
        <v>0</v>
      </c>
      <c r="BV292" s="44">
        <f t="shared" si="574"/>
        <v>0</v>
      </c>
      <c r="BW292" s="44">
        <f t="shared" si="575"/>
        <v>0</v>
      </c>
      <c r="BX292" s="44">
        <f t="shared" si="513"/>
        <v>0</v>
      </c>
      <c r="BY292" s="44">
        <f t="shared" si="576"/>
        <v>0</v>
      </c>
      <c r="BZ292" s="44">
        <f t="shared" si="514"/>
        <v>0</v>
      </c>
      <c r="CA292" s="44">
        <f t="shared" si="577"/>
        <v>0</v>
      </c>
      <c r="CB292" s="44">
        <f t="shared" si="515"/>
        <v>0</v>
      </c>
      <c r="CC292" s="46">
        <f t="shared" si="516"/>
        <v>0</v>
      </c>
      <c r="CD292" s="47">
        <f t="shared" si="517"/>
        <v>0</v>
      </c>
      <c r="CE292" s="604">
        <f t="shared" si="578"/>
        <v>0</v>
      </c>
      <c r="CF292" s="44">
        <f t="shared" si="579"/>
        <v>0</v>
      </c>
      <c r="CG292" s="44">
        <f t="shared" si="580"/>
        <v>0</v>
      </c>
      <c r="CH292" s="44">
        <f t="shared" si="581"/>
        <v>0</v>
      </c>
      <c r="CI292" s="44">
        <f t="shared" si="582"/>
        <v>0</v>
      </c>
      <c r="CJ292" s="44">
        <f t="shared" si="583"/>
        <v>0</v>
      </c>
      <c r="CK292" s="44">
        <f t="shared" si="518"/>
        <v>0</v>
      </c>
      <c r="CL292" s="44">
        <f t="shared" si="584"/>
        <v>0</v>
      </c>
      <c r="CM292" s="44">
        <f t="shared" si="519"/>
        <v>0</v>
      </c>
      <c r="CN292" s="44">
        <f t="shared" si="585"/>
        <v>0</v>
      </c>
      <c r="CO292" s="44">
        <f t="shared" si="520"/>
        <v>0</v>
      </c>
      <c r="CP292" s="46">
        <f t="shared" si="521"/>
        <v>0</v>
      </c>
      <c r="CQ292" s="47">
        <f t="shared" si="522"/>
        <v>0</v>
      </c>
      <c r="CR292" s="604">
        <f t="shared" si="586"/>
        <v>0</v>
      </c>
      <c r="CS292" s="44">
        <f t="shared" si="587"/>
        <v>0</v>
      </c>
      <c r="CT292" s="44">
        <f t="shared" si="588"/>
        <v>0</v>
      </c>
      <c r="CU292" s="44">
        <f t="shared" si="589"/>
        <v>0</v>
      </c>
      <c r="CV292" s="44">
        <f t="shared" si="590"/>
        <v>0</v>
      </c>
      <c r="CW292" s="44">
        <f t="shared" si="591"/>
        <v>0</v>
      </c>
      <c r="CX292" s="44">
        <f t="shared" si="523"/>
        <v>0</v>
      </c>
      <c r="CY292" s="44">
        <f t="shared" si="592"/>
        <v>0</v>
      </c>
      <c r="CZ292" s="44">
        <f t="shared" si="524"/>
        <v>0</v>
      </c>
      <c r="DA292" s="44">
        <f t="shared" si="593"/>
        <v>0</v>
      </c>
      <c r="DB292" s="44">
        <f t="shared" si="525"/>
        <v>0</v>
      </c>
      <c r="DC292" s="46">
        <f t="shared" si="526"/>
        <v>0</v>
      </c>
      <c r="DD292" s="47">
        <f t="shared" si="527"/>
        <v>0</v>
      </c>
      <c r="DE292" s="604">
        <f t="shared" si="594"/>
        <v>0</v>
      </c>
      <c r="DF292" s="44">
        <f t="shared" si="595"/>
        <v>0</v>
      </c>
      <c r="DG292" s="44">
        <f t="shared" si="596"/>
        <v>0</v>
      </c>
      <c r="DH292" s="44">
        <f t="shared" si="597"/>
        <v>0</v>
      </c>
      <c r="DI292" s="44">
        <f t="shared" si="598"/>
        <v>0</v>
      </c>
      <c r="DJ292" s="44">
        <f t="shared" si="599"/>
        <v>0</v>
      </c>
      <c r="DK292" s="44">
        <f t="shared" si="528"/>
        <v>0</v>
      </c>
      <c r="DL292" s="44">
        <f t="shared" si="600"/>
        <v>0</v>
      </c>
      <c r="DM292" s="44">
        <f t="shared" si="529"/>
        <v>0</v>
      </c>
      <c r="DN292" s="44">
        <f t="shared" si="601"/>
        <v>0</v>
      </c>
      <c r="DO292" s="44">
        <f t="shared" si="530"/>
        <v>0</v>
      </c>
      <c r="DP292" s="46">
        <f t="shared" si="531"/>
        <v>0</v>
      </c>
      <c r="DQ292" s="47">
        <f t="shared" si="532"/>
        <v>0</v>
      </c>
      <c r="DR292" s="604">
        <f t="shared" si="602"/>
        <v>0</v>
      </c>
      <c r="DS292" s="44">
        <f t="shared" si="603"/>
        <v>0</v>
      </c>
      <c r="DT292" s="44">
        <f t="shared" si="604"/>
        <v>0</v>
      </c>
      <c r="DU292" s="44">
        <f t="shared" si="605"/>
        <v>0</v>
      </c>
      <c r="DV292" s="44">
        <f t="shared" si="606"/>
        <v>0</v>
      </c>
      <c r="DW292" s="44">
        <f t="shared" si="607"/>
        <v>0</v>
      </c>
      <c r="DX292" s="44">
        <f t="shared" si="533"/>
        <v>0</v>
      </c>
      <c r="DY292" s="44">
        <f t="shared" si="608"/>
        <v>0</v>
      </c>
      <c r="DZ292" s="44">
        <f t="shared" si="534"/>
        <v>0</v>
      </c>
      <c r="EA292" s="44">
        <f t="shared" si="609"/>
        <v>0</v>
      </c>
      <c r="EB292" s="44">
        <f t="shared" si="535"/>
        <v>0</v>
      </c>
      <c r="EC292" s="46">
        <f t="shared" si="536"/>
        <v>0</v>
      </c>
      <c r="ED292" s="47">
        <f t="shared" si="537"/>
        <v>0</v>
      </c>
    </row>
    <row r="293" spans="1:134" x14ac:dyDescent="0.35">
      <c r="A293" s="172"/>
      <c r="B293" s="173"/>
      <c r="C293" s="174"/>
      <c r="D293" s="175"/>
      <c r="E293" s="176"/>
      <c r="F293" s="177"/>
      <c r="G293" s="178"/>
      <c r="H293" s="179"/>
      <c r="I293" s="180"/>
      <c r="J293" s="181"/>
      <c r="K293" s="42">
        <f t="shared" si="488"/>
        <v>0</v>
      </c>
      <c r="L293" s="43">
        <f t="shared" si="489"/>
        <v>0</v>
      </c>
      <c r="M293" s="44">
        <f t="shared" si="490"/>
        <v>0</v>
      </c>
      <c r="N293" s="44"/>
      <c r="O293" s="44">
        <f t="shared" si="491"/>
        <v>0</v>
      </c>
      <c r="P293" s="45"/>
      <c r="Q293" s="44">
        <f t="shared" si="492"/>
        <v>0</v>
      </c>
      <c r="R293" s="604">
        <f t="shared" si="538"/>
        <v>0</v>
      </c>
      <c r="S293" s="44">
        <f t="shared" si="539"/>
        <v>0</v>
      </c>
      <c r="T293" s="44">
        <f t="shared" si="540"/>
        <v>0</v>
      </c>
      <c r="U293" s="44">
        <f t="shared" si="541"/>
        <v>0</v>
      </c>
      <c r="V293" s="44">
        <f t="shared" si="542"/>
        <v>0</v>
      </c>
      <c r="W293" s="44">
        <f t="shared" si="543"/>
        <v>0</v>
      </c>
      <c r="X293" s="44">
        <f t="shared" si="493"/>
        <v>0</v>
      </c>
      <c r="Y293" s="44">
        <f t="shared" si="544"/>
        <v>0</v>
      </c>
      <c r="Z293" s="44">
        <f t="shared" si="494"/>
        <v>0</v>
      </c>
      <c r="AA293" s="44">
        <f t="shared" si="545"/>
        <v>0</v>
      </c>
      <c r="AB293" s="44">
        <f t="shared" si="495"/>
        <v>0</v>
      </c>
      <c r="AC293" s="46">
        <f t="shared" si="496"/>
        <v>0</v>
      </c>
      <c r="AD293" s="47">
        <f t="shared" si="497"/>
        <v>0</v>
      </c>
      <c r="AE293" s="604">
        <f t="shared" si="546"/>
        <v>0</v>
      </c>
      <c r="AF293" s="44">
        <f t="shared" si="547"/>
        <v>0</v>
      </c>
      <c r="AG293" s="44">
        <f t="shared" si="548"/>
        <v>0</v>
      </c>
      <c r="AH293" s="44">
        <f t="shared" si="549"/>
        <v>0</v>
      </c>
      <c r="AI293" s="44">
        <f t="shared" si="550"/>
        <v>0</v>
      </c>
      <c r="AJ293" s="44">
        <f t="shared" si="551"/>
        <v>0</v>
      </c>
      <c r="AK293" s="44">
        <f t="shared" si="498"/>
        <v>0</v>
      </c>
      <c r="AL293" s="44">
        <f t="shared" si="552"/>
        <v>0</v>
      </c>
      <c r="AM293" s="44">
        <f t="shared" si="499"/>
        <v>0</v>
      </c>
      <c r="AN293" s="44">
        <f t="shared" si="553"/>
        <v>0</v>
      </c>
      <c r="AO293" s="44">
        <f t="shared" si="500"/>
        <v>0</v>
      </c>
      <c r="AP293" s="46">
        <f t="shared" si="501"/>
        <v>0</v>
      </c>
      <c r="AQ293" s="47">
        <f t="shared" si="502"/>
        <v>0</v>
      </c>
      <c r="AR293" s="604">
        <f t="shared" si="554"/>
        <v>0</v>
      </c>
      <c r="AS293" s="44">
        <f t="shared" si="555"/>
        <v>0</v>
      </c>
      <c r="AT293" s="44">
        <f t="shared" si="556"/>
        <v>0</v>
      </c>
      <c r="AU293" s="44">
        <f t="shared" si="557"/>
        <v>0</v>
      </c>
      <c r="AV293" s="44">
        <f t="shared" si="558"/>
        <v>0</v>
      </c>
      <c r="AW293" s="44">
        <f t="shared" si="559"/>
        <v>0</v>
      </c>
      <c r="AX293" s="44">
        <f t="shared" si="503"/>
        <v>0</v>
      </c>
      <c r="AY293" s="44">
        <f t="shared" si="560"/>
        <v>0</v>
      </c>
      <c r="AZ293" s="44">
        <f t="shared" si="504"/>
        <v>0</v>
      </c>
      <c r="BA293" s="44">
        <f t="shared" si="561"/>
        <v>0</v>
      </c>
      <c r="BB293" s="44">
        <f t="shared" si="505"/>
        <v>0</v>
      </c>
      <c r="BC293" s="46">
        <f t="shared" si="506"/>
        <v>0</v>
      </c>
      <c r="BD293" s="47">
        <f t="shared" si="507"/>
        <v>0</v>
      </c>
      <c r="BE293" s="604">
        <f t="shared" si="562"/>
        <v>0</v>
      </c>
      <c r="BF293" s="44">
        <f t="shared" si="563"/>
        <v>0</v>
      </c>
      <c r="BG293" s="44">
        <f t="shared" si="564"/>
        <v>0</v>
      </c>
      <c r="BH293" s="44">
        <f t="shared" si="565"/>
        <v>0</v>
      </c>
      <c r="BI293" s="44">
        <f t="shared" si="566"/>
        <v>0</v>
      </c>
      <c r="BJ293" s="44">
        <f t="shared" si="567"/>
        <v>0</v>
      </c>
      <c r="BK293" s="44">
        <f t="shared" si="508"/>
        <v>0</v>
      </c>
      <c r="BL293" s="44">
        <f t="shared" si="568"/>
        <v>0</v>
      </c>
      <c r="BM293" s="44">
        <f t="shared" si="509"/>
        <v>0</v>
      </c>
      <c r="BN293" s="44">
        <f t="shared" si="569"/>
        <v>0</v>
      </c>
      <c r="BO293" s="44">
        <f t="shared" si="510"/>
        <v>0</v>
      </c>
      <c r="BP293" s="46">
        <f t="shared" si="511"/>
        <v>0</v>
      </c>
      <c r="BQ293" s="47">
        <f t="shared" si="512"/>
        <v>0</v>
      </c>
      <c r="BR293" s="604">
        <f t="shared" si="570"/>
        <v>0</v>
      </c>
      <c r="BS293" s="44">
        <f t="shared" si="571"/>
        <v>0</v>
      </c>
      <c r="BT293" s="44">
        <f t="shared" si="572"/>
        <v>0</v>
      </c>
      <c r="BU293" s="44">
        <f t="shared" si="573"/>
        <v>0</v>
      </c>
      <c r="BV293" s="44">
        <f t="shared" si="574"/>
        <v>0</v>
      </c>
      <c r="BW293" s="44">
        <f t="shared" si="575"/>
        <v>0</v>
      </c>
      <c r="BX293" s="44">
        <f t="shared" si="513"/>
        <v>0</v>
      </c>
      <c r="BY293" s="44">
        <f t="shared" si="576"/>
        <v>0</v>
      </c>
      <c r="BZ293" s="44">
        <f t="shared" si="514"/>
        <v>0</v>
      </c>
      <c r="CA293" s="44">
        <f t="shared" si="577"/>
        <v>0</v>
      </c>
      <c r="CB293" s="44">
        <f t="shared" si="515"/>
        <v>0</v>
      </c>
      <c r="CC293" s="46">
        <f t="shared" si="516"/>
        <v>0</v>
      </c>
      <c r="CD293" s="47">
        <f t="shared" si="517"/>
        <v>0</v>
      </c>
      <c r="CE293" s="604">
        <f t="shared" si="578"/>
        <v>0</v>
      </c>
      <c r="CF293" s="44">
        <f t="shared" si="579"/>
        <v>0</v>
      </c>
      <c r="CG293" s="44">
        <f t="shared" si="580"/>
        <v>0</v>
      </c>
      <c r="CH293" s="44">
        <f t="shared" si="581"/>
        <v>0</v>
      </c>
      <c r="CI293" s="44">
        <f t="shared" si="582"/>
        <v>0</v>
      </c>
      <c r="CJ293" s="44">
        <f t="shared" si="583"/>
        <v>0</v>
      </c>
      <c r="CK293" s="44">
        <f t="shared" si="518"/>
        <v>0</v>
      </c>
      <c r="CL293" s="44">
        <f t="shared" si="584"/>
        <v>0</v>
      </c>
      <c r="CM293" s="44">
        <f t="shared" si="519"/>
        <v>0</v>
      </c>
      <c r="CN293" s="44">
        <f t="shared" si="585"/>
        <v>0</v>
      </c>
      <c r="CO293" s="44">
        <f t="shared" si="520"/>
        <v>0</v>
      </c>
      <c r="CP293" s="46">
        <f t="shared" si="521"/>
        <v>0</v>
      </c>
      <c r="CQ293" s="47">
        <f t="shared" si="522"/>
        <v>0</v>
      </c>
      <c r="CR293" s="604">
        <f t="shared" si="586"/>
        <v>0</v>
      </c>
      <c r="CS293" s="44">
        <f t="shared" si="587"/>
        <v>0</v>
      </c>
      <c r="CT293" s="44">
        <f t="shared" si="588"/>
        <v>0</v>
      </c>
      <c r="CU293" s="44">
        <f t="shared" si="589"/>
        <v>0</v>
      </c>
      <c r="CV293" s="44">
        <f t="shared" si="590"/>
        <v>0</v>
      </c>
      <c r="CW293" s="44">
        <f t="shared" si="591"/>
        <v>0</v>
      </c>
      <c r="CX293" s="44">
        <f t="shared" si="523"/>
        <v>0</v>
      </c>
      <c r="CY293" s="44">
        <f t="shared" si="592"/>
        <v>0</v>
      </c>
      <c r="CZ293" s="44">
        <f t="shared" si="524"/>
        <v>0</v>
      </c>
      <c r="DA293" s="44">
        <f t="shared" si="593"/>
        <v>0</v>
      </c>
      <c r="DB293" s="44">
        <f t="shared" si="525"/>
        <v>0</v>
      </c>
      <c r="DC293" s="46">
        <f t="shared" si="526"/>
        <v>0</v>
      </c>
      <c r="DD293" s="47">
        <f t="shared" si="527"/>
        <v>0</v>
      </c>
      <c r="DE293" s="604">
        <f t="shared" si="594"/>
        <v>0</v>
      </c>
      <c r="DF293" s="44">
        <f t="shared" si="595"/>
        <v>0</v>
      </c>
      <c r="DG293" s="44">
        <f t="shared" si="596"/>
        <v>0</v>
      </c>
      <c r="DH293" s="44">
        <f t="shared" si="597"/>
        <v>0</v>
      </c>
      <c r="DI293" s="44">
        <f t="shared" si="598"/>
        <v>0</v>
      </c>
      <c r="DJ293" s="44">
        <f t="shared" si="599"/>
        <v>0</v>
      </c>
      <c r="DK293" s="44">
        <f t="shared" si="528"/>
        <v>0</v>
      </c>
      <c r="DL293" s="44">
        <f t="shared" si="600"/>
        <v>0</v>
      </c>
      <c r="DM293" s="44">
        <f t="shared" si="529"/>
        <v>0</v>
      </c>
      <c r="DN293" s="44">
        <f t="shared" si="601"/>
        <v>0</v>
      </c>
      <c r="DO293" s="44">
        <f t="shared" si="530"/>
        <v>0</v>
      </c>
      <c r="DP293" s="46">
        <f t="shared" si="531"/>
        <v>0</v>
      </c>
      <c r="DQ293" s="47">
        <f t="shared" si="532"/>
        <v>0</v>
      </c>
      <c r="DR293" s="604">
        <f t="shared" si="602"/>
        <v>0</v>
      </c>
      <c r="DS293" s="44">
        <f t="shared" si="603"/>
        <v>0</v>
      </c>
      <c r="DT293" s="44">
        <f t="shared" si="604"/>
        <v>0</v>
      </c>
      <c r="DU293" s="44">
        <f t="shared" si="605"/>
        <v>0</v>
      </c>
      <c r="DV293" s="44">
        <f t="shared" si="606"/>
        <v>0</v>
      </c>
      <c r="DW293" s="44">
        <f t="shared" si="607"/>
        <v>0</v>
      </c>
      <c r="DX293" s="44">
        <f t="shared" si="533"/>
        <v>0</v>
      </c>
      <c r="DY293" s="44">
        <f t="shared" si="608"/>
        <v>0</v>
      </c>
      <c r="DZ293" s="44">
        <f t="shared" si="534"/>
        <v>0</v>
      </c>
      <c r="EA293" s="44">
        <f t="shared" si="609"/>
        <v>0</v>
      </c>
      <c r="EB293" s="44">
        <f t="shared" si="535"/>
        <v>0</v>
      </c>
      <c r="EC293" s="46">
        <f t="shared" si="536"/>
        <v>0</v>
      </c>
      <c r="ED293" s="47">
        <f t="shared" si="537"/>
        <v>0</v>
      </c>
    </row>
    <row r="294" spans="1:134" x14ac:dyDescent="0.35">
      <c r="A294" s="172"/>
      <c r="B294" s="173"/>
      <c r="C294" s="174"/>
      <c r="D294" s="175"/>
      <c r="E294" s="176"/>
      <c r="F294" s="177"/>
      <c r="G294" s="178"/>
      <c r="H294" s="179"/>
      <c r="I294" s="180"/>
      <c r="J294" s="181"/>
      <c r="K294" s="42">
        <f t="shared" si="488"/>
        <v>0</v>
      </c>
      <c r="L294" s="43">
        <f t="shared" si="489"/>
        <v>0</v>
      </c>
      <c r="M294" s="44">
        <f t="shared" si="490"/>
        <v>0</v>
      </c>
      <c r="N294" s="44"/>
      <c r="O294" s="44">
        <f t="shared" si="491"/>
        <v>0</v>
      </c>
      <c r="P294" s="45"/>
      <c r="Q294" s="44">
        <f t="shared" si="492"/>
        <v>0</v>
      </c>
      <c r="R294" s="604">
        <f t="shared" si="538"/>
        <v>0</v>
      </c>
      <c r="S294" s="44">
        <f t="shared" si="539"/>
        <v>0</v>
      </c>
      <c r="T294" s="44">
        <f t="shared" si="540"/>
        <v>0</v>
      </c>
      <c r="U294" s="44">
        <f t="shared" si="541"/>
        <v>0</v>
      </c>
      <c r="V294" s="44">
        <f t="shared" si="542"/>
        <v>0</v>
      </c>
      <c r="W294" s="44">
        <f t="shared" si="543"/>
        <v>0</v>
      </c>
      <c r="X294" s="44">
        <f t="shared" si="493"/>
        <v>0</v>
      </c>
      <c r="Y294" s="44">
        <f t="shared" si="544"/>
        <v>0</v>
      </c>
      <c r="Z294" s="44">
        <f t="shared" si="494"/>
        <v>0</v>
      </c>
      <c r="AA294" s="44">
        <f t="shared" si="545"/>
        <v>0</v>
      </c>
      <c r="AB294" s="44">
        <f t="shared" si="495"/>
        <v>0</v>
      </c>
      <c r="AC294" s="46">
        <f t="shared" si="496"/>
        <v>0</v>
      </c>
      <c r="AD294" s="47">
        <f t="shared" si="497"/>
        <v>0</v>
      </c>
      <c r="AE294" s="604">
        <f t="shared" si="546"/>
        <v>0</v>
      </c>
      <c r="AF294" s="44">
        <f t="shared" si="547"/>
        <v>0</v>
      </c>
      <c r="AG294" s="44">
        <f t="shared" si="548"/>
        <v>0</v>
      </c>
      <c r="AH294" s="44">
        <f t="shared" si="549"/>
        <v>0</v>
      </c>
      <c r="AI294" s="44">
        <f t="shared" si="550"/>
        <v>0</v>
      </c>
      <c r="AJ294" s="44">
        <f t="shared" si="551"/>
        <v>0</v>
      </c>
      <c r="AK294" s="44">
        <f t="shared" si="498"/>
        <v>0</v>
      </c>
      <c r="AL294" s="44">
        <f t="shared" si="552"/>
        <v>0</v>
      </c>
      <c r="AM294" s="44">
        <f t="shared" si="499"/>
        <v>0</v>
      </c>
      <c r="AN294" s="44">
        <f t="shared" si="553"/>
        <v>0</v>
      </c>
      <c r="AO294" s="44">
        <f t="shared" si="500"/>
        <v>0</v>
      </c>
      <c r="AP294" s="46">
        <f t="shared" si="501"/>
        <v>0</v>
      </c>
      <c r="AQ294" s="47">
        <f t="shared" si="502"/>
        <v>0</v>
      </c>
      <c r="AR294" s="604">
        <f t="shared" si="554"/>
        <v>0</v>
      </c>
      <c r="AS294" s="44">
        <f t="shared" si="555"/>
        <v>0</v>
      </c>
      <c r="AT294" s="44">
        <f t="shared" si="556"/>
        <v>0</v>
      </c>
      <c r="AU294" s="44">
        <f t="shared" si="557"/>
        <v>0</v>
      </c>
      <c r="AV294" s="44">
        <f t="shared" si="558"/>
        <v>0</v>
      </c>
      <c r="AW294" s="44">
        <f t="shared" si="559"/>
        <v>0</v>
      </c>
      <c r="AX294" s="44">
        <f t="shared" si="503"/>
        <v>0</v>
      </c>
      <c r="AY294" s="44">
        <f t="shared" si="560"/>
        <v>0</v>
      </c>
      <c r="AZ294" s="44">
        <f t="shared" si="504"/>
        <v>0</v>
      </c>
      <c r="BA294" s="44">
        <f t="shared" si="561"/>
        <v>0</v>
      </c>
      <c r="BB294" s="44">
        <f t="shared" si="505"/>
        <v>0</v>
      </c>
      <c r="BC294" s="46">
        <f t="shared" si="506"/>
        <v>0</v>
      </c>
      <c r="BD294" s="47">
        <f t="shared" si="507"/>
        <v>0</v>
      </c>
      <c r="BE294" s="604">
        <f t="shared" si="562"/>
        <v>0</v>
      </c>
      <c r="BF294" s="44">
        <f t="shared" si="563"/>
        <v>0</v>
      </c>
      <c r="BG294" s="44">
        <f t="shared" si="564"/>
        <v>0</v>
      </c>
      <c r="BH294" s="44">
        <f t="shared" si="565"/>
        <v>0</v>
      </c>
      <c r="BI294" s="44">
        <f t="shared" si="566"/>
        <v>0</v>
      </c>
      <c r="BJ294" s="44">
        <f t="shared" si="567"/>
        <v>0</v>
      </c>
      <c r="BK294" s="44">
        <f t="shared" si="508"/>
        <v>0</v>
      </c>
      <c r="BL294" s="44">
        <f t="shared" si="568"/>
        <v>0</v>
      </c>
      <c r="BM294" s="44">
        <f t="shared" si="509"/>
        <v>0</v>
      </c>
      <c r="BN294" s="44">
        <f t="shared" si="569"/>
        <v>0</v>
      </c>
      <c r="BO294" s="44">
        <f t="shared" si="510"/>
        <v>0</v>
      </c>
      <c r="BP294" s="46">
        <f t="shared" si="511"/>
        <v>0</v>
      </c>
      <c r="BQ294" s="47">
        <f t="shared" si="512"/>
        <v>0</v>
      </c>
      <c r="BR294" s="604">
        <f t="shared" si="570"/>
        <v>0</v>
      </c>
      <c r="BS294" s="44">
        <f t="shared" si="571"/>
        <v>0</v>
      </c>
      <c r="BT294" s="44">
        <f t="shared" si="572"/>
        <v>0</v>
      </c>
      <c r="BU294" s="44">
        <f t="shared" si="573"/>
        <v>0</v>
      </c>
      <c r="BV294" s="44">
        <f t="shared" si="574"/>
        <v>0</v>
      </c>
      <c r="BW294" s="44">
        <f t="shared" si="575"/>
        <v>0</v>
      </c>
      <c r="BX294" s="44">
        <f t="shared" si="513"/>
        <v>0</v>
      </c>
      <c r="BY294" s="44">
        <f t="shared" si="576"/>
        <v>0</v>
      </c>
      <c r="BZ294" s="44">
        <f t="shared" si="514"/>
        <v>0</v>
      </c>
      <c r="CA294" s="44">
        <f t="shared" si="577"/>
        <v>0</v>
      </c>
      <c r="CB294" s="44">
        <f t="shared" si="515"/>
        <v>0</v>
      </c>
      <c r="CC294" s="46">
        <f t="shared" si="516"/>
        <v>0</v>
      </c>
      <c r="CD294" s="47">
        <f t="shared" si="517"/>
        <v>0</v>
      </c>
      <c r="CE294" s="604">
        <f t="shared" si="578"/>
        <v>0</v>
      </c>
      <c r="CF294" s="44">
        <f t="shared" si="579"/>
        <v>0</v>
      </c>
      <c r="CG294" s="44">
        <f t="shared" si="580"/>
        <v>0</v>
      </c>
      <c r="CH294" s="44">
        <f t="shared" si="581"/>
        <v>0</v>
      </c>
      <c r="CI294" s="44">
        <f t="shared" si="582"/>
        <v>0</v>
      </c>
      <c r="CJ294" s="44">
        <f t="shared" si="583"/>
        <v>0</v>
      </c>
      <c r="CK294" s="44">
        <f t="shared" si="518"/>
        <v>0</v>
      </c>
      <c r="CL294" s="44">
        <f t="shared" si="584"/>
        <v>0</v>
      </c>
      <c r="CM294" s="44">
        <f t="shared" si="519"/>
        <v>0</v>
      </c>
      <c r="CN294" s="44">
        <f t="shared" si="585"/>
        <v>0</v>
      </c>
      <c r="CO294" s="44">
        <f t="shared" si="520"/>
        <v>0</v>
      </c>
      <c r="CP294" s="46">
        <f t="shared" si="521"/>
        <v>0</v>
      </c>
      <c r="CQ294" s="47">
        <f t="shared" si="522"/>
        <v>0</v>
      </c>
      <c r="CR294" s="604">
        <f t="shared" si="586"/>
        <v>0</v>
      </c>
      <c r="CS294" s="44">
        <f t="shared" si="587"/>
        <v>0</v>
      </c>
      <c r="CT294" s="44">
        <f t="shared" si="588"/>
        <v>0</v>
      </c>
      <c r="CU294" s="44">
        <f t="shared" si="589"/>
        <v>0</v>
      </c>
      <c r="CV294" s="44">
        <f t="shared" si="590"/>
        <v>0</v>
      </c>
      <c r="CW294" s="44">
        <f t="shared" si="591"/>
        <v>0</v>
      </c>
      <c r="CX294" s="44">
        <f t="shared" si="523"/>
        <v>0</v>
      </c>
      <c r="CY294" s="44">
        <f t="shared" si="592"/>
        <v>0</v>
      </c>
      <c r="CZ294" s="44">
        <f t="shared" si="524"/>
        <v>0</v>
      </c>
      <c r="DA294" s="44">
        <f t="shared" si="593"/>
        <v>0</v>
      </c>
      <c r="DB294" s="44">
        <f t="shared" si="525"/>
        <v>0</v>
      </c>
      <c r="DC294" s="46">
        <f t="shared" si="526"/>
        <v>0</v>
      </c>
      <c r="DD294" s="47">
        <f t="shared" si="527"/>
        <v>0</v>
      </c>
      <c r="DE294" s="604">
        <f t="shared" si="594"/>
        <v>0</v>
      </c>
      <c r="DF294" s="44">
        <f t="shared" si="595"/>
        <v>0</v>
      </c>
      <c r="DG294" s="44">
        <f t="shared" si="596"/>
        <v>0</v>
      </c>
      <c r="DH294" s="44">
        <f t="shared" si="597"/>
        <v>0</v>
      </c>
      <c r="DI294" s="44">
        <f t="shared" si="598"/>
        <v>0</v>
      </c>
      <c r="DJ294" s="44">
        <f t="shared" si="599"/>
        <v>0</v>
      </c>
      <c r="DK294" s="44">
        <f t="shared" si="528"/>
        <v>0</v>
      </c>
      <c r="DL294" s="44">
        <f t="shared" si="600"/>
        <v>0</v>
      </c>
      <c r="DM294" s="44">
        <f t="shared" si="529"/>
        <v>0</v>
      </c>
      <c r="DN294" s="44">
        <f t="shared" si="601"/>
        <v>0</v>
      </c>
      <c r="DO294" s="44">
        <f t="shared" si="530"/>
        <v>0</v>
      </c>
      <c r="DP294" s="46">
        <f t="shared" si="531"/>
        <v>0</v>
      </c>
      <c r="DQ294" s="47">
        <f t="shared" si="532"/>
        <v>0</v>
      </c>
      <c r="DR294" s="604">
        <f t="shared" si="602"/>
        <v>0</v>
      </c>
      <c r="DS294" s="44">
        <f t="shared" si="603"/>
        <v>0</v>
      </c>
      <c r="DT294" s="44">
        <f t="shared" si="604"/>
        <v>0</v>
      </c>
      <c r="DU294" s="44">
        <f t="shared" si="605"/>
        <v>0</v>
      </c>
      <c r="DV294" s="44">
        <f t="shared" si="606"/>
        <v>0</v>
      </c>
      <c r="DW294" s="44">
        <f t="shared" si="607"/>
        <v>0</v>
      </c>
      <c r="DX294" s="44">
        <f t="shared" si="533"/>
        <v>0</v>
      </c>
      <c r="DY294" s="44">
        <f t="shared" si="608"/>
        <v>0</v>
      </c>
      <c r="DZ294" s="44">
        <f t="shared" si="534"/>
        <v>0</v>
      </c>
      <c r="EA294" s="44">
        <f t="shared" si="609"/>
        <v>0</v>
      </c>
      <c r="EB294" s="44">
        <f t="shared" si="535"/>
        <v>0</v>
      </c>
      <c r="EC294" s="46">
        <f t="shared" si="536"/>
        <v>0</v>
      </c>
      <c r="ED294" s="47">
        <f t="shared" si="537"/>
        <v>0</v>
      </c>
    </row>
    <row r="295" spans="1:134" x14ac:dyDescent="0.35">
      <c r="A295" s="172"/>
      <c r="B295" s="173"/>
      <c r="C295" s="174"/>
      <c r="D295" s="175"/>
      <c r="E295" s="176"/>
      <c r="F295" s="177"/>
      <c r="G295" s="178"/>
      <c r="H295" s="179"/>
      <c r="I295" s="180"/>
      <c r="J295" s="181"/>
      <c r="K295" s="42">
        <f t="shared" si="488"/>
        <v>0</v>
      </c>
      <c r="L295" s="43">
        <f t="shared" si="489"/>
        <v>0</v>
      </c>
      <c r="M295" s="44">
        <f t="shared" si="490"/>
        <v>0</v>
      </c>
      <c r="N295" s="44"/>
      <c r="O295" s="44">
        <f t="shared" si="491"/>
        <v>0</v>
      </c>
      <c r="P295" s="45"/>
      <c r="Q295" s="44">
        <f t="shared" si="492"/>
        <v>0</v>
      </c>
      <c r="R295" s="604">
        <f t="shared" si="538"/>
        <v>0</v>
      </c>
      <c r="S295" s="44">
        <f t="shared" si="539"/>
        <v>0</v>
      </c>
      <c r="T295" s="44">
        <f t="shared" si="540"/>
        <v>0</v>
      </c>
      <c r="U295" s="44">
        <f t="shared" si="541"/>
        <v>0</v>
      </c>
      <c r="V295" s="44">
        <f t="shared" si="542"/>
        <v>0</v>
      </c>
      <c r="W295" s="44">
        <f t="shared" si="543"/>
        <v>0</v>
      </c>
      <c r="X295" s="44">
        <f t="shared" si="493"/>
        <v>0</v>
      </c>
      <c r="Y295" s="44">
        <f t="shared" si="544"/>
        <v>0</v>
      </c>
      <c r="Z295" s="44">
        <f t="shared" si="494"/>
        <v>0</v>
      </c>
      <c r="AA295" s="44">
        <f t="shared" si="545"/>
        <v>0</v>
      </c>
      <c r="AB295" s="44">
        <f t="shared" si="495"/>
        <v>0</v>
      </c>
      <c r="AC295" s="46">
        <f t="shared" si="496"/>
        <v>0</v>
      </c>
      <c r="AD295" s="47">
        <f t="shared" si="497"/>
        <v>0</v>
      </c>
      <c r="AE295" s="604">
        <f t="shared" si="546"/>
        <v>0</v>
      </c>
      <c r="AF295" s="44">
        <f t="shared" si="547"/>
        <v>0</v>
      </c>
      <c r="AG295" s="44">
        <f t="shared" si="548"/>
        <v>0</v>
      </c>
      <c r="AH295" s="44">
        <f t="shared" si="549"/>
        <v>0</v>
      </c>
      <c r="AI295" s="44">
        <f t="shared" si="550"/>
        <v>0</v>
      </c>
      <c r="AJ295" s="44">
        <f t="shared" si="551"/>
        <v>0</v>
      </c>
      <c r="AK295" s="44">
        <f t="shared" si="498"/>
        <v>0</v>
      </c>
      <c r="AL295" s="44">
        <f t="shared" si="552"/>
        <v>0</v>
      </c>
      <c r="AM295" s="44">
        <f t="shared" si="499"/>
        <v>0</v>
      </c>
      <c r="AN295" s="44">
        <f t="shared" si="553"/>
        <v>0</v>
      </c>
      <c r="AO295" s="44">
        <f t="shared" si="500"/>
        <v>0</v>
      </c>
      <c r="AP295" s="46">
        <f t="shared" si="501"/>
        <v>0</v>
      </c>
      <c r="AQ295" s="47">
        <f t="shared" si="502"/>
        <v>0</v>
      </c>
      <c r="AR295" s="604">
        <f t="shared" si="554"/>
        <v>0</v>
      </c>
      <c r="AS295" s="44">
        <f t="shared" si="555"/>
        <v>0</v>
      </c>
      <c r="AT295" s="44">
        <f t="shared" si="556"/>
        <v>0</v>
      </c>
      <c r="AU295" s="44">
        <f t="shared" si="557"/>
        <v>0</v>
      </c>
      <c r="AV295" s="44">
        <f t="shared" si="558"/>
        <v>0</v>
      </c>
      <c r="AW295" s="44">
        <f t="shared" si="559"/>
        <v>0</v>
      </c>
      <c r="AX295" s="44">
        <f t="shared" si="503"/>
        <v>0</v>
      </c>
      <c r="AY295" s="44">
        <f t="shared" si="560"/>
        <v>0</v>
      </c>
      <c r="AZ295" s="44">
        <f t="shared" si="504"/>
        <v>0</v>
      </c>
      <c r="BA295" s="44">
        <f t="shared" si="561"/>
        <v>0</v>
      </c>
      <c r="BB295" s="44">
        <f t="shared" si="505"/>
        <v>0</v>
      </c>
      <c r="BC295" s="46">
        <f t="shared" si="506"/>
        <v>0</v>
      </c>
      <c r="BD295" s="47">
        <f t="shared" si="507"/>
        <v>0</v>
      </c>
      <c r="BE295" s="604">
        <f t="shared" si="562"/>
        <v>0</v>
      </c>
      <c r="BF295" s="44">
        <f t="shared" si="563"/>
        <v>0</v>
      </c>
      <c r="BG295" s="44">
        <f t="shared" si="564"/>
        <v>0</v>
      </c>
      <c r="BH295" s="44">
        <f t="shared" si="565"/>
        <v>0</v>
      </c>
      <c r="BI295" s="44">
        <f t="shared" si="566"/>
        <v>0</v>
      </c>
      <c r="BJ295" s="44">
        <f t="shared" si="567"/>
        <v>0</v>
      </c>
      <c r="BK295" s="44">
        <f t="shared" si="508"/>
        <v>0</v>
      </c>
      <c r="BL295" s="44">
        <f t="shared" si="568"/>
        <v>0</v>
      </c>
      <c r="BM295" s="44">
        <f t="shared" si="509"/>
        <v>0</v>
      </c>
      <c r="BN295" s="44">
        <f t="shared" si="569"/>
        <v>0</v>
      </c>
      <c r="BO295" s="44">
        <f t="shared" si="510"/>
        <v>0</v>
      </c>
      <c r="BP295" s="46">
        <f t="shared" si="511"/>
        <v>0</v>
      </c>
      <c r="BQ295" s="47">
        <f t="shared" si="512"/>
        <v>0</v>
      </c>
      <c r="BR295" s="604">
        <f t="shared" si="570"/>
        <v>0</v>
      </c>
      <c r="BS295" s="44">
        <f t="shared" si="571"/>
        <v>0</v>
      </c>
      <c r="BT295" s="44">
        <f t="shared" si="572"/>
        <v>0</v>
      </c>
      <c r="BU295" s="44">
        <f t="shared" si="573"/>
        <v>0</v>
      </c>
      <c r="BV295" s="44">
        <f t="shared" si="574"/>
        <v>0</v>
      </c>
      <c r="BW295" s="44">
        <f t="shared" si="575"/>
        <v>0</v>
      </c>
      <c r="BX295" s="44">
        <f t="shared" si="513"/>
        <v>0</v>
      </c>
      <c r="BY295" s="44">
        <f t="shared" si="576"/>
        <v>0</v>
      </c>
      <c r="BZ295" s="44">
        <f t="shared" si="514"/>
        <v>0</v>
      </c>
      <c r="CA295" s="44">
        <f t="shared" si="577"/>
        <v>0</v>
      </c>
      <c r="CB295" s="44">
        <f t="shared" si="515"/>
        <v>0</v>
      </c>
      <c r="CC295" s="46">
        <f t="shared" si="516"/>
        <v>0</v>
      </c>
      <c r="CD295" s="47">
        <f t="shared" si="517"/>
        <v>0</v>
      </c>
      <c r="CE295" s="604">
        <f t="shared" si="578"/>
        <v>0</v>
      </c>
      <c r="CF295" s="44">
        <f t="shared" si="579"/>
        <v>0</v>
      </c>
      <c r="CG295" s="44">
        <f t="shared" si="580"/>
        <v>0</v>
      </c>
      <c r="CH295" s="44">
        <f t="shared" si="581"/>
        <v>0</v>
      </c>
      <c r="CI295" s="44">
        <f t="shared" si="582"/>
        <v>0</v>
      </c>
      <c r="CJ295" s="44">
        <f t="shared" si="583"/>
        <v>0</v>
      </c>
      <c r="CK295" s="44">
        <f t="shared" si="518"/>
        <v>0</v>
      </c>
      <c r="CL295" s="44">
        <f t="shared" si="584"/>
        <v>0</v>
      </c>
      <c r="CM295" s="44">
        <f t="shared" si="519"/>
        <v>0</v>
      </c>
      <c r="CN295" s="44">
        <f t="shared" si="585"/>
        <v>0</v>
      </c>
      <c r="CO295" s="44">
        <f t="shared" si="520"/>
        <v>0</v>
      </c>
      <c r="CP295" s="46">
        <f t="shared" si="521"/>
        <v>0</v>
      </c>
      <c r="CQ295" s="47">
        <f t="shared" si="522"/>
        <v>0</v>
      </c>
      <c r="CR295" s="604">
        <f t="shared" si="586"/>
        <v>0</v>
      </c>
      <c r="CS295" s="44">
        <f t="shared" si="587"/>
        <v>0</v>
      </c>
      <c r="CT295" s="44">
        <f t="shared" si="588"/>
        <v>0</v>
      </c>
      <c r="CU295" s="44">
        <f t="shared" si="589"/>
        <v>0</v>
      </c>
      <c r="CV295" s="44">
        <f t="shared" si="590"/>
        <v>0</v>
      </c>
      <c r="CW295" s="44">
        <f t="shared" si="591"/>
        <v>0</v>
      </c>
      <c r="CX295" s="44">
        <f t="shared" si="523"/>
        <v>0</v>
      </c>
      <c r="CY295" s="44">
        <f t="shared" si="592"/>
        <v>0</v>
      </c>
      <c r="CZ295" s="44">
        <f t="shared" si="524"/>
        <v>0</v>
      </c>
      <c r="DA295" s="44">
        <f t="shared" si="593"/>
        <v>0</v>
      </c>
      <c r="DB295" s="44">
        <f t="shared" si="525"/>
        <v>0</v>
      </c>
      <c r="DC295" s="46">
        <f t="shared" si="526"/>
        <v>0</v>
      </c>
      <c r="DD295" s="47">
        <f t="shared" si="527"/>
        <v>0</v>
      </c>
      <c r="DE295" s="604">
        <f t="shared" si="594"/>
        <v>0</v>
      </c>
      <c r="DF295" s="44">
        <f t="shared" si="595"/>
        <v>0</v>
      </c>
      <c r="DG295" s="44">
        <f t="shared" si="596"/>
        <v>0</v>
      </c>
      <c r="DH295" s="44">
        <f t="shared" si="597"/>
        <v>0</v>
      </c>
      <c r="DI295" s="44">
        <f t="shared" si="598"/>
        <v>0</v>
      </c>
      <c r="DJ295" s="44">
        <f t="shared" si="599"/>
        <v>0</v>
      </c>
      <c r="DK295" s="44">
        <f t="shared" si="528"/>
        <v>0</v>
      </c>
      <c r="DL295" s="44">
        <f t="shared" si="600"/>
        <v>0</v>
      </c>
      <c r="DM295" s="44">
        <f t="shared" si="529"/>
        <v>0</v>
      </c>
      <c r="DN295" s="44">
        <f t="shared" si="601"/>
        <v>0</v>
      </c>
      <c r="DO295" s="44">
        <f t="shared" si="530"/>
        <v>0</v>
      </c>
      <c r="DP295" s="46">
        <f t="shared" si="531"/>
        <v>0</v>
      </c>
      <c r="DQ295" s="47">
        <f t="shared" si="532"/>
        <v>0</v>
      </c>
      <c r="DR295" s="604">
        <f t="shared" si="602"/>
        <v>0</v>
      </c>
      <c r="DS295" s="44">
        <f t="shared" si="603"/>
        <v>0</v>
      </c>
      <c r="DT295" s="44">
        <f t="shared" si="604"/>
        <v>0</v>
      </c>
      <c r="DU295" s="44">
        <f t="shared" si="605"/>
        <v>0</v>
      </c>
      <c r="DV295" s="44">
        <f t="shared" si="606"/>
        <v>0</v>
      </c>
      <c r="DW295" s="44">
        <f t="shared" si="607"/>
        <v>0</v>
      </c>
      <c r="DX295" s="44">
        <f t="shared" si="533"/>
        <v>0</v>
      </c>
      <c r="DY295" s="44">
        <f t="shared" si="608"/>
        <v>0</v>
      </c>
      <c r="DZ295" s="44">
        <f t="shared" si="534"/>
        <v>0</v>
      </c>
      <c r="EA295" s="44">
        <f t="shared" si="609"/>
        <v>0</v>
      </c>
      <c r="EB295" s="44">
        <f t="shared" si="535"/>
        <v>0</v>
      </c>
      <c r="EC295" s="46">
        <f t="shared" si="536"/>
        <v>0</v>
      </c>
      <c r="ED295" s="47">
        <f t="shared" si="537"/>
        <v>0</v>
      </c>
    </row>
    <row r="296" spans="1:134" x14ac:dyDescent="0.35">
      <c r="A296" s="172"/>
      <c r="B296" s="173"/>
      <c r="C296" s="174"/>
      <c r="D296" s="175"/>
      <c r="E296" s="176"/>
      <c r="F296" s="177"/>
      <c r="G296" s="178"/>
      <c r="H296" s="179"/>
      <c r="I296" s="180"/>
      <c r="J296" s="181"/>
      <c r="K296" s="42">
        <f t="shared" si="488"/>
        <v>0</v>
      </c>
      <c r="L296" s="43">
        <f t="shared" si="489"/>
        <v>0</v>
      </c>
      <c r="M296" s="44">
        <f t="shared" si="490"/>
        <v>0</v>
      </c>
      <c r="N296" s="44"/>
      <c r="O296" s="44">
        <f t="shared" si="491"/>
        <v>0</v>
      </c>
      <c r="P296" s="45"/>
      <c r="Q296" s="44">
        <f t="shared" si="492"/>
        <v>0</v>
      </c>
      <c r="R296" s="604">
        <f t="shared" si="538"/>
        <v>0</v>
      </c>
      <c r="S296" s="44">
        <f t="shared" si="539"/>
        <v>0</v>
      </c>
      <c r="T296" s="44">
        <f t="shared" si="540"/>
        <v>0</v>
      </c>
      <c r="U296" s="44">
        <f t="shared" si="541"/>
        <v>0</v>
      </c>
      <c r="V296" s="44">
        <f t="shared" si="542"/>
        <v>0</v>
      </c>
      <c r="W296" s="44">
        <f t="shared" si="543"/>
        <v>0</v>
      </c>
      <c r="X296" s="44">
        <f t="shared" si="493"/>
        <v>0</v>
      </c>
      <c r="Y296" s="44">
        <f t="shared" si="544"/>
        <v>0</v>
      </c>
      <c r="Z296" s="44">
        <f t="shared" si="494"/>
        <v>0</v>
      </c>
      <c r="AA296" s="44">
        <f t="shared" si="545"/>
        <v>0</v>
      </c>
      <c r="AB296" s="44">
        <f t="shared" si="495"/>
        <v>0</v>
      </c>
      <c r="AC296" s="46">
        <f t="shared" si="496"/>
        <v>0</v>
      </c>
      <c r="AD296" s="47">
        <f t="shared" si="497"/>
        <v>0</v>
      </c>
      <c r="AE296" s="604">
        <f t="shared" si="546"/>
        <v>0</v>
      </c>
      <c r="AF296" s="44">
        <f t="shared" si="547"/>
        <v>0</v>
      </c>
      <c r="AG296" s="44">
        <f t="shared" si="548"/>
        <v>0</v>
      </c>
      <c r="AH296" s="44">
        <f t="shared" si="549"/>
        <v>0</v>
      </c>
      <c r="AI296" s="44">
        <f t="shared" si="550"/>
        <v>0</v>
      </c>
      <c r="AJ296" s="44">
        <f t="shared" si="551"/>
        <v>0</v>
      </c>
      <c r="AK296" s="44">
        <f t="shared" si="498"/>
        <v>0</v>
      </c>
      <c r="AL296" s="44">
        <f t="shared" si="552"/>
        <v>0</v>
      </c>
      <c r="AM296" s="44">
        <f t="shared" si="499"/>
        <v>0</v>
      </c>
      <c r="AN296" s="44">
        <f t="shared" si="553"/>
        <v>0</v>
      </c>
      <c r="AO296" s="44">
        <f t="shared" si="500"/>
        <v>0</v>
      </c>
      <c r="AP296" s="46">
        <f t="shared" si="501"/>
        <v>0</v>
      </c>
      <c r="AQ296" s="47">
        <f t="shared" si="502"/>
        <v>0</v>
      </c>
      <c r="AR296" s="604">
        <f t="shared" si="554"/>
        <v>0</v>
      </c>
      <c r="AS296" s="44">
        <f t="shared" si="555"/>
        <v>0</v>
      </c>
      <c r="AT296" s="44">
        <f t="shared" si="556"/>
        <v>0</v>
      </c>
      <c r="AU296" s="44">
        <f t="shared" si="557"/>
        <v>0</v>
      </c>
      <c r="AV296" s="44">
        <f t="shared" si="558"/>
        <v>0</v>
      </c>
      <c r="AW296" s="44">
        <f t="shared" si="559"/>
        <v>0</v>
      </c>
      <c r="AX296" s="44">
        <f t="shared" si="503"/>
        <v>0</v>
      </c>
      <c r="AY296" s="44">
        <f t="shared" si="560"/>
        <v>0</v>
      </c>
      <c r="AZ296" s="44">
        <f t="shared" si="504"/>
        <v>0</v>
      </c>
      <c r="BA296" s="44">
        <f t="shared" si="561"/>
        <v>0</v>
      </c>
      <c r="BB296" s="44">
        <f t="shared" si="505"/>
        <v>0</v>
      </c>
      <c r="BC296" s="46">
        <f t="shared" si="506"/>
        <v>0</v>
      </c>
      <c r="BD296" s="47">
        <f t="shared" si="507"/>
        <v>0</v>
      </c>
      <c r="BE296" s="604">
        <f t="shared" si="562"/>
        <v>0</v>
      </c>
      <c r="BF296" s="44">
        <f t="shared" si="563"/>
        <v>0</v>
      </c>
      <c r="BG296" s="44">
        <f t="shared" si="564"/>
        <v>0</v>
      </c>
      <c r="BH296" s="44">
        <f t="shared" si="565"/>
        <v>0</v>
      </c>
      <c r="BI296" s="44">
        <f t="shared" si="566"/>
        <v>0</v>
      </c>
      <c r="BJ296" s="44">
        <f t="shared" si="567"/>
        <v>0</v>
      </c>
      <c r="BK296" s="44">
        <f t="shared" si="508"/>
        <v>0</v>
      </c>
      <c r="BL296" s="44">
        <f t="shared" si="568"/>
        <v>0</v>
      </c>
      <c r="BM296" s="44">
        <f t="shared" si="509"/>
        <v>0</v>
      </c>
      <c r="BN296" s="44">
        <f t="shared" si="569"/>
        <v>0</v>
      </c>
      <c r="BO296" s="44">
        <f t="shared" si="510"/>
        <v>0</v>
      </c>
      <c r="BP296" s="46">
        <f t="shared" si="511"/>
        <v>0</v>
      </c>
      <c r="BQ296" s="47">
        <f t="shared" si="512"/>
        <v>0</v>
      </c>
      <c r="BR296" s="604">
        <f t="shared" si="570"/>
        <v>0</v>
      </c>
      <c r="BS296" s="44">
        <f t="shared" si="571"/>
        <v>0</v>
      </c>
      <c r="BT296" s="44">
        <f t="shared" si="572"/>
        <v>0</v>
      </c>
      <c r="BU296" s="44">
        <f t="shared" si="573"/>
        <v>0</v>
      </c>
      <c r="BV296" s="44">
        <f t="shared" si="574"/>
        <v>0</v>
      </c>
      <c r="BW296" s="44">
        <f t="shared" si="575"/>
        <v>0</v>
      </c>
      <c r="BX296" s="44">
        <f t="shared" si="513"/>
        <v>0</v>
      </c>
      <c r="BY296" s="44">
        <f t="shared" si="576"/>
        <v>0</v>
      </c>
      <c r="BZ296" s="44">
        <f t="shared" si="514"/>
        <v>0</v>
      </c>
      <c r="CA296" s="44">
        <f t="shared" si="577"/>
        <v>0</v>
      </c>
      <c r="CB296" s="44">
        <f t="shared" si="515"/>
        <v>0</v>
      </c>
      <c r="CC296" s="46">
        <f t="shared" si="516"/>
        <v>0</v>
      </c>
      <c r="CD296" s="47">
        <f t="shared" si="517"/>
        <v>0</v>
      </c>
      <c r="CE296" s="604">
        <f t="shared" si="578"/>
        <v>0</v>
      </c>
      <c r="CF296" s="44">
        <f t="shared" si="579"/>
        <v>0</v>
      </c>
      <c r="CG296" s="44">
        <f t="shared" si="580"/>
        <v>0</v>
      </c>
      <c r="CH296" s="44">
        <f t="shared" si="581"/>
        <v>0</v>
      </c>
      <c r="CI296" s="44">
        <f t="shared" si="582"/>
        <v>0</v>
      </c>
      <c r="CJ296" s="44">
        <f t="shared" si="583"/>
        <v>0</v>
      </c>
      <c r="CK296" s="44">
        <f t="shared" si="518"/>
        <v>0</v>
      </c>
      <c r="CL296" s="44">
        <f t="shared" si="584"/>
        <v>0</v>
      </c>
      <c r="CM296" s="44">
        <f t="shared" si="519"/>
        <v>0</v>
      </c>
      <c r="CN296" s="44">
        <f t="shared" si="585"/>
        <v>0</v>
      </c>
      <c r="CO296" s="44">
        <f t="shared" si="520"/>
        <v>0</v>
      </c>
      <c r="CP296" s="46">
        <f t="shared" si="521"/>
        <v>0</v>
      </c>
      <c r="CQ296" s="47">
        <f t="shared" si="522"/>
        <v>0</v>
      </c>
      <c r="CR296" s="604">
        <f t="shared" si="586"/>
        <v>0</v>
      </c>
      <c r="CS296" s="44">
        <f t="shared" si="587"/>
        <v>0</v>
      </c>
      <c r="CT296" s="44">
        <f t="shared" si="588"/>
        <v>0</v>
      </c>
      <c r="CU296" s="44">
        <f t="shared" si="589"/>
        <v>0</v>
      </c>
      <c r="CV296" s="44">
        <f t="shared" si="590"/>
        <v>0</v>
      </c>
      <c r="CW296" s="44">
        <f t="shared" si="591"/>
        <v>0</v>
      </c>
      <c r="CX296" s="44">
        <f t="shared" si="523"/>
        <v>0</v>
      </c>
      <c r="CY296" s="44">
        <f t="shared" si="592"/>
        <v>0</v>
      </c>
      <c r="CZ296" s="44">
        <f t="shared" si="524"/>
        <v>0</v>
      </c>
      <c r="DA296" s="44">
        <f t="shared" si="593"/>
        <v>0</v>
      </c>
      <c r="DB296" s="44">
        <f t="shared" si="525"/>
        <v>0</v>
      </c>
      <c r="DC296" s="46">
        <f t="shared" si="526"/>
        <v>0</v>
      </c>
      <c r="DD296" s="47">
        <f t="shared" si="527"/>
        <v>0</v>
      </c>
      <c r="DE296" s="604">
        <f t="shared" si="594"/>
        <v>0</v>
      </c>
      <c r="DF296" s="44">
        <f t="shared" si="595"/>
        <v>0</v>
      </c>
      <c r="DG296" s="44">
        <f t="shared" si="596"/>
        <v>0</v>
      </c>
      <c r="DH296" s="44">
        <f t="shared" si="597"/>
        <v>0</v>
      </c>
      <c r="DI296" s="44">
        <f t="shared" si="598"/>
        <v>0</v>
      </c>
      <c r="DJ296" s="44">
        <f t="shared" si="599"/>
        <v>0</v>
      </c>
      <c r="DK296" s="44">
        <f t="shared" si="528"/>
        <v>0</v>
      </c>
      <c r="DL296" s="44">
        <f t="shared" si="600"/>
        <v>0</v>
      </c>
      <c r="DM296" s="44">
        <f t="shared" si="529"/>
        <v>0</v>
      </c>
      <c r="DN296" s="44">
        <f t="shared" si="601"/>
        <v>0</v>
      </c>
      <c r="DO296" s="44">
        <f t="shared" si="530"/>
        <v>0</v>
      </c>
      <c r="DP296" s="46">
        <f t="shared" si="531"/>
        <v>0</v>
      </c>
      <c r="DQ296" s="47">
        <f t="shared" si="532"/>
        <v>0</v>
      </c>
      <c r="DR296" s="604">
        <f t="shared" si="602"/>
        <v>0</v>
      </c>
      <c r="DS296" s="44">
        <f t="shared" si="603"/>
        <v>0</v>
      </c>
      <c r="DT296" s="44">
        <f t="shared" si="604"/>
        <v>0</v>
      </c>
      <c r="DU296" s="44">
        <f t="shared" si="605"/>
        <v>0</v>
      </c>
      <c r="DV296" s="44">
        <f t="shared" si="606"/>
        <v>0</v>
      </c>
      <c r="DW296" s="44">
        <f t="shared" si="607"/>
        <v>0</v>
      </c>
      <c r="DX296" s="44">
        <f t="shared" si="533"/>
        <v>0</v>
      </c>
      <c r="DY296" s="44">
        <f t="shared" si="608"/>
        <v>0</v>
      </c>
      <c r="DZ296" s="44">
        <f t="shared" si="534"/>
        <v>0</v>
      </c>
      <c r="EA296" s="44">
        <f t="shared" si="609"/>
        <v>0</v>
      </c>
      <c r="EB296" s="44">
        <f t="shared" si="535"/>
        <v>0</v>
      </c>
      <c r="EC296" s="46">
        <f t="shared" si="536"/>
        <v>0</v>
      </c>
      <c r="ED296" s="47">
        <f t="shared" si="537"/>
        <v>0</v>
      </c>
    </row>
    <row r="297" spans="1:134" x14ac:dyDescent="0.35">
      <c r="A297" s="172"/>
      <c r="B297" s="173"/>
      <c r="C297" s="174"/>
      <c r="D297" s="175"/>
      <c r="E297" s="176"/>
      <c r="F297" s="177"/>
      <c r="G297" s="178"/>
      <c r="H297" s="179"/>
      <c r="I297" s="180"/>
      <c r="J297" s="181"/>
      <c r="K297" s="42">
        <f t="shared" si="488"/>
        <v>0</v>
      </c>
      <c r="L297" s="43">
        <f t="shared" si="489"/>
        <v>0</v>
      </c>
      <c r="M297" s="44">
        <f t="shared" si="490"/>
        <v>0</v>
      </c>
      <c r="N297" s="44"/>
      <c r="O297" s="44">
        <f t="shared" si="491"/>
        <v>0</v>
      </c>
      <c r="P297" s="45"/>
      <c r="Q297" s="44">
        <f t="shared" si="492"/>
        <v>0</v>
      </c>
      <c r="R297" s="604">
        <f t="shared" si="538"/>
        <v>0</v>
      </c>
      <c r="S297" s="44">
        <f t="shared" si="539"/>
        <v>0</v>
      </c>
      <c r="T297" s="44">
        <f t="shared" si="540"/>
        <v>0</v>
      </c>
      <c r="U297" s="44">
        <f t="shared" si="541"/>
        <v>0</v>
      </c>
      <c r="V297" s="44">
        <f t="shared" si="542"/>
        <v>0</v>
      </c>
      <c r="W297" s="44">
        <f t="shared" si="543"/>
        <v>0</v>
      </c>
      <c r="X297" s="44">
        <f t="shared" si="493"/>
        <v>0</v>
      </c>
      <c r="Y297" s="44">
        <f t="shared" si="544"/>
        <v>0</v>
      </c>
      <c r="Z297" s="44">
        <f t="shared" si="494"/>
        <v>0</v>
      </c>
      <c r="AA297" s="44">
        <f t="shared" si="545"/>
        <v>0</v>
      </c>
      <c r="AB297" s="44">
        <f t="shared" si="495"/>
        <v>0</v>
      </c>
      <c r="AC297" s="46">
        <f t="shared" si="496"/>
        <v>0</v>
      </c>
      <c r="AD297" s="47">
        <f t="shared" si="497"/>
        <v>0</v>
      </c>
      <c r="AE297" s="604">
        <f t="shared" si="546"/>
        <v>0</v>
      </c>
      <c r="AF297" s="44">
        <f t="shared" si="547"/>
        <v>0</v>
      </c>
      <c r="AG297" s="44">
        <f t="shared" si="548"/>
        <v>0</v>
      </c>
      <c r="AH297" s="44">
        <f t="shared" si="549"/>
        <v>0</v>
      </c>
      <c r="AI297" s="44">
        <f t="shared" si="550"/>
        <v>0</v>
      </c>
      <c r="AJ297" s="44">
        <f t="shared" si="551"/>
        <v>0</v>
      </c>
      <c r="AK297" s="44">
        <f t="shared" si="498"/>
        <v>0</v>
      </c>
      <c r="AL297" s="44">
        <f t="shared" si="552"/>
        <v>0</v>
      </c>
      <c r="AM297" s="44">
        <f t="shared" si="499"/>
        <v>0</v>
      </c>
      <c r="AN297" s="44">
        <f t="shared" si="553"/>
        <v>0</v>
      </c>
      <c r="AO297" s="44">
        <f t="shared" si="500"/>
        <v>0</v>
      </c>
      <c r="AP297" s="46">
        <f t="shared" si="501"/>
        <v>0</v>
      </c>
      <c r="AQ297" s="47">
        <f t="shared" si="502"/>
        <v>0</v>
      </c>
      <c r="AR297" s="604">
        <f t="shared" si="554"/>
        <v>0</v>
      </c>
      <c r="AS297" s="44">
        <f t="shared" si="555"/>
        <v>0</v>
      </c>
      <c r="AT297" s="44">
        <f t="shared" si="556"/>
        <v>0</v>
      </c>
      <c r="AU297" s="44">
        <f t="shared" si="557"/>
        <v>0</v>
      </c>
      <c r="AV297" s="44">
        <f t="shared" si="558"/>
        <v>0</v>
      </c>
      <c r="AW297" s="44">
        <f t="shared" si="559"/>
        <v>0</v>
      </c>
      <c r="AX297" s="44">
        <f t="shared" si="503"/>
        <v>0</v>
      </c>
      <c r="AY297" s="44">
        <f t="shared" si="560"/>
        <v>0</v>
      </c>
      <c r="AZ297" s="44">
        <f t="shared" si="504"/>
        <v>0</v>
      </c>
      <c r="BA297" s="44">
        <f t="shared" si="561"/>
        <v>0</v>
      </c>
      <c r="BB297" s="44">
        <f t="shared" si="505"/>
        <v>0</v>
      </c>
      <c r="BC297" s="46">
        <f t="shared" si="506"/>
        <v>0</v>
      </c>
      <c r="BD297" s="47">
        <f t="shared" si="507"/>
        <v>0</v>
      </c>
      <c r="BE297" s="604">
        <f t="shared" si="562"/>
        <v>0</v>
      </c>
      <c r="BF297" s="44">
        <f t="shared" si="563"/>
        <v>0</v>
      </c>
      <c r="BG297" s="44">
        <f t="shared" si="564"/>
        <v>0</v>
      </c>
      <c r="BH297" s="44">
        <f t="shared" si="565"/>
        <v>0</v>
      </c>
      <c r="BI297" s="44">
        <f t="shared" si="566"/>
        <v>0</v>
      </c>
      <c r="BJ297" s="44">
        <f t="shared" si="567"/>
        <v>0</v>
      </c>
      <c r="BK297" s="44">
        <f t="shared" si="508"/>
        <v>0</v>
      </c>
      <c r="BL297" s="44">
        <f t="shared" si="568"/>
        <v>0</v>
      </c>
      <c r="BM297" s="44">
        <f t="shared" si="509"/>
        <v>0</v>
      </c>
      <c r="BN297" s="44">
        <f t="shared" si="569"/>
        <v>0</v>
      </c>
      <c r="BO297" s="44">
        <f t="shared" si="510"/>
        <v>0</v>
      </c>
      <c r="BP297" s="46">
        <f t="shared" si="511"/>
        <v>0</v>
      </c>
      <c r="BQ297" s="47">
        <f t="shared" si="512"/>
        <v>0</v>
      </c>
      <c r="BR297" s="604">
        <f t="shared" si="570"/>
        <v>0</v>
      </c>
      <c r="BS297" s="44">
        <f t="shared" si="571"/>
        <v>0</v>
      </c>
      <c r="BT297" s="44">
        <f t="shared" si="572"/>
        <v>0</v>
      </c>
      <c r="BU297" s="44">
        <f t="shared" si="573"/>
        <v>0</v>
      </c>
      <c r="BV297" s="44">
        <f t="shared" si="574"/>
        <v>0</v>
      </c>
      <c r="BW297" s="44">
        <f t="shared" si="575"/>
        <v>0</v>
      </c>
      <c r="BX297" s="44">
        <f t="shared" si="513"/>
        <v>0</v>
      </c>
      <c r="BY297" s="44">
        <f t="shared" si="576"/>
        <v>0</v>
      </c>
      <c r="BZ297" s="44">
        <f t="shared" si="514"/>
        <v>0</v>
      </c>
      <c r="CA297" s="44">
        <f t="shared" si="577"/>
        <v>0</v>
      </c>
      <c r="CB297" s="44">
        <f t="shared" si="515"/>
        <v>0</v>
      </c>
      <c r="CC297" s="46">
        <f t="shared" si="516"/>
        <v>0</v>
      </c>
      <c r="CD297" s="47">
        <f t="shared" si="517"/>
        <v>0</v>
      </c>
      <c r="CE297" s="604">
        <f t="shared" si="578"/>
        <v>0</v>
      </c>
      <c r="CF297" s="44">
        <f t="shared" si="579"/>
        <v>0</v>
      </c>
      <c r="CG297" s="44">
        <f t="shared" si="580"/>
        <v>0</v>
      </c>
      <c r="CH297" s="44">
        <f t="shared" si="581"/>
        <v>0</v>
      </c>
      <c r="CI297" s="44">
        <f t="shared" si="582"/>
        <v>0</v>
      </c>
      <c r="CJ297" s="44">
        <f t="shared" si="583"/>
        <v>0</v>
      </c>
      <c r="CK297" s="44">
        <f t="shared" si="518"/>
        <v>0</v>
      </c>
      <c r="CL297" s="44">
        <f t="shared" si="584"/>
        <v>0</v>
      </c>
      <c r="CM297" s="44">
        <f t="shared" si="519"/>
        <v>0</v>
      </c>
      <c r="CN297" s="44">
        <f t="shared" si="585"/>
        <v>0</v>
      </c>
      <c r="CO297" s="44">
        <f t="shared" si="520"/>
        <v>0</v>
      </c>
      <c r="CP297" s="46">
        <f t="shared" si="521"/>
        <v>0</v>
      </c>
      <c r="CQ297" s="47">
        <f t="shared" si="522"/>
        <v>0</v>
      </c>
      <c r="CR297" s="604">
        <f t="shared" si="586"/>
        <v>0</v>
      </c>
      <c r="CS297" s="44">
        <f t="shared" si="587"/>
        <v>0</v>
      </c>
      <c r="CT297" s="44">
        <f t="shared" si="588"/>
        <v>0</v>
      </c>
      <c r="CU297" s="44">
        <f t="shared" si="589"/>
        <v>0</v>
      </c>
      <c r="CV297" s="44">
        <f t="shared" si="590"/>
        <v>0</v>
      </c>
      <c r="CW297" s="44">
        <f t="shared" si="591"/>
        <v>0</v>
      </c>
      <c r="CX297" s="44">
        <f t="shared" si="523"/>
        <v>0</v>
      </c>
      <c r="CY297" s="44">
        <f t="shared" si="592"/>
        <v>0</v>
      </c>
      <c r="CZ297" s="44">
        <f t="shared" si="524"/>
        <v>0</v>
      </c>
      <c r="DA297" s="44">
        <f t="shared" si="593"/>
        <v>0</v>
      </c>
      <c r="DB297" s="44">
        <f t="shared" si="525"/>
        <v>0</v>
      </c>
      <c r="DC297" s="46">
        <f t="shared" si="526"/>
        <v>0</v>
      </c>
      <c r="DD297" s="47">
        <f t="shared" si="527"/>
        <v>0</v>
      </c>
      <c r="DE297" s="604">
        <f t="shared" si="594"/>
        <v>0</v>
      </c>
      <c r="DF297" s="44">
        <f t="shared" si="595"/>
        <v>0</v>
      </c>
      <c r="DG297" s="44">
        <f t="shared" si="596"/>
        <v>0</v>
      </c>
      <c r="DH297" s="44">
        <f t="shared" si="597"/>
        <v>0</v>
      </c>
      <c r="DI297" s="44">
        <f t="shared" si="598"/>
        <v>0</v>
      </c>
      <c r="DJ297" s="44">
        <f t="shared" si="599"/>
        <v>0</v>
      </c>
      <c r="DK297" s="44">
        <f t="shared" si="528"/>
        <v>0</v>
      </c>
      <c r="DL297" s="44">
        <f t="shared" si="600"/>
        <v>0</v>
      </c>
      <c r="DM297" s="44">
        <f t="shared" si="529"/>
        <v>0</v>
      </c>
      <c r="DN297" s="44">
        <f t="shared" si="601"/>
        <v>0</v>
      </c>
      <c r="DO297" s="44">
        <f t="shared" si="530"/>
        <v>0</v>
      </c>
      <c r="DP297" s="46">
        <f t="shared" si="531"/>
        <v>0</v>
      </c>
      <c r="DQ297" s="47">
        <f t="shared" si="532"/>
        <v>0</v>
      </c>
      <c r="DR297" s="604">
        <f t="shared" si="602"/>
        <v>0</v>
      </c>
      <c r="DS297" s="44">
        <f t="shared" si="603"/>
        <v>0</v>
      </c>
      <c r="DT297" s="44">
        <f t="shared" si="604"/>
        <v>0</v>
      </c>
      <c r="DU297" s="44">
        <f t="shared" si="605"/>
        <v>0</v>
      </c>
      <c r="DV297" s="44">
        <f t="shared" si="606"/>
        <v>0</v>
      </c>
      <c r="DW297" s="44">
        <f t="shared" si="607"/>
        <v>0</v>
      </c>
      <c r="DX297" s="44">
        <f t="shared" si="533"/>
        <v>0</v>
      </c>
      <c r="DY297" s="44">
        <f t="shared" si="608"/>
        <v>0</v>
      </c>
      <c r="DZ297" s="44">
        <f t="shared" si="534"/>
        <v>0</v>
      </c>
      <c r="EA297" s="44">
        <f t="shared" si="609"/>
        <v>0</v>
      </c>
      <c r="EB297" s="44">
        <f t="shared" si="535"/>
        <v>0</v>
      </c>
      <c r="EC297" s="46">
        <f t="shared" si="536"/>
        <v>0</v>
      </c>
      <c r="ED297" s="47">
        <f t="shared" si="537"/>
        <v>0</v>
      </c>
    </row>
    <row r="298" spans="1:134" x14ac:dyDescent="0.35">
      <c r="A298" s="172"/>
      <c r="B298" s="173"/>
      <c r="C298" s="174"/>
      <c r="D298" s="175"/>
      <c r="E298" s="176"/>
      <c r="F298" s="177"/>
      <c r="G298" s="178"/>
      <c r="H298" s="179"/>
      <c r="I298" s="180"/>
      <c r="J298" s="181"/>
      <c r="K298" s="42">
        <f t="shared" si="488"/>
        <v>0</v>
      </c>
      <c r="L298" s="43">
        <f t="shared" si="489"/>
        <v>0</v>
      </c>
      <c r="M298" s="44">
        <f t="shared" si="490"/>
        <v>0</v>
      </c>
      <c r="N298" s="44"/>
      <c r="O298" s="44">
        <f t="shared" si="491"/>
        <v>0</v>
      </c>
      <c r="P298" s="45"/>
      <c r="Q298" s="44">
        <f t="shared" si="492"/>
        <v>0</v>
      </c>
      <c r="R298" s="604">
        <f t="shared" si="538"/>
        <v>0</v>
      </c>
      <c r="S298" s="44">
        <f t="shared" si="539"/>
        <v>0</v>
      </c>
      <c r="T298" s="44">
        <f t="shared" si="540"/>
        <v>0</v>
      </c>
      <c r="U298" s="44">
        <f t="shared" si="541"/>
        <v>0</v>
      </c>
      <c r="V298" s="44">
        <f t="shared" si="542"/>
        <v>0</v>
      </c>
      <c r="W298" s="44">
        <f t="shared" si="543"/>
        <v>0</v>
      </c>
      <c r="X298" s="44">
        <f t="shared" si="493"/>
        <v>0</v>
      </c>
      <c r="Y298" s="44">
        <f t="shared" si="544"/>
        <v>0</v>
      </c>
      <c r="Z298" s="44">
        <f t="shared" si="494"/>
        <v>0</v>
      </c>
      <c r="AA298" s="44">
        <f t="shared" si="545"/>
        <v>0</v>
      </c>
      <c r="AB298" s="44">
        <f t="shared" si="495"/>
        <v>0</v>
      </c>
      <c r="AC298" s="46">
        <f t="shared" si="496"/>
        <v>0</v>
      </c>
      <c r="AD298" s="47">
        <f t="shared" si="497"/>
        <v>0</v>
      </c>
      <c r="AE298" s="604">
        <f t="shared" si="546"/>
        <v>0</v>
      </c>
      <c r="AF298" s="44">
        <f t="shared" si="547"/>
        <v>0</v>
      </c>
      <c r="AG298" s="44">
        <f t="shared" si="548"/>
        <v>0</v>
      </c>
      <c r="AH298" s="44">
        <f t="shared" si="549"/>
        <v>0</v>
      </c>
      <c r="AI298" s="44">
        <f t="shared" si="550"/>
        <v>0</v>
      </c>
      <c r="AJ298" s="44">
        <f t="shared" si="551"/>
        <v>0</v>
      </c>
      <c r="AK298" s="44">
        <f t="shared" si="498"/>
        <v>0</v>
      </c>
      <c r="AL298" s="44">
        <f t="shared" si="552"/>
        <v>0</v>
      </c>
      <c r="AM298" s="44">
        <f t="shared" si="499"/>
        <v>0</v>
      </c>
      <c r="AN298" s="44">
        <f t="shared" si="553"/>
        <v>0</v>
      </c>
      <c r="AO298" s="44">
        <f t="shared" si="500"/>
        <v>0</v>
      </c>
      <c r="AP298" s="46">
        <f t="shared" si="501"/>
        <v>0</v>
      </c>
      <c r="AQ298" s="47">
        <f t="shared" si="502"/>
        <v>0</v>
      </c>
      <c r="AR298" s="604">
        <f t="shared" si="554"/>
        <v>0</v>
      </c>
      <c r="AS298" s="44">
        <f t="shared" si="555"/>
        <v>0</v>
      </c>
      <c r="AT298" s="44">
        <f t="shared" si="556"/>
        <v>0</v>
      </c>
      <c r="AU298" s="44">
        <f t="shared" si="557"/>
        <v>0</v>
      </c>
      <c r="AV298" s="44">
        <f t="shared" si="558"/>
        <v>0</v>
      </c>
      <c r="AW298" s="44">
        <f t="shared" si="559"/>
        <v>0</v>
      </c>
      <c r="AX298" s="44">
        <f t="shared" si="503"/>
        <v>0</v>
      </c>
      <c r="AY298" s="44">
        <f t="shared" si="560"/>
        <v>0</v>
      </c>
      <c r="AZ298" s="44">
        <f t="shared" si="504"/>
        <v>0</v>
      </c>
      <c r="BA298" s="44">
        <f t="shared" si="561"/>
        <v>0</v>
      </c>
      <c r="BB298" s="44">
        <f t="shared" si="505"/>
        <v>0</v>
      </c>
      <c r="BC298" s="46">
        <f t="shared" si="506"/>
        <v>0</v>
      </c>
      <c r="BD298" s="47">
        <f t="shared" si="507"/>
        <v>0</v>
      </c>
      <c r="BE298" s="604">
        <f t="shared" si="562"/>
        <v>0</v>
      </c>
      <c r="BF298" s="44">
        <f t="shared" si="563"/>
        <v>0</v>
      </c>
      <c r="BG298" s="44">
        <f t="shared" si="564"/>
        <v>0</v>
      </c>
      <c r="BH298" s="44">
        <f t="shared" si="565"/>
        <v>0</v>
      </c>
      <c r="BI298" s="44">
        <f t="shared" si="566"/>
        <v>0</v>
      </c>
      <c r="BJ298" s="44">
        <f t="shared" si="567"/>
        <v>0</v>
      </c>
      <c r="BK298" s="44">
        <f t="shared" si="508"/>
        <v>0</v>
      </c>
      <c r="BL298" s="44">
        <f t="shared" si="568"/>
        <v>0</v>
      </c>
      <c r="BM298" s="44">
        <f t="shared" si="509"/>
        <v>0</v>
      </c>
      <c r="BN298" s="44">
        <f t="shared" si="569"/>
        <v>0</v>
      </c>
      <c r="BO298" s="44">
        <f t="shared" si="510"/>
        <v>0</v>
      </c>
      <c r="BP298" s="46">
        <f t="shared" si="511"/>
        <v>0</v>
      </c>
      <c r="BQ298" s="47">
        <f t="shared" si="512"/>
        <v>0</v>
      </c>
      <c r="BR298" s="604">
        <f t="shared" si="570"/>
        <v>0</v>
      </c>
      <c r="BS298" s="44">
        <f t="shared" si="571"/>
        <v>0</v>
      </c>
      <c r="BT298" s="44">
        <f t="shared" si="572"/>
        <v>0</v>
      </c>
      <c r="BU298" s="44">
        <f t="shared" si="573"/>
        <v>0</v>
      </c>
      <c r="BV298" s="44">
        <f t="shared" si="574"/>
        <v>0</v>
      </c>
      <c r="BW298" s="44">
        <f t="shared" si="575"/>
        <v>0</v>
      </c>
      <c r="BX298" s="44">
        <f t="shared" si="513"/>
        <v>0</v>
      </c>
      <c r="BY298" s="44">
        <f t="shared" si="576"/>
        <v>0</v>
      </c>
      <c r="BZ298" s="44">
        <f t="shared" si="514"/>
        <v>0</v>
      </c>
      <c r="CA298" s="44">
        <f t="shared" si="577"/>
        <v>0</v>
      </c>
      <c r="CB298" s="44">
        <f t="shared" si="515"/>
        <v>0</v>
      </c>
      <c r="CC298" s="46">
        <f t="shared" si="516"/>
        <v>0</v>
      </c>
      <c r="CD298" s="47">
        <f t="shared" si="517"/>
        <v>0</v>
      </c>
      <c r="CE298" s="604">
        <f t="shared" si="578"/>
        <v>0</v>
      </c>
      <c r="CF298" s="44">
        <f t="shared" si="579"/>
        <v>0</v>
      </c>
      <c r="CG298" s="44">
        <f t="shared" si="580"/>
        <v>0</v>
      </c>
      <c r="CH298" s="44">
        <f t="shared" si="581"/>
        <v>0</v>
      </c>
      <c r="CI298" s="44">
        <f t="shared" si="582"/>
        <v>0</v>
      </c>
      <c r="CJ298" s="44">
        <f t="shared" si="583"/>
        <v>0</v>
      </c>
      <c r="CK298" s="44">
        <f t="shared" si="518"/>
        <v>0</v>
      </c>
      <c r="CL298" s="44">
        <f t="shared" si="584"/>
        <v>0</v>
      </c>
      <c r="CM298" s="44">
        <f t="shared" si="519"/>
        <v>0</v>
      </c>
      <c r="CN298" s="44">
        <f t="shared" si="585"/>
        <v>0</v>
      </c>
      <c r="CO298" s="44">
        <f t="shared" si="520"/>
        <v>0</v>
      </c>
      <c r="CP298" s="46">
        <f t="shared" si="521"/>
        <v>0</v>
      </c>
      <c r="CQ298" s="47">
        <f t="shared" si="522"/>
        <v>0</v>
      </c>
      <c r="CR298" s="604">
        <f t="shared" si="586"/>
        <v>0</v>
      </c>
      <c r="CS298" s="44">
        <f t="shared" si="587"/>
        <v>0</v>
      </c>
      <c r="CT298" s="44">
        <f t="shared" si="588"/>
        <v>0</v>
      </c>
      <c r="CU298" s="44">
        <f t="shared" si="589"/>
        <v>0</v>
      </c>
      <c r="CV298" s="44">
        <f t="shared" si="590"/>
        <v>0</v>
      </c>
      <c r="CW298" s="44">
        <f t="shared" si="591"/>
        <v>0</v>
      </c>
      <c r="CX298" s="44">
        <f t="shared" si="523"/>
        <v>0</v>
      </c>
      <c r="CY298" s="44">
        <f t="shared" si="592"/>
        <v>0</v>
      </c>
      <c r="CZ298" s="44">
        <f t="shared" si="524"/>
        <v>0</v>
      </c>
      <c r="DA298" s="44">
        <f t="shared" si="593"/>
        <v>0</v>
      </c>
      <c r="DB298" s="44">
        <f t="shared" si="525"/>
        <v>0</v>
      </c>
      <c r="DC298" s="46">
        <f t="shared" si="526"/>
        <v>0</v>
      </c>
      <c r="DD298" s="47">
        <f t="shared" si="527"/>
        <v>0</v>
      </c>
      <c r="DE298" s="604">
        <f t="shared" si="594"/>
        <v>0</v>
      </c>
      <c r="DF298" s="44">
        <f t="shared" si="595"/>
        <v>0</v>
      </c>
      <c r="DG298" s="44">
        <f t="shared" si="596"/>
        <v>0</v>
      </c>
      <c r="DH298" s="44">
        <f t="shared" si="597"/>
        <v>0</v>
      </c>
      <c r="DI298" s="44">
        <f t="shared" si="598"/>
        <v>0</v>
      </c>
      <c r="DJ298" s="44">
        <f t="shared" si="599"/>
        <v>0</v>
      </c>
      <c r="DK298" s="44">
        <f t="shared" si="528"/>
        <v>0</v>
      </c>
      <c r="DL298" s="44">
        <f t="shared" si="600"/>
        <v>0</v>
      </c>
      <c r="DM298" s="44">
        <f t="shared" si="529"/>
        <v>0</v>
      </c>
      <c r="DN298" s="44">
        <f t="shared" si="601"/>
        <v>0</v>
      </c>
      <c r="DO298" s="44">
        <f t="shared" si="530"/>
        <v>0</v>
      </c>
      <c r="DP298" s="46">
        <f t="shared" si="531"/>
        <v>0</v>
      </c>
      <c r="DQ298" s="47">
        <f t="shared" si="532"/>
        <v>0</v>
      </c>
      <c r="DR298" s="604">
        <f t="shared" si="602"/>
        <v>0</v>
      </c>
      <c r="DS298" s="44">
        <f t="shared" si="603"/>
        <v>0</v>
      </c>
      <c r="DT298" s="44">
        <f t="shared" si="604"/>
        <v>0</v>
      </c>
      <c r="DU298" s="44">
        <f t="shared" si="605"/>
        <v>0</v>
      </c>
      <c r="DV298" s="44">
        <f t="shared" si="606"/>
        <v>0</v>
      </c>
      <c r="DW298" s="44">
        <f t="shared" si="607"/>
        <v>0</v>
      </c>
      <c r="DX298" s="44">
        <f t="shared" si="533"/>
        <v>0</v>
      </c>
      <c r="DY298" s="44">
        <f t="shared" si="608"/>
        <v>0</v>
      </c>
      <c r="DZ298" s="44">
        <f t="shared" si="534"/>
        <v>0</v>
      </c>
      <c r="EA298" s="44">
        <f t="shared" si="609"/>
        <v>0</v>
      </c>
      <c r="EB298" s="44">
        <f t="shared" si="535"/>
        <v>0</v>
      </c>
      <c r="EC298" s="46">
        <f t="shared" si="536"/>
        <v>0</v>
      </c>
      <c r="ED298" s="47">
        <f t="shared" si="537"/>
        <v>0</v>
      </c>
    </row>
    <row r="299" spans="1:134" x14ac:dyDescent="0.35">
      <c r="A299" s="172"/>
      <c r="B299" s="173"/>
      <c r="C299" s="174"/>
      <c r="D299" s="175"/>
      <c r="E299" s="176"/>
      <c r="F299" s="177"/>
      <c r="G299" s="178"/>
      <c r="H299" s="179"/>
      <c r="I299" s="180"/>
      <c r="J299" s="181"/>
      <c r="K299" s="42">
        <f t="shared" si="488"/>
        <v>0</v>
      </c>
      <c r="L299" s="43">
        <f t="shared" si="489"/>
        <v>0</v>
      </c>
      <c r="M299" s="44">
        <f t="shared" si="490"/>
        <v>0</v>
      </c>
      <c r="N299" s="44"/>
      <c r="O299" s="44">
        <f t="shared" si="491"/>
        <v>0</v>
      </c>
      <c r="P299" s="45"/>
      <c r="Q299" s="44">
        <f t="shared" si="492"/>
        <v>0</v>
      </c>
      <c r="R299" s="604">
        <f t="shared" si="538"/>
        <v>0</v>
      </c>
      <c r="S299" s="44">
        <f t="shared" si="539"/>
        <v>0</v>
      </c>
      <c r="T299" s="44">
        <f t="shared" si="540"/>
        <v>0</v>
      </c>
      <c r="U299" s="44">
        <f t="shared" si="541"/>
        <v>0</v>
      </c>
      <c r="V299" s="44">
        <f t="shared" si="542"/>
        <v>0</v>
      </c>
      <c r="W299" s="44">
        <f t="shared" si="543"/>
        <v>0</v>
      </c>
      <c r="X299" s="44">
        <f t="shared" si="493"/>
        <v>0</v>
      </c>
      <c r="Y299" s="44">
        <f t="shared" si="544"/>
        <v>0</v>
      </c>
      <c r="Z299" s="44">
        <f t="shared" si="494"/>
        <v>0</v>
      </c>
      <c r="AA299" s="44">
        <f t="shared" si="545"/>
        <v>0</v>
      </c>
      <c r="AB299" s="44">
        <f t="shared" si="495"/>
        <v>0</v>
      </c>
      <c r="AC299" s="46">
        <f t="shared" si="496"/>
        <v>0</v>
      </c>
      <c r="AD299" s="47">
        <f t="shared" si="497"/>
        <v>0</v>
      </c>
      <c r="AE299" s="604">
        <f t="shared" si="546"/>
        <v>0</v>
      </c>
      <c r="AF299" s="44">
        <f t="shared" si="547"/>
        <v>0</v>
      </c>
      <c r="AG299" s="44">
        <f t="shared" si="548"/>
        <v>0</v>
      </c>
      <c r="AH299" s="44">
        <f t="shared" si="549"/>
        <v>0</v>
      </c>
      <c r="AI299" s="44">
        <f t="shared" si="550"/>
        <v>0</v>
      </c>
      <c r="AJ299" s="44">
        <f t="shared" si="551"/>
        <v>0</v>
      </c>
      <c r="AK299" s="44">
        <f t="shared" si="498"/>
        <v>0</v>
      </c>
      <c r="AL299" s="44">
        <f t="shared" si="552"/>
        <v>0</v>
      </c>
      <c r="AM299" s="44">
        <f t="shared" si="499"/>
        <v>0</v>
      </c>
      <c r="AN299" s="44">
        <f t="shared" si="553"/>
        <v>0</v>
      </c>
      <c r="AO299" s="44">
        <f t="shared" si="500"/>
        <v>0</v>
      </c>
      <c r="AP299" s="46">
        <f t="shared" si="501"/>
        <v>0</v>
      </c>
      <c r="AQ299" s="47">
        <f t="shared" si="502"/>
        <v>0</v>
      </c>
      <c r="AR299" s="604">
        <f t="shared" si="554"/>
        <v>0</v>
      </c>
      <c r="AS299" s="44">
        <f t="shared" si="555"/>
        <v>0</v>
      </c>
      <c r="AT299" s="44">
        <f t="shared" si="556"/>
        <v>0</v>
      </c>
      <c r="AU299" s="44">
        <f t="shared" si="557"/>
        <v>0</v>
      </c>
      <c r="AV299" s="44">
        <f t="shared" si="558"/>
        <v>0</v>
      </c>
      <c r="AW299" s="44">
        <f t="shared" si="559"/>
        <v>0</v>
      </c>
      <c r="AX299" s="44">
        <f t="shared" si="503"/>
        <v>0</v>
      </c>
      <c r="AY299" s="44">
        <f t="shared" si="560"/>
        <v>0</v>
      </c>
      <c r="AZ299" s="44">
        <f t="shared" si="504"/>
        <v>0</v>
      </c>
      <c r="BA299" s="44">
        <f t="shared" si="561"/>
        <v>0</v>
      </c>
      <c r="BB299" s="44">
        <f t="shared" si="505"/>
        <v>0</v>
      </c>
      <c r="BC299" s="46">
        <f t="shared" si="506"/>
        <v>0</v>
      </c>
      <c r="BD299" s="47">
        <f t="shared" si="507"/>
        <v>0</v>
      </c>
      <c r="BE299" s="604">
        <f t="shared" si="562"/>
        <v>0</v>
      </c>
      <c r="BF299" s="44">
        <f t="shared" si="563"/>
        <v>0</v>
      </c>
      <c r="BG299" s="44">
        <f t="shared" si="564"/>
        <v>0</v>
      </c>
      <c r="BH299" s="44">
        <f t="shared" si="565"/>
        <v>0</v>
      </c>
      <c r="BI299" s="44">
        <f t="shared" si="566"/>
        <v>0</v>
      </c>
      <c r="BJ299" s="44">
        <f t="shared" si="567"/>
        <v>0</v>
      </c>
      <c r="BK299" s="44">
        <f t="shared" si="508"/>
        <v>0</v>
      </c>
      <c r="BL299" s="44">
        <f t="shared" si="568"/>
        <v>0</v>
      </c>
      <c r="BM299" s="44">
        <f t="shared" si="509"/>
        <v>0</v>
      </c>
      <c r="BN299" s="44">
        <f t="shared" si="569"/>
        <v>0</v>
      </c>
      <c r="BO299" s="44">
        <f t="shared" si="510"/>
        <v>0</v>
      </c>
      <c r="BP299" s="46">
        <f t="shared" si="511"/>
        <v>0</v>
      </c>
      <c r="BQ299" s="47">
        <f t="shared" si="512"/>
        <v>0</v>
      </c>
      <c r="BR299" s="604">
        <f t="shared" si="570"/>
        <v>0</v>
      </c>
      <c r="BS299" s="44">
        <f t="shared" si="571"/>
        <v>0</v>
      </c>
      <c r="BT299" s="44">
        <f t="shared" si="572"/>
        <v>0</v>
      </c>
      <c r="BU299" s="44">
        <f t="shared" si="573"/>
        <v>0</v>
      </c>
      <c r="BV299" s="44">
        <f t="shared" si="574"/>
        <v>0</v>
      </c>
      <c r="BW299" s="44">
        <f t="shared" si="575"/>
        <v>0</v>
      </c>
      <c r="BX299" s="44">
        <f t="shared" si="513"/>
        <v>0</v>
      </c>
      <c r="BY299" s="44">
        <f t="shared" si="576"/>
        <v>0</v>
      </c>
      <c r="BZ299" s="44">
        <f t="shared" si="514"/>
        <v>0</v>
      </c>
      <c r="CA299" s="44">
        <f t="shared" si="577"/>
        <v>0</v>
      </c>
      <c r="CB299" s="44">
        <f t="shared" si="515"/>
        <v>0</v>
      </c>
      <c r="CC299" s="46">
        <f t="shared" si="516"/>
        <v>0</v>
      </c>
      <c r="CD299" s="47">
        <f t="shared" si="517"/>
        <v>0</v>
      </c>
      <c r="CE299" s="604">
        <f t="shared" si="578"/>
        <v>0</v>
      </c>
      <c r="CF299" s="44">
        <f t="shared" si="579"/>
        <v>0</v>
      </c>
      <c r="CG299" s="44">
        <f t="shared" si="580"/>
        <v>0</v>
      </c>
      <c r="CH299" s="44">
        <f t="shared" si="581"/>
        <v>0</v>
      </c>
      <c r="CI299" s="44">
        <f t="shared" si="582"/>
        <v>0</v>
      </c>
      <c r="CJ299" s="44">
        <f t="shared" si="583"/>
        <v>0</v>
      </c>
      <c r="CK299" s="44">
        <f t="shared" si="518"/>
        <v>0</v>
      </c>
      <c r="CL299" s="44">
        <f t="shared" si="584"/>
        <v>0</v>
      </c>
      <c r="CM299" s="44">
        <f t="shared" si="519"/>
        <v>0</v>
      </c>
      <c r="CN299" s="44">
        <f t="shared" si="585"/>
        <v>0</v>
      </c>
      <c r="CO299" s="44">
        <f t="shared" si="520"/>
        <v>0</v>
      </c>
      <c r="CP299" s="46">
        <f t="shared" si="521"/>
        <v>0</v>
      </c>
      <c r="CQ299" s="47">
        <f t="shared" si="522"/>
        <v>0</v>
      </c>
      <c r="CR299" s="604">
        <f t="shared" si="586"/>
        <v>0</v>
      </c>
      <c r="CS299" s="44">
        <f t="shared" si="587"/>
        <v>0</v>
      </c>
      <c r="CT299" s="44">
        <f t="shared" si="588"/>
        <v>0</v>
      </c>
      <c r="CU299" s="44">
        <f t="shared" si="589"/>
        <v>0</v>
      </c>
      <c r="CV299" s="44">
        <f t="shared" si="590"/>
        <v>0</v>
      </c>
      <c r="CW299" s="44">
        <f t="shared" si="591"/>
        <v>0</v>
      </c>
      <c r="CX299" s="44">
        <f t="shared" si="523"/>
        <v>0</v>
      </c>
      <c r="CY299" s="44">
        <f t="shared" si="592"/>
        <v>0</v>
      </c>
      <c r="CZ299" s="44">
        <f t="shared" si="524"/>
        <v>0</v>
      </c>
      <c r="DA299" s="44">
        <f t="shared" si="593"/>
        <v>0</v>
      </c>
      <c r="DB299" s="44">
        <f t="shared" si="525"/>
        <v>0</v>
      </c>
      <c r="DC299" s="46">
        <f t="shared" si="526"/>
        <v>0</v>
      </c>
      <c r="DD299" s="47">
        <f t="shared" si="527"/>
        <v>0</v>
      </c>
      <c r="DE299" s="604">
        <f t="shared" si="594"/>
        <v>0</v>
      </c>
      <c r="DF299" s="44">
        <f t="shared" si="595"/>
        <v>0</v>
      </c>
      <c r="DG299" s="44">
        <f t="shared" si="596"/>
        <v>0</v>
      </c>
      <c r="DH299" s="44">
        <f t="shared" si="597"/>
        <v>0</v>
      </c>
      <c r="DI299" s="44">
        <f t="shared" si="598"/>
        <v>0</v>
      </c>
      <c r="DJ299" s="44">
        <f t="shared" si="599"/>
        <v>0</v>
      </c>
      <c r="DK299" s="44">
        <f t="shared" si="528"/>
        <v>0</v>
      </c>
      <c r="DL299" s="44">
        <f t="shared" si="600"/>
        <v>0</v>
      </c>
      <c r="DM299" s="44">
        <f t="shared" si="529"/>
        <v>0</v>
      </c>
      <c r="DN299" s="44">
        <f t="shared" si="601"/>
        <v>0</v>
      </c>
      <c r="DO299" s="44">
        <f t="shared" si="530"/>
        <v>0</v>
      </c>
      <c r="DP299" s="46">
        <f t="shared" si="531"/>
        <v>0</v>
      </c>
      <c r="DQ299" s="47">
        <f t="shared" si="532"/>
        <v>0</v>
      </c>
      <c r="DR299" s="604">
        <f t="shared" si="602"/>
        <v>0</v>
      </c>
      <c r="DS299" s="44">
        <f t="shared" si="603"/>
        <v>0</v>
      </c>
      <c r="DT299" s="44">
        <f t="shared" si="604"/>
        <v>0</v>
      </c>
      <c r="DU299" s="44">
        <f t="shared" si="605"/>
        <v>0</v>
      </c>
      <c r="DV299" s="44">
        <f t="shared" si="606"/>
        <v>0</v>
      </c>
      <c r="DW299" s="44">
        <f t="shared" si="607"/>
        <v>0</v>
      </c>
      <c r="DX299" s="44">
        <f t="shared" si="533"/>
        <v>0</v>
      </c>
      <c r="DY299" s="44">
        <f t="shared" si="608"/>
        <v>0</v>
      </c>
      <c r="DZ299" s="44">
        <f t="shared" si="534"/>
        <v>0</v>
      </c>
      <c r="EA299" s="44">
        <f t="shared" si="609"/>
        <v>0</v>
      </c>
      <c r="EB299" s="44">
        <f t="shared" si="535"/>
        <v>0</v>
      </c>
      <c r="EC299" s="46">
        <f t="shared" si="536"/>
        <v>0</v>
      </c>
      <c r="ED299" s="47">
        <f t="shared" si="537"/>
        <v>0</v>
      </c>
    </row>
    <row r="300" spans="1:134" x14ac:dyDescent="0.35">
      <c r="A300" s="172"/>
      <c r="B300" s="173"/>
      <c r="C300" s="174"/>
      <c r="D300" s="175"/>
      <c r="E300" s="176"/>
      <c r="F300" s="177"/>
      <c r="G300" s="178"/>
      <c r="H300" s="179"/>
      <c r="I300" s="180"/>
      <c r="J300" s="181"/>
      <c r="K300" s="42">
        <f t="shared" si="488"/>
        <v>0</v>
      </c>
      <c r="L300" s="43">
        <f t="shared" si="489"/>
        <v>0</v>
      </c>
      <c r="M300" s="44">
        <f t="shared" si="490"/>
        <v>0</v>
      </c>
      <c r="N300" s="44"/>
      <c r="O300" s="44">
        <f t="shared" si="491"/>
        <v>0</v>
      </c>
      <c r="P300" s="45"/>
      <c r="Q300" s="44">
        <f t="shared" si="492"/>
        <v>0</v>
      </c>
      <c r="R300" s="604">
        <f t="shared" si="538"/>
        <v>0</v>
      </c>
      <c r="S300" s="44">
        <f t="shared" si="539"/>
        <v>0</v>
      </c>
      <c r="T300" s="44">
        <f t="shared" si="540"/>
        <v>0</v>
      </c>
      <c r="U300" s="44">
        <f t="shared" si="541"/>
        <v>0</v>
      </c>
      <c r="V300" s="44">
        <f t="shared" si="542"/>
        <v>0</v>
      </c>
      <c r="W300" s="44">
        <f t="shared" si="543"/>
        <v>0</v>
      </c>
      <c r="X300" s="44">
        <f t="shared" si="493"/>
        <v>0</v>
      </c>
      <c r="Y300" s="44">
        <f t="shared" si="544"/>
        <v>0</v>
      </c>
      <c r="Z300" s="44">
        <f t="shared" si="494"/>
        <v>0</v>
      </c>
      <c r="AA300" s="44">
        <f t="shared" si="545"/>
        <v>0</v>
      </c>
      <c r="AB300" s="44">
        <f t="shared" si="495"/>
        <v>0</v>
      </c>
      <c r="AC300" s="46">
        <f t="shared" si="496"/>
        <v>0</v>
      </c>
      <c r="AD300" s="47">
        <f t="shared" si="497"/>
        <v>0</v>
      </c>
      <c r="AE300" s="604">
        <f t="shared" si="546"/>
        <v>0</v>
      </c>
      <c r="AF300" s="44">
        <f t="shared" si="547"/>
        <v>0</v>
      </c>
      <c r="AG300" s="44">
        <f t="shared" si="548"/>
        <v>0</v>
      </c>
      <c r="AH300" s="44">
        <f t="shared" si="549"/>
        <v>0</v>
      </c>
      <c r="AI300" s="44">
        <f t="shared" si="550"/>
        <v>0</v>
      </c>
      <c r="AJ300" s="44">
        <f t="shared" si="551"/>
        <v>0</v>
      </c>
      <c r="AK300" s="44">
        <f t="shared" si="498"/>
        <v>0</v>
      </c>
      <c r="AL300" s="44">
        <f t="shared" si="552"/>
        <v>0</v>
      </c>
      <c r="AM300" s="44">
        <f t="shared" si="499"/>
        <v>0</v>
      </c>
      <c r="AN300" s="44">
        <f t="shared" si="553"/>
        <v>0</v>
      </c>
      <c r="AO300" s="44">
        <f t="shared" si="500"/>
        <v>0</v>
      </c>
      <c r="AP300" s="46">
        <f t="shared" si="501"/>
        <v>0</v>
      </c>
      <c r="AQ300" s="47">
        <f t="shared" si="502"/>
        <v>0</v>
      </c>
      <c r="AR300" s="604">
        <f t="shared" si="554"/>
        <v>0</v>
      </c>
      <c r="AS300" s="44">
        <f t="shared" si="555"/>
        <v>0</v>
      </c>
      <c r="AT300" s="44">
        <f t="shared" si="556"/>
        <v>0</v>
      </c>
      <c r="AU300" s="44">
        <f t="shared" si="557"/>
        <v>0</v>
      </c>
      <c r="AV300" s="44">
        <f t="shared" si="558"/>
        <v>0</v>
      </c>
      <c r="AW300" s="44">
        <f t="shared" si="559"/>
        <v>0</v>
      </c>
      <c r="AX300" s="44">
        <f t="shared" si="503"/>
        <v>0</v>
      </c>
      <c r="AY300" s="44">
        <f t="shared" si="560"/>
        <v>0</v>
      </c>
      <c r="AZ300" s="44">
        <f t="shared" si="504"/>
        <v>0</v>
      </c>
      <c r="BA300" s="44">
        <f t="shared" si="561"/>
        <v>0</v>
      </c>
      <c r="BB300" s="44">
        <f t="shared" si="505"/>
        <v>0</v>
      </c>
      <c r="BC300" s="46">
        <f t="shared" si="506"/>
        <v>0</v>
      </c>
      <c r="BD300" s="47">
        <f t="shared" si="507"/>
        <v>0</v>
      </c>
      <c r="BE300" s="604">
        <f t="shared" si="562"/>
        <v>0</v>
      </c>
      <c r="BF300" s="44">
        <f t="shared" si="563"/>
        <v>0</v>
      </c>
      <c r="BG300" s="44">
        <f t="shared" si="564"/>
        <v>0</v>
      </c>
      <c r="BH300" s="44">
        <f t="shared" si="565"/>
        <v>0</v>
      </c>
      <c r="BI300" s="44">
        <f t="shared" si="566"/>
        <v>0</v>
      </c>
      <c r="BJ300" s="44">
        <f t="shared" si="567"/>
        <v>0</v>
      </c>
      <c r="BK300" s="44">
        <f t="shared" si="508"/>
        <v>0</v>
      </c>
      <c r="BL300" s="44">
        <f t="shared" si="568"/>
        <v>0</v>
      </c>
      <c r="BM300" s="44">
        <f t="shared" si="509"/>
        <v>0</v>
      </c>
      <c r="BN300" s="44">
        <f t="shared" si="569"/>
        <v>0</v>
      </c>
      <c r="BO300" s="44">
        <f t="shared" si="510"/>
        <v>0</v>
      </c>
      <c r="BP300" s="46">
        <f t="shared" si="511"/>
        <v>0</v>
      </c>
      <c r="BQ300" s="47">
        <f t="shared" si="512"/>
        <v>0</v>
      </c>
      <c r="BR300" s="604">
        <f t="shared" si="570"/>
        <v>0</v>
      </c>
      <c r="BS300" s="44">
        <f t="shared" si="571"/>
        <v>0</v>
      </c>
      <c r="BT300" s="44">
        <f t="shared" si="572"/>
        <v>0</v>
      </c>
      <c r="BU300" s="44">
        <f t="shared" si="573"/>
        <v>0</v>
      </c>
      <c r="BV300" s="44">
        <f t="shared" si="574"/>
        <v>0</v>
      </c>
      <c r="BW300" s="44">
        <f t="shared" si="575"/>
        <v>0</v>
      </c>
      <c r="BX300" s="44">
        <f t="shared" si="513"/>
        <v>0</v>
      </c>
      <c r="BY300" s="44">
        <f t="shared" si="576"/>
        <v>0</v>
      </c>
      <c r="BZ300" s="44">
        <f t="shared" si="514"/>
        <v>0</v>
      </c>
      <c r="CA300" s="44">
        <f t="shared" si="577"/>
        <v>0</v>
      </c>
      <c r="CB300" s="44">
        <f t="shared" si="515"/>
        <v>0</v>
      </c>
      <c r="CC300" s="46">
        <f t="shared" si="516"/>
        <v>0</v>
      </c>
      <c r="CD300" s="47">
        <f t="shared" si="517"/>
        <v>0</v>
      </c>
      <c r="CE300" s="604">
        <f t="shared" si="578"/>
        <v>0</v>
      </c>
      <c r="CF300" s="44">
        <f t="shared" si="579"/>
        <v>0</v>
      </c>
      <c r="CG300" s="44">
        <f t="shared" si="580"/>
        <v>0</v>
      </c>
      <c r="CH300" s="44">
        <f t="shared" si="581"/>
        <v>0</v>
      </c>
      <c r="CI300" s="44">
        <f t="shared" si="582"/>
        <v>0</v>
      </c>
      <c r="CJ300" s="44">
        <f t="shared" si="583"/>
        <v>0</v>
      </c>
      <c r="CK300" s="44">
        <f t="shared" si="518"/>
        <v>0</v>
      </c>
      <c r="CL300" s="44">
        <f t="shared" si="584"/>
        <v>0</v>
      </c>
      <c r="CM300" s="44">
        <f t="shared" si="519"/>
        <v>0</v>
      </c>
      <c r="CN300" s="44">
        <f t="shared" si="585"/>
        <v>0</v>
      </c>
      <c r="CO300" s="44">
        <f t="shared" si="520"/>
        <v>0</v>
      </c>
      <c r="CP300" s="46">
        <f t="shared" si="521"/>
        <v>0</v>
      </c>
      <c r="CQ300" s="47">
        <f t="shared" si="522"/>
        <v>0</v>
      </c>
      <c r="CR300" s="604">
        <f t="shared" si="586"/>
        <v>0</v>
      </c>
      <c r="CS300" s="44">
        <f t="shared" si="587"/>
        <v>0</v>
      </c>
      <c r="CT300" s="44">
        <f t="shared" si="588"/>
        <v>0</v>
      </c>
      <c r="CU300" s="44">
        <f t="shared" si="589"/>
        <v>0</v>
      </c>
      <c r="CV300" s="44">
        <f t="shared" si="590"/>
        <v>0</v>
      </c>
      <c r="CW300" s="44">
        <f t="shared" si="591"/>
        <v>0</v>
      </c>
      <c r="CX300" s="44">
        <f t="shared" si="523"/>
        <v>0</v>
      </c>
      <c r="CY300" s="44">
        <f t="shared" si="592"/>
        <v>0</v>
      </c>
      <c r="CZ300" s="44">
        <f t="shared" si="524"/>
        <v>0</v>
      </c>
      <c r="DA300" s="44">
        <f t="shared" si="593"/>
        <v>0</v>
      </c>
      <c r="DB300" s="44">
        <f t="shared" si="525"/>
        <v>0</v>
      </c>
      <c r="DC300" s="46">
        <f t="shared" si="526"/>
        <v>0</v>
      </c>
      <c r="DD300" s="47">
        <f t="shared" si="527"/>
        <v>0</v>
      </c>
      <c r="DE300" s="604">
        <f t="shared" si="594"/>
        <v>0</v>
      </c>
      <c r="DF300" s="44">
        <f t="shared" si="595"/>
        <v>0</v>
      </c>
      <c r="DG300" s="44">
        <f t="shared" si="596"/>
        <v>0</v>
      </c>
      <c r="DH300" s="44">
        <f t="shared" si="597"/>
        <v>0</v>
      </c>
      <c r="DI300" s="44">
        <f t="shared" si="598"/>
        <v>0</v>
      </c>
      <c r="DJ300" s="44">
        <f t="shared" si="599"/>
        <v>0</v>
      </c>
      <c r="DK300" s="44">
        <f t="shared" si="528"/>
        <v>0</v>
      </c>
      <c r="DL300" s="44">
        <f t="shared" si="600"/>
        <v>0</v>
      </c>
      <c r="DM300" s="44">
        <f t="shared" si="529"/>
        <v>0</v>
      </c>
      <c r="DN300" s="44">
        <f t="shared" si="601"/>
        <v>0</v>
      </c>
      <c r="DO300" s="44">
        <f t="shared" si="530"/>
        <v>0</v>
      </c>
      <c r="DP300" s="46">
        <f t="shared" si="531"/>
        <v>0</v>
      </c>
      <c r="DQ300" s="47">
        <f t="shared" si="532"/>
        <v>0</v>
      </c>
      <c r="DR300" s="604">
        <f t="shared" si="602"/>
        <v>0</v>
      </c>
      <c r="DS300" s="44">
        <f t="shared" si="603"/>
        <v>0</v>
      </c>
      <c r="DT300" s="44">
        <f t="shared" si="604"/>
        <v>0</v>
      </c>
      <c r="DU300" s="44">
        <f t="shared" si="605"/>
        <v>0</v>
      </c>
      <c r="DV300" s="44">
        <f t="shared" si="606"/>
        <v>0</v>
      </c>
      <c r="DW300" s="44">
        <f t="shared" si="607"/>
        <v>0</v>
      </c>
      <c r="DX300" s="44">
        <f t="shared" si="533"/>
        <v>0</v>
      </c>
      <c r="DY300" s="44">
        <f t="shared" si="608"/>
        <v>0</v>
      </c>
      <c r="DZ300" s="44">
        <f t="shared" si="534"/>
        <v>0</v>
      </c>
      <c r="EA300" s="44">
        <f t="shared" si="609"/>
        <v>0</v>
      </c>
      <c r="EB300" s="44">
        <f t="shared" si="535"/>
        <v>0</v>
      </c>
      <c r="EC300" s="46">
        <f t="shared" si="536"/>
        <v>0</v>
      </c>
      <c r="ED300" s="47">
        <f t="shared" si="537"/>
        <v>0</v>
      </c>
    </row>
    <row r="301" spans="1:134" x14ac:dyDescent="0.35">
      <c r="A301" s="172"/>
      <c r="B301" s="173"/>
      <c r="C301" s="174"/>
      <c r="D301" s="83"/>
      <c r="E301" s="87"/>
      <c r="F301" s="85"/>
      <c r="G301" s="86"/>
      <c r="H301" s="179"/>
      <c r="I301" s="180"/>
      <c r="J301" s="181"/>
      <c r="K301" s="42">
        <f t="shared" si="488"/>
        <v>0</v>
      </c>
      <c r="L301" s="43">
        <f t="shared" si="489"/>
        <v>0</v>
      </c>
      <c r="M301" s="44">
        <f t="shared" si="490"/>
        <v>0</v>
      </c>
      <c r="N301" s="44"/>
      <c r="O301" s="44">
        <f t="shared" si="491"/>
        <v>0</v>
      </c>
      <c r="P301" s="45"/>
      <c r="Q301" s="44">
        <f t="shared" si="492"/>
        <v>0</v>
      </c>
      <c r="R301" s="604">
        <f t="shared" si="538"/>
        <v>0</v>
      </c>
      <c r="S301" s="44">
        <f t="shared" si="539"/>
        <v>0</v>
      </c>
      <c r="T301" s="44">
        <f t="shared" si="540"/>
        <v>0</v>
      </c>
      <c r="U301" s="44">
        <f t="shared" si="541"/>
        <v>0</v>
      </c>
      <c r="V301" s="44">
        <f t="shared" si="542"/>
        <v>0</v>
      </c>
      <c r="W301" s="44">
        <f t="shared" si="543"/>
        <v>0</v>
      </c>
      <c r="X301" s="44">
        <f t="shared" si="493"/>
        <v>0</v>
      </c>
      <c r="Y301" s="44">
        <f t="shared" si="544"/>
        <v>0</v>
      </c>
      <c r="Z301" s="44">
        <f t="shared" si="494"/>
        <v>0</v>
      </c>
      <c r="AA301" s="44">
        <f t="shared" si="545"/>
        <v>0</v>
      </c>
      <c r="AB301" s="44">
        <f t="shared" si="495"/>
        <v>0</v>
      </c>
      <c r="AC301" s="46">
        <f t="shared" si="496"/>
        <v>0</v>
      </c>
      <c r="AD301" s="47">
        <f t="shared" si="497"/>
        <v>0</v>
      </c>
      <c r="AE301" s="604">
        <f t="shared" si="546"/>
        <v>0</v>
      </c>
      <c r="AF301" s="44">
        <f t="shared" si="547"/>
        <v>0</v>
      </c>
      <c r="AG301" s="44">
        <f t="shared" si="548"/>
        <v>0</v>
      </c>
      <c r="AH301" s="44">
        <f t="shared" si="549"/>
        <v>0</v>
      </c>
      <c r="AI301" s="44">
        <f t="shared" si="550"/>
        <v>0</v>
      </c>
      <c r="AJ301" s="44">
        <f t="shared" si="551"/>
        <v>0</v>
      </c>
      <c r="AK301" s="44">
        <f t="shared" si="498"/>
        <v>0</v>
      </c>
      <c r="AL301" s="44">
        <f t="shared" si="552"/>
        <v>0</v>
      </c>
      <c r="AM301" s="44">
        <f t="shared" si="499"/>
        <v>0</v>
      </c>
      <c r="AN301" s="44">
        <f t="shared" si="553"/>
        <v>0</v>
      </c>
      <c r="AO301" s="44">
        <f t="shared" si="500"/>
        <v>0</v>
      </c>
      <c r="AP301" s="46">
        <f t="shared" si="501"/>
        <v>0</v>
      </c>
      <c r="AQ301" s="47">
        <f t="shared" si="502"/>
        <v>0</v>
      </c>
      <c r="AR301" s="604">
        <f t="shared" si="554"/>
        <v>0</v>
      </c>
      <c r="AS301" s="44">
        <f t="shared" si="555"/>
        <v>0</v>
      </c>
      <c r="AT301" s="44">
        <f t="shared" si="556"/>
        <v>0</v>
      </c>
      <c r="AU301" s="44">
        <f t="shared" si="557"/>
        <v>0</v>
      </c>
      <c r="AV301" s="44">
        <f t="shared" si="558"/>
        <v>0</v>
      </c>
      <c r="AW301" s="44">
        <f t="shared" si="559"/>
        <v>0</v>
      </c>
      <c r="AX301" s="44">
        <f t="shared" si="503"/>
        <v>0</v>
      </c>
      <c r="AY301" s="44">
        <f t="shared" si="560"/>
        <v>0</v>
      </c>
      <c r="AZ301" s="44">
        <f t="shared" si="504"/>
        <v>0</v>
      </c>
      <c r="BA301" s="44">
        <f t="shared" si="561"/>
        <v>0</v>
      </c>
      <c r="BB301" s="44">
        <f t="shared" si="505"/>
        <v>0</v>
      </c>
      <c r="BC301" s="46">
        <f t="shared" si="506"/>
        <v>0</v>
      </c>
      <c r="BD301" s="47">
        <f t="shared" si="507"/>
        <v>0</v>
      </c>
      <c r="BE301" s="604">
        <f t="shared" si="562"/>
        <v>0</v>
      </c>
      <c r="BF301" s="44">
        <f t="shared" si="563"/>
        <v>0</v>
      </c>
      <c r="BG301" s="44">
        <f t="shared" si="564"/>
        <v>0</v>
      </c>
      <c r="BH301" s="44">
        <f t="shared" si="565"/>
        <v>0</v>
      </c>
      <c r="BI301" s="44">
        <f t="shared" si="566"/>
        <v>0</v>
      </c>
      <c r="BJ301" s="44">
        <f t="shared" si="567"/>
        <v>0</v>
      </c>
      <c r="BK301" s="44">
        <f t="shared" si="508"/>
        <v>0</v>
      </c>
      <c r="BL301" s="44">
        <f t="shared" si="568"/>
        <v>0</v>
      </c>
      <c r="BM301" s="44">
        <f t="shared" si="509"/>
        <v>0</v>
      </c>
      <c r="BN301" s="44">
        <f t="shared" si="569"/>
        <v>0</v>
      </c>
      <c r="BO301" s="44">
        <f t="shared" si="510"/>
        <v>0</v>
      </c>
      <c r="BP301" s="46">
        <f t="shared" si="511"/>
        <v>0</v>
      </c>
      <c r="BQ301" s="47">
        <f t="shared" si="512"/>
        <v>0</v>
      </c>
      <c r="BR301" s="604">
        <f t="shared" si="570"/>
        <v>0</v>
      </c>
      <c r="BS301" s="44">
        <f t="shared" si="571"/>
        <v>0</v>
      </c>
      <c r="BT301" s="44">
        <f t="shared" si="572"/>
        <v>0</v>
      </c>
      <c r="BU301" s="44">
        <f t="shared" si="573"/>
        <v>0</v>
      </c>
      <c r="BV301" s="44">
        <f t="shared" si="574"/>
        <v>0</v>
      </c>
      <c r="BW301" s="44">
        <f t="shared" si="575"/>
        <v>0</v>
      </c>
      <c r="BX301" s="44">
        <f t="shared" si="513"/>
        <v>0</v>
      </c>
      <c r="BY301" s="44">
        <f t="shared" si="576"/>
        <v>0</v>
      </c>
      <c r="BZ301" s="44">
        <f t="shared" si="514"/>
        <v>0</v>
      </c>
      <c r="CA301" s="44">
        <f t="shared" si="577"/>
        <v>0</v>
      </c>
      <c r="CB301" s="44">
        <f t="shared" si="515"/>
        <v>0</v>
      </c>
      <c r="CC301" s="46">
        <f t="shared" si="516"/>
        <v>0</v>
      </c>
      <c r="CD301" s="47">
        <f t="shared" si="517"/>
        <v>0</v>
      </c>
      <c r="CE301" s="604">
        <f t="shared" si="578"/>
        <v>0</v>
      </c>
      <c r="CF301" s="44">
        <f t="shared" si="579"/>
        <v>0</v>
      </c>
      <c r="CG301" s="44">
        <f t="shared" si="580"/>
        <v>0</v>
      </c>
      <c r="CH301" s="44">
        <f t="shared" si="581"/>
        <v>0</v>
      </c>
      <c r="CI301" s="44">
        <f t="shared" si="582"/>
        <v>0</v>
      </c>
      <c r="CJ301" s="44">
        <f t="shared" si="583"/>
        <v>0</v>
      </c>
      <c r="CK301" s="44">
        <f t="shared" si="518"/>
        <v>0</v>
      </c>
      <c r="CL301" s="44">
        <f t="shared" si="584"/>
        <v>0</v>
      </c>
      <c r="CM301" s="44">
        <f t="shared" si="519"/>
        <v>0</v>
      </c>
      <c r="CN301" s="44">
        <f t="shared" si="585"/>
        <v>0</v>
      </c>
      <c r="CO301" s="44">
        <f t="shared" si="520"/>
        <v>0</v>
      </c>
      <c r="CP301" s="46">
        <f t="shared" si="521"/>
        <v>0</v>
      </c>
      <c r="CQ301" s="47">
        <f t="shared" si="522"/>
        <v>0</v>
      </c>
      <c r="CR301" s="604">
        <f t="shared" si="586"/>
        <v>0</v>
      </c>
      <c r="CS301" s="44">
        <f t="shared" si="587"/>
        <v>0</v>
      </c>
      <c r="CT301" s="44">
        <f t="shared" si="588"/>
        <v>0</v>
      </c>
      <c r="CU301" s="44">
        <f t="shared" si="589"/>
        <v>0</v>
      </c>
      <c r="CV301" s="44">
        <f t="shared" si="590"/>
        <v>0</v>
      </c>
      <c r="CW301" s="44">
        <f t="shared" si="591"/>
        <v>0</v>
      </c>
      <c r="CX301" s="44">
        <f t="shared" si="523"/>
        <v>0</v>
      </c>
      <c r="CY301" s="44">
        <f t="shared" si="592"/>
        <v>0</v>
      </c>
      <c r="CZ301" s="44">
        <f t="shared" si="524"/>
        <v>0</v>
      </c>
      <c r="DA301" s="44">
        <f t="shared" si="593"/>
        <v>0</v>
      </c>
      <c r="DB301" s="44">
        <f t="shared" si="525"/>
        <v>0</v>
      </c>
      <c r="DC301" s="46">
        <f t="shared" si="526"/>
        <v>0</v>
      </c>
      <c r="DD301" s="47">
        <f t="shared" si="527"/>
        <v>0</v>
      </c>
      <c r="DE301" s="604">
        <f t="shared" si="594"/>
        <v>0</v>
      </c>
      <c r="DF301" s="44">
        <f t="shared" si="595"/>
        <v>0</v>
      </c>
      <c r="DG301" s="44">
        <f t="shared" si="596"/>
        <v>0</v>
      </c>
      <c r="DH301" s="44">
        <f t="shared" si="597"/>
        <v>0</v>
      </c>
      <c r="DI301" s="44">
        <f t="shared" si="598"/>
        <v>0</v>
      </c>
      <c r="DJ301" s="44">
        <f t="shared" si="599"/>
        <v>0</v>
      </c>
      <c r="DK301" s="44">
        <f t="shared" si="528"/>
        <v>0</v>
      </c>
      <c r="DL301" s="44">
        <f t="shared" si="600"/>
        <v>0</v>
      </c>
      <c r="DM301" s="44">
        <f t="shared" si="529"/>
        <v>0</v>
      </c>
      <c r="DN301" s="44">
        <f t="shared" si="601"/>
        <v>0</v>
      </c>
      <c r="DO301" s="44">
        <f t="shared" si="530"/>
        <v>0</v>
      </c>
      <c r="DP301" s="46">
        <f t="shared" si="531"/>
        <v>0</v>
      </c>
      <c r="DQ301" s="47">
        <f t="shared" si="532"/>
        <v>0</v>
      </c>
      <c r="DR301" s="604">
        <f t="shared" si="602"/>
        <v>0</v>
      </c>
      <c r="DS301" s="44">
        <f t="shared" si="603"/>
        <v>0</v>
      </c>
      <c r="DT301" s="44">
        <f t="shared" si="604"/>
        <v>0</v>
      </c>
      <c r="DU301" s="44">
        <f t="shared" si="605"/>
        <v>0</v>
      </c>
      <c r="DV301" s="44">
        <f t="shared" si="606"/>
        <v>0</v>
      </c>
      <c r="DW301" s="44">
        <f t="shared" si="607"/>
        <v>0</v>
      </c>
      <c r="DX301" s="44">
        <f t="shared" si="533"/>
        <v>0</v>
      </c>
      <c r="DY301" s="44">
        <f t="shared" si="608"/>
        <v>0</v>
      </c>
      <c r="DZ301" s="44">
        <f t="shared" si="534"/>
        <v>0</v>
      </c>
      <c r="EA301" s="44">
        <f t="shared" si="609"/>
        <v>0</v>
      </c>
      <c r="EB301" s="44">
        <f t="shared" si="535"/>
        <v>0</v>
      </c>
      <c r="EC301" s="46">
        <f t="shared" si="536"/>
        <v>0</v>
      </c>
      <c r="ED301" s="47">
        <f t="shared" si="537"/>
        <v>0</v>
      </c>
    </row>
    <row r="302" spans="1:134" x14ac:dyDescent="0.35">
      <c r="A302" s="172"/>
      <c r="B302" s="173"/>
      <c r="C302" s="174"/>
      <c r="D302" s="83"/>
      <c r="E302" s="87"/>
      <c r="F302" s="85"/>
      <c r="G302" s="86"/>
      <c r="H302" s="179"/>
      <c r="I302" s="180"/>
      <c r="J302" s="181"/>
      <c r="K302" s="42">
        <f t="shared" si="488"/>
        <v>0</v>
      </c>
      <c r="L302" s="43">
        <f t="shared" si="489"/>
        <v>0</v>
      </c>
      <c r="M302" s="44">
        <f t="shared" si="490"/>
        <v>0</v>
      </c>
      <c r="N302" s="44"/>
      <c r="O302" s="44">
        <f t="shared" si="491"/>
        <v>0</v>
      </c>
      <c r="P302" s="45"/>
      <c r="Q302" s="44">
        <f t="shared" si="492"/>
        <v>0</v>
      </c>
      <c r="R302" s="604">
        <f t="shared" si="538"/>
        <v>0</v>
      </c>
      <c r="S302" s="44">
        <f t="shared" si="539"/>
        <v>0</v>
      </c>
      <c r="T302" s="44">
        <f t="shared" si="540"/>
        <v>0</v>
      </c>
      <c r="U302" s="44">
        <f t="shared" si="541"/>
        <v>0</v>
      </c>
      <c r="V302" s="44">
        <f t="shared" si="542"/>
        <v>0</v>
      </c>
      <c r="W302" s="44">
        <f t="shared" si="543"/>
        <v>0</v>
      </c>
      <c r="X302" s="44">
        <f t="shared" si="493"/>
        <v>0</v>
      </c>
      <c r="Y302" s="44">
        <f t="shared" si="544"/>
        <v>0</v>
      </c>
      <c r="Z302" s="44">
        <f t="shared" si="494"/>
        <v>0</v>
      </c>
      <c r="AA302" s="44">
        <f t="shared" si="545"/>
        <v>0</v>
      </c>
      <c r="AB302" s="44">
        <f t="shared" si="495"/>
        <v>0</v>
      </c>
      <c r="AC302" s="46">
        <f t="shared" si="496"/>
        <v>0</v>
      </c>
      <c r="AD302" s="47">
        <f t="shared" si="497"/>
        <v>0</v>
      </c>
      <c r="AE302" s="604">
        <f t="shared" si="546"/>
        <v>0</v>
      </c>
      <c r="AF302" s="44">
        <f t="shared" si="547"/>
        <v>0</v>
      </c>
      <c r="AG302" s="44">
        <f t="shared" si="548"/>
        <v>0</v>
      </c>
      <c r="AH302" s="44">
        <f t="shared" si="549"/>
        <v>0</v>
      </c>
      <c r="AI302" s="44">
        <f t="shared" si="550"/>
        <v>0</v>
      </c>
      <c r="AJ302" s="44">
        <f t="shared" si="551"/>
        <v>0</v>
      </c>
      <c r="AK302" s="44">
        <f t="shared" si="498"/>
        <v>0</v>
      </c>
      <c r="AL302" s="44">
        <f t="shared" si="552"/>
        <v>0</v>
      </c>
      <c r="AM302" s="44">
        <f t="shared" si="499"/>
        <v>0</v>
      </c>
      <c r="AN302" s="44">
        <f t="shared" si="553"/>
        <v>0</v>
      </c>
      <c r="AO302" s="44">
        <f t="shared" si="500"/>
        <v>0</v>
      </c>
      <c r="AP302" s="46">
        <f t="shared" si="501"/>
        <v>0</v>
      </c>
      <c r="AQ302" s="47">
        <f t="shared" si="502"/>
        <v>0</v>
      </c>
      <c r="AR302" s="604">
        <f t="shared" si="554"/>
        <v>0</v>
      </c>
      <c r="AS302" s="44">
        <f t="shared" si="555"/>
        <v>0</v>
      </c>
      <c r="AT302" s="44">
        <f t="shared" si="556"/>
        <v>0</v>
      </c>
      <c r="AU302" s="44">
        <f t="shared" si="557"/>
        <v>0</v>
      </c>
      <c r="AV302" s="44">
        <f t="shared" si="558"/>
        <v>0</v>
      </c>
      <c r="AW302" s="44">
        <f t="shared" si="559"/>
        <v>0</v>
      </c>
      <c r="AX302" s="44">
        <f t="shared" si="503"/>
        <v>0</v>
      </c>
      <c r="AY302" s="44">
        <f t="shared" si="560"/>
        <v>0</v>
      </c>
      <c r="AZ302" s="44">
        <f t="shared" si="504"/>
        <v>0</v>
      </c>
      <c r="BA302" s="44">
        <f t="shared" si="561"/>
        <v>0</v>
      </c>
      <c r="BB302" s="44">
        <f t="shared" si="505"/>
        <v>0</v>
      </c>
      <c r="BC302" s="46">
        <f t="shared" si="506"/>
        <v>0</v>
      </c>
      <c r="BD302" s="47">
        <f t="shared" si="507"/>
        <v>0</v>
      </c>
      <c r="BE302" s="604">
        <f t="shared" si="562"/>
        <v>0</v>
      </c>
      <c r="BF302" s="44">
        <f t="shared" si="563"/>
        <v>0</v>
      </c>
      <c r="BG302" s="44">
        <f t="shared" si="564"/>
        <v>0</v>
      </c>
      <c r="BH302" s="44">
        <f t="shared" si="565"/>
        <v>0</v>
      </c>
      <c r="BI302" s="44">
        <f t="shared" si="566"/>
        <v>0</v>
      </c>
      <c r="BJ302" s="44">
        <f t="shared" si="567"/>
        <v>0</v>
      </c>
      <c r="BK302" s="44">
        <f t="shared" si="508"/>
        <v>0</v>
      </c>
      <c r="BL302" s="44">
        <f t="shared" si="568"/>
        <v>0</v>
      </c>
      <c r="BM302" s="44">
        <f t="shared" si="509"/>
        <v>0</v>
      </c>
      <c r="BN302" s="44">
        <f t="shared" si="569"/>
        <v>0</v>
      </c>
      <c r="BO302" s="44">
        <f t="shared" si="510"/>
        <v>0</v>
      </c>
      <c r="BP302" s="46">
        <f t="shared" si="511"/>
        <v>0</v>
      </c>
      <c r="BQ302" s="47">
        <f t="shared" si="512"/>
        <v>0</v>
      </c>
      <c r="BR302" s="604">
        <f t="shared" si="570"/>
        <v>0</v>
      </c>
      <c r="BS302" s="44">
        <f t="shared" si="571"/>
        <v>0</v>
      </c>
      <c r="BT302" s="44">
        <f t="shared" si="572"/>
        <v>0</v>
      </c>
      <c r="BU302" s="44">
        <f t="shared" si="573"/>
        <v>0</v>
      </c>
      <c r="BV302" s="44">
        <f t="shared" si="574"/>
        <v>0</v>
      </c>
      <c r="BW302" s="44">
        <f t="shared" si="575"/>
        <v>0</v>
      </c>
      <c r="BX302" s="44">
        <f t="shared" si="513"/>
        <v>0</v>
      </c>
      <c r="BY302" s="44">
        <f t="shared" si="576"/>
        <v>0</v>
      </c>
      <c r="BZ302" s="44">
        <f t="shared" si="514"/>
        <v>0</v>
      </c>
      <c r="CA302" s="44">
        <f t="shared" si="577"/>
        <v>0</v>
      </c>
      <c r="CB302" s="44">
        <f t="shared" si="515"/>
        <v>0</v>
      </c>
      <c r="CC302" s="46">
        <f t="shared" si="516"/>
        <v>0</v>
      </c>
      <c r="CD302" s="47">
        <f t="shared" si="517"/>
        <v>0</v>
      </c>
      <c r="CE302" s="604">
        <f t="shared" si="578"/>
        <v>0</v>
      </c>
      <c r="CF302" s="44">
        <f t="shared" si="579"/>
        <v>0</v>
      </c>
      <c r="CG302" s="44">
        <f t="shared" si="580"/>
        <v>0</v>
      </c>
      <c r="CH302" s="44">
        <f t="shared" si="581"/>
        <v>0</v>
      </c>
      <c r="CI302" s="44">
        <f t="shared" si="582"/>
        <v>0</v>
      </c>
      <c r="CJ302" s="44">
        <f t="shared" si="583"/>
        <v>0</v>
      </c>
      <c r="CK302" s="44">
        <f t="shared" si="518"/>
        <v>0</v>
      </c>
      <c r="CL302" s="44">
        <f t="shared" si="584"/>
        <v>0</v>
      </c>
      <c r="CM302" s="44">
        <f t="shared" si="519"/>
        <v>0</v>
      </c>
      <c r="CN302" s="44">
        <f t="shared" si="585"/>
        <v>0</v>
      </c>
      <c r="CO302" s="44">
        <f t="shared" si="520"/>
        <v>0</v>
      </c>
      <c r="CP302" s="46">
        <f t="shared" si="521"/>
        <v>0</v>
      </c>
      <c r="CQ302" s="47">
        <f t="shared" si="522"/>
        <v>0</v>
      </c>
      <c r="CR302" s="604">
        <f t="shared" si="586"/>
        <v>0</v>
      </c>
      <c r="CS302" s="44">
        <f t="shared" si="587"/>
        <v>0</v>
      </c>
      <c r="CT302" s="44">
        <f t="shared" si="588"/>
        <v>0</v>
      </c>
      <c r="CU302" s="44">
        <f t="shared" si="589"/>
        <v>0</v>
      </c>
      <c r="CV302" s="44">
        <f t="shared" si="590"/>
        <v>0</v>
      </c>
      <c r="CW302" s="44">
        <f t="shared" si="591"/>
        <v>0</v>
      </c>
      <c r="CX302" s="44">
        <f t="shared" si="523"/>
        <v>0</v>
      </c>
      <c r="CY302" s="44">
        <f t="shared" si="592"/>
        <v>0</v>
      </c>
      <c r="CZ302" s="44">
        <f t="shared" si="524"/>
        <v>0</v>
      </c>
      <c r="DA302" s="44">
        <f t="shared" si="593"/>
        <v>0</v>
      </c>
      <c r="DB302" s="44">
        <f t="shared" si="525"/>
        <v>0</v>
      </c>
      <c r="DC302" s="46">
        <f t="shared" si="526"/>
        <v>0</v>
      </c>
      <c r="DD302" s="47">
        <f t="shared" si="527"/>
        <v>0</v>
      </c>
      <c r="DE302" s="604">
        <f t="shared" si="594"/>
        <v>0</v>
      </c>
      <c r="DF302" s="44">
        <f t="shared" si="595"/>
        <v>0</v>
      </c>
      <c r="DG302" s="44">
        <f t="shared" si="596"/>
        <v>0</v>
      </c>
      <c r="DH302" s="44">
        <f t="shared" si="597"/>
        <v>0</v>
      </c>
      <c r="DI302" s="44">
        <f t="shared" si="598"/>
        <v>0</v>
      </c>
      <c r="DJ302" s="44">
        <f t="shared" si="599"/>
        <v>0</v>
      </c>
      <c r="DK302" s="44">
        <f t="shared" si="528"/>
        <v>0</v>
      </c>
      <c r="DL302" s="44">
        <f t="shared" si="600"/>
        <v>0</v>
      </c>
      <c r="DM302" s="44">
        <f t="shared" si="529"/>
        <v>0</v>
      </c>
      <c r="DN302" s="44">
        <f t="shared" si="601"/>
        <v>0</v>
      </c>
      <c r="DO302" s="44">
        <f t="shared" si="530"/>
        <v>0</v>
      </c>
      <c r="DP302" s="46">
        <f t="shared" si="531"/>
        <v>0</v>
      </c>
      <c r="DQ302" s="47">
        <f t="shared" si="532"/>
        <v>0</v>
      </c>
      <c r="DR302" s="604">
        <f t="shared" si="602"/>
        <v>0</v>
      </c>
      <c r="DS302" s="44">
        <f t="shared" si="603"/>
        <v>0</v>
      </c>
      <c r="DT302" s="44">
        <f t="shared" si="604"/>
        <v>0</v>
      </c>
      <c r="DU302" s="44">
        <f t="shared" si="605"/>
        <v>0</v>
      </c>
      <c r="DV302" s="44">
        <f t="shared" si="606"/>
        <v>0</v>
      </c>
      <c r="DW302" s="44">
        <f t="shared" si="607"/>
        <v>0</v>
      </c>
      <c r="DX302" s="44">
        <f t="shared" si="533"/>
        <v>0</v>
      </c>
      <c r="DY302" s="44">
        <f t="shared" si="608"/>
        <v>0</v>
      </c>
      <c r="DZ302" s="44">
        <f t="shared" si="534"/>
        <v>0</v>
      </c>
      <c r="EA302" s="44">
        <f t="shared" si="609"/>
        <v>0</v>
      </c>
      <c r="EB302" s="44">
        <f t="shared" si="535"/>
        <v>0</v>
      </c>
      <c r="EC302" s="46">
        <f t="shared" si="536"/>
        <v>0</v>
      </c>
      <c r="ED302" s="47">
        <f t="shared" si="537"/>
        <v>0</v>
      </c>
    </row>
    <row r="303" spans="1:134" x14ac:dyDescent="0.35">
      <c r="A303" s="172"/>
      <c r="B303" s="173"/>
      <c r="C303" s="174"/>
      <c r="D303" s="83"/>
      <c r="E303" s="87"/>
      <c r="F303" s="85"/>
      <c r="G303" s="86"/>
      <c r="H303" s="179"/>
      <c r="I303" s="180"/>
      <c r="J303" s="181"/>
      <c r="K303" s="42">
        <f t="shared" si="488"/>
        <v>0</v>
      </c>
      <c r="L303" s="43">
        <f t="shared" si="489"/>
        <v>0</v>
      </c>
      <c r="M303" s="44">
        <f t="shared" si="490"/>
        <v>0</v>
      </c>
      <c r="N303" s="44"/>
      <c r="O303" s="44">
        <f t="shared" si="491"/>
        <v>0</v>
      </c>
      <c r="P303" s="45"/>
      <c r="Q303" s="44">
        <f t="shared" si="492"/>
        <v>0</v>
      </c>
      <c r="R303" s="604">
        <f t="shared" si="538"/>
        <v>0</v>
      </c>
      <c r="S303" s="44">
        <f t="shared" si="539"/>
        <v>0</v>
      </c>
      <c r="T303" s="44">
        <f t="shared" si="540"/>
        <v>0</v>
      </c>
      <c r="U303" s="44">
        <f t="shared" si="541"/>
        <v>0</v>
      </c>
      <c r="V303" s="44">
        <f t="shared" si="542"/>
        <v>0</v>
      </c>
      <c r="W303" s="44">
        <f t="shared" si="543"/>
        <v>0</v>
      </c>
      <c r="X303" s="44">
        <f t="shared" si="493"/>
        <v>0</v>
      </c>
      <c r="Y303" s="44">
        <f t="shared" si="544"/>
        <v>0</v>
      </c>
      <c r="Z303" s="44">
        <f t="shared" si="494"/>
        <v>0</v>
      </c>
      <c r="AA303" s="44">
        <f t="shared" si="545"/>
        <v>0</v>
      </c>
      <c r="AB303" s="44">
        <f t="shared" si="495"/>
        <v>0</v>
      </c>
      <c r="AC303" s="46">
        <f t="shared" si="496"/>
        <v>0</v>
      </c>
      <c r="AD303" s="47">
        <f t="shared" si="497"/>
        <v>0</v>
      </c>
      <c r="AE303" s="604">
        <f t="shared" si="546"/>
        <v>0</v>
      </c>
      <c r="AF303" s="44">
        <f t="shared" si="547"/>
        <v>0</v>
      </c>
      <c r="AG303" s="44">
        <f t="shared" si="548"/>
        <v>0</v>
      </c>
      <c r="AH303" s="44">
        <f t="shared" si="549"/>
        <v>0</v>
      </c>
      <c r="AI303" s="44">
        <f t="shared" si="550"/>
        <v>0</v>
      </c>
      <c r="AJ303" s="44">
        <f t="shared" si="551"/>
        <v>0</v>
      </c>
      <c r="AK303" s="44">
        <f t="shared" si="498"/>
        <v>0</v>
      </c>
      <c r="AL303" s="44">
        <f t="shared" si="552"/>
        <v>0</v>
      </c>
      <c r="AM303" s="44">
        <f t="shared" si="499"/>
        <v>0</v>
      </c>
      <c r="AN303" s="44">
        <f t="shared" si="553"/>
        <v>0</v>
      </c>
      <c r="AO303" s="44">
        <f t="shared" si="500"/>
        <v>0</v>
      </c>
      <c r="AP303" s="46">
        <f t="shared" si="501"/>
        <v>0</v>
      </c>
      <c r="AQ303" s="47">
        <f t="shared" si="502"/>
        <v>0</v>
      </c>
      <c r="AR303" s="604">
        <f t="shared" si="554"/>
        <v>0</v>
      </c>
      <c r="AS303" s="44">
        <f t="shared" si="555"/>
        <v>0</v>
      </c>
      <c r="AT303" s="44">
        <f t="shared" si="556"/>
        <v>0</v>
      </c>
      <c r="AU303" s="44">
        <f t="shared" si="557"/>
        <v>0</v>
      </c>
      <c r="AV303" s="44">
        <f t="shared" si="558"/>
        <v>0</v>
      </c>
      <c r="AW303" s="44">
        <f t="shared" si="559"/>
        <v>0</v>
      </c>
      <c r="AX303" s="44">
        <f t="shared" si="503"/>
        <v>0</v>
      </c>
      <c r="AY303" s="44">
        <f t="shared" si="560"/>
        <v>0</v>
      </c>
      <c r="AZ303" s="44">
        <f t="shared" si="504"/>
        <v>0</v>
      </c>
      <c r="BA303" s="44">
        <f t="shared" si="561"/>
        <v>0</v>
      </c>
      <c r="BB303" s="44">
        <f t="shared" si="505"/>
        <v>0</v>
      </c>
      <c r="BC303" s="46">
        <f t="shared" si="506"/>
        <v>0</v>
      </c>
      <c r="BD303" s="47">
        <f t="shared" si="507"/>
        <v>0</v>
      </c>
      <c r="BE303" s="604">
        <f t="shared" si="562"/>
        <v>0</v>
      </c>
      <c r="BF303" s="44">
        <f t="shared" si="563"/>
        <v>0</v>
      </c>
      <c r="BG303" s="44">
        <f t="shared" si="564"/>
        <v>0</v>
      </c>
      <c r="BH303" s="44">
        <f t="shared" si="565"/>
        <v>0</v>
      </c>
      <c r="BI303" s="44">
        <f t="shared" si="566"/>
        <v>0</v>
      </c>
      <c r="BJ303" s="44">
        <f t="shared" si="567"/>
        <v>0</v>
      </c>
      <c r="BK303" s="44">
        <f t="shared" si="508"/>
        <v>0</v>
      </c>
      <c r="BL303" s="44">
        <f t="shared" si="568"/>
        <v>0</v>
      </c>
      <c r="BM303" s="44">
        <f t="shared" si="509"/>
        <v>0</v>
      </c>
      <c r="BN303" s="44">
        <f t="shared" si="569"/>
        <v>0</v>
      </c>
      <c r="BO303" s="44">
        <f t="shared" si="510"/>
        <v>0</v>
      </c>
      <c r="BP303" s="46">
        <f t="shared" si="511"/>
        <v>0</v>
      </c>
      <c r="BQ303" s="47">
        <f t="shared" si="512"/>
        <v>0</v>
      </c>
      <c r="BR303" s="604">
        <f t="shared" si="570"/>
        <v>0</v>
      </c>
      <c r="BS303" s="44">
        <f t="shared" si="571"/>
        <v>0</v>
      </c>
      <c r="BT303" s="44">
        <f t="shared" si="572"/>
        <v>0</v>
      </c>
      <c r="BU303" s="44">
        <f t="shared" si="573"/>
        <v>0</v>
      </c>
      <c r="BV303" s="44">
        <f t="shared" si="574"/>
        <v>0</v>
      </c>
      <c r="BW303" s="44">
        <f t="shared" si="575"/>
        <v>0</v>
      </c>
      <c r="BX303" s="44">
        <f t="shared" si="513"/>
        <v>0</v>
      </c>
      <c r="BY303" s="44">
        <f t="shared" si="576"/>
        <v>0</v>
      </c>
      <c r="BZ303" s="44">
        <f t="shared" si="514"/>
        <v>0</v>
      </c>
      <c r="CA303" s="44">
        <f t="shared" si="577"/>
        <v>0</v>
      </c>
      <c r="CB303" s="44">
        <f t="shared" si="515"/>
        <v>0</v>
      </c>
      <c r="CC303" s="46">
        <f t="shared" si="516"/>
        <v>0</v>
      </c>
      <c r="CD303" s="47">
        <f t="shared" si="517"/>
        <v>0</v>
      </c>
      <c r="CE303" s="604">
        <f t="shared" si="578"/>
        <v>0</v>
      </c>
      <c r="CF303" s="44">
        <f t="shared" si="579"/>
        <v>0</v>
      </c>
      <c r="CG303" s="44">
        <f t="shared" si="580"/>
        <v>0</v>
      </c>
      <c r="CH303" s="44">
        <f t="shared" si="581"/>
        <v>0</v>
      </c>
      <c r="CI303" s="44">
        <f t="shared" si="582"/>
        <v>0</v>
      </c>
      <c r="CJ303" s="44">
        <f t="shared" si="583"/>
        <v>0</v>
      </c>
      <c r="CK303" s="44">
        <f t="shared" si="518"/>
        <v>0</v>
      </c>
      <c r="CL303" s="44">
        <f t="shared" si="584"/>
        <v>0</v>
      </c>
      <c r="CM303" s="44">
        <f t="shared" si="519"/>
        <v>0</v>
      </c>
      <c r="CN303" s="44">
        <f t="shared" si="585"/>
        <v>0</v>
      </c>
      <c r="CO303" s="44">
        <f t="shared" si="520"/>
        <v>0</v>
      </c>
      <c r="CP303" s="46">
        <f t="shared" si="521"/>
        <v>0</v>
      </c>
      <c r="CQ303" s="47">
        <f t="shared" si="522"/>
        <v>0</v>
      </c>
      <c r="CR303" s="604">
        <f t="shared" si="586"/>
        <v>0</v>
      </c>
      <c r="CS303" s="44">
        <f t="shared" si="587"/>
        <v>0</v>
      </c>
      <c r="CT303" s="44">
        <f t="shared" si="588"/>
        <v>0</v>
      </c>
      <c r="CU303" s="44">
        <f t="shared" si="589"/>
        <v>0</v>
      </c>
      <c r="CV303" s="44">
        <f t="shared" si="590"/>
        <v>0</v>
      </c>
      <c r="CW303" s="44">
        <f t="shared" si="591"/>
        <v>0</v>
      </c>
      <c r="CX303" s="44">
        <f t="shared" si="523"/>
        <v>0</v>
      </c>
      <c r="CY303" s="44">
        <f t="shared" si="592"/>
        <v>0</v>
      </c>
      <c r="CZ303" s="44">
        <f t="shared" si="524"/>
        <v>0</v>
      </c>
      <c r="DA303" s="44">
        <f t="shared" si="593"/>
        <v>0</v>
      </c>
      <c r="DB303" s="44">
        <f t="shared" si="525"/>
        <v>0</v>
      </c>
      <c r="DC303" s="46">
        <f t="shared" si="526"/>
        <v>0</v>
      </c>
      <c r="DD303" s="47">
        <f t="shared" si="527"/>
        <v>0</v>
      </c>
      <c r="DE303" s="604">
        <f t="shared" si="594"/>
        <v>0</v>
      </c>
      <c r="DF303" s="44">
        <f t="shared" si="595"/>
        <v>0</v>
      </c>
      <c r="DG303" s="44">
        <f t="shared" si="596"/>
        <v>0</v>
      </c>
      <c r="DH303" s="44">
        <f t="shared" si="597"/>
        <v>0</v>
      </c>
      <c r="DI303" s="44">
        <f t="shared" si="598"/>
        <v>0</v>
      </c>
      <c r="DJ303" s="44">
        <f t="shared" si="599"/>
        <v>0</v>
      </c>
      <c r="DK303" s="44">
        <f t="shared" si="528"/>
        <v>0</v>
      </c>
      <c r="DL303" s="44">
        <f t="shared" si="600"/>
        <v>0</v>
      </c>
      <c r="DM303" s="44">
        <f t="shared" si="529"/>
        <v>0</v>
      </c>
      <c r="DN303" s="44">
        <f t="shared" si="601"/>
        <v>0</v>
      </c>
      <c r="DO303" s="44">
        <f t="shared" si="530"/>
        <v>0</v>
      </c>
      <c r="DP303" s="46">
        <f t="shared" si="531"/>
        <v>0</v>
      </c>
      <c r="DQ303" s="47">
        <f t="shared" si="532"/>
        <v>0</v>
      </c>
      <c r="DR303" s="604">
        <f t="shared" si="602"/>
        <v>0</v>
      </c>
      <c r="DS303" s="44">
        <f t="shared" si="603"/>
        <v>0</v>
      </c>
      <c r="DT303" s="44">
        <f t="shared" si="604"/>
        <v>0</v>
      </c>
      <c r="DU303" s="44">
        <f t="shared" si="605"/>
        <v>0</v>
      </c>
      <c r="DV303" s="44">
        <f t="shared" si="606"/>
        <v>0</v>
      </c>
      <c r="DW303" s="44">
        <f t="shared" si="607"/>
        <v>0</v>
      </c>
      <c r="DX303" s="44">
        <f t="shared" si="533"/>
        <v>0</v>
      </c>
      <c r="DY303" s="44">
        <f t="shared" si="608"/>
        <v>0</v>
      </c>
      <c r="DZ303" s="44">
        <f t="shared" si="534"/>
        <v>0</v>
      </c>
      <c r="EA303" s="44">
        <f t="shared" si="609"/>
        <v>0</v>
      </c>
      <c r="EB303" s="44">
        <f t="shared" si="535"/>
        <v>0</v>
      </c>
      <c r="EC303" s="46">
        <f t="shared" si="536"/>
        <v>0</v>
      </c>
      <c r="ED303" s="47">
        <f t="shared" si="537"/>
        <v>0</v>
      </c>
    </row>
    <row r="304" spans="1:134" x14ac:dyDescent="0.35">
      <c r="A304" s="172"/>
      <c r="B304" s="173"/>
      <c r="C304" s="174"/>
      <c r="D304" s="83"/>
      <c r="E304" s="87"/>
      <c r="F304" s="85"/>
      <c r="G304" s="86"/>
      <c r="H304" s="179"/>
      <c r="I304" s="180"/>
      <c r="J304" s="181"/>
      <c r="K304" s="42">
        <f t="shared" si="488"/>
        <v>0</v>
      </c>
      <c r="L304" s="43">
        <f t="shared" si="489"/>
        <v>0</v>
      </c>
      <c r="M304" s="44">
        <f t="shared" si="490"/>
        <v>0</v>
      </c>
      <c r="N304" s="44"/>
      <c r="O304" s="44">
        <f t="shared" si="491"/>
        <v>0</v>
      </c>
      <c r="P304" s="45"/>
      <c r="Q304" s="44">
        <f t="shared" si="492"/>
        <v>0</v>
      </c>
      <c r="R304" s="604">
        <f t="shared" si="538"/>
        <v>0</v>
      </c>
      <c r="S304" s="44">
        <f t="shared" si="539"/>
        <v>0</v>
      </c>
      <c r="T304" s="44">
        <f t="shared" si="540"/>
        <v>0</v>
      </c>
      <c r="U304" s="44">
        <f t="shared" si="541"/>
        <v>0</v>
      </c>
      <c r="V304" s="44">
        <f t="shared" si="542"/>
        <v>0</v>
      </c>
      <c r="W304" s="44">
        <f t="shared" si="543"/>
        <v>0</v>
      </c>
      <c r="X304" s="44">
        <f t="shared" si="493"/>
        <v>0</v>
      </c>
      <c r="Y304" s="44">
        <f t="shared" si="544"/>
        <v>0</v>
      </c>
      <c r="Z304" s="44">
        <f t="shared" si="494"/>
        <v>0</v>
      </c>
      <c r="AA304" s="44">
        <f t="shared" si="545"/>
        <v>0</v>
      </c>
      <c r="AB304" s="44">
        <f t="shared" si="495"/>
        <v>0</v>
      </c>
      <c r="AC304" s="46">
        <f t="shared" si="496"/>
        <v>0</v>
      </c>
      <c r="AD304" s="47">
        <f t="shared" si="497"/>
        <v>0</v>
      </c>
      <c r="AE304" s="604">
        <f t="shared" si="546"/>
        <v>0</v>
      </c>
      <c r="AF304" s="44">
        <f t="shared" si="547"/>
        <v>0</v>
      </c>
      <c r="AG304" s="44">
        <f t="shared" si="548"/>
        <v>0</v>
      </c>
      <c r="AH304" s="44">
        <f t="shared" si="549"/>
        <v>0</v>
      </c>
      <c r="AI304" s="44">
        <f t="shared" si="550"/>
        <v>0</v>
      </c>
      <c r="AJ304" s="44">
        <f t="shared" si="551"/>
        <v>0</v>
      </c>
      <c r="AK304" s="44">
        <f t="shared" si="498"/>
        <v>0</v>
      </c>
      <c r="AL304" s="44">
        <f t="shared" si="552"/>
        <v>0</v>
      </c>
      <c r="AM304" s="44">
        <f t="shared" si="499"/>
        <v>0</v>
      </c>
      <c r="AN304" s="44">
        <f t="shared" si="553"/>
        <v>0</v>
      </c>
      <c r="AO304" s="44">
        <f t="shared" si="500"/>
        <v>0</v>
      </c>
      <c r="AP304" s="46">
        <f t="shared" si="501"/>
        <v>0</v>
      </c>
      <c r="AQ304" s="47">
        <f t="shared" si="502"/>
        <v>0</v>
      </c>
      <c r="AR304" s="604">
        <f t="shared" si="554"/>
        <v>0</v>
      </c>
      <c r="AS304" s="44">
        <f t="shared" si="555"/>
        <v>0</v>
      </c>
      <c r="AT304" s="44">
        <f t="shared" si="556"/>
        <v>0</v>
      </c>
      <c r="AU304" s="44">
        <f t="shared" si="557"/>
        <v>0</v>
      </c>
      <c r="AV304" s="44">
        <f t="shared" si="558"/>
        <v>0</v>
      </c>
      <c r="AW304" s="44">
        <f t="shared" si="559"/>
        <v>0</v>
      </c>
      <c r="AX304" s="44">
        <f t="shared" si="503"/>
        <v>0</v>
      </c>
      <c r="AY304" s="44">
        <f t="shared" si="560"/>
        <v>0</v>
      </c>
      <c r="AZ304" s="44">
        <f t="shared" si="504"/>
        <v>0</v>
      </c>
      <c r="BA304" s="44">
        <f t="shared" si="561"/>
        <v>0</v>
      </c>
      <c r="BB304" s="44">
        <f t="shared" si="505"/>
        <v>0</v>
      </c>
      <c r="BC304" s="46">
        <f t="shared" si="506"/>
        <v>0</v>
      </c>
      <c r="BD304" s="47">
        <f t="shared" si="507"/>
        <v>0</v>
      </c>
      <c r="BE304" s="604">
        <f t="shared" si="562"/>
        <v>0</v>
      </c>
      <c r="BF304" s="44">
        <f t="shared" si="563"/>
        <v>0</v>
      </c>
      <c r="BG304" s="44">
        <f t="shared" si="564"/>
        <v>0</v>
      </c>
      <c r="BH304" s="44">
        <f t="shared" si="565"/>
        <v>0</v>
      </c>
      <c r="BI304" s="44">
        <f t="shared" si="566"/>
        <v>0</v>
      </c>
      <c r="BJ304" s="44">
        <f t="shared" si="567"/>
        <v>0</v>
      </c>
      <c r="BK304" s="44">
        <f t="shared" si="508"/>
        <v>0</v>
      </c>
      <c r="BL304" s="44">
        <f t="shared" si="568"/>
        <v>0</v>
      </c>
      <c r="BM304" s="44">
        <f t="shared" si="509"/>
        <v>0</v>
      </c>
      <c r="BN304" s="44">
        <f t="shared" si="569"/>
        <v>0</v>
      </c>
      <c r="BO304" s="44">
        <f t="shared" si="510"/>
        <v>0</v>
      </c>
      <c r="BP304" s="46">
        <f t="shared" si="511"/>
        <v>0</v>
      </c>
      <c r="BQ304" s="47">
        <f t="shared" si="512"/>
        <v>0</v>
      </c>
      <c r="BR304" s="604">
        <f t="shared" si="570"/>
        <v>0</v>
      </c>
      <c r="BS304" s="44">
        <f t="shared" si="571"/>
        <v>0</v>
      </c>
      <c r="BT304" s="44">
        <f t="shared" si="572"/>
        <v>0</v>
      </c>
      <c r="BU304" s="44">
        <f t="shared" si="573"/>
        <v>0</v>
      </c>
      <c r="BV304" s="44">
        <f t="shared" si="574"/>
        <v>0</v>
      </c>
      <c r="BW304" s="44">
        <f t="shared" si="575"/>
        <v>0</v>
      </c>
      <c r="BX304" s="44">
        <f t="shared" si="513"/>
        <v>0</v>
      </c>
      <c r="BY304" s="44">
        <f t="shared" si="576"/>
        <v>0</v>
      </c>
      <c r="BZ304" s="44">
        <f t="shared" si="514"/>
        <v>0</v>
      </c>
      <c r="CA304" s="44">
        <f t="shared" si="577"/>
        <v>0</v>
      </c>
      <c r="CB304" s="44">
        <f t="shared" si="515"/>
        <v>0</v>
      </c>
      <c r="CC304" s="46">
        <f t="shared" si="516"/>
        <v>0</v>
      </c>
      <c r="CD304" s="47">
        <f t="shared" si="517"/>
        <v>0</v>
      </c>
      <c r="CE304" s="604">
        <f t="shared" si="578"/>
        <v>0</v>
      </c>
      <c r="CF304" s="44">
        <f t="shared" si="579"/>
        <v>0</v>
      </c>
      <c r="CG304" s="44">
        <f t="shared" si="580"/>
        <v>0</v>
      </c>
      <c r="CH304" s="44">
        <f t="shared" si="581"/>
        <v>0</v>
      </c>
      <c r="CI304" s="44">
        <f t="shared" si="582"/>
        <v>0</v>
      </c>
      <c r="CJ304" s="44">
        <f t="shared" si="583"/>
        <v>0</v>
      </c>
      <c r="CK304" s="44">
        <f t="shared" si="518"/>
        <v>0</v>
      </c>
      <c r="CL304" s="44">
        <f t="shared" si="584"/>
        <v>0</v>
      </c>
      <c r="CM304" s="44">
        <f t="shared" si="519"/>
        <v>0</v>
      </c>
      <c r="CN304" s="44">
        <f t="shared" si="585"/>
        <v>0</v>
      </c>
      <c r="CO304" s="44">
        <f t="shared" si="520"/>
        <v>0</v>
      </c>
      <c r="CP304" s="46">
        <f t="shared" si="521"/>
        <v>0</v>
      </c>
      <c r="CQ304" s="47">
        <f t="shared" si="522"/>
        <v>0</v>
      </c>
      <c r="CR304" s="604">
        <f t="shared" si="586"/>
        <v>0</v>
      </c>
      <c r="CS304" s="44">
        <f t="shared" si="587"/>
        <v>0</v>
      </c>
      <c r="CT304" s="44">
        <f t="shared" si="588"/>
        <v>0</v>
      </c>
      <c r="CU304" s="44">
        <f t="shared" si="589"/>
        <v>0</v>
      </c>
      <c r="CV304" s="44">
        <f t="shared" si="590"/>
        <v>0</v>
      </c>
      <c r="CW304" s="44">
        <f t="shared" si="591"/>
        <v>0</v>
      </c>
      <c r="CX304" s="44">
        <f t="shared" si="523"/>
        <v>0</v>
      </c>
      <c r="CY304" s="44">
        <f t="shared" si="592"/>
        <v>0</v>
      </c>
      <c r="CZ304" s="44">
        <f t="shared" si="524"/>
        <v>0</v>
      </c>
      <c r="DA304" s="44">
        <f t="shared" si="593"/>
        <v>0</v>
      </c>
      <c r="DB304" s="44">
        <f t="shared" si="525"/>
        <v>0</v>
      </c>
      <c r="DC304" s="46">
        <f t="shared" si="526"/>
        <v>0</v>
      </c>
      <c r="DD304" s="47">
        <f t="shared" si="527"/>
        <v>0</v>
      </c>
      <c r="DE304" s="604">
        <f t="shared" si="594"/>
        <v>0</v>
      </c>
      <c r="DF304" s="44">
        <f t="shared" si="595"/>
        <v>0</v>
      </c>
      <c r="DG304" s="44">
        <f t="shared" si="596"/>
        <v>0</v>
      </c>
      <c r="DH304" s="44">
        <f t="shared" si="597"/>
        <v>0</v>
      </c>
      <c r="DI304" s="44">
        <f t="shared" si="598"/>
        <v>0</v>
      </c>
      <c r="DJ304" s="44">
        <f t="shared" si="599"/>
        <v>0</v>
      </c>
      <c r="DK304" s="44">
        <f t="shared" si="528"/>
        <v>0</v>
      </c>
      <c r="DL304" s="44">
        <f t="shared" si="600"/>
        <v>0</v>
      </c>
      <c r="DM304" s="44">
        <f t="shared" si="529"/>
        <v>0</v>
      </c>
      <c r="DN304" s="44">
        <f t="shared" si="601"/>
        <v>0</v>
      </c>
      <c r="DO304" s="44">
        <f t="shared" si="530"/>
        <v>0</v>
      </c>
      <c r="DP304" s="46">
        <f t="shared" si="531"/>
        <v>0</v>
      </c>
      <c r="DQ304" s="47">
        <f t="shared" si="532"/>
        <v>0</v>
      </c>
      <c r="DR304" s="604">
        <f t="shared" si="602"/>
        <v>0</v>
      </c>
      <c r="DS304" s="44">
        <f t="shared" si="603"/>
        <v>0</v>
      </c>
      <c r="DT304" s="44">
        <f t="shared" si="604"/>
        <v>0</v>
      </c>
      <c r="DU304" s="44">
        <f t="shared" si="605"/>
        <v>0</v>
      </c>
      <c r="DV304" s="44">
        <f t="shared" si="606"/>
        <v>0</v>
      </c>
      <c r="DW304" s="44">
        <f t="shared" si="607"/>
        <v>0</v>
      </c>
      <c r="DX304" s="44">
        <f t="shared" si="533"/>
        <v>0</v>
      </c>
      <c r="DY304" s="44">
        <f t="shared" si="608"/>
        <v>0</v>
      </c>
      <c r="DZ304" s="44">
        <f t="shared" si="534"/>
        <v>0</v>
      </c>
      <c r="EA304" s="44">
        <f t="shared" si="609"/>
        <v>0</v>
      </c>
      <c r="EB304" s="44">
        <f t="shared" si="535"/>
        <v>0</v>
      </c>
      <c r="EC304" s="46">
        <f t="shared" si="536"/>
        <v>0</v>
      </c>
      <c r="ED304" s="47">
        <f t="shared" si="537"/>
        <v>0</v>
      </c>
    </row>
    <row r="305" spans="1:134" x14ac:dyDescent="0.35">
      <c r="A305" s="172"/>
      <c r="B305" s="173"/>
      <c r="C305" s="174"/>
      <c r="D305" s="83"/>
      <c r="E305" s="87"/>
      <c r="F305" s="85"/>
      <c r="G305" s="86"/>
      <c r="H305" s="179"/>
      <c r="I305" s="180"/>
      <c r="J305" s="181"/>
      <c r="K305" s="42">
        <f t="shared" si="488"/>
        <v>0</v>
      </c>
      <c r="L305" s="43">
        <f t="shared" si="489"/>
        <v>0</v>
      </c>
      <c r="M305" s="44">
        <f t="shared" si="490"/>
        <v>0</v>
      </c>
      <c r="N305" s="44"/>
      <c r="O305" s="44">
        <f t="shared" si="491"/>
        <v>0</v>
      </c>
      <c r="P305" s="45"/>
      <c r="Q305" s="44">
        <f t="shared" si="492"/>
        <v>0</v>
      </c>
      <c r="R305" s="604">
        <f t="shared" si="538"/>
        <v>0</v>
      </c>
      <c r="S305" s="44">
        <f t="shared" si="539"/>
        <v>0</v>
      </c>
      <c r="T305" s="44">
        <f t="shared" si="540"/>
        <v>0</v>
      </c>
      <c r="U305" s="44">
        <f t="shared" si="541"/>
        <v>0</v>
      </c>
      <c r="V305" s="44">
        <f t="shared" si="542"/>
        <v>0</v>
      </c>
      <c r="W305" s="44">
        <f t="shared" si="543"/>
        <v>0</v>
      </c>
      <c r="X305" s="44">
        <f t="shared" si="493"/>
        <v>0</v>
      </c>
      <c r="Y305" s="44">
        <f t="shared" si="544"/>
        <v>0</v>
      </c>
      <c r="Z305" s="44">
        <f t="shared" si="494"/>
        <v>0</v>
      </c>
      <c r="AA305" s="44">
        <f t="shared" si="545"/>
        <v>0</v>
      </c>
      <c r="AB305" s="44">
        <f t="shared" si="495"/>
        <v>0</v>
      </c>
      <c r="AC305" s="46">
        <f t="shared" si="496"/>
        <v>0</v>
      </c>
      <c r="AD305" s="47">
        <f t="shared" si="497"/>
        <v>0</v>
      </c>
      <c r="AE305" s="604">
        <f t="shared" si="546"/>
        <v>0</v>
      </c>
      <c r="AF305" s="44">
        <f t="shared" si="547"/>
        <v>0</v>
      </c>
      <c r="AG305" s="44">
        <f t="shared" si="548"/>
        <v>0</v>
      </c>
      <c r="AH305" s="44">
        <f t="shared" si="549"/>
        <v>0</v>
      </c>
      <c r="AI305" s="44">
        <f t="shared" si="550"/>
        <v>0</v>
      </c>
      <c r="AJ305" s="44">
        <f t="shared" si="551"/>
        <v>0</v>
      </c>
      <c r="AK305" s="44">
        <f t="shared" si="498"/>
        <v>0</v>
      </c>
      <c r="AL305" s="44">
        <f t="shared" si="552"/>
        <v>0</v>
      </c>
      <c r="AM305" s="44">
        <f t="shared" si="499"/>
        <v>0</v>
      </c>
      <c r="AN305" s="44">
        <f t="shared" si="553"/>
        <v>0</v>
      </c>
      <c r="AO305" s="44">
        <f t="shared" si="500"/>
        <v>0</v>
      </c>
      <c r="AP305" s="46">
        <f t="shared" si="501"/>
        <v>0</v>
      </c>
      <c r="AQ305" s="47">
        <f t="shared" si="502"/>
        <v>0</v>
      </c>
      <c r="AR305" s="604">
        <f t="shared" si="554"/>
        <v>0</v>
      </c>
      <c r="AS305" s="44">
        <f t="shared" si="555"/>
        <v>0</v>
      </c>
      <c r="AT305" s="44">
        <f t="shared" si="556"/>
        <v>0</v>
      </c>
      <c r="AU305" s="44">
        <f t="shared" si="557"/>
        <v>0</v>
      </c>
      <c r="AV305" s="44">
        <f t="shared" si="558"/>
        <v>0</v>
      </c>
      <c r="AW305" s="44">
        <f t="shared" si="559"/>
        <v>0</v>
      </c>
      <c r="AX305" s="44">
        <f t="shared" si="503"/>
        <v>0</v>
      </c>
      <c r="AY305" s="44">
        <f t="shared" si="560"/>
        <v>0</v>
      </c>
      <c r="AZ305" s="44">
        <f t="shared" si="504"/>
        <v>0</v>
      </c>
      <c r="BA305" s="44">
        <f t="shared" si="561"/>
        <v>0</v>
      </c>
      <c r="BB305" s="44">
        <f t="shared" si="505"/>
        <v>0</v>
      </c>
      <c r="BC305" s="46">
        <f t="shared" si="506"/>
        <v>0</v>
      </c>
      <c r="BD305" s="47">
        <f t="shared" si="507"/>
        <v>0</v>
      </c>
      <c r="BE305" s="604">
        <f t="shared" si="562"/>
        <v>0</v>
      </c>
      <c r="BF305" s="44">
        <f t="shared" si="563"/>
        <v>0</v>
      </c>
      <c r="BG305" s="44">
        <f t="shared" si="564"/>
        <v>0</v>
      </c>
      <c r="BH305" s="44">
        <f t="shared" si="565"/>
        <v>0</v>
      </c>
      <c r="BI305" s="44">
        <f t="shared" si="566"/>
        <v>0</v>
      </c>
      <c r="BJ305" s="44">
        <f t="shared" si="567"/>
        <v>0</v>
      </c>
      <c r="BK305" s="44">
        <f t="shared" si="508"/>
        <v>0</v>
      </c>
      <c r="BL305" s="44">
        <f t="shared" si="568"/>
        <v>0</v>
      </c>
      <c r="BM305" s="44">
        <f t="shared" si="509"/>
        <v>0</v>
      </c>
      <c r="BN305" s="44">
        <f t="shared" si="569"/>
        <v>0</v>
      </c>
      <c r="BO305" s="44">
        <f t="shared" si="510"/>
        <v>0</v>
      </c>
      <c r="BP305" s="46">
        <f t="shared" si="511"/>
        <v>0</v>
      </c>
      <c r="BQ305" s="47">
        <f t="shared" si="512"/>
        <v>0</v>
      </c>
      <c r="BR305" s="604">
        <f t="shared" si="570"/>
        <v>0</v>
      </c>
      <c r="BS305" s="44">
        <f t="shared" si="571"/>
        <v>0</v>
      </c>
      <c r="BT305" s="44">
        <f t="shared" si="572"/>
        <v>0</v>
      </c>
      <c r="BU305" s="44">
        <f t="shared" si="573"/>
        <v>0</v>
      </c>
      <c r="BV305" s="44">
        <f t="shared" si="574"/>
        <v>0</v>
      </c>
      <c r="BW305" s="44">
        <f t="shared" si="575"/>
        <v>0</v>
      </c>
      <c r="BX305" s="44">
        <f t="shared" si="513"/>
        <v>0</v>
      </c>
      <c r="BY305" s="44">
        <f t="shared" si="576"/>
        <v>0</v>
      </c>
      <c r="BZ305" s="44">
        <f t="shared" si="514"/>
        <v>0</v>
      </c>
      <c r="CA305" s="44">
        <f t="shared" si="577"/>
        <v>0</v>
      </c>
      <c r="CB305" s="44">
        <f t="shared" si="515"/>
        <v>0</v>
      </c>
      <c r="CC305" s="46">
        <f t="shared" si="516"/>
        <v>0</v>
      </c>
      <c r="CD305" s="47">
        <f t="shared" si="517"/>
        <v>0</v>
      </c>
      <c r="CE305" s="604">
        <f t="shared" si="578"/>
        <v>0</v>
      </c>
      <c r="CF305" s="44">
        <f t="shared" si="579"/>
        <v>0</v>
      </c>
      <c r="CG305" s="44">
        <f t="shared" si="580"/>
        <v>0</v>
      </c>
      <c r="CH305" s="44">
        <f t="shared" si="581"/>
        <v>0</v>
      </c>
      <c r="CI305" s="44">
        <f t="shared" si="582"/>
        <v>0</v>
      </c>
      <c r="CJ305" s="44">
        <f t="shared" si="583"/>
        <v>0</v>
      </c>
      <c r="CK305" s="44">
        <f t="shared" si="518"/>
        <v>0</v>
      </c>
      <c r="CL305" s="44">
        <f t="shared" si="584"/>
        <v>0</v>
      </c>
      <c r="CM305" s="44">
        <f t="shared" si="519"/>
        <v>0</v>
      </c>
      <c r="CN305" s="44">
        <f t="shared" si="585"/>
        <v>0</v>
      </c>
      <c r="CO305" s="44">
        <f t="shared" si="520"/>
        <v>0</v>
      </c>
      <c r="CP305" s="46">
        <f t="shared" si="521"/>
        <v>0</v>
      </c>
      <c r="CQ305" s="47">
        <f t="shared" si="522"/>
        <v>0</v>
      </c>
      <c r="CR305" s="604">
        <f t="shared" si="586"/>
        <v>0</v>
      </c>
      <c r="CS305" s="44">
        <f t="shared" si="587"/>
        <v>0</v>
      </c>
      <c r="CT305" s="44">
        <f t="shared" si="588"/>
        <v>0</v>
      </c>
      <c r="CU305" s="44">
        <f t="shared" si="589"/>
        <v>0</v>
      </c>
      <c r="CV305" s="44">
        <f t="shared" si="590"/>
        <v>0</v>
      </c>
      <c r="CW305" s="44">
        <f t="shared" si="591"/>
        <v>0</v>
      </c>
      <c r="CX305" s="44">
        <f t="shared" si="523"/>
        <v>0</v>
      </c>
      <c r="CY305" s="44">
        <f t="shared" si="592"/>
        <v>0</v>
      </c>
      <c r="CZ305" s="44">
        <f t="shared" si="524"/>
        <v>0</v>
      </c>
      <c r="DA305" s="44">
        <f t="shared" si="593"/>
        <v>0</v>
      </c>
      <c r="DB305" s="44">
        <f t="shared" si="525"/>
        <v>0</v>
      </c>
      <c r="DC305" s="46">
        <f t="shared" si="526"/>
        <v>0</v>
      </c>
      <c r="DD305" s="47">
        <f t="shared" si="527"/>
        <v>0</v>
      </c>
      <c r="DE305" s="604">
        <f t="shared" si="594"/>
        <v>0</v>
      </c>
      <c r="DF305" s="44">
        <f t="shared" si="595"/>
        <v>0</v>
      </c>
      <c r="DG305" s="44">
        <f t="shared" si="596"/>
        <v>0</v>
      </c>
      <c r="DH305" s="44">
        <f t="shared" si="597"/>
        <v>0</v>
      </c>
      <c r="DI305" s="44">
        <f t="shared" si="598"/>
        <v>0</v>
      </c>
      <c r="DJ305" s="44">
        <f t="shared" si="599"/>
        <v>0</v>
      </c>
      <c r="DK305" s="44">
        <f t="shared" si="528"/>
        <v>0</v>
      </c>
      <c r="DL305" s="44">
        <f t="shared" si="600"/>
        <v>0</v>
      </c>
      <c r="DM305" s="44">
        <f t="shared" si="529"/>
        <v>0</v>
      </c>
      <c r="DN305" s="44">
        <f t="shared" si="601"/>
        <v>0</v>
      </c>
      <c r="DO305" s="44">
        <f t="shared" si="530"/>
        <v>0</v>
      </c>
      <c r="DP305" s="46">
        <f t="shared" si="531"/>
        <v>0</v>
      </c>
      <c r="DQ305" s="47">
        <f t="shared" si="532"/>
        <v>0</v>
      </c>
      <c r="DR305" s="604">
        <f t="shared" si="602"/>
        <v>0</v>
      </c>
      <c r="DS305" s="44">
        <f t="shared" si="603"/>
        <v>0</v>
      </c>
      <c r="DT305" s="44">
        <f t="shared" si="604"/>
        <v>0</v>
      </c>
      <c r="DU305" s="44">
        <f t="shared" si="605"/>
        <v>0</v>
      </c>
      <c r="DV305" s="44">
        <f t="shared" si="606"/>
        <v>0</v>
      </c>
      <c r="DW305" s="44">
        <f t="shared" si="607"/>
        <v>0</v>
      </c>
      <c r="DX305" s="44">
        <f t="shared" si="533"/>
        <v>0</v>
      </c>
      <c r="DY305" s="44">
        <f t="shared" si="608"/>
        <v>0</v>
      </c>
      <c r="DZ305" s="44">
        <f t="shared" si="534"/>
        <v>0</v>
      </c>
      <c r="EA305" s="44">
        <f t="shared" si="609"/>
        <v>0</v>
      </c>
      <c r="EB305" s="44">
        <f t="shared" si="535"/>
        <v>0</v>
      </c>
      <c r="EC305" s="46">
        <f t="shared" si="536"/>
        <v>0</v>
      </c>
      <c r="ED305" s="47">
        <f t="shared" si="537"/>
        <v>0</v>
      </c>
    </row>
    <row r="306" spans="1:134" x14ac:dyDescent="0.35">
      <c r="A306" s="172"/>
      <c r="B306" s="173"/>
      <c r="C306" s="174"/>
      <c r="D306" s="83"/>
      <c r="E306" s="87"/>
      <c r="F306" s="85"/>
      <c r="G306" s="86"/>
      <c r="H306" s="179"/>
      <c r="I306" s="180"/>
      <c r="J306" s="181"/>
      <c r="K306" s="42">
        <f t="shared" si="488"/>
        <v>0</v>
      </c>
      <c r="L306" s="43">
        <f t="shared" si="489"/>
        <v>0</v>
      </c>
      <c r="M306" s="44">
        <f t="shared" si="490"/>
        <v>0</v>
      </c>
      <c r="N306" s="44"/>
      <c r="O306" s="44">
        <f t="shared" si="491"/>
        <v>0</v>
      </c>
      <c r="P306" s="45"/>
      <c r="Q306" s="44">
        <f t="shared" si="492"/>
        <v>0</v>
      </c>
      <c r="R306" s="604">
        <f t="shared" si="538"/>
        <v>0</v>
      </c>
      <c r="S306" s="44">
        <f t="shared" si="539"/>
        <v>0</v>
      </c>
      <c r="T306" s="44">
        <f t="shared" si="540"/>
        <v>0</v>
      </c>
      <c r="U306" s="44">
        <f t="shared" si="541"/>
        <v>0</v>
      </c>
      <c r="V306" s="44">
        <f t="shared" si="542"/>
        <v>0</v>
      </c>
      <c r="W306" s="44">
        <f t="shared" si="543"/>
        <v>0</v>
      </c>
      <c r="X306" s="44">
        <f t="shared" si="493"/>
        <v>0</v>
      </c>
      <c r="Y306" s="44">
        <f t="shared" si="544"/>
        <v>0</v>
      </c>
      <c r="Z306" s="44">
        <f t="shared" si="494"/>
        <v>0</v>
      </c>
      <c r="AA306" s="44">
        <f t="shared" si="545"/>
        <v>0</v>
      </c>
      <c r="AB306" s="44">
        <f t="shared" si="495"/>
        <v>0</v>
      </c>
      <c r="AC306" s="46">
        <f t="shared" si="496"/>
        <v>0</v>
      </c>
      <c r="AD306" s="47">
        <f t="shared" si="497"/>
        <v>0</v>
      </c>
      <c r="AE306" s="604">
        <f t="shared" si="546"/>
        <v>0</v>
      </c>
      <c r="AF306" s="44">
        <f t="shared" si="547"/>
        <v>0</v>
      </c>
      <c r="AG306" s="44">
        <f t="shared" si="548"/>
        <v>0</v>
      </c>
      <c r="AH306" s="44">
        <f t="shared" si="549"/>
        <v>0</v>
      </c>
      <c r="AI306" s="44">
        <f t="shared" si="550"/>
        <v>0</v>
      </c>
      <c r="AJ306" s="44">
        <f t="shared" si="551"/>
        <v>0</v>
      </c>
      <c r="AK306" s="44">
        <f t="shared" si="498"/>
        <v>0</v>
      </c>
      <c r="AL306" s="44">
        <f t="shared" si="552"/>
        <v>0</v>
      </c>
      <c r="AM306" s="44">
        <f t="shared" si="499"/>
        <v>0</v>
      </c>
      <c r="AN306" s="44">
        <f t="shared" si="553"/>
        <v>0</v>
      </c>
      <c r="AO306" s="44">
        <f t="shared" si="500"/>
        <v>0</v>
      </c>
      <c r="AP306" s="46">
        <f t="shared" si="501"/>
        <v>0</v>
      </c>
      <c r="AQ306" s="47">
        <f t="shared" si="502"/>
        <v>0</v>
      </c>
      <c r="AR306" s="604">
        <f t="shared" si="554"/>
        <v>0</v>
      </c>
      <c r="AS306" s="44">
        <f t="shared" si="555"/>
        <v>0</v>
      </c>
      <c r="AT306" s="44">
        <f t="shared" si="556"/>
        <v>0</v>
      </c>
      <c r="AU306" s="44">
        <f t="shared" si="557"/>
        <v>0</v>
      </c>
      <c r="AV306" s="44">
        <f t="shared" si="558"/>
        <v>0</v>
      </c>
      <c r="AW306" s="44">
        <f t="shared" si="559"/>
        <v>0</v>
      </c>
      <c r="AX306" s="44">
        <f t="shared" si="503"/>
        <v>0</v>
      </c>
      <c r="AY306" s="44">
        <f t="shared" si="560"/>
        <v>0</v>
      </c>
      <c r="AZ306" s="44">
        <f t="shared" si="504"/>
        <v>0</v>
      </c>
      <c r="BA306" s="44">
        <f t="shared" si="561"/>
        <v>0</v>
      </c>
      <c r="BB306" s="44">
        <f t="shared" si="505"/>
        <v>0</v>
      </c>
      <c r="BC306" s="46">
        <f t="shared" si="506"/>
        <v>0</v>
      </c>
      <c r="BD306" s="47">
        <f t="shared" si="507"/>
        <v>0</v>
      </c>
      <c r="BE306" s="604">
        <f t="shared" si="562"/>
        <v>0</v>
      </c>
      <c r="BF306" s="44">
        <f t="shared" si="563"/>
        <v>0</v>
      </c>
      <c r="BG306" s="44">
        <f t="shared" si="564"/>
        <v>0</v>
      </c>
      <c r="BH306" s="44">
        <f t="shared" si="565"/>
        <v>0</v>
      </c>
      <c r="BI306" s="44">
        <f t="shared" si="566"/>
        <v>0</v>
      </c>
      <c r="BJ306" s="44">
        <f t="shared" si="567"/>
        <v>0</v>
      </c>
      <c r="BK306" s="44">
        <f t="shared" si="508"/>
        <v>0</v>
      </c>
      <c r="BL306" s="44">
        <f t="shared" si="568"/>
        <v>0</v>
      </c>
      <c r="BM306" s="44">
        <f t="shared" si="509"/>
        <v>0</v>
      </c>
      <c r="BN306" s="44">
        <f t="shared" si="569"/>
        <v>0</v>
      </c>
      <c r="BO306" s="44">
        <f t="shared" si="510"/>
        <v>0</v>
      </c>
      <c r="BP306" s="46">
        <f t="shared" si="511"/>
        <v>0</v>
      </c>
      <c r="BQ306" s="47">
        <f t="shared" si="512"/>
        <v>0</v>
      </c>
      <c r="BR306" s="604">
        <f t="shared" si="570"/>
        <v>0</v>
      </c>
      <c r="BS306" s="44">
        <f t="shared" si="571"/>
        <v>0</v>
      </c>
      <c r="BT306" s="44">
        <f t="shared" si="572"/>
        <v>0</v>
      </c>
      <c r="BU306" s="44">
        <f t="shared" si="573"/>
        <v>0</v>
      </c>
      <c r="BV306" s="44">
        <f t="shared" si="574"/>
        <v>0</v>
      </c>
      <c r="BW306" s="44">
        <f t="shared" si="575"/>
        <v>0</v>
      </c>
      <c r="BX306" s="44">
        <f t="shared" si="513"/>
        <v>0</v>
      </c>
      <c r="BY306" s="44">
        <f t="shared" si="576"/>
        <v>0</v>
      </c>
      <c r="BZ306" s="44">
        <f t="shared" si="514"/>
        <v>0</v>
      </c>
      <c r="CA306" s="44">
        <f t="shared" si="577"/>
        <v>0</v>
      </c>
      <c r="CB306" s="44">
        <f t="shared" si="515"/>
        <v>0</v>
      </c>
      <c r="CC306" s="46">
        <f t="shared" si="516"/>
        <v>0</v>
      </c>
      <c r="CD306" s="47">
        <f t="shared" si="517"/>
        <v>0</v>
      </c>
      <c r="CE306" s="604">
        <f t="shared" si="578"/>
        <v>0</v>
      </c>
      <c r="CF306" s="44">
        <f t="shared" si="579"/>
        <v>0</v>
      </c>
      <c r="CG306" s="44">
        <f t="shared" si="580"/>
        <v>0</v>
      </c>
      <c r="CH306" s="44">
        <f t="shared" si="581"/>
        <v>0</v>
      </c>
      <c r="CI306" s="44">
        <f t="shared" si="582"/>
        <v>0</v>
      </c>
      <c r="CJ306" s="44">
        <f t="shared" si="583"/>
        <v>0</v>
      </c>
      <c r="CK306" s="44">
        <f t="shared" si="518"/>
        <v>0</v>
      </c>
      <c r="CL306" s="44">
        <f t="shared" si="584"/>
        <v>0</v>
      </c>
      <c r="CM306" s="44">
        <f t="shared" si="519"/>
        <v>0</v>
      </c>
      <c r="CN306" s="44">
        <f t="shared" si="585"/>
        <v>0</v>
      </c>
      <c r="CO306" s="44">
        <f t="shared" si="520"/>
        <v>0</v>
      </c>
      <c r="CP306" s="46">
        <f t="shared" si="521"/>
        <v>0</v>
      </c>
      <c r="CQ306" s="47">
        <f t="shared" si="522"/>
        <v>0</v>
      </c>
      <c r="CR306" s="604">
        <f t="shared" si="586"/>
        <v>0</v>
      </c>
      <c r="CS306" s="44">
        <f t="shared" si="587"/>
        <v>0</v>
      </c>
      <c r="CT306" s="44">
        <f t="shared" si="588"/>
        <v>0</v>
      </c>
      <c r="CU306" s="44">
        <f t="shared" si="589"/>
        <v>0</v>
      </c>
      <c r="CV306" s="44">
        <f t="shared" si="590"/>
        <v>0</v>
      </c>
      <c r="CW306" s="44">
        <f t="shared" si="591"/>
        <v>0</v>
      </c>
      <c r="CX306" s="44">
        <f t="shared" si="523"/>
        <v>0</v>
      </c>
      <c r="CY306" s="44">
        <f t="shared" si="592"/>
        <v>0</v>
      </c>
      <c r="CZ306" s="44">
        <f t="shared" si="524"/>
        <v>0</v>
      </c>
      <c r="DA306" s="44">
        <f t="shared" si="593"/>
        <v>0</v>
      </c>
      <c r="DB306" s="44">
        <f t="shared" si="525"/>
        <v>0</v>
      </c>
      <c r="DC306" s="46">
        <f t="shared" si="526"/>
        <v>0</v>
      </c>
      <c r="DD306" s="47">
        <f t="shared" si="527"/>
        <v>0</v>
      </c>
      <c r="DE306" s="604">
        <f t="shared" si="594"/>
        <v>0</v>
      </c>
      <c r="DF306" s="44">
        <f t="shared" si="595"/>
        <v>0</v>
      </c>
      <c r="DG306" s="44">
        <f t="shared" si="596"/>
        <v>0</v>
      </c>
      <c r="DH306" s="44">
        <f t="shared" si="597"/>
        <v>0</v>
      </c>
      <c r="DI306" s="44">
        <f t="shared" si="598"/>
        <v>0</v>
      </c>
      <c r="DJ306" s="44">
        <f t="shared" si="599"/>
        <v>0</v>
      </c>
      <c r="DK306" s="44">
        <f t="shared" si="528"/>
        <v>0</v>
      </c>
      <c r="DL306" s="44">
        <f t="shared" si="600"/>
        <v>0</v>
      </c>
      <c r="DM306" s="44">
        <f t="shared" si="529"/>
        <v>0</v>
      </c>
      <c r="DN306" s="44">
        <f t="shared" si="601"/>
        <v>0</v>
      </c>
      <c r="DO306" s="44">
        <f t="shared" si="530"/>
        <v>0</v>
      </c>
      <c r="DP306" s="46">
        <f t="shared" si="531"/>
        <v>0</v>
      </c>
      <c r="DQ306" s="47">
        <f t="shared" si="532"/>
        <v>0</v>
      </c>
      <c r="DR306" s="604">
        <f t="shared" si="602"/>
        <v>0</v>
      </c>
      <c r="DS306" s="44">
        <f t="shared" si="603"/>
        <v>0</v>
      </c>
      <c r="DT306" s="44">
        <f t="shared" si="604"/>
        <v>0</v>
      </c>
      <c r="DU306" s="44">
        <f t="shared" si="605"/>
        <v>0</v>
      </c>
      <c r="DV306" s="44">
        <f t="shared" si="606"/>
        <v>0</v>
      </c>
      <c r="DW306" s="44">
        <f t="shared" si="607"/>
        <v>0</v>
      </c>
      <c r="DX306" s="44">
        <f t="shared" si="533"/>
        <v>0</v>
      </c>
      <c r="DY306" s="44">
        <f t="shared" si="608"/>
        <v>0</v>
      </c>
      <c r="DZ306" s="44">
        <f t="shared" si="534"/>
        <v>0</v>
      </c>
      <c r="EA306" s="44">
        <f t="shared" si="609"/>
        <v>0</v>
      </c>
      <c r="EB306" s="44">
        <f t="shared" si="535"/>
        <v>0</v>
      </c>
      <c r="EC306" s="46">
        <f t="shared" si="536"/>
        <v>0</v>
      </c>
      <c r="ED306" s="47">
        <f t="shared" si="537"/>
        <v>0</v>
      </c>
    </row>
    <row r="307" spans="1:134" x14ac:dyDescent="0.35">
      <c r="A307" s="172"/>
      <c r="B307" s="173"/>
      <c r="C307" s="174"/>
      <c r="D307" s="83"/>
      <c r="E307" s="87"/>
      <c r="F307" s="85"/>
      <c r="G307" s="86"/>
      <c r="H307" s="179"/>
      <c r="I307" s="180"/>
      <c r="J307" s="181"/>
      <c r="K307" s="42">
        <f t="shared" si="488"/>
        <v>0</v>
      </c>
      <c r="L307" s="43">
        <f t="shared" si="489"/>
        <v>0</v>
      </c>
      <c r="M307" s="44">
        <f t="shared" si="490"/>
        <v>0</v>
      </c>
      <c r="N307" s="44"/>
      <c r="O307" s="44">
        <f t="shared" si="491"/>
        <v>0</v>
      </c>
      <c r="P307" s="45"/>
      <c r="Q307" s="44">
        <f t="shared" si="492"/>
        <v>0</v>
      </c>
      <c r="R307" s="604">
        <f t="shared" si="538"/>
        <v>0</v>
      </c>
      <c r="S307" s="44">
        <f t="shared" si="539"/>
        <v>0</v>
      </c>
      <c r="T307" s="44">
        <f t="shared" si="540"/>
        <v>0</v>
      </c>
      <c r="U307" s="44">
        <f t="shared" si="541"/>
        <v>0</v>
      </c>
      <c r="V307" s="44">
        <f t="shared" si="542"/>
        <v>0</v>
      </c>
      <c r="W307" s="44">
        <f t="shared" si="543"/>
        <v>0</v>
      </c>
      <c r="X307" s="44">
        <f t="shared" si="493"/>
        <v>0</v>
      </c>
      <c r="Y307" s="44">
        <f t="shared" si="544"/>
        <v>0</v>
      </c>
      <c r="Z307" s="44">
        <f t="shared" si="494"/>
        <v>0</v>
      </c>
      <c r="AA307" s="44">
        <f t="shared" si="545"/>
        <v>0</v>
      </c>
      <c r="AB307" s="44">
        <f t="shared" si="495"/>
        <v>0</v>
      </c>
      <c r="AC307" s="46">
        <f t="shared" si="496"/>
        <v>0</v>
      </c>
      <c r="AD307" s="47">
        <f t="shared" si="497"/>
        <v>0</v>
      </c>
      <c r="AE307" s="604">
        <f t="shared" si="546"/>
        <v>0</v>
      </c>
      <c r="AF307" s="44">
        <f t="shared" si="547"/>
        <v>0</v>
      </c>
      <c r="AG307" s="44">
        <f t="shared" si="548"/>
        <v>0</v>
      </c>
      <c r="AH307" s="44">
        <f t="shared" si="549"/>
        <v>0</v>
      </c>
      <c r="AI307" s="44">
        <f t="shared" si="550"/>
        <v>0</v>
      </c>
      <c r="AJ307" s="44">
        <f t="shared" si="551"/>
        <v>0</v>
      </c>
      <c r="AK307" s="44">
        <f t="shared" si="498"/>
        <v>0</v>
      </c>
      <c r="AL307" s="44">
        <f t="shared" si="552"/>
        <v>0</v>
      </c>
      <c r="AM307" s="44">
        <f t="shared" si="499"/>
        <v>0</v>
      </c>
      <c r="AN307" s="44">
        <f t="shared" si="553"/>
        <v>0</v>
      </c>
      <c r="AO307" s="44">
        <f t="shared" si="500"/>
        <v>0</v>
      </c>
      <c r="AP307" s="46">
        <f t="shared" si="501"/>
        <v>0</v>
      </c>
      <c r="AQ307" s="47">
        <f t="shared" si="502"/>
        <v>0</v>
      </c>
      <c r="AR307" s="604">
        <f t="shared" si="554"/>
        <v>0</v>
      </c>
      <c r="AS307" s="44">
        <f t="shared" si="555"/>
        <v>0</v>
      </c>
      <c r="AT307" s="44">
        <f t="shared" si="556"/>
        <v>0</v>
      </c>
      <c r="AU307" s="44">
        <f t="shared" si="557"/>
        <v>0</v>
      </c>
      <c r="AV307" s="44">
        <f t="shared" si="558"/>
        <v>0</v>
      </c>
      <c r="AW307" s="44">
        <f t="shared" si="559"/>
        <v>0</v>
      </c>
      <c r="AX307" s="44">
        <f t="shared" si="503"/>
        <v>0</v>
      </c>
      <c r="AY307" s="44">
        <f t="shared" si="560"/>
        <v>0</v>
      </c>
      <c r="AZ307" s="44">
        <f t="shared" si="504"/>
        <v>0</v>
      </c>
      <c r="BA307" s="44">
        <f t="shared" si="561"/>
        <v>0</v>
      </c>
      <c r="BB307" s="44">
        <f t="shared" si="505"/>
        <v>0</v>
      </c>
      <c r="BC307" s="46">
        <f t="shared" si="506"/>
        <v>0</v>
      </c>
      <c r="BD307" s="47">
        <f t="shared" si="507"/>
        <v>0</v>
      </c>
      <c r="BE307" s="604">
        <f t="shared" si="562"/>
        <v>0</v>
      </c>
      <c r="BF307" s="44">
        <f t="shared" si="563"/>
        <v>0</v>
      </c>
      <c r="BG307" s="44">
        <f t="shared" si="564"/>
        <v>0</v>
      </c>
      <c r="BH307" s="44">
        <f t="shared" si="565"/>
        <v>0</v>
      </c>
      <c r="BI307" s="44">
        <f t="shared" si="566"/>
        <v>0</v>
      </c>
      <c r="BJ307" s="44">
        <f t="shared" si="567"/>
        <v>0</v>
      </c>
      <c r="BK307" s="44">
        <f t="shared" si="508"/>
        <v>0</v>
      </c>
      <c r="BL307" s="44">
        <f t="shared" si="568"/>
        <v>0</v>
      </c>
      <c r="BM307" s="44">
        <f t="shared" si="509"/>
        <v>0</v>
      </c>
      <c r="BN307" s="44">
        <f t="shared" si="569"/>
        <v>0</v>
      </c>
      <c r="BO307" s="44">
        <f t="shared" si="510"/>
        <v>0</v>
      </c>
      <c r="BP307" s="46">
        <f t="shared" si="511"/>
        <v>0</v>
      </c>
      <c r="BQ307" s="47">
        <f t="shared" si="512"/>
        <v>0</v>
      </c>
      <c r="BR307" s="604">
        <f t="shared" si="570"/>
        <v>0</v>
      </c>
      <c r="BS307" s="44">
        <f t="shared" si="571"/>
        <v>0</v>
      </c>
      <c r="BT307" s="44">
        <f t="shared" si="572"/>
        <v>0</v>
      </c>
      <c r="BU307" s="44">
        <f t="shared" si="573"/>
        <v>0</v>
      </c>
      <c r="BV307" s="44">
        <f t="shared" si="574"/>
        <v>0</v>
      </c>
      <c r="BW307" s="44">
        <f t="shared" si="575"/>
        <v>0</v>
      </c>
      <c r="BX307" s="44">
        <f t="shared" si="513"/>
        <v>0</v>
      </c>
      <c r="BY307" s="44">
        <f t="shared" si="576"/>
        <v>0</v>
      </c>
      <c r="BZ307" s="44">
        <f t="shared" si="514"/>
        <v>0</v>
      </c>
      <c r="CA307" s="44">
        <f t="shared" si="577"/>
        <v>0</v>
      </c>
      <c r="CB307" s="44">
        <f t="shared" si="515"/>
        <v>0</v>
      </c>
      <c r="CC307" s="46">
        <f t="shared" si="516"/>
        <v>0</v>
      </c>
      <c r="CD307" s="47">
        <f t="shared" si="517"/>
        <v>0</v>
      </c>
      <c r="CE307" s="604">
        <f t="shared" si="578"/>
        <v>0</v>
      </c>
      <c r="CF307" s="44">
        <f t="shared" si="579"/>
        <v>0</v>
      </c>
      <c r="CG307" s="44">
        <f t="shared" si="580"/>
        <v>0</v>
      </c>
      <c r="CH307" s="44">
        <f t="shared" si="581"/>
        <v>0</v>
      </c>
      <c r="CI307" s="44">
        <f t="shared" si="582"/>
        <v>0</v>
      </c>
      <c r="CJ307" s="44">
        <f t="shared" si="583"/>
        <v>0</v>
      </c>
      <c r="CK307" s="44">
        <f t="shared" si="518"/>
        <v>0</v>
      </c>
      <c r="CL307" s="44">
        <f t="shared" si="584"/>
        <v>0</v>
      </c>
      <c r="CM307" s="44">
        <f t="shared" si="519"/>
        <v>0</v>
      </c>
      <c r="CN307" s="44">
        <f t="shared" si="585"/>
        <v>0</v>
      </c>
      <c r="CO307" s="44">
        <f t="shared" si="520"/>
        <v>0</v>
      </c>
      <c r="CP307" s="46">
        <f t="shared" si="521"/>
        <v>0</v>
      </c>
      <c r="CQ307" s="47">
        <f t="shared" si="522"/>
        <v>0</v>
      </c>
      <c r="CR307" s="604">
        <f t="shared" si="586"/>
        <v>0</v>
      </c>
      <c r="CS307" s="44">
        <f t="shared" si="587"/>
        <v>0</v>
      </c>
      <c r="CT307" s="44">
        <f t="shared" si="588"/>
        <v>0</v>
      </c>
      <c r="CU307" s="44">
        <f t="shared" si="589"/>
        <v>0</v>
      </c>
      <c r="CV307" s="44">
        <f t="shared" si="590"/>
        <v>0</v>
      </c>
      <c r="CW307" s="44">
        <f t="shared" si="591"/>
        <v>0</v>
      </c>
      <c r="CX307" s="44">
        <f t="shared" si="523"/>
        <v>0</v>
      </c>
      <c r="CY307" s="44">
        <f t="shared" si="592"/>
        <v>0</v>
      </c>
      <c r="CZ307" s="44">
        <f t="shared" si="524"/>
        <v>0</v>
      </c>
      <c r="DA307" s="44">
        <f t="shared" si="593"/>
        <v>0</v>
      </c>
      <c r="DB307" s="44">
        <f t="shared" si="525"/>
        <v>0</v>
      </c>
      <c r="DC307" s="46">
        <f t="shared" si="526"/>
        <v>0</v>
      </c>
      <c r="DD307" s="47">
        <f t="shared" si="527"/>
        <v>0</v>
      </c>
      <c r="DE307" s="604">
        <f t="shared" si="594"/>
        <v>0</v>
      </c>
      <c r="DF307" s="44">
        <f t="shared" si="595"/>
        <v>0</v>
      </c>
      <c r="DG307" s="44">
        <f t="shared" si="596"/>
        <v>0</v>
      </c>
      <c r="DH307" s="44">
        <f t="shared" si="597"/>
        <v>0</v>
      </c>
      <c r="DI307" s="44">
        <f t="shared" si="598"/>
        <v>0</v>
      </c>
      <c r="DJ307" s="44">
        <f t="shared" si="599"/>
        <v>0</v>
      </c>
      <c r="DK307" s="44">
        <f t="shared" si="528"/>
        <v>0</v>
      </c>
      <c r="DL307" s="44">
        <f t="shared" si="600"/>
        <v>0</v>
      </c>
      <c r="DM307" s="44">
        <f t="shared" si="529"/>
        <v>0</v>
      </c>
      <c r="DN307" s="44">
        <f t="shared" si="601"/>
        <v>0</v>
      </c>
      <c r="DO307" s="44">
        <f t="shared" si="530"/>
        <v>0</v>
      </c>
      <c r="DP307" s="46">
        <f t="shared" si="531"/>
        <v>0</v>
      </c>
      <c r="DQ307" s="47">
        <f t="shared" si="532"/>
        <v>0</v>
      </c>
      <c r="DR307" s="604">
        <f t="shared" si="602"/>
        <v>0</v>
      </c>
      <c r="DS307" s="44">
        <f t="shared" si="603"/>
        <v>0</v>
      </c>
      <c r="DT307" s="44">
        <f t="shared" si="604"/>
        <v>0</v>
      </c>
      <c r="DU307" s="44">
        <f t="shared" si="605"/>
        <v>0</v>
      </c>
      <c r="DV307" s="44">
        <f t="shared" si="606"/>
        <v>0</v>
      </c>
      <c r="DW307" s="44">
        <f t="shared" si="607"/>
        <v>0</v>
      </c>
      <c r="DX307" s="44">
        <f t="shared" si="533"/>
        <v>0</v>
      </c>
      <c r="DY307" s="44">
        <f t="shared" si="608"/>
        <v>0</v>
      </c>
      <c r="DZ307" s="44">
        <f t="shared" si="534"/>
        <v>0</v>
      </c>
      <c r="EA307" s="44">
        <f t="shared" si="609"/>
        <v>0</v>
      </c>
      <c r="EB307" s="44">
        <f t="shared" si="535"/>
        <v>0</v>
      </c>
      <c r="EC307" s="46">
        <f t="shared" si="536"/>
        <v>0</v>
      </c>
      <c r="ED307" s="47">
        <f t="shared" si="537"/>
        <v>0</v>
      </c>
    </row>
    <row r="308" spans="1:134" x14ac:dyDescent="0.35">
      <c r="A308" s="172"/>
      <c r="B308" s="173"/>
      <c r="C308" s="174"/>
      <c r="D308" s="175"/>
      <c r="E308" s="176"/>
      <c r="F308" s="85"/>
      <c r="G308" s="178"/>
      <c r="H308" s="179"/>
      <c r="I308" s="180"/>
      <c r="J308" s="181"/>
      <c r="K308" s="42">
        <f t="shared" si="488"/>
        <v>0</v>
      </c>
      <c r="L308" s="43">
        <f t="shared" si="489"/>
        <v>0</v>
      </c>
      <c r="M308" s="44">
        <f t="shared" si="490"/>
        <v>0</v>
      </c>
      <c r="N308" s="44"/>
      <c r="O308" s="44">
        <f t="shared" si="491"/>
        <v>0</v>
      </c>
      <c r="P308" s="45"/>
      <c r="Q308" s="44">
        <f t="shared" si="492"/>
        <v>0</v>
      </c>
      <c r="R308" s="604">
        <f t="shared" si="538"/>
        <v>0</v>
      </c>
      <c r="S308" s="44">
        <f t="shared" si="539"/>
        <v>0</v>
      </c>
      <c r="T308" s="44">
        <f t="shared" si="540"/>
        <v>0</v>
      </c>
      <c r="U308" s="44">
        <f t="shared" si="541"/>
        <v>0</v>
      </c>
      <c r="V308" s="44">
        <f t="shared" si="542"/>
        <v>0</v>
      </c>
      <c r="W308" s="44">
        <f t="shared" si="543"/>
        <v>0</v>
      </c>
      <c r="X308" s="44">
        <f t="shared" si="493"/>
        <v>0</v>
      </c>
      <c r="Y308" s="44">
        <f t="shared" si="544"/>
        <v>0</v>
      </c>
      <c r="Z308" s="44">
        <f t="shared" si="494"/>
        <v>0</v>
      </c>
      <c r="AA308" s="44">
        <f t="shared" si="545"/>
        <v>0</v>
      </c>
      <c r="AB308" s="44">
        <f t="shared" si="495"/>
        <v>0</v>
      </c>
      <c r="AC308" s="46">
        <f t="shared" si="496"/>
        <v>0</v>
      </c>
      <c r="AD308" s="47">
        <f t="shared" si="497"/>
        <v>0</v>
      </c>
      <c r="AE308" s="604">
        <f t="shared" si="546"/>
        <v>0</v>
      </c>
      <c r="AF308" s="44">
        <f t="shared" si="547"/>
        <v>0</v>
      </c>
      <c r="AG308" s="44">
        <f t="shared" si="548"/>
        <v>0</v>
      </c>
      <c r="AH308" s="44">
        <f t="shared" si="549"/>
        <v>0</v>
      </c>
      <c r="AI308" s="44">
        <f t="shared" si="550"/>
        <v>0</v>
      </c>
      <c r="AJ308" s="44">
        <f t="shared" si="551"/>
        <v>0</v>
      </c>
      <c r="AK308" s="44">
        <f t="shared" si="498"/>
        <v>0</v>
      </c>
      <c r="AL308" s="44">
        <f t="shared" si="552"/>
        <v>0</v>
      </c>
      <c r="AM308" s="44">
        <f t="shared" si="499"/>
        <v>0</v>
      </c>
      <c r="AN308" s="44">
        <f t="shared" si="553"/>
        <v>0</v>
      </c>
      <c r="AO308" s="44">
        <f t="shared" si="500"/>
        <v>0</v>
      </c>
      <c r="AP308" s="46">
        <f t="shared" si="501"/>
        <v>0</v>
      </c>
      <c r="AQ308" s="47">
        <f t="shared" si="502"/>
        <v>0</v>
      </c>
      <c r="AR308" s="604">
        <f t="shared" si="554"/>
        <v>0</v>
      </c>
      <c r="AS308" s="44">
        <f t="shared" si="555"/>
        <v>0</v>
      </c>
      <c r="AT308" s="44">
        <f t="shared" si="556"/>
        <v>0</v>
      </c>
      <c r="AU308" s="44">
        <f t="shared" si="557"/>
        <v>0</v>
      </c>
      <c r="AV308" s="44">
        <f t="shared" si="558"/>
        <v>0</v>
      </c>
      <c r="AW308" s="44">
        <f t="shared" si="559"/>
        <v>0</v>
      </c>
      <c r="AX308" s="44">
        <f t="shared" si="503"/>
        <v>0</v>
      </c>
      <c r="AY308" s="44">
        <f t="shared" si="560"/>
        <v>0</v>
      </c>
      <c r="AZ308" s="44">
        <f t="shared" si="504"/>
        <v>0</v>
      </c>
      <c r="BA308" s="44">
        <f t="shared" si="561"/>
        <v>0</v>
      </c>
      <c r="BB308" s="44">
        <f t="shared" si="505"/>
        <v>0</v>
      </c>
      <c r="BC308" s="46">
        <f t="shared" si="506"/>
        <v>0</v>
      </c>
      <c r="BD308" s="47">
        <f t="shared" si="507"/>
        <v>0</v>
      </c>
      <c r="BE308" s="604">
        <f t="shared" si="562"/>
        <v>0</v>
      </c>
      <c r="BF308" s="44">
        <f t="shared" si="563"/>
        <v>0</v>
      </c>
      <c r="BG308" s="44">
        <f t="shared" si="564"/>
        <v>0</v>
      </c>
      <c r="BH308" s="44">
        <f t="shared" si="565"/>
        <v>0</v>
      </c>
      <c r="BI308" s="44">
        <f t="shared" si="566"/>
        <v>0</v>
      </c>
      <c r="BJ308" s="44">
        <f t="shared" si="567"/>
        <v>0</v>
      </c>
      <c r="BK308" s="44">
        <f t="shared" si="508"/>
        <v>0</v>
      </c>
      <c r="BL308" s="44">
        <f t="shared" si="568"/>
        <v>0</v>
      </c>
      <c r="BM308" s="44">
        <f t="shared" si="509"/>
        <v>0</v>
      </c>
      <c r="BN308" s="44">
        <f t="shared" si="569"/>
        <v>0</v>
      </c>
      <c r="BO308" s="44">
        <f t="shared" si="510"/>
        <v>0</v>
      </c>
      <c r="BP308" s="46">
        <f t="shared" si="511"/>
        <v>0</v>
      </c>
      <c r="BQ308" s="47">
        <f t="shared" si="512"/>
        <v>0</v>
      </c>
      <c r="BR308" s="604">
        <f t="shared" si="570"/>
        <v>0</v>
      </c>
      <c r="BS308" s="44">
        <f t="shared" si="571"/>
        <v>0</v>
      </c>
      <c r="BT308" s="44">
        <f t="shared" si="572"/>
        <v>0</v>
      </c>
      <c r="BU308" s="44">
        <f t="shared" si="573"/>
        <v>0</v>
      </c>
      <c r="BV308" s="44">
        <f t="shared" si="574"/>
        <v>0</v>
      </c>
      <c r="BW308" s="44">
        <f t="shared" si="575"/>
        <v>0</v>
      </c>
      <c r="BX308" s="44">
        <f t="shared" si="513"/>
        <v>0</v>
      </c>
      <c r="BY308" s="44">
        <f t="shared" si="576"/>
        <v>0</v>
      </c>
      <c r="BZ308" s="44">
        <f t="shared" si="514"/>
        <v>0</v>
      </c>
      <c r="CA308" s="44">
        <f t="shared" si="577"/>
        <v>0</v>
      </c>
      <c r="CB308" s="44">
        <f t="shared" si="515"/>
        <v>0</v>
      </c>
      <c r="CC308" s="46">
        <f t="shared" si="516"/>
        <v>0</v>
      </c>
      <c r="CD308" s="47">
        <f t="shared" si="517"/>
        <v>0</v>
      </c>
      <c r="CE308" s="604">
        <f t="shared" si="578"/>
        <v>0</v>
      </c>
      <c r="CF308" s="44">
        <f t="shared" si="579"/>
        <v>0</v>
      </c>
      <c r="CG308" s="44">
        <f t="shared" si="580"/>
        <v>0</v>
      </c>
      <c r="CH308" s="44">
        <f t="shared" si="581"/>
        <v>0</v>
      </c>
      <c r="CI308" s="44">
        <f t="shared" si="582"/>
        <v>0</v>
      </c>
      <c r="CJ308" s="44">
        <f t="shared" si="583"/>
        <v>0</v>
      </c>
      <c r="CK308" s="44">
        <f t="shared" si="518"/>
        <v>0</v>
      </c>
      <c r="CL308" s="44">
        <f t="shared" si="584"/>
        <v>0</v>
      </c>
      <c r="CM308" s="44">
        <f t="shared" si="519"/>
        <v>0</v>
      </c>
      <c r="CN308" s="44">
        <f t="shared" si="585"/>
        <v>0</v>
      </c>
      <c r="CO308" s="44">
        <f t="shared" si="520"/>
        <v>0</v>
      </c>
      <c r="CP308" s="46">
        <f t="shared" si="521"/>
        <v>0</v>
      </c>
      <c r="CQ308" s="47">
        <f t="shared" si="522"/>
        <v>0</v>
      </c>
      <c r="CR308" s="604">
        <f t="shared" si="586"/>
        <v>0</v>
      </c>
      <c r="CS308" s="44">
        <f t="shared" si="587"/>
        <v>0</v>
      </c>
      <c r="CT308" s="44">
        <f t="shared" si="588"/>
        <v>0</v>
      </c>
      <c r="CU308" s="44">
        <f t="shared" si="589"/>
        <v>0</v>
      </c>
      <c r="CV308" s="44">
        <f t="shared" si="590"/>
        <v>0</v>
      </c>
      <c r="CW308" s="44">
        <f t="shared" si="591"/>
        <v>0</v>
      </c>
      <c r="CX308" s="44">
        <f t="shared" si="523"/>
        <v>0</v>
      </c>
      <c r="CY308" s="44">
        <f t="shared" si="592"/>
        <v>0</v>
      </c>
      <c r="CZ308" s="44">
        <f t="shared" si="524"/>
        <v>0</v>
      </c>
      <c r="DA308" s="44">
        <f t="shared" si="593"/>
        <v>0</v>
      </c>
      <c r="DB308" s="44">
        <f t="shared" si="525"/>
        <v>0</v>
      </c>
      <c r="DC308" s="46">
        <f t="shared" si="526"/>
        <v>0</v>
      </c>
      <c r="DD308" s="47">
        <f t="shared" si="527"/>
        <v>0</v>
      </c>
      <c r="DE308" s="604">
        <f t="shared" si="594"/>
        <v>0</v>
      </c>
      <c r="DF308" s="44">
        <f t="shared" si="595"/>
        <v>0</v>
      </c>
      <c r="DG308" s="44">
        <f t="shared" si="596"/>
        <v>0</v>
      </c>
      <c r="DH308" s="44">
        <f t="shared" si="597"/>
        <v>0</v>
      </c>
      <c r="DI308" s="44">
        <f t="shared" si="598"/>
        <v>0</v>
      </c>
      <c r="DJ308" s="44">
        <f t="shared" si="599"/>
        <v>0</v>
      </c>
      <c r="DK308" s="44">
        <f t="shared" si="528"/>
        <v>0</v>
      </c>
      <c r="DL308" s="44">
        <f t="shared" si="600"/>
        <v>0</v>
      </c>
      <c r="DM308" s="44">
        <f t="shared" si="529"/>
        <v>0</v>
      </c>
      <c r="DN308" s="44">
        <f t="shared" si="601"/>
        <v>0</v>
      </c>
      <c r="DO308" s="44">
        <f t="shared" si="530"/>
        <v>0</v>
      </c>
      <c r="DP308" s="46">
        <f t="shared" si="531"/>
        <v>0</v>
      </c>
      <c r="DQ308" s="47">
        <f t="shared" si="532"/>
        <v>0</v>
      </c>
      <c r="DR308" s="604">
        <f t="shared" si="602"/>
        <v>0</v>
      </c>
      <c r="DS308" s="44">
        <f t="shared" si="603"/>
        <v>0</v>
      </c>
      <c r="DT308" s="44">
        <f t="shared" si="604"/>
        <v>0</v>
      </c>
      <c r="DU308" s="44">
        <f t="shared" si="605"/>
        <v>0</v>
      </c>
      <c r="DV308" s="44">
        <f t="shared" si="606"/>
        <v>0</v>
      </c>
      <c r="DW308" s="44">
        <f t="shared" si="607"/>
        <v>0</v>
      </c>
      <c r="DX308" s="44">
        <f t="shared" si="533"/>
        <v>0</v>
      </c>
      <c r="DY308" s="44">
        <f t="shared" si="608"/>
        <v>0</v>
      </c>
      <c r="DZ308" s="44">
        <f t="shared" si="534"/>
        <v>0</v>
      </c>
      <c r="EA308" s="44">
        <f t="shared" si="609"/>
        <v>0</v>
      </c>
      <c r="EB308" s="44">
        <f t="shared" si="535"/>
        <v>0</v>
      </c>
      <c r="EC308" s="46">
        <f t="shared" si="536"/>
        <v>0</v>
      </c>
      <c r="ED308" s="47">
        <f t="shared" si="537"/>
        <v>0</v>
      </c>
    </row>
    <row r="309" spans="1:134" x14ac:dyDescent="0.35">
      <c r="A309" s="172"/>
      <c r="B309" s="173"/>
      <c r="C309" s="174"/>
      <c r="D309" s="83"/>
      <c r="E309" s="87"/>
      <c r="F309" s="85"/>
      <c r="G309" s="86"/>
      <c r="H309" s="179"/>
      <c r="I309" s="180"/>
      <c r="J309" s="181"/>
      <c r="K309" s="42">
        <f t="shared" si="488"/>
        <v>0</v>
      </c>
      <c r="L309" s="43">
        <f t="shared" si="489"/>
        <v>0</v>
      </c>
      <c r="M309" s="44">
        <f t="shared" si="490"/>
        <v>0</v>
      </c>
      <c r="N309" s="44"/>
      <c r="O309" s="44">
        <f t="shared" si="491"/>
        <v>0</v>
      </c>
      <c r="P309" s="45"/>
      <c r="Q309" s="44">
        <f t="shared" si="492"/>
        <v>0</v>
      </c>
      <c r="R309" s="604">
        <f t="shared" si="538"/>
        <v>0</v>
      </c>
      <c r="S309" s="44">
        <f t="shared" si="539"/>
        <v>0</v>
      </c>
      <c r="T309" s="44">
        <f t="shared" si="540"/>
        <v>0</v>
      </c>
      <c r="U309" s="44">
        <f t="shared" si="541"/>
        <v>0</v>
      </c>
      <c r="V309" s="44">
        <f t="shared" si="542"/>
        <v>0</v>
      </c>
      <c r="W309" s="44">
        <f t="shared" si="543"/>
        <v>0</v>
      </c>
      <c r="X309" s="44">
        <f t="shared" si="493"/>
        <v>0</v>
      </c>
      <c r="Y309" s="44">
        <f t="shared" si="544"/>
        <v>0</v>
      </c>
      <c r="Z309" s="44">
        <f t="shared" si="494"/>
        <v>0</v>
      </c>
      <c r="AA309" s="44">
        <f t="shared" si="545"/>
        <v>0</v>
      </c>
      <c r="AB309" s="44">
        <f t="shared" si="495"/>
        <v>0</v>
      </c>
      <c r="AC309" s="46">
        <f t="shared" si="496"/>
        <v>0</v>
      </c>
      <c r="AD309" s="47">
        <f t="shared" si="497"/>
        <v>0</v>
      </c>
      <c r="AE309" s="604">
        <f t="shared" si="546"/>
        <v>0</v>
      </c>
      <c r="AF309" s="44">
        <f t="shared" si="547"/>
        <v>0</v>
      </c>
      <c r="AG309" s="44">
        <f t="shared" si="548"/>
        <v>0</v>
      </c>
      <c r="AH309" s="44">
        <f t="shared" si="549"/>
        <v>0</v>
      </c>
      <c r="AI309" s="44">
        <f t="shared" si="550"/>
        <v>0</v>
      </c>
      <c r="AJ309" s="44">
        <f t="shared" si="551"/>
        <v>0</v>
      </c>
      <c r="AK309" s="44">
        <f t="shared" si="498"/>
        <v>0</v>
      </c>
      <c r="AL309" s="44">
        <f t="shared" si="552"/>
        <v>0</v>
      </c>
      <c r="AM309" s="44">
        <f t="shared" si="499"/>
        <v>0</v>
      </c>
      <c r="AN309" s="44">
        <f t="shared" si="553"/>
        <v>0</v>
      </c>
      <c r="AO309" s="44">
        <f t="shared" si="500"/>
        <v>0</v>
      </c>
      <c r="AP309" s="46">
        <f t="shared" si="501"/>
        <v>0</v>
      </c>
      <c r="AQ309" s="47">
        <f t="shared" si="502"/>
        <v>0</v>
      </c>
      <c r="AR309" s="604">
        <f t="shared" si="554"/>
        <v>0</v>
      </c>
      <c r="AS309" s="44">
        <f t="shared" si="555"/>
        <v>0</v>
      </c>
      <c r="AT309" s="44">
        <f t="shared" si="556"/>
        <v>0</v>
      </c>
      <c r="AU309" s="44">
        <f t="shared" si="557"/>
        <v>0</v>
      </c>
      <c r="AV309" s="44">
        <f t="shared" si="558"/>
        <v>0</v>
      </c>
      <c r="AW309" s="44">
        <f t="shared" si="559"/>
        <v>0</v>
      </c>
      <c r="AX309" s="44">
        <f t="shared" si="503"/>
        <v>0</v>
      </c>
      <c r="AY309" s="44">
        <f t="shared" si="560"/>
        <v>0</v>
      </c>
      <c r="AZ309" s="44">
        <f t="shared" si="504"/>
        <v>0</v>
      </c>
      <c r="BA309" s="44">
        <f t="shared" si="561"/>
        <v>0</v>
      </c>
      <c r="BB309" s="44">
        <f t="shared" si="505"/>
        <v>0</v>
      </c>
      <c r="BC309" s="46">
        <f t="shared" si="506"/>
        <v>0</v>
      </c>
      <c r="BD309" s="47">
        <f t="shared" si="507"/>
        <v>0</v>
      </c>
      <c r="BE309" s="604">
        <f t="shared" si="562"/>
        <v>0</v>
      </c>
      <c r="BF309" s="44">
        <f t="shared" si="563"/>
        <v>0</v>
      </c>
      <c r="BG309" s="44">
        <f t="shared" si="564"/>
        <v>0</v>
      </c>
      <c r="BH309" s="44">
        <f t="shared" si="565"/>
        <v>0</v>
      </c>
      <c r="BI309" s="44">
        <f t="shared" si="566"/>
        <v>0</v>
      </c>
      <c r="BJ309" s="44">
        <f t="shared" si="567"/>
        <v>0</v>
      </c>
      <c r="BK309" s="44">
        <f t="shared" si="508"/>
        <v>0</v>
      </c>
      <c r="BL309" s="44">
        <f t="shared" si="568"/>
        <v>0</v>
      </c>
      <c r="BM309" s="44">
        <f t="shared" si="509"/>
        <v>0</v>
      </c>
      <c r="BN309" s="44">
        <f t="shared" si="569"/>
        <v>0</v>
      </c>
      <c r="BO309" s="44">
        <f t="shared" si="510"/>
        <v>0</v>
      </c>
      <c r="BP309" s="46">
        <f t="shared" si="511"/>
        <v>0</v>
      </c>
      <c r="BQ309" s="47">
        <f t="shared" si="512"/>
        <v>0</v>
      </c>
      <c r="BR309" s="604">
        <f t="shared" si="570"/>
        <v>0</v>
      </c>
      <c r="BS309" s="44">
        <f t="shared" si="571"/>
        <v>0</v>
      </c>
      <c r="BT309" s="44">
        <f t="shared" si="572"/>
        <v>0</v>
      </c>
      <c r="BU309" s="44">
        <f t="shared" si="573"/>
        <v>0</v>
      </c>
      <c r="BV309" s="44">
        <f t="shared" si="574"/>
        <v>0</v>
      </c>
      <c r="BW309" s="44">
        <f t="shared" si="575"/>
        <v>0</v>
      </c>
      <c r="BX309" s="44">
        <f t="shared" si="513"/>
        <v>0</v>
      </c>
      <c r="BY309" s="44">
        <f t="shared" si="576"/>
        <v>0</v>
      </c>
      <c r="BZ309" s="44">
        <f t="shared" si="514"/>
        <v>0</v>
      </c>
      <c r="CA309" s="44">
        <f t="shared" si="577"/>
        <v>0</v>
      </c>
      <c r="CB309" s="44">
        <f t="shared" si="515"/>
        <v>0</v>
      </c>
      <c r="CC309" s="46">
        <f t="shared" si="516"/>
        <v>0</v>
      </c>
      <c r="CD309" s="47">
        <f t="shared" si="517"/>
        <v>0</v>
      </c>
      <c r="CE309" s="604">
        <f t="shared" si="578"/>
        <v>0</v>
      </c>
      <c r="CF309" s="44">
        <f t="shared" si="579"/>
        <v>0</v>
      </c>
      <c r="CG309" s="44">
        <f t="shared" si="580"/>
        <v>0</v>
      </c>
      <c r="CH309" s="44">
        <f t="shared" si="581"/>
        <v>0</v>
      </c>
      <c r="CI309" s="44">
        <f t="shared" si="582"/>
        <v>0</v>
      </c>
      <c r="CJ309" s="44">
        <f t="shared" si="583"/>
        <v>0</v>
      </c>
      <c r="CK309" s="44">
        <f t="shared" si="518"/>
        <v>0</v>
      </c>
      <c r="CL309" s="44">
        <f t="shared" si="584"/>
        <v>0</v>
      </c>
      <c r="CM309" s="44">
        <f t="shared" si="519"/>
        <v>0</v>
      </c>
      <c r="CN309" s="44">
        <f t="shared" si="585"/>
        <v>0</v>
      </c>
      <c r="CO309" s="44">
        <f t="shared" si="520"/>
        <v>0</v>
      </c>
      <c r="CP309" s="46">
        <f t="shared" si="521"/>
        <v>0</v>
      </c>
      <c r="CQ309" s="47">
        <f t="shared" si="522"/>
        <v>0</v>
      </c>
      <c r="CR309" s="604">
        <f t="shared" si="586"/>
        <v>0</v>
      </c>
      <c r="CS309" s="44">
        <f t="shared" si="587"/>
        <v>0</v>
      </c>
      <c r="CT309" s="44">
        <f t="shared" si="588"/>
        <v>0</v>
      </c>
      <c r="CU309" s="44">
        <f t="shared" si="589"/>
        <v>0</v>
      </c>
      <c r="CV309" s="44">
        <f t="shared" si="590"/>
        <v>0</v>
      </c>
      <c r="CW309" s="44">
        <f t="shared" si="591"/>
        <v>0</v>
      </c>
      <c r="CX309" s="44">
        <f t="shared" si="523"/>
        <v>0</v>
      </c>
      <c r="CY309" s="44">
        <f t="shared" si="592"/>
        <v>0</v>
      </c>
      <c r="CZ309" s="44">
        <f t="shared" si="524"/>
        <v>0</v>
      </c>
      <c r="DA309" s="44">
        <f t="shared" si="593"/>
        <v>0</v>
      </c>
      <c r="DB309" s="44">
        <f t="shared" si="525"/>
        <v>0</v>
      </c>
      <c r="DC309" s="46">
        <f t="shared" si="526"/>
        <v>0</v>
      </c>
      <c r="DD309" s="47">
        <f t="shared" si="527"/>
        <v>0</v>
      </c>
      <c r="DE309" s="604">
        <f t="shared" si="594"/>
        <v>0</v>
      </c>
      <c r="DF309" s="44">
        <f t="shared" si="595"/>
        <v>0</v>
      </c>
      <c r="DG309" s="44">
        <f t="shared" si="596"/>
        <v>0</v>
      </c>
      <c r="DH309" s="44">
        <f t="shared" si="597"/>
        <v>0</v>
      </c>
      <c r="DI309" s="44">
        <f t="shared" si="598"/>
        <v>0</v>
      </c>
      <c r="DJ309" s="44">
        <f t="shared" si="599"/>
        <v>0</v>
      </c>
      <c r="DK309" s="44">
        <f t="shared" si="528"/>
        <v>0</v>
      </c>
      <c r="DL309" s="44">
        <f t="shared" si="600"/>
        <v>0</v>
      </c>
      <c r="DM309" s="44">
        <f t="shared" si="529"/>
        <v>0</v>
      </c>
      <c r="DN309" s="44">
        <f t="shared" si="601"/>
        <v>0</v>
      </c>
      <c r="DO309" s="44">
        <f t="shared" si="530"/>
        <v>0</v>
      </c>
      <c r="DP309" s="46">
        <f t="shared" si="531"/>
        <v>0</v>
      </c>
      <c r="DQ309" s="47">
        <f t="shared" si="532"/>
        <v>0</v>
      </c>
      <c r="DR309" s="604">
        <f t="shared" si="602"/>
        <v>0</v>
      </c>
      <c r="DS309" s="44">
        <f t="shared" si="603"/>
        <v>0</v>
      </c>
      <c r="DT309" s="44">
        <f t="shared" si="604"/>
        <v>0</v>
      </c>
      <c r="DU309" s="44">
        <f t="shared" si="605"/>
        <v>0</v>
      </c>
      <c r="DV309" s="44">
        <f t="shared" si="606"/>
        <v>0</v>
      </c>
      <c r="DW309" s="44">
        <f t="shared" si="607"/>
        <v>0</v>
      </c>
      <c r="DX309" s="44">
        <f t="shared" si="533"/>
        <v>0</v>
      </c>
      <c r="DY309" s="44">
        <f t="shared" si="608"/>
        <v>0</v>
      </c>
      <c r="DZ309" s="44">
        <f t="shared" si="534"/>
        <v>0</v>
      </c>
      <c r="EA309" s="44">
        <f t="shared" si="609"/>
        <v>0</v>
      </c>
      <c r="EB309" s="44">
        <f t="shared" si="535"/>
        <v>0</v>
      </c>
      <c r="EC309" s="46">
        <f t="shared" si="536"/>
        <v>0</v>
      </c>
      <c r="ED309" s="47">
        <f t="shared" si="537"/>
        <v>0</v>
      </c>
    </row>
    <row r="310" spans="1:134" x14ac:dyDescent="0.35">
      <c r="A310" s="172"/>
      <c r="B310" s="173"/>
      <c r="C310" s="174"/>
      <c r="D310" s="83"/>
      <c r="E310" s="87"/>
      <c r="F310" s="85"/>
      <c r="G310" s="86"/>
      <c r="H310" s="179"/>
      <c r="I310" s="180"/>
      <c r="J310" s="181"/>
      <c r="K310" s="42">
        <f t="shared" si="488"/>
        <v>0</v>
      </c>
      <c r="L310" s="43">
        <f t="shared" si="489"/>
        <v>0</v>
      </c>
      <c r="M310" s="44">
        <f t="shared" si="490"/>
        <v>0</v>
      </c>
      <c r="N310" s="44"/>
      <c r="O310" s="44">
        <f t="shared" si="491"/>
        <v>0</v>
      </c>
      <c r="P310" s="45"/>
      <c r="Q310" s="44">
        <f t="shared" si="492"/>
        <v>0</v>
      </c>
      <c r="R310" s="604">
        <f t="shared" si="538"/>
        <v>0</v>
      </c>
      <c r="S310" s="44">
        <f t="shared" si="539"/>
        <v>0</v>
      </c>
      <c r="T310" s="44">
        <f t="shared" si="540"/>
        <v>0</v>
      </c>
      <c r="U310" s="44">
        <f t="shared" si="541"/>
        <v>0</v>
      </c>
      <c r="V310" s="44">
        <f t="shared" si="542"/>
        <v>0</v>
      </c>
      <c r="W310" s="44">
        <f t="shared" si="543"/>
        <v>0</v>
      </c>
      <c r="X310" s="44">
        <f t="shared" si="493"/>
        <v>0</v>
      </c>
      <c r="Y310" s="44">
        <f t="shared" si="544"/>
        <v>0</v>
      </c>
      <c r="Z310" s="44">
        <f t="shared" si="494"/>
        <v>0</v>
      </c>
      <c r="AA310" s="44">
        <f t="shared" si="545"/>
        <v>0</v>
      </c>
      <c r="AB310" s="44">
        <f t="shared" si="495"/>
        <v>0</v>
      </c>
      <c r="AC310" s="46">
        <f t="shared" si="496"/>
        <v>0</v>
      </c>
      <c r="AD310" s="47">
        <f t="shared" si="497"/>
        <v>0</v>
      </c>
      <c r="AE310" s="604">
        <f t="shared" si="546"/>
        <v>0</v>
      </c>
      <c r="AF310" s="44">
        <f t="shared" si="547"/>
        <v>0</v>
      </c>
      <c r="AG310" s="44">
        <f t="shared" si="548"/>
        <v>0</v>
      </c>
      <c r="AH310" s="44">
        <f t="shared" si="549"/>
        <v>0</v>
      </c>
      <c r="AI310" s="44">
        <f t="shared" si="550"/>
        <v>0</v>
      </c>
      <c r="AJ310" s="44">
        <f t="shared" si="551"/>
        <v>0</v>
      </c>
      <c r="AK310" s="44">
        <f t="shared" si="498"/>
        <v>0</v>
      </c>
      <c r="AL310" s="44">
        <f t="shared" si="552"/>
        <v>0</v>
      </c>
      <c r="AM310" s="44">
        <f t="shared" si="499"/>
        <v>0</v>
      </c>
      <c r="AN310" s="44">
        <f t="shared" si="553"/>
        <v>0</v>
      </c>
      <c r="AO310" s="44">
        <f t="shared" si="500"/>
        <v>0</v>
      </c>
      <c r="AP310" s="46">
        <f t="shared" si="501"/>
        <v>0</v>
      </c>
      <c r="AQ310" s="47">
        <f t="shared" si="502"/>
        <v>0</v>
      </c>
      <c r="AR310" s="604">
        <f t="shared" si="554"/>
        <v>0</v>
      </c>
      <c r="AS310" s="44">
        <f t="shared" si="555"/>
        <v>0</v>
      </c>
      <c r="AT310" s="44">
        <f t="shared" si="556"/>
        <v>0</v>
      </c>
      <c r="AU310" s="44">
        <f t="shared" si="557"/>
        <v>0</v>
      </c>
      <c r="AV310" s="44">
        <f t="shared" si="558"/>
        <v>0</v>
      </c>
      <c r="AW310" s="44">
        <f t="shared" si="559"/>
        <v>0</v>
      </c>
      <c r="AX310" s="44">
        <f t="shared" si="503"/>
        <v>0</v>
      </c>
      <c r="AY310" s="44">
        <f t="shared" si="560"/>
        <v>0</v>
      </c>
      <c r="AZ310" s="44">
        <f t="shared" si="504"/>
        <v>0</v>
      </c>
      <c r="BA310" s="44">
        <f t="shared" si="561"/>
        <v>0</v>
      </c>
      <c r="BB310" s="44">
        <f t="shared" si="505"/>
        <v>0</v>
      </c>
      <c r="BC310" s="46">
        <f t="shared" si="506"/>
        <v>0</v>
      </c>
      <c r="BD310" s="47">
        <f t="shared" si="507"/>
        <v>0</v>
      </c>
      <c r="BE310" s="604">
        <f t="shared" si="562"/>
        <v>0</v>
      </c>
      <c r="BF310" s="44">
        <f t="shared" si="563"/>
        <v>0</v>
      </c>
      <c r="BG310" s="44">
        <f t="shared" si="564"/>
        <v>0</v>
      </c>
      <c r="BH310" s="44">
        <f t="shared" si="565"/>
        <v>0</v>
      </c>
      <c r="BI310" s="44">
        <f t="shared" si="566"/>
        <v>0</v>
      </c>
      <c r="BJ310" s="44">
        <f t="shared" si="567"/>
        <v>0</v>
      </c>
      <c r="BK310" s="44">
        <f t="shared" si="508"/>
        <v>0</v>
      </c>
      <c r="BL310" s="44">
        <f t="shared" si="568"/>
        <v>0</v>
      </c>
      <c r="BM310" s="44">
        <f t="shared" si="509"/>
        <v>0</v>
      </c>
      <c r="BN310" s="44">
        <f t="shared" si="569"/>
        <v>0</v>
      </c>
      <c r="BO310" s="44">
        <f t="shared" si="510"/>
        <v>0</v>
      </c>
      <c r="BP310" s="46">
        <f t="shared" si="511"/>
        <v>0</v>
      </c>
      <c r="BQ310" s="47">
        <f t="shared" si="512"/>
        <v>0</v>
      </c>
      <c r="BR310" s="604">
        <f t="shared" si="570"/>
        <v>0</v>
      </c>
      <c r="BS310" s="44">
        <f t="shared" si="571"/>
        <v>0</v>
      </c>
      <c r="BT310" s="44">
        <f t="shared" si="572"/>
        <v>0</v>
      </c>
      <c r="BU310" s="44">
        <f t="shared" si="573"/>
        <v>0</v>
      </c>
      <c r="BV310" s="44">
        <f t="shared" si="574"/>
        <v>0</v>
      </c>
      <c r="BW310" s="44">
        <f t="shared" si="575"/>
        <v>0</v>
      </c>
      <c r="BX310" s="44">
        <f t="shared" si="513"/>
        <v>0</v>
      </c>
      <c r="BY310" s="44">
        <f t="shared" si="576"/>
        <v>0</v>
      </c>
      <c r="BZ310" s="44">
        <f t="shared" si="514"/>
        <v>0</v>
      </c>
      <c r="CA310" s="44">
        <f t="shared" si="577"/>
        <v>0</v>
      </c>
      <c r="CB310" s="44">
        <f t="shared" si="515"/>
        <v>0</v>
      </c>
      <c r="CC310" s="46">
        <f t="shared" si="516"/>
        <v>0</v>
      </c>
      <c r="CD310" s="47">
        <f t="shared" si="517"/>
        <v>0</v>
      </c>
      <c r="CE310" s="604">
        <f t="shared" si="578"/>
        <v>0</v>
      </c>
      <c r="CF310" s="44">
        <f t="shared" si="579"/>
        <v>0</v>
      </c>
      <c r="CG310" s="44">
        <f t="shared" si="580"/>
        <v>0</v>
      </c>
      <c r="CH310" s="44">
        <f t="shared" si="581"/>
        <v>0</v>
      </c>
      <c r="CI310" s="44">
        <f t="shared" si="582"/>
        <v>0</v>
      </c>
      <c r="CJ310" s="44">
        <f t="shared" si="583"/>
        <v>0</v>
      </c>
      <c r="CK310" s="44">
        <f t="shared" si="518"/>
        <v>0</v>
      </c>
      <c r="CL310" s="44">
        <f t="shared" si="584"/>
        <v>0</v>
      </c>
      <c r="CM310" s="44">
        <f t="shared" si="519"/>
        <v>0</v>
      </c>
      <c r="CN310" s="44">
        <f t="shared" si="585"/>
        <v>0</v>
      </c>
      <c r="CO310" s="44">
        <f t="shared" si="520"/>
        <v>0</v>
      </c>
      <c r="CP310" s="46">
        <f t="shared" si="521"/>
        <v>0</v>
      </c>
      <c r="CQ310" s="47">
        <f t="shared" si="522"/>
        <v>0</v>
      </c>
      <c r="CR310" s="604">
        <f t="shared" si="586"/>
        <v>0</v>
      </c>
      <c r="CS310" s="44">
        <f t="shared" si="587"/>
        <v>0</v>
      </c>
      <c r="CT310" s="44">
        <f t="shared" si="588"/>
        <v>0</v>
      </c>
      <c r="CU310" s="44">
        <f t="shared" si="589"/>
        <v>0</v>
      </c>
      <c r="CV310" s="44">
        <f t="shared" si="590"/>
        <v>0</v>
      </c>
      <c r="CW310" s="44">
        <f t="shared" si="591"/>
        <v>0</v>
      </c>
      <c r="CX310" s="44">
        <f t="shared" si="523"/>
        <v>0</v>
      </c>
      <c r="CY310" s="44">
        <f t="shared" si="592"/>
        <v>0</v>
      </c>
      <c r="CZ310" s="44">
        <f t="shared" si="524"/>
        <v>0</v>
      </c>
      <c r="DA310" s="44">
        <f t="shared" si="593"/>
        <v>0</v>
      </c>
      <c r="DB310" s="44">
        <f t="shared" si="525"/>
        <v>0</v>
      </c>
      <c r="DC310" s="46">
        <f t="shared" si="526"/>
        <v>0</v>
      </c>
      <c r="DD310" s="47">
        <f t="shared" si="527"/>
        <v>0</v>
      </c>
      <c r="DE310" s="604">
        <f t="shared" si="594"/>
        <v>0</v>
      </c>
      <c r="DF310" s="44">
        <f t="shared" si="595"/>
        <v>0</v>
      </c>
      <c r="DG310" s="44">
        <f t="shared" si="596"/>
        <v>0</v>
      </c>
      <c r="DH310" s="44">
        <f t="shared" si="597"/>
        <v>0</v>
      </c>
      <c r="DI310" s="44">
        <f t="shared" si="598"/>
        <v>0</v>
      </c>
      <c r="DJ310" s="44">
        <f t="shared" si="599"/>
        <v>0</v>
      </c>
      <c r="DK310" s="44">
        <f t="shared" si="528"/>
        <v>0</v>
      </c>
      <c r="DL310" s="44">
        <f t="shared" si="600"/>
        <v>0</v>
      </c>
      <c r="DM310" s="44">
        <f t="shared" si="529"/>
        <v>0</v>
      </c>
      <c r="DN310" s="44">
        <f t="shared" si="601"/>
        <v>0</v>
      </c>
      <c r="DO310" s="44">
        <f t="shared" si="530"/>
        <v>0</v>
      </c>
      <c r="DP310" s="46">
        <f t="shared" si="531"/>
        <v>0</v>
      </c>
      <c r="DQ310" s="47">
        <f t="shared" si="532"/>
        <v>0</v>
      </c>
      <c r="DR310" s="604">
        <f t="shared" si="602"/>
        <v>0</v>
      </c>
      <c r="DS310" s="44">
        <f t="shared" si="603"/>
        <v>0</v>
      </c>
      <c r="DT310" s="44">
        <f t="shared" si="604"/>
        <v>0</v>
      </c>
      <c r="DU310" s="44">
        <f t="shared" si="605"/>
        <v>0</v>
      </c>
      <c r="DV310" s="44">
        <f t="shared" si="606"/>
        <v>0</v>
      </c>
      <c r="DW310" s="44">
        <f t="shared" si="607"/>
        <v>0</v>
      </c>
      <c r="DX310" s="44">
        <f t="shared" si="533"/>
        <v>0</v>
      </c>
      <c r="DY310" s="44">
        <f t="shared" si="608"/>
        <v>0</v>
      </c>
      <c r="DZ310" s="44">
        <f t="shared" si="534"/>
        <v>0</v>
      </c>
      <c r="EA310" s="44">
        <f t="shared" si="609"/>
        <v>0</v>
      </c>
      <c r="EB310" s="44">
        <f t="shared" si="535"/>
        <v>0</v>
      </c>
      <c r="EC310" s="46">
        <f t="shared" si="536"/>
        <v>0</v>
      </c>
      <c r="ED310" s="47">
        <f t="shared" si="537"/>
        <v>0</v>
      </c>
    </row>
    <row r="311" spans="1:134" x14ac:dyDescent="0.35">
      <c r="A311" s="172"/>
      <c r="B311" s="173"/>
      <c r="C311" s="174"/>
      <c r="D311" s="83"/>
      <c r="E311" s="87"/>
      <c r="F311" s="85"/>
      <c r="G311" s="86"/>
      <c r="H311" s="179"/>
      <c r="I311" s="180"/>
      <c r="J311" s="181"/>
      <c r="K311" s="42">
        <f t="shared" si="488"/>
        <v>0</v>
      </c>
      <c r="L311" s="43">
        <f t="shared" si="489"/>
        <v>0</v>
      </c>
      <c r="M311" s="44">
        <f t="shared" si="490"/>
        <v>0</v>
      </c>
      <c r="N311" s="44"/>
      <c r="O311" s="44">
        <f t="shared" si="491"/>
        <v>0</v>
      </c>
      <c r="P311" s="45"/>
      <c r="Q311" s="44">
        <f t="shared" si="492"/>
        <v>0</v>
      </c>
      <c r="R311" s="604">
        <f t="shared" si="538"/>
        <v>0</v>
      </c>
      <c r="S311" s="44">
        <f t="shared" si="539"/>
        <v>0</v>
      </c>
      <c r="T311" s="44">
        <f t="shared" si="540"/>
        <v>0</v>
      </c>
      <c r="U311" s="44">
        <f t="shared" si="541"/>
        <v>0</v>
      </c>
      <c r="V311" s="44">
        <f t="shared" si="542"/>
        <v>0</v>
      </c>
      <c r="W311" s="44">
        <f t="shared" si="543"/>
        <v>0</v>
      </c>
      <c r="X311" s="44">
        <f t="shared" si="493"/>
        <v>0</v>
      </c>
      <c r="Y311" s="44">
        <f t="shared" si="544"/>
        <v>0</v>
      </c>
      <c r="Z311" s="44">
        <f t="shared" si="494"/>
        <v>0</v>
      </c>
      <c r="AA311" s="44">
        <f t="shared" si="545"/>
        <v>0</v>
      </c>
      <c r="AB311" s="44">
        <f t="shared" si="495"/>
        <v>0</v>
      </c>
      <c r="AC311" s="46">
        <f t="shared" si="496"/>
        <v>0</v>
      </c>
      <c r="AD311" s="47">
        <f t="shared" si="497"/>
        <v>0</v>
      </c>
      <c r="AE311" s="604">
        <f t="shared" si="546"/>
        <v>0</v>
      </c>
      <c r="AF311" s="44">
        <f t="shared" si="547"/>
        <v>0</v>
      </c>
      <c r="AG311" s="44">
        <f t="shared" si="548"/>
        <v>0</v>
      </c>
      <c r="AH311" s="44">
        <f t="shared" si="549"/>
        <v>0</v>
      </c>
      <c r="AI311" s="44">
        <f t="shared" si="550"/>
        <v>0</v>
      </c>
      <c r="AJ311" s="44">
        <f t="shared" si="551"/>
        <v>0</v>
      </c>
      <c r="AK311" s="44">
        <f t="shared" si="498"/>
        <v>0</v>
      </c>
      <c r="AL311" s="44">
        <f t="shared" si="552"/>
        <v>0</v>
      </c>
      <c r="AM311" s="44">
        <f t="shared" si="499"/>
        <v>0</v>
      </c>
      <c r="AN311" s="44">
        <f t="shared" si="553"/>
        <v>0</v>
      </c>
      <c r="AO311" s="44">
        <f t="shared" si="500"/>
        <v>0</v>
      </c>
      <c r="AP311" s="46">
        <f t="shared" si="501"/>
        <v>0</v>
      </c>
      <c r="AQ311" s="47">
        <f t="shared" si="502"/>
        <v>0</v>
      </c>
      <c r="AR311" s="604">
        <f t="shared" si="554"/>
        <v>0</v>
      </c>
      <c r="AS311" s="44">
        <f t="shared" si="555"/>
        <v>0</v>
      </c>
      <c r="AT311" s="44">
        <f t="shared" si="556"/>
        <v>0</v>
      </c>
      <c r="AU311" s="44">
        <f t="shared" si="557"/>
        <v>0</v>
      </c>
      <c r="AV311" s="44">
        <f t="shared" si="558"/>
        <v>0</v>
      </c>
      <c r="AW311" s="44">
        <f t="shared" si="559"/>
        <v>0</v>
      </c>
      <c r="AX311" s="44">
        <f t="shared" si="503"/>
        <v>0</v>
      </c>
      <c r="AY311" s="44">
        <f t="shared" si="560"/>
        <v>0</v>
      </c>
      <c r="AZ311" s="44">
        <f t="shared" si="504"/>
        <v>0</v>
      </c>
      <c r="BA311" s="44">
        <f t="shared" si="561"/>
        <v>0</v>
      </c>
      <c r="BB311" s="44">
        <f t="shared" si="505"/>
        <v>0</v>
      </c>
      <c r="BC311" s="46">
        <f t="shared" si="506"/>
        <v>0</v>
      </c>
      <c r="BD311" s="47">
        <f t="shared" si="507"/>
        <v>0</v>
      </c>
      <c r="BE311" s="604">
        <f t="shared" si="562"/>
        <v>0</v>
      </c>
      <c r="BF311" s="44">
        <f t="shared" si="563"/>
        <v>0</v>
      </c>
      <c r="BG311" s="44">
        <f t="shared" si="564"/>
        <v>0</v>
      </c>
      <c r="BH311" s="44">
        <f t="shared" si="565"/>
        <v>0</v>
      </c>
      <c r="BI311" s="44">
        <f t="shared" si="566"/>
        <v>0</v>
      </c>
      <c r="BJ311" s="44">
        <f t="shared" si="567"/>
        <v>0</v>
      </c>
      <c r="BK311" s="44">
        <f t="shared" si="508"/>
        <v>0</v>
      </c>
      <c r="BL311" s="44">
        <f t="shared" si="568"/>
        <v>0</v>
      </c>
      <c r="BM311" s="44">
        <f t="shared" si="509"/>
        <v>0</v>
      </c>
      <c r="BN311" s="44">
        <f t="shared" si="569"/>
        <v>0</v>
      </c>
      <c r="BO311" s="44">
        <f t="shared" si="510"/>
        <v>0</v>
      </c>
      <c r="BP311" s="46">
        <f t="shared" si="511"/>
        <v>0</v>
      </c>
      <c r="BQ311" s="47">
        <f t="shared" si="512"/>
        <v>0</v>
      </c>
      <c r="BR311" s="604">
        <f t="shared" si="570"/>
        <v>0</v>
      </c>
      <c r="BS311" s="44">
        <f t="shared" si="571"/>
        <v>0</v>
      </c>
      <c r="BT311" s="44">
        <f t="shared" si="572"/>
        <v>0</v>
      </c>
      <c r="BU311" s="44">
        <f t="shared" si="573"/>
        <v>0</v>
      </c>
      <c r="BV311" s="44">
        <f t="shared" si="574"/>
        <v>0</v>
      </c>
      <c r="BW311" s="44">
        <f t="shared" si="575"/>
        <v>0</v>
      </c>
      <c r="BX311" s="44">
        <f t="shared" si="513"/>
        <v>0</v>
      </c>
      <c r="BY311" s="44">
        <f t="shared" si="576"/>
        <v>0</v>
      </c>
      <c r="BZ311" s="44">
        <f t="shared" si="514"/>
        <v>0</v>
      </c>
      <c r="CA311" s="44">
        <f t="shared" si="577"/>
        <v>0</v>
      </c>
      <c r="CB311" s="44">
        <f t="shared" si="515"/>
        <v>0</v>
      </c>
      <c r="CC311" s="46">
        <f t="shared" si="516"/>
        <v>0</v>
      </c>
      <c r="CD311" s="47">
        <f t="shared" si="517"/>
        <v>0</v>
      </c>
      <c r="CE311" s="604">
        <f t="shared" si="578"/>
        <v>0</v>
      </c>
      <c r="CF311" s="44">
        <f t="shared" si="579"/>
        <v>0</v>
      </c>
      <c r="CG311" s="44">
        <f t="shared" si="580"/>
        <v>0</v>
      </c>
      <c r="CH311" s="44">
        <f t="shared" si="581"/>
        <v>0</v>
      </c>
      <c r="CI311" s="44">
        <f t="shared" si="582"/>
        <v>0</v>
      </c>
      <c r="CJ311" s="44">
        <f t="shared" si="583"/>
        <v>0</v>
      </c>
      <c r="CK311" s="44">
        <f t="shared" si="518"/>
        <v>0</v>
      </c>
      <c r="CL311" s="44">
        <f t="shared" si="584"/>
        <v>0</v>
      </c>
      <c r="CM311" s="44">
        <f t="shared" si="519"/>
        <v>0</v>
      </c>
      <c r="CN311" s="44">
        <f t="shared" si="585"/>
        <v>0</v>
      </c>
      <c r="CO311" s="44">
        <f t="shared" si="520"/>
        <v>0</v>
      </c>
      <c r="CP311" s="46">
        <f t="shared" si="521"/>
        <v>0</v>
      </c>
      <c r="CQ311" s="47">
        <f t="shared" si="522"/>
        <v>0</v>
      </c>
      <c r="CR311" s="604">
        <f t="shared" si="586"/>
        <v>0</v>
      </c>
      <c r="CS311" s="44">
        <f t="shared" si="587"/>
        <v>0</v>
      </c>
      <c r="CT311" s="44">
        <f t="shared" si="588"/>
        <v>0</v>
      </c>
      <c r="CU311" s="44">
        <f t="shared" si="589"/>
        <v>0</v>
      </c>
      <c r="CV311" s="44">
        <f t="shared" si="590"/>
        <v>0</v>
      </c>
      <c r="CW311" s="44">
        <f t="shared" si="591"/>
        <v>0</v>
      </c>
      <c r="CX311" s="44">
        <f t="shared" si="523"/>
        <v>0</v>
      </c>
      <c r="CY311" s="44">
        <f t="shared" si="592"/>
        <v>0</v>
      </c>
      <c r="CZ311" s="44">
        <f t="shared" si="524"/>
        <v>0</v>
      </c>
      <c r="DA311" s="44">
        <f t="shared" si="593"/>
        <v>0</v>
      </c>
      <c r="DB311" s="44">
        <f t="shared" si="525"/>
        <v>0</v>
      </c>
      <c r="DC311" s="46">
        <f t="shared" si="526"/>
        <v>0</v>
      </c>
      <c r="DD311" s="47">
        <f t="shared" si="527"/>
        <v>0</v>
      </c>
      <c r="DE311" s="604">
        <f t="shared" si="594"/>
        <v>0</v>
      </c>
      <c r="DF311" s="44">
        <f t="shared" si="595"/>
        <v>0</v>
      </c>
      <c r="DG311" s="44">
        <f t="shared" si="596"/>
        <v>0</v>
      </c>
      <c r="DH311" s="44">
        <f t="shared" si="597"/>
        <v>0</v>
      </c>
      <c r="DI311" s="44">
        <f t="shared" si="598"/>
        <v>0</v>
      </c>
      <c r="DJ311" s="44">
        <f t="shared" si="599"/>
        <v>0</v>
      </c>
      <c r="DK311" s="44">
        <f t="shared" si="528"/>
        <v>0</v>
      </c>
      <c r="DL311" s="44">
        <f t="shared" si="600"/>
        <v>0</v>
      </c>
      <c r="DM311" s="44">
        <f t="shared" si="529"/>
        <v>0</v>
      </c>
      <c r="DN311" s="44">
        <f t="shared" si="601"/>
        <v>0</v>
      </c>
      <c r="DO311" s="44">
        <f t="shared" si="530"/>
        <v>0</v>
      </c>
      <c r="DP311" s="46">
        <f t="shared" si="531"/>
        <v>0</v>
      </c>
      <c r="DQ311" s="47">
        <f t="shared" si="532"/>
        <v>0</v>
      </c>
      <c r="DR311" s="604">
        <f t="shared" si="602"/>
        <v>0</v>
      </c>
      <c r="DS311" s="44">
        <f t="shared" si="603"/>
        <v>0</v>
      </c>
      <c r="DT311" s="44">
        <f t="shared" si="604"/>
        <v>0</v>
      </c>
      <c r="DU311" s="44">
        <f t="shared" si="605"/>
        <v>0</v>
      </c>
      <c r="DV311" s="44">
        <f t="shared" si="606"/>
        <v>0</v>
      </c>
      <c r="DW311" s="44">
        <f t="shared" si="607"/>
        <v>0</v>
      </c>
      <c r="DX311" s="44">
        <f t="shared" si="533"/>
        <v>0</v>
      </c>
      <c r="DY311" s="44">
        <f t="shared" si="608"/>
        <v>0</v>
      </c>
      <c r="DZ311" s="44">
        <f t="shared" si="534"/>
        <v>0</v>
      </c>
      <c r="EA311" s="44">
        <f t="shared" si="609"/>
        <v>0</v>
      </c>
      <c r="EB311" s="44">
        <f t="shared" si="535"/>
        <v>0</v>
      </c>
      <c r="EC311" s="46">
        <f t="shared" si="536"/>
        <v>0</v>
      </c>
      <c r="ED311" s="47">
        <f t="shared" si="537"/>
        <v>0</v>
      </c>
    </row>
    <row r="312" spans="1:134" x14ac:dyDescent="0.35">
      <c r="A312" s="172"/>
      <c r="B312" s="173"/>
      <c r="C312" s="174"/>
      <c r="D312" s="83"/>
      <c r="E312" s="87"/>
      <c r="F312" s="85"/>
      <c r="G312" s="86"/>
      <c r="H312" s="179"/>
      <c r="I312" s="180"/>
      <c r="J312" s="181"/>
      <c r="K312" s="42">
        <f t="shared" si="488"/>
        <v>0</v>
      </c>
      <c r="L312" s="43">
        <f t="shared" si="489"/>
        <v>0</v>
      </c>
      <c r="M312" s="44">
        <f t="shared" si="490"/>
        <v>0</v>
      </c>
      <c r="N312" s="44"/>
      <c r="O312" s="44">
        <f t="shared" si="491"/>
        <v>0</v>
      </c>
      <c r="P312" s="45"/>
      <c r="Q312" s="44">
        <f t="shared" si="492"/>
        <v>0</v>
      </c>
      <c r="R312" s="604">
        <f t="shared" si="538"/>
        <v>0</v>
      </c>
      <c r="S312" s="44">
        <f t="shared" si="539"/>
        <v>0</v>
      </c>
      <c r="T312" s="44">
        <f t="shared" si="540"/>
        <v>0</v>
      </c>
      <c r="U312" s="44">
        <f t="shared" si="541"/>
        <v>0</v>
      </c>
      <c r="V312" s="44">
        <f t="shared" si="542"/>
        <v>0</v>
      </c>
      <c r="W312" s="44">
        <f t="shared" si="543"/>
        <v>0</v>
      </c>
      <c r="X312" s="44">
        <f t="shared" si="493"/>
        <v>0</v>
      </c>
      <c r="Y312" s="44">
        <f t="shared" si="544"/>
        <v>0</v>
      </c>
      <c r="Z312" s="44">
        <f t="shared" si="494"/>
        <v>0</v>
      </c>
      <c r="AA312" s="44">
        <f t="shared" si="545"/>
        <v>0</v>
      </c>
      <c r="AB312" s="44">
        <f t="shared" si="495"/>
        <v>0</v>
      </c>
      <c r="AC312" s="46">
        <f t="shared" si="496"/>
        <v>0</v>
      </c>
      <c r="AD312" s="47">
        <f t="shared" si="497"/>
        <v>0</v>
      </c>
      <c r="AE312" s="604">
        <f t="shared" si="546"/>
        <v>0</v>
      </c>
      <c r="AF312" s="44">
        <f t="shared" si="547"/>
        <v>0</v>
      </c>
      <c r="AG312" s="44">
        <f t="shared" si="548"/>
        <v>0</v>
      </c>
      <c r="AH312" s="44">
        <f t="shared" si="549"/>
        <v>0</v>
      </c>
      <c r="AI312" s="44">
        <f t="shared" si="550"/>
        <v>0</v>
      </c>
      <c r="AJ312" s="44">
        <f t="shared" si="551"/>
        <v>0</v>
      </c>
      <c r="AK312" s="44">
        <f t="shared" si="498"/>
        <v>0</v>
      </c>
      <c r="AL312" s="44">
        <f t="shared" si="552"/>
        <v>0</v>
      </c>
      <c r="AM312" s="44">
        <f t="shared" si="499"/>
        <v>0</v>
      </c>
      <c r="AN312" s="44">
        <f t="shared" si="553"/>
        <v>0</v>
      </c>
      <c r="AO312" s="44">
        <f t="shared" si="500"/>
        <v>0</v>
      </c>
      <c r="AP312" s="46">
        <f t="shared" si="501"/>
        <v>0</v>
      </c>
      <c r="AQ312" s="47">
        <f t="shared" si="502"/>
        <v>0</v>
      </c>
      <c r="AR312" s="604">
        <f t="shared" si="554"/>
        <v>0</v>
      </c>
      <c r="AS312" s="44">
        <f t="shared" si="555"/>
        <v>0</v>
      </c>
      <c r="AT312" s="44">
        <f t="shared" si="556"/>
        <v>0</v>
      </c>
      <c r="AU312" s="44">
        <f t="shared" si="557"/>
        <v>0</v>
      </c>
      <c r="AV312" s="44">
        <f t="shared" si="558"/>
        <v>0</v>
      </c>
      <c r="AW312" s="44">
        <f t="shared" si="559"/>
        <v>0</v>
      </c>
      <c r="AX312" s="44">
        <f t="shared" si="503"/>
        <v>0</v>
      </c>
      <c r="AY312" s="44">
        <f t="shared" si="560"/>
        <v>0</v>
      </c>
      <c r="AZ312" s="44">
        <f t="shared" si="504"/>
        <v>0</v>
      </c>
      <c r="BA312" s="44">
        <f t="shared" si="561"/>
        <v>0</v>
      </c>
      <c r="BB312" s="44">
        <f t="shared" si="505"/>
        <v>0</v>
      </c>
      <c r="BC312" s="46">
        <f t="shared" si="506"/>
        <v>0</v>
      </c>
      <c r="BD312" s="47">
        <f t="shared" si="507"/>
        <v>0</v>
      </c>
      <c r="BE312" s="604">
        <f t="shared" si="562"/>
        <v>0</v>
      </c>
      <c r="BF312" s="44">
        <f t="shared" si="563"/>
        <v>0</v>
      </c>
      <c r="BG312" s="44">
        <f t="shared" si="564"/>
        <v>0</v>
      </c>
      <c r="BH312" s="44">
        <f t="shared" si="565"/>
        <v>0</v>
      </c>
      <c r="BI312" s="44">
        <f t="shared" si="566"/>
        <v>0</v>
      </c>
      <c r="BJ312" s="44">
        <f t="shared" si="567"/>
        <v>0</v>
      </c>
      <c r="BK312" s="44">
        <f t="shared" si="508"/>
        <v>0</v>
      </c>
      <c r="BL312" s="44">
        <f t="shared" si="568"/>
        <v>0</v>
      </c>
      <c r="BM312" s="44">
        <f t="shared" si="509"/>
        <v>0</v>
      </c>
      <c r="BN312" s="44">
        <f t="shared" si="569"/>
        <v>0</v>
      </c>
      <c r="BO312" s="44">
        <f t="shared" si="510"/>
        <v>0</v>
      </c>
      <c r="BP312" s="46">
        <f t="shared" si="511"/>
        <v>0</v>
      </c>
      <c r="BQ312" s="47">
        <f t="shared" si="512"/>
        <v>0</v>
      </c>
      <c r="BR312" s="604">
        <f t="shared" si="570"/>
        <v>0</v>
      </c>
      <c r="BS312" s="44">
        <f t="shared" si="571"/>
        <v>0</v>
      </c>
      <c r="BT312" s="44">
        <f t="shared" si="572"/>
        <v>0</v>
      </c>
      <c r="BU312" s="44">
        <f t="shared" si="573"/>
        <v>0</v>
      </c>
      <c r="BV312" s="44">
        <f t="shared" si="574"/>
        <v>0</v>
      </c>
      <c r="BW312" s="44">
        <f t="shared" si="575"/>
        <v>0</v>
      </c>
      <c r="BX312" s="44">
        <f t="shared" si="513"/>
        <v>0</v>
      </c>
      <c r="BY312" s="44">
        <f t="shared" si="576"/>
        <v>0</v>
      </c>
      <c r="BZ312" s="44">
        <f t="shared" si="514"/>
        <v>0</v>
      </c>
      <c r="CA312" s="44">
        <f t="shared" si="577"/>
        <v>0</v>
      </c>
      <c r="CB312" s="44">
        <f t="shared" si="515"/>
        <v>0</v>
      </c>
      <c r="CC312" s="46">
        <f t="shared" si="516"/>
        <v>0</v>
      </c>
      <c r="CD312" s="47">
        <f t="shared" si="517"/>
        <v>0</v>
      </c>
      <c r="CE312" s="604">
        <f t="shared" si="578"/>
        <v>0</v>
      </c>
      <c r="CF312" s="44">
        <f t="shared" si="579"/>
        <v>0</v>
      </c>
      <c r="CG312" s="44">
        <f t="shared" si="580"/>
        <v>0</v>
      </c>
      <c r="CH312" s="44">
        <f t="shared" si="581"/>
        <v>0</v>
      </c>
      <c r="CI312" s="44">
        <f t="shared" si="582"/>
        <v>0</v>
      </c>
      <c r="CJ312" s="44">
        <f t="shared" si="583"/>
        <v>0</v>
      </c>
      <c r="CK312" s="44">
        <f t="shared" si="518"/>
        <v>0</v>
      </c>
      <c r="CL312" s="44">
        <f t="shared" si="584"/>
        <v>0</v>
      </c>
      <c r="CM312" s="44">
        <f t="shared" si="519"/>
        <v>0</v>
      </c>
      <c r="CN312" s="44">
        <f t="shared" si="585"/>
        <v>0</v>
      </c>
      <c r="CO312" s="44">
        <f t="shared" si="520"/>
        <v>0</v>
      </c>
      <c r="CP312" s="46">
        <f t="shared" si="521"/>
        <v>0</v>
      </c>
      <c r="CQ312" s="47">
        <f t="shared" si="522"/>
        <v>0</v>
      </c>
      <c r="CR312" s="604">
        <f t="shared" si="586"/>
        <v>0</v>
      </c>
      <c r="CS312" s="44">
        <f t="shared" si="587"/>
        <v>0</v>
      </c>
      <c r="CT312" s="44">
        <f t="shared" si="588"/>
        <v>0</v>
      </c>
      <c r="CU312" s="44">
        <f t="shared" si="589"/>
        <v>0</v>
      </c>
      <c r="CV312" s="44">
        <f t="shared" si="590"/>
        <v>0</v>
      </c>
      <c r="CW312" s="44">
        <f t="shared" si="591"/>
        <v>0</v>
      </c>
      <c r="CX312" s="44">
        <f t="shared" si="523"/>
        <v>0</v>
      </c>
      <c r="CY312" s="44">
        <f t="shared" si="592"/>
        <v>0</v>
      </c>
      <c r="CZ312" s="44">
        <f t="shared" si="524"/>
        <v>0</v>
      </c>
      <c r="DA312" s="44">
        <f t="shared" si="593"/>
        <v>0</v>
      </c>
      <c r="DB312" s="44">
        <f t="shared" si="525"/>
        <v>0</v>
      </c>
      <c r="DC312" s="46">
        <f t="shared" si="526"/>
        <v>0</v>
      </c>
      <c r="DD312" s="47">
        <f t="shared" si="527"/>
        <v>0</v>
      </c>
      <c r="DE312" s="604">
        <f t="shared" si="594"/>
        <v>0</v>
      </c>
      <c r="DF312" s="44">
        <f t="shared" si="595"/>
        <v>0</v>
      </c>
      <c r="DG312" s="44">
        <f t="shared" si="596"/>
        <v>0</v>
      </c>
      <c r="DH312" s="44">
        <f t="shared" si="597"/>
        <v>0</v>
      </c>
      <c r="DI312" s="44">
        <f t="shared" si="598"/>
        <v>0</v>
      </c>
      <c r="DJ312" s="44">
        <f t="shared" si="599"/>
        <v>0</v>
      </c>
      <c r="DK312" s="44">
        <f t="shared" si="528"/>
        <v>0</v>
      </c>
      <c r="DL312" s="44">
        <f t="shared" si="600"/>
        <v>0</v>
      </c>
      <c r="DM312" s="44">
        <f t="shared" si="529"/>
        <v>0</v>
      </c>
      <c r="DN312" s="44">
        <f t="shared" si="601"/>
        <v>0</v>
      </c>
      <c r="DO312" s="44">
        <f t="shared" si="530"/>
        <v>0</v>
      </c>
      <c r="DP312" s="46">
        <f t="shared" si="531"/>
        <v>0</v>
      </c>
      <c r="DQ312" s="47">
        <f t="shared" si="532"/>
        <v>0</v>
      </c>
      <c r="DR312" s="604">
        <f t="shared" si="602"/>
        <v>0</v>
      </c>
      <c r="DS312" s="44">
        <f t="shared" si="603"/>
        <v>0</v>
      </c>
      <c r="DT312" s="44">
        <f t="shared" si="604"/>
        <v>0</v>
      </c>
      <c r="DU312" s="44">
        <f t="shared" si="605"/>
        <v>0</v>
      </c>
      <c r="DV312" s="44">
        <f t="shared" si="606"/>
        <v>0</v>
      </c>
      <c r="DW312" s="44">
        <f t="shared" si="607"/>
        <v>0</v>
      </c>
      <c r="DX312" s="44">
        <f t="shared" si="533"/>
        <v>0</v>
      </c>
      <c r="DY312" s="44">
        <f t="shared" si="608"/>
        <v>0</v>
      </c>
      <c r="DZ312" s="44">
        <f t="shared" si="534"/>
        <v>0</v>
      </c>
      <c r="EA312" s="44">
        <f t="shared" si="609"/>
        <v>0</v>
      </c>
      <c r="EB312" s="44">
        <f t="shared" si="535"/>
        <v>0</v>
      </c>
      <c r="EC312" s="46">
        <f t="shared" si="536"/>
        <v>0</v>
      </c>
      <c r="ED312" s="47">
        <f t="shared" si="537"/>
        <v>0</v>
      </c>
    </row>
    <row r="313" spans="1:134" x14ac:dyDescent="0.35">
      <c r="A313" s="172"/>
      <c r="B313" s="173"/>
      <c r="C313" s="174"/>
      <c r="D313" s="83"/>
      <c r="E313" s="87"/>
      <c r="F313" s="85"/>
      <c r="G313" s="86"/>
      <c r="H313" s="179"/>
      <c r="I313" s="180"/>
      <c r="J313" s="181"/>
      <c r="K313" s="42">
        <f t="shared" si="488"/>
        <v>0</v>
      </c>
      <c r="L313" s="43">
        <f t="shared" si="489"/>
        <v>0</v>
      </c>
      <c r="M313" s="44">
        <f t="shared" si="490"/>
        <v>0</v>
      </c>
      <c r="N313" s="44"/>
      <c r="O313" s="44">
        <f t="shared" si="491"/>
        <v>0</v>
      </c>
      <c r="P313" s="45"/>
      <c r="Q313" s="44">
        <f t="shared" si="492"/>
        <v>0</v>
      </c>
      <c r="R313" s="604">
        <f t="shared" si="538"/>
        <v>0</v>
      </c>
      <c r="S313" s="44">
        <f t="shared" si="539"/>
        <v>0</v>
      </c>
      <c r="T313" s="44">
        <f t="shared" si="540"/>
        <v>0</v>
      </c>
      <c r="U313" s="44">
        <f t="shared" si="541"/>
        <v>0</v>
      </c>
      <c r="V313" s="44">
        <f t="shared" si="542"/>
        <v>0</v>
      </c>
      <c r="W313" s="44">
        <f t="shared" si="543"/>
        <v>0</v>
      </c>
      <c r="X313" s="44">
        <f t="shared" si="493"/>
        <v>0</v>
      </c>
      <c r="Y313" s="44">
        <f t="shared" si="544"/>
        <v>0</v>
      </c>
      <c r="Z313" s="44">
        <f t="shared" si="494"/>
        <v>0</v>
      </c>
      <c r="AA313" s="44">
        <f t="shared" si="545"/>
        <v>0</v>
      </c>
      <c r="AB313" s="44">
        <f t="shared" si="495"/>
        <v>0</v>
      </c>
      <c r="AC313" s="46">
        <f t="shared" si="496"/>
        <v>0</v>
      </c>
      <c r="AD313" s="47">
        <f t="shared" si="497"/>
        <v>0</v>
      </c>
      <c r="AE313" s="604">
        <f t="shared" si="546"/>
        <v>0</v>
      </c>
      <c r="AF313" s="44">
        <f t="shared" si="547"/>
        <v>0</v>
      </c>
      <c r="AG313" s="44">
        <f t="shared" si="548"/>
        <v>0</v>
      </c>
      <c r="AH313" s="44">
        <f t="shared" si="549"/>
        <v>0</v>
      </c>
      <c r="AI313" s="44">
        <f t="shared" si="550"/>
        <v>0</v>
      </c>
      <c r="AJ313" s="44">
        <f t="shared" si="551"/>
        <v>0</v>
      </c>
      <c r="AK313" s="44">
        <f t="shared" si="498"/>
        <v>0</v>
      </c>
      <c r="AL313" s="44">
        <f t="shared" si="552"/>
        <v>0</v>
      </c>
      <c r="AM313" s="44">
        <f t="shared" si="499"/>
        <v>0</v>
      </c>
      <c r="AN313" s="44">
        <f t="shared" si="553"/>
        <v>0</v>
      </c>
      <c r="AO313" s="44">
        <f t="shared" si="500"/>
        <v>0</v>
      </c>
      <c r="AP313" s="46">
        <f t="shared" si="501"/>
        <v>0</v>
      </c>
      <c r="AQ313" s="47">
        <f t="shared" si="502"/>
        <v>0</v>
      </c>
      <c r="AR313" s="604">
        <f t="shared" si="554"/>
        <v>0</v>
      </c>
      <c r="AS313" s="44">
        <f t="shared" si="555"/>
        <v>0</v>
      </c>
      <c r="AT313" s="44">
        <f t="shared" si="556"/>
        <v>0</v>
      </c>
      <c r="AU313" s="44">
        <f t="shared" si="557"/>
        <v>0</v>
      </c>
      <c r="AV313" s="44">
        <f t="shared" si="558"/>
        <v>0</v>
      </c>
      <c r="AW313" s="44">
        <f t="shared" si="559"/>
        <v>0</v>
      </c>
      <c r="AX313" s="44">
        <f t="shared" si="503"/>
        <v>0</v>
      </c>
      <c r="AY313" s="44">
        <f t="shared" si="560"/>
        <v>0</v>
      </c>
      <c r="AZ313" s="44">
        <f t="shared" si="504"/>
        <v>0</v>
      </c>
      <c r="BA313" s="44">
        <f t="shared" si="561"/>
        <v>0</v>
      </c>
      <c r="BB313" s="44">
        <f t="shared" si="505"/>
        <v>0</v>
      </c>
      <c r="BC313" s="46">
        <f t="shared" si="506"/>
        <v>0</v>
      </c>
      <c r="BD313" s="47">
        <f t="shared" si="507"/>
        <v>0</v>
      </c>
      <c r="BE313" s="604">
        <f t="shared" si="562"/>
        <v>0</v>
      </c>
      <c r="BF313" s="44">
        <f t="shared" si="563"/>
        <v>0</v>
      </c>
      <c r="BG313" s="44">
        <f t="shared" si="564"/>
        <v>0</v>
      </c>
      <c r="BH313" s="44">
        <f t="shared" si="565"/>
        <v>0</v>
      </c>
      <c r="BI313" s="44">
        <f t="shared" si="566"/>
        <v>0</v>
      </c>
      <c r="BJ313" s="44">
        <f t="shared" si="567"/>
        <v>0</v>
      </c>
      <c r="BK313" s="44">
        <f t="shared" si="508"/>
        <v>0</v>
      </c>
      <c r="BL313" s="44">
        <f t="shared" si="568"/>
        <v>0</v>
      </c>
      <c r="BM313" s="44">
        <f t="shared" si="509"/>
        <v>0</v>
      </c>
      <c r="BN313" s="44">
        <f t="shared" si="569"/>
        <v>0</v>
      </c>
      <c r="BO313" s="44">
        <f t="shared" si="510"/>
        <v>0</v>
      </c>
      <c r="BP313" s="46">
        <f t="shared" si="511"/>
        <v>0</v>
      </c>
      <c r="BQ313" s="47">
        <f t="shared" si="512"/>
        <v>0</v>
      </c>
      <c r="BR313" s="604">
        <f t="shared" si="570"/>
        <v>0</v>
      </c>
      <c r="BS313" s="44">
        <f t="shared" si="571"/>
        <v>0</v>
      </c>
      <c r="BT313" s="44">
        <f t="shared" si="572"/>
        <v>0</v>
      </c>
      <c r="BU313" s="44">
        <f t="shared" si="573"/>
        <v>0</v>
      </c>
      <c r="BV313" s="44">
        <f t="shared" si="574"/>
        <v>0</v>
      </c>
      <c r="BW313" s="44">
        <f t="shared" si="575"/>
        <v>0</v>
      </c>
      <c r="BX313" s="44">
        <f t="shared" si="513"/>
        <v>0</v>
      </c>
      <c r="BY313" s="44">
        <f t="shared" si="576"/>
        <v>0</v>
      </c>
      <c r="BZ313" s="44">
        <f t="shared" si="514"/>
        <v>0</v>
      </c>
      <c r="CA313" s="44">
        <f t="shared" si="577"/>
        <v>0</v>
      </c>
      <c r="CB313" s="44">
        <f t="shared" si="515"/>
        <v>0</v>
      </c>
      <c r="CC313" s="46">
        <f t="shared" si="516"/>
        <v>0</v>
      </c>
      <c r="CD313" s="47">
        <f t="shared" si="517"/>
        <v>0</v>
      </c>
      <c r="CE313" s="604">
        <f t="shared" si="578"/>
        <v>0</v>
      </c>
      <c r="CF313" s="44">
        <f t="shared" si="579"/>
        <v>0</v>
      </c>
      <c r="CG313" s="44">
        <f t="shared" si="580"/>
        <v>0</v>
      </c>
      <c r="CH313" s="44">
        <f t="shared" si="581"/>
        <v>0</v>
      </c>
      <c r="CI313" s="44">
        <f t="shared" si="582"/>
        <v>0</v>
      </c>
      <c r="CJ313" s="44">
        <f t="shared" si="583"/>
        <v>0</v>
      </c>
      <c r="CK313" s="44">
        <f t="shared" si="518"/>
        <v>0</v>
      </c>
      <c r="CL313" s="44">
        <f t="shared" si="584"/>
        <v>0</v>
      </c>
      <c r="CM313" s="44">
        <f t="shared" si="519"/>
        <v>0</v>
      </c>
      <c r="CN313" s="44">
        <f t="shared" si="585"/>
        <v>0</v>
      </c>
      <c r="CO313" s="44">
        <f t="shared" si="520"/>
        <v>0</v>
      </c>
      <c r="CP313" s="46">
        <f t="shared" si="521"/>
        <v>0</v>
      </c>
      <c r="CQ313" s="47">
        <f t="shared" si="522"/>
        <v>0</v>
      </c>
      <c r="CR313" s="604">
        <f t="shared" si="586"/>
        <v>0</v>
      </c>
      <c r="CS313" s="44">
        <f t="shared" si="587"/>
        <v>0</v>
      </c>
      <c r="CT313" s="44">
        <f t="shared" si="588"/>
        <v>0</v>
      </c>
      <c r="CU313" s="44">
        <f t="shared" si="589"/>
        <v>0</v>
      </c>
      <c r="CV313" s="44">
        <f t="shared" si="590"/>
        <v>0</v>
      </c>
      <c r="CW313" s="44">
        <f t="shared" si="591"/>
        <v>0</v>
      </c>
      <c r="CX313" s="44">
        <f t="shared" si="523"/>
        <v>0</v>
      </c>
      <c r="CY313" s="44">
        <f t="shared" si="592"/>
        <v>0</v>
      </c>
      <c r="CZ313" s="44">
        <f t="shared" si="524"/>
        <v>0</v>
      </c>
      <c r="DA313" s="44">
        <f t="shared" si="593"/>
        <v>0</v>
      </c>
      <c r="DB313" s="44">
        <f t="shared" si="525"/>
        <v>0</v>
      </c>
      <c r="DC313" s="46">
        <f t="shared" si="526"/>
        <v>0</v>
      </c>
      <c r="DD313" s="47">
        <f t="shared" si="527"/>
        <v>0</v>
      </c>
      <c r="DE313" s="604">
        <f t="shared" si="594"/>
        <v>0</v>
      </c>
      <c r="DF313" s="44">
        <f t="shared" si="595"/>
        <v>0</v>
      </c>
      <c r="DG313" s="44">
        <f t="shared" si="596"/>
        <v>0</v>
      </c>
      <c r="DH313" s="44">
        <f t="shared" si="597"/>
        <v>0</v>
      </c>
      <c r="DI313" s="44">
        <f t="shared" si="598"/>
        <v>0</v>
      </c>
      <c r="DJ313" s="44">
        <f t="shared" si="599"/>
        <v>0</v>
      </c>
      <c r="DK313" s="44">
        <f t="shared" si="528"/>
        <v>0</v>
      </c>
      <c r="DL313" s="44">
        <f t="shared" si="600"/>
        <v>0</v>
      </c>
      <c r="DM313" s="44">
        <f t="shared" si="529"/>
        <v>0</v>
      </c>
      <c r="DN313" s="44">
        <f t="shared" si="601"/>
        <v>0</v>
      </c>
      <c r="DO313" s="44">
        <f t="shared" si="530"/>
        <v>0</v>
      </c>
      <c r="DP313" s="46">
        <f t="shared" si="531"/>
        <v>0</v>
      </c>
      <c r="DQ313" s="47">
        <f t="shared" si="532"/>
        <v>0</v>
      </c>
      <c r="DR313" s="604">
        <f t="shared" si="602"/>
        <v>0</v>
      </c>
      <c r="DS313" s="44">
        <f t="shared" si="603"/>
        <v>0</v>
      </c>
      <c r="DT313" s="44">
        <f t="shared" si="604"/>
        <v>0</v>
      </c>
      <c r="DU313" s="44">
        <f t="shared" si="605"/>
        <v>0</v>
      </c>
      <c r="DV313" s="44">
        <f t="shared" si="606"/>
        <v>0</v>
      </c>
      <c r="DW313" s="44">
        <f t="shared" si="607"/>
        <v>0</v>
      </c>
      <c r="DX313" s="44">
        <f t="shared" si="533"/>
        <v>0</v>
      </c>
      <c r="DY313" s="44">
        <f t="shared" si="608"/>
        <v>0</v>
      </c>
      <c r="DZ313" s="44">
        <f t="shared" si="534"/>
        <v>0</v>
      </c>
      <c r="EA313" s="44">
        <f t="shared" si="609"/>
        <v>0</v>
      </c>
      <c r="EB313" s="44">
        <f t="shared" si="535"/>
        <v>0</v>
      </c>
      <c r="EC313" s="46">
        <f t="shared" si="536"/>
        <v>0</v>
      </c>
      <c r="ED313" s="47">
        <f t="shared" si="537"/>
        <v>0</v>
      </c>
    </row>
    <row r="314" spans="1:134" x14ac:dyDescent="0.35">
      <c r="A314" s="172"/>
      <c r="B314" s="173"/>
      <c r="C314" s="174"/>
      <c r="D314" s="83"/>
      <c r="E314" s="87"/>
      <c r="F314" s="85"/>
      <c r="G314" s="86"/>
      <c r="H314" s="179"/>
      <c r="I314" s="180"/>
      <c r="J314" s="181"/>
      <c r="K314" s="42">
        <f t="shared" si="488"/>
        <v>0</v>
      </c>
      <c r="L314" s="43">
        <f t="shared" si="489"/>
        <v>0</v>
      </c>
      <c r="M314" s="44">
        <f t="shared" si="490"/>
        <v>0</v>
      </c>
      <c r="N314" s="44"/>
      <c r="O314" s="44">
        <f t="shared" si="491"/>
        <v>0</v>
      </c>
      <c r="P314" s="45"/>
      <c r="Q314" s="44">
        <f t="shared" si="492"/>
        <v>0</v>
      </c>
      <c r="R314" s="604">
        <f t="shared" si="538"/>
        <v>0</v>
      </c>
      <c r="S314" s="44">
        <f t="shared" si="539"/>
        <v>0</v>
      </c>
      <c r="T314" s="44">
        <f t="shared" si="540"/>
        <v>0</v>
      </c>
      <c r="U314" s="44">
        <f t="shared" si="541"/>
        <v>0</v>
      </c>
      <c r="V314" s="44">
        <f t="shared" si="542"/>
        <v>0</v>
      </c>
      <c r="W314" s="44">
        <f t="shared" si="543"/>
        <v>0</v>
      </c>
      <c r="X314" s="44">
        <f t="shared" si="493"/>
        <v>0</v>
      </c>
      <c r="Y314" s="44">
        <f t="shared" si="544"/>
        <v>0</v>
      </c>
      <c r="Z314" s="44">
        <f t="shared" si="494"/>
        <v>0</v>
      </c>
      <c r="AA314" s="44">
        <f t="shared" si="545"/>
        <v>0</v>
      </c>
      <c r="AB314" s="44">
        <f t="shared" si="495"/>
        <v>0</v>
      </c>
      <c r="AC314" s="46">
        <f t="shared" si="496"/>
        <v>0</v>
      </c>
      <c r="AD314" s="47">
        <f t="shared" si="497"/>
        <v>0</v>
      </c>
      <c r="AE314" s="604">
        <f t="shared" si="546"/>
        <v>0</v>
      </c>
      <c r="AF314" s="44">
        <f t="shared" si="547"/>
        <v>0</v>
      </c>
      <c r="AG314" s="44">
        <f t="shared" si="548"/>
        <v>0</v>
      </c>
      <c r="AH314" s="44">
        <f t="shared" si="549"/>
        <v>0</v>
      </c>
      <c r="AI314" s="44">
        <f t="shared" si="550"/>
        <v>0</v>
      </c>
      <c r="AJ314" s="44">
        <f t="shared" si="551"/>
        <v>0</v>
      </c>
      <c r="AK314" s="44">
        <f t="shared" si="498"/>
        <v>0</v>
      </c>
      <c r="AL314" s="44">
        <f t="shared" si="552"/>
        <v>0</v>
      </c>
      <c r="AM314" s="44">
        <f t="shared" si="499"/>
        <v>0</v>
      </c>
      <c r="AN314" s="44">
        <f t="shared" si="553"/>
        <v>0</v>
      </c>
      <c r="AO314" s="44">
        <f t="shared" si="500"/>
        <v>0</v>
      </c>
      <c r="AP314" s="46">
        <f t="shared" si="501"/>
        <v>0</v>
      </c>
      <c r="AQ314" s="47">
        <f t="shared" si="502"/>
        <v>0</v>
      </c>
      <c r="AR314" s="604">
        <f t="shared" si="554"/>
        <v>0</v>
      </c>
      <c r="AS314" s="44">
        <f t="shared" si="555"/>
        <v>0</v>
      </c>
      <c r="AT314" s="44">
        <f t="shared" si="556"/>
        <v>0</v>
      </c>
      <c r="AU314" s="44">
        <f t="shared" si="557"/>
        <v>0</v>
      </c>
      <c r="AV314" s="44">
        <f t="shared" si="558"/>
        <v>0</v>
      </c>
      <c r="AW314" s="44">
        <f t="shared" si="559"/>
        <v>0</v>
      </c>
      <c r="AX314" s="44">
        <f t="shared" si="503"/>
        <v>0</v>
      </c>
      <c r="AY314" s="44">
        <f t="shared" si="560"/>
        <v>0</v>
      </c>
      <c r="AZ314" s="44">
        <f t="shared" si="504"/>
        <v>0</v>
      </c>
      <c r="BA314" s="44">
        <f t="shared" si="561"/>
        <v>0</v>
      </c>
      <c r="BB314" s="44">
        <f t="shared" si="505"/>
        <v>0</v>
      </c>
      <c r="BC314" s="46">
        <f t="shared" si="506"/>
        <v>0</v>
      </c>
      <c r="BD314" s="47">
        <f t="shared" si="507"/>
        <v>0</v>
      </c>
      <c r="BE314" s="604">
        <f t="shared" si="562"/>
        <v>0</v>
      </c>
      <c r="BF314" s="44">
        <f t="shared" si="563"/>
        <v>0</v>
      </c>
      <c r="BG314" s="44">
        <f t="shared" si="564"/>
        <v>0</v>
      </c>
      <c r="BH314" s="44">
        <f t="shared" si="565"/>
        <v>0</v>
      </c>
      <c r="BI314" s="44">
        <f t="shared" si="566"/>
        <v>0</v>
      </c>
      <c r="BJ314" s="44">
        <f t="shared" si="567"/>
        <v>0</v>
      </c>
      <c r="BK314" s="44">
        <f t="shared" si="508"/>
        <v>0</v>
      </c>
      <c r="BL314" s="44">
        <f t="shared" si="568"/>
        <v>0</v>
      </c>
      <c r="BM314" s="44">
        <f t="shared" si="509"/>
        <v>0</v>
      </c>
      <c r="BN314" s="44">
        <f t="shared" si="569"/>
        <v>0</v>
      </c>
      <c r="BO314" s="44">
        <f t="shared" si="510"/>
        <v>0</v>
      </c>
      <c r="BP314" s="46">
        <f t="shared" si="511"/>
        <v>0</v>
      </c>
      <c r="BQ314" s="47">
        <f t="shared" si="512"/>
        <v>0</v>
      </c>
      <c r="BR314" s="604">
        <f t="shared" si="570"/>
        <v>0</v>
      </c>
      <c r="BS314" s="44">
        <f t="shared" si="571"/>
        <v>0</v>
      </c>
      <c r="BT314" s="44">
        <f t="shared" si="572"/>
        <v>0</v>
      </c>
      <c r="BU314" s="44">
        <f t="shared" si="573"/>
        <v>0</v>
      </c>
      <c r="BV314" s="44">
        <f t="shared" si="574"/>
        <v>0</v>
      </c>
      <c r="BW314" s="44">
        <f t="shared" si="575"/>
        <v>0</v>
      </c>
      <c r="BX314" s="44">
        <f t="shared" si="513"/>
        <v>0</v>
      </c>
      <c r="BY314" s="44">
        <f t="shared" si="576"/>
        <v>0</v>
      </c>
      <c r="BZ314" s="44">
        <f t="shared" si="514"/>
        <v>0</v>
      </c>
      <c r="CA314" s="44">
        <f t="shared" si="577"/>
        <v>0</v>
      </c>
      <c r="CB314" s="44">
        <f t="shared" si="515"/>
        <v>0</v>
      </c>
      <c r="CC314" s="46">
        <f t="shared" si="516"/>
        <v>0</v>
      </c>
      <c r="CD314" s="47">
        <f t="shared" si="517"/>
        <v>0</v>
      </c>
      <c r="CE314" s="604">
        <f t="shared" si="578"/>
        <v>0</v>
      </c>
      <c r="CF314" s="44">
        <f t="shared" si="579"/>
        <v>0</v>
      </c>
      <c r="CG314" s="44">
        <f t="shared" si="580"/>
        <v>0</v>
      </c>
      <c r="CH314" s="44">
        <f t="shared" si="581"/>
        <v>0</v>
      </c>
      <c r="CI314" s="44">
        <f t="shared" si="582"/>
        <v>0</v>
      </c>
      <c r="CJ314" s="44">
        <f t="shared" si="583"/>
        <v>0</v>
      </c>
      <c r="CK314" s="44">
        <f t="shared" si="518"/>
        <v>0</v>
      </c>
      <c r="CL314" s="44">
        <f t="shared" si="584"/>
        <v>0</v>
      </c>
      <c r="CM314" s="44">
        <f t="shared" si="519"/>
        <v>0</v>
      </c>
      <c r="CN314" s="44">
        <f t="shared" si="585"/>
        <v>0</v>
      </c>
      <c r="CO314" s="44">
        <f t="shared" si="520"/>
        <v>0</v>
      </c>
      <c r="CP314" s="46">
        <f t="shared" si="521"/>
        <v>0</v>
      </c>
      <c r="CQ314" s="47">
        <f t="shared" si="522"/>
        <v>0</v>
      </c>
      <c r="CR314" s="604">
        <f t="shared" si="586"/>
        <v>0</v>
      </c>
      <c r="CS314" s="44">
        <f t="shared" si="587"/>
        <v>0</v>
      </c>
      <c r="CT314" s="44">
        <f t="shared" si="588"/>
        <v>0</v>
      </c>
      <c r="CU314" s="44">
        <f t="shared" si="589"/>
        <v>0</v>
      </c>
      <c r="CV314" s="44">
        <f t="shared" si="590"/>
        <v>0</v>
      </c>
      <c r="CW314" s="44">
        <f t="shared" si="591"/>
        <v>0</v>
      </c>
      <c r="CX314" s="44">
        <f t="shared" si="523"/>
        <v>0</v>
      </c>
      <c r="CY314" s="44">
        <f t="shared" si="592"/>
        <v>0</v>
      </c>
      <c r="CZ314" s="44">
        <f t="shared" si="524"/>
        <v>0</v>
      </c>
      <c r="DA314" s="44">
        <f t="shared" si="593"/>
        <v>0</v>
      </c>
      <c r="DB314" s="44">
        <f t="shared" si="525"/>
        <v>0</v>
      </c>
      <c r="DC314" s="46">
        <f t="shared" si="526"/>
        <v>0</v>
      </c>
      <c r="DD314" s="47">
        <f t="shared" si="527"/>
        <v>0</v>
      </c>
      <c r="DE314" s="604">
        <f t="shared" si="594"/>
        <v>0</v>
      </c>
      <c r="DF314" s="44">
        <f t="shared" si="595"/>
        <v>0</v>
      </c>
      <c r="DG314" s="44">
        <f t="shared" si="596"/>
        <v>0</v>
      </c>
      <c r="DH314" s="44">
        <f t="shared" si="597"/>
        <v>0</v>
      </c>
      <c r="DI314" s="44">
        <f t="shared" si="598"/>
        <v>0</v>
      </c>
      <c r="DJ314" s="44">
        <f t="shared" si="599"/>
        <v>0</v>
      </c>
      <c r="DK314" s="44">
        <f t="shared" si="528"/>
        <v>0</v>
      </c>
      <c r="DL314" s="44">
        <f t="shared" si="600"/>
        <v>0</v>
      </c>
      <c r="DM314" s="44">
        <f t="shared" si="529"/>
        <v>0</v>
      </c>
      <c r="DN314" s="44">
        <f t="shared" si="601"/>
        <v>0</v>
      </c>
      <c r="DO314" s="44">
        <f t="shared" si="530"/>
        <v>0</v>
      </c>
      <c r="DP314" s="46">
        <f t="shared" si="531"/>
        <v>0</v>
      </c>
      <c r="DQ314" s="47">
        <f t="shared" si="532"/>
        <v>0</v>
      </c>
      <c r="DR314" s="604">
        <f t="shared" si="602"/>
        <v>0</v>
      </c>
      <c r="DS314" s="44">
        <f t="shared" si="603"/>
        <v>0</v>
      </c>
      <c r="DT314" s="44">
        <f t="shared" si="604"/>
        <v>0</v>
      </c>
      <c r="DU314" s="44">
        <f t="shared" si="605"/>
        <v>0</v>
      </c>
      <c r="DV314" s="44">
        <f t="shared" si="606"/>
        <v>0</v>
      </c>
      <c r="DW314" s="44">
        <f t="shared" si="607"/>
        <v>0</v>
      </c>
      <c r="DX314" s="44">
        <f t="shared" si="533"/>
        <v>0</v>
      </c>
      <c r="DY314" s="44">
        <f t="shared" si="608"/>
        <v>0</v>
      </c>
      <c r="DZ314" s="44">
        <f t="shared" si="534"/>
        <v>0</v>
      </c>
      <c r="EA314" s="44">
        <f t="shared" si="609"/>
        <v>0</v>
      </c>
      <c r="EB314" s="44">
        <f t="shared" si="535"/>
        <v>0</v>
      </c>
      <c r="EC314" s="46">
        <f t="shared" si="536"/>
        <v>0</v>
      </c>
      <c r="ED314" s="47">
        <f t="shared" si="537"/>
        <v>0</v>
      </c>
    </row>
    <row r="315" spans="1:134" x14ac:dyDescent="0.35">
      <c r="A315" s="172"/>
      <c r="B315" s="173"/>
      <c r="C315" s="174"/>
      <c r="D315" s="83"/>
      <c r="E315" s="87"/>
      <c r="F315" s="85"/>
      <c r="G315" s="86"/>
      <c r="H315" s="179"/>
      <c r="I315" s="180"/>
      <c r="J315" s="181"/>
      <c r="K315" s="42">
        <f t="shared" si="488"/>
        <v>0</v>
      </c>
      <c r="L315" s="43">
        <f t="shared" si="489"/>
        <v>0</v>
      </c>
      <c r="M315" s="44">
        <f t="shared" si="490"/>
        <v>0</v>
      </c>
      <c r="N315" s="44"/>
      <c r="O315" s="44">
        <f t="shared" si="491"/>
        <v>0</v>
      </c>
      <c r="P315" s="45"/>
      <c r="Q315" s="44">
        <f t="shared" si="492"/>
        <v>0</v>
      </c>
      <c r="R315" s="604">
        <f t="shared" si="538"/>
        <v>0</v>
      </c>
      <c r="S315" s="44">
        <f t="shared" si="539"/>
        <v>0</v>
      </c>
      <c r="T315" s="44">
        <f t="shared" si="540"/>
        <v>0</v>
      </c>
      <c r="U315" s="44">
        <f t="shared" si="541"/>
        <v>0</v>
      </c>
      <c r="V315" s="44">
        <f t="shared" si="542"/>
        <v>0</v>
      </c>
      <c r="W315" s="44">
        <f t="shared" si="543"/>
        <v>0</v>
      </c>
      <c r="X315" s="44">
        <f t="shared" si="493"/>
        <v>0</v>
      </c>
      <c r="Y315" s="44">
        <f t="shared" si="544"/>
        <v>0</v>
      </c>
      <c r="Z315" s="44">
        <f t="shared" si="494"/>
        <v>0</v>
      </c>
      <c r="AA315" s="44">
        <f t="shared" si="545"/>
        <v>0</v>
      </c>
      <c r="AB315" s="44">
        <f t="shared" si="495"/>
        <v>0</v>
      </c>
      <c r="AC315" s="46">
        <f t="shared" si="496"/>
        <v>0</v>
      </c>
      <c r="AD315" s="47">
        <f t="shared" si="497"/>
        <v>0</v>
      </c>
      <c r="AE315" s="604">
        <f t="shared" si="546"/>
        <v>0</v>
      </c>
      <c r="AF315" s="44">
        <f t="shared" si="547"/>
        <v>0</v>
      </c>
      <c r="AG315" s="44">
        <f t="shared" si="548"/>
        <v>0</v>
      </c>
      <c r="AH315" s="44">
        <f t="shared" si="549"/>
        <v>0</v>
      </c>
      <c r="AI315" s="44">
        <f t="shared" si="550"/>
        <v>0</v>
      </c>
      <c r="AJ315" s="44">
        <f t="shared" si="551"/>
        <v>0</v>
      </c>
      <c r="AK315" s="44">
        <f t="shared" si="498"/>
        <v>0</v>
      </c>
      <c r="AL315" s="44">
        <f t="shared" si="552"/>
        <v>0</v>
      </c>
      <c r="AM315" s="44">
        <f t="shared" si="499"/>
        <v>0</v>
      </c>
      <c r="AN315" s="44">
        <f t="shared" si="553"/>
        <v>0</v>
      </c>
      <c r="AO315" s="44">
        <f t="shared" si="500"/>
        <v>0</v>
      </c>
      <c r="AP315" s="46">
        <f t="shared" si="501"/>
        <v>0</v>
      </c>
      <c r="AQ315" s="47">
        <f t="shared" si="502"/>
        <v>0</v>
      </c>
      <c r="AR315" s="604">
        <f t="shared" si="554"/>
        <v>0</v>
      </c>
      <c r="AS315" s="44">
        <f t="shared" si="555"/>
        <v>0</v>
      </c>
      <c r="AT315" s="44">
        <f t="shared" si="556"/>
        <v>0</v>
      </c>
      <c r="AU315" s="44">
        <f t="shared" si="557"/>
        <v>0</v>
      </c>
      <c r="AV315" s="44">
        <f t="shared" si="558"/>
        <v>0</v>
      </c>
      <c r="AW315" s="44">
        <f t="shared" si="559"/>
        <v>0</v>
      </c>
      <c r="AX315" s="44">
        <f t="shared" si="503"/>
        <v>0</v>
      </c>
      <c r="AY315" s="44">
        <f t="shared" si="560"/>
        <v>0</v>
      </c>
      <c r="AZ315" s="44">
        <f t="shared" si="504"/>
        <v>0</v>
      </c>
      <c r="BA315" s="44">
        <f t="shared" si="561"/>
        <v>0</v>
      </c>
      <c r="BB315" s="44">
        <f t="shared" si="505"/>
        <v>0</v>
      </c>
      <c r="BC315" s="46">
        <f t="shared" si="506"/>
        <v>0</v>
      </c>
      <c r="BD315" s="47">
        <f t="shared" si="507"/>
        <v>0</v>
      </c>
      <c r="BE315" s="604">
        <f t="shared" si="562"/>
        <v>0</v>
      </c>
      <c r="BF315" s="44">
        <f t="shared" si="563"/>
        <v>0</v>
      </c>
      <c r="BG315" s="44">
        <f t="shared" si="564"/>
        <v>0</v>
      </c>
      <c r="BH315" s="44">
        <f t="shared" si="565"/>
        <v>0</v>
      </c>
      <c r="BI315" s="44">
        <f t="shared" si="566"/>
        <v>0</v>
      </c>
      <c r="BJ315" s="44">
        <f t="shared" si="567"/>
        <v>0</v>
      </c>
      <c r="BK315" s="44">
        <f t="shared" si="508"/>
        <v>0</v>
      </c>
      <c r="BL315" s="44">
        <f t="shared" si="568"/>
        <v>0</v>
      </c>
      <c r="BM315" s="44">
        <f t="shared" si="509"/>
        <v>0</v>
      </c>
      <c r="BN315" s="44">
        <f t="shared" si="569"/>
        <v>0</v>
      </c>
      <c r="BO315" s="44">
        <f t="shared" si="510"/>
        <v>0</v>
      </c>
      <c r="BP315" s="46">
        <f t="shared" si="511"/>
        <v>0</v>
      </c>
      <c r="BQ315" s="47">
        <f t="shared" si="512"/>
        <v>0</v>
      </c>
      <c r="BR315" s="604">
        <f t="shared" si="570"/>
        <v>0</v>
      </c>
      <c r="BS315" s="44">
        <f t="shared" si="571"/>
        <v>0</v>
      </c>
      <c r="BT315" s="44">
        <f t="shared" si="572"/>
        <v>0</v>
      </c>
      <c r="BU315" s="44">
        <f t="shared" si="573"/>
        <v>0</v>
      </c>
      <c r="BV315" s="44">
        <f t="shared" si="574"/>
        <v>0</v>
      </c>
      <c r="BW315" s="44">
        <f t="shared" si="575"/>
        <v>0</v>
      </c>
      <c r="BX315" s="44">
        <f t="shared" si="513"/>
        <v>0</v>
      </c>
      <c r="BY315" s="44">
        <f t="shared" si="576"/>
        <v>0</v>
      </c>
      <c r="BZ315" s="44">
        <f t="shared" si="514"/>
        <v>0</v>
      </c>
      <c r="CA315" s="44">
        <f t="shared" si="577"/>
        <v>0</v>
      </c>
      <c r="CB315" s="44">
        <f t="shared" si="515"/>
        <v>0</v>
      </c>
      <c r="CC315" s="46">
        <f t="shared" si="516"/>
        <v>0</v>
      </c>
      <c r="CD315" s="47">
        <f t="shared" si="517"/>
        <v>0</v>
      </c>
      <c r="CE315" s="604">
        <f t="shared" si="578"/>
        <v>0</v>
      </c>
      <c r="CF315" s="44">
        <f t="shared" si="579"/>
        <v>0</v>
      </c>
      <c r="CG315" s="44">
        <f t="shared" si="580"/>
        <v>0</v>
      </c>
      <c r="CH315" s="44">
        <f t="shared" si="581"/>
        <v>0</v>
      </c>
      <c r="CI315" s="44">
        <f t="shared" si="582"/>
        <v>0</v>
      </c>
      <c r="CJ315" s="44">
        <f t="shared" si="583"/>
        <v>0</v>
      </c>
      <c r="CK315" s="44">
        <f t="shared" si="518"/>
        <v>0</v>
      </c>
      <c r="CL315" s="44">
        <f t="shared" si="584"/>
        <v>0</v>
      </c>
      <c r="CM315" s="44">
        <f t="shared" si="519"/>
        <v>0</v>
      </c>
      <c r="CN315" s="44">
        <f t="shared" si="585"/>
        <v>0</v>
      </c>
      <c r="CO315" s="44">
        <f t="shared" si="520"/>
        <v>0</v>
      </c>
      <c r="CP315" s="46">
        <f t="shared" si="521"/>
        <v>0</v>
      </c>
      <c r="CQ315" s="47">
        <f t="shared" si="522"/>
        <v>0</v>
      </c>
      <c r="CR315" s="604">
        <f t="shared" si="586"/>
        <v>0</v>
      </c>
      <c r="CS315" s="44">
        <f t="shared" si="587"/>
        <v>0</v>
      </c>
      <c r="CT315" s="44">
        <f t="shared" si="588"/>
        <v>0</v>
      </c>
      <c r="CU315" s="44">
        <f t="shared" si="589"/>
        <v>0</v>
      </c>
      <c r="CV315" s="44">
        <f t="shared" si="590"/>
        <v>0</v>
      </c>
      <c r="CW315" s="44">
        <f t="shared" si="591"/>
        <v>0</v>
      </c>
      <c r="CX315" s="44">
        <f t="shared" si="523"/>
        <v>0</v>
      </c>
      <c r="CY315" s="44">
        <f t="shared" si="592"/>
        <v>0</v>
      </c>
      <c r="CZ315" s="44">
        <f t="shared" si="524"/>
        <v>0</v>
      </c>
      <c r="DA315" s="44">
        <f t="shared" si="593"/>
        <v>0</v>
      </c>
      <c r="DB315" s="44">
        <f t="shared" si="525"/>
        <v>0</v>
      </c>
      <c r="DC315" s="46">
        <f t="shared" si="526"/>
        <v>0</v>
      </c>
      <c r="DD315" s="47">
        <f t="shared" si="527"/>
        <v>0</v>
      </c>
      <c r="DE315" s="604">
        <f t="shared" si="594"/>
        <v>0</v>
      </c>
      <c r="DF315" s="44">
        <f t="shared" si="595"/>
        <v>0</v>
      </c>
      <c r="DG315" s="44">
        <f t="shared" si="596"/>
        <v>0</v>
      </c>
      <c r="DH315" s="44">
        <f t="shared" si="597"/>
        <v>0</v>
      </c>
      <c r="DI315" s="44">
        <f t="shared" si="598"/>
        <v>0</v>
      </c>
      <c r="DJ315" s="44">
        <f t="shared" si="599"/>
        <v>0</v>
      </c>
      <c r="DK315" s="44">
        <f t="shared" si="528"/>
        <v>0</v>
      </c>
      <c r="DL315" s="44">
        <f t="shared" si="600"/>
        <v>0</v>
      </c>
      <c r="DM315" s="44">
        <f t="shared" si="529"/>
        <v>0</v>
      </c>
      <c r="DN315" s="44">
        <f t="shared" si="601"/>
        <v>0</v>
      </c>
      <c r="DO315" s="44">
        <f t="shared" si="530"/>
        <v>0</v>
      </c>
      <c r="DP315" s="46">
        <f t="shared" si="531"/>
        <v>0</v>
      </c>
      <c r="DQ315" s="47">
        <f t="shared" si="532"/>
        <v>0</v>
      </c>
      <c r="DR315" s="604">
        <f t="shared" si="602"/>
        <v>0</v>
      </c>
      <c r="DS315" s="44">
        <f t="shared" si="603"/>
        <v>0</v>
      </c>
      <c r="DT315" s="44">
        <f t="shared" si="604"/>
        <v>0</v>
      </c>
      <c r="DU315" s="44">
        <f t="shared" si="605"/>
        <v>0</v>
      </c>
      <c r="DV315" s="44">
        <f t="shared" si="606"/>
        <v>0</v>
      </c>
      <c r="DW315" s="44">
        <f t="shared" si="607"/>
        <v>0</v>
      </c>
      <c r="DX315" s="44">
        <f t="shared" si="533"/>
        <v>0</v>
      </c>
      <c r="DY315" s="44">
        <f t="shared" si="608"/>
        <v>0</v>
      </c>
      <c r="DZ315" s="44">
        <f t="shared" si="534"/>
        <v>0</v>
      </c>
      <c r="EA315" s="44">
        <f t="shared" si="609"/>
        <v>0</v>
      </c>
      <c r="EB315" s="44">
        <f t="shared" si="535"/>
        <v>0</v>
      </c>
      <c r="EC315" s="46">
        <f t="shared" si="536"/>
        <v>0</v>
      </c>
      <c r="ED315" s="47">
        <f t="shared" si="537"/>
        <v>0</v>
      </c>
    </row>
    <row r="316" spans="1:134" x14ac:dyDescent="0.35">
      <c r="A316" s="172"/>
      <c r="B316" s="173"/>
      <c r="C316" s="174"/>
      <c r="D316" s="175"/>
      <c r="E316" s="176"/>
      <c r="F316" s="177"/>
      <c r="G316" s="178"/>
      <c r="H316" s="179"/>
      <c r="I316" s="180"/>
      <c r="J316" s="181"/>
      <c r="K316" s="42">
        <f t="shared" si="488"/>
        <v>0</v>
      </c>
      <c r="L316" s="43">
        <f t="shared" si="489"/>
        <v>0</v>
      </c>
      <c r="M316" s="44">
        <f t="shared" si="490"/>
        <v>0</v>
      </c>
      <c r="N316" s="44"/>
      <c r="O316" s="44">
        <f t="shared" si="491"/>
        <v>0</v>
      </c>
      <c r="P316" s="45"/>
      <c r="Q316" s="44">
        <f t="shared" si="492"/>
        <v>0</v>
      </c>
      <c r="R316" s="604">
        <f t="shared" si="538"/>
        <v>0</v>
      </c>
      <c r="S316" s="44">
        <f t="shared" si="539"/>
        <v>0</v>
      </c>
      <c r="T316" s="44">
        <f t="shared" si="540"/>
        <v>0</v>
      </c>
      <c r="U316" s="44">
        <f t="shared" si="541"/>
        <v>0</v>
      </c>
      <c r="V316" s="44">
        <f t="shared" si="542"/>
        <v>0</v>
      </c>
      <c r="W316" s="44">
        <f t="shared" si="543"/>
        <v>0</v>
      </c>
      <c r="X316" s="44">
        <f t="shared" si="493"/>
        <v>0</v>
      </c>
      <c r="Y316" s="44">
        <f t="shared" si="544"/>
        <v>0</v>
      </c>
      <c r="Z316" s="44">
        <f t="shared" si="494"/>
        <v>0</v>
      </c>
      <c r="AA316" s="44">
        <f t="shared" si="545"/>
        <v>0</v>
      </c>
      <c r="AB316" s="44">
        <f t="shared" si="495"/>
        <v>0</v>
      </c>
      <c r="AC316" s="46">
        <f t="shared" si="496"/>
        <v>0</v>
      </c>
      <c r="AD316" s="47">
        <f t="shared" si="497"/>
        <v>0</v>
      </c>
      <c r="AE316" s="604">
        <f t="shared" si="546"/>
        <v>0</v>
      </c>
      <c r="AF316" s="44">
        <f t="shared" si="547"/>
        <v>0</v>
      </c>
      <c r="AG316" s="44">
        <f t="shared" si="548"/>
        <v>0</v>
      </c>
      <c r="AH316" s="44">
        <f t="shared" si="549"/>
        <v>0</v>
      </c>
      <c r="AI316" s="44">
        <f t="shared" si="550"/>
        <v>0</v>
      </c>
      <c r="AJ316" s="44">
        <f t="shared" si="551"/>
        <v>0</v>
      </c>
      <c r="AK316" s="44">
        <f t="shared" si="498"/>
        <v>0</v>
      </c>
      <c r="AL316" s="44">
        <f t="shared" si="552"/>
        <v>0</v>
      </c>
      <c r="AM316" s="44">
        <f t="shared" si="499"/>
        <v>0</v>
      </c>
      <c r="AN316" s="44">
        <f t="shared" si="553"/>
        <v>0</v>
      </c>
      <c r="AO316" s="44">
        <f t="shared" si="500"/>
        <v>0</v>
      </c>
      <c r="AP316" s="46">
        <f t="shared" si="501"/>
        <v>0</v>
      </c>
      <c r="AQ316" s="47">
        <f t="shared" si="502"/>
        <v>0</v>
      </c>
      <c r="AR316" s="604">
        <f t="shared" si="554"/>
        <v>0</v>
      </c>
      <c r="AS316" s="44">
        <f t="shared" si="555"/>
        <v>0</v>
      </c>
      <c r="AT316" s="44">
        <f t="shared" si="556"/>
        <v>0</v>
      </c>
      <c r="AU316" s="44">
        <f t="shared" si="557"/>
        <v>0</v>
      </c>
      <c r="AV316" s="44">
        <f t="shared" si="558"/>
        <v>0</v>
      </c>
      <c r="AW316" s="44">
        <f t="shared" si="559"/>
        <v>0</v>
      </c>
      <c r="AX316" s="44">
        <f t="shared" si="503"/>
        <v>0</v>
      </c>
      <c r="AY316" s="44">
        <f t="shared" si="560"/>
        <v>0</v>
      </c>
      <c r="AZ316" s="44">
        <f t="shared" si="504"/>
        <v>0</v>
      </c>
      <c r="BA316" s="44">
        <f t="shared" si="561"/>
        <v>0</v>
      </c>
      <c r="BB316" s="44">
        <f t="shared" si="505"/>
        <v>0</v>
      </c>
      <c r="BC316" s="46">
        <f t="shared" si="506"/>
        <v>0</v>
      </c>
      <c r="BD316" s="47">
        <f t="shared" si="507"/>
        <v>0</v>
      </c>
      <c r="BE316" s="604">
        <f t="shared" si="562"/>
        <v>0</v>
      </c>
      <c r="BF316" s="44">
        <f t="shared" si="563"/>
        <v>0</v>
      </c>
      <c r="BG316" s="44">
        <f t="shared" si="564"/>
        <v>0</v>
      </c>
      <c r="BH316" s="44">
        <f t="shared" si="565"/>
        <v>0</v>
      </c>
      <c r="BI316" s="44">
        <f t="shared" si="566"/>
        <v>0</v>
      </c>
      <c r="BJ316" s="44">
        <f t="shared" si="567"/>
        <v>0</v>
      </c>
      <c r="BK316" s="44">
        <f t="shared" si="508"/>
        <v>0</v>
      </c>
      <c r="BL316" s="44">
        <f t="shared" si="568"/>
        <v>0</v>
      </c>
      <c r="BM316" s="44">
        <f t="shared" si="509"/>
        <v>0</v>
      </c>
      <c r="BN316" s="44">
        <f t="shared" si="569"/>
        <v>0</v>
      </c>
      <c r="BO316" s="44">
        <f t="shared" si="510"/>
        <v>0</v>
      </c>
      <c r="BP316" s="46">
        <f t="shared" si="511"/>
        <v>0</v>
      </c>
      <c r="BQ316" s="47">
        <f t="shared" si="512"/>
        <v>0</v>
      </c>
      <c r="BR316" s="604">
        <f t="shared" si="570"/>
        <v>0</v>
      </c>
      <c r="BS316" s="44">
        <f t="shared" si="571"/>
        <v>0</v>
      </c>
      <c r="BT316" s="44">
        <f t="shared" si="572"/>
        <v>0</v>
      </c>
      <c r="BU316" s="44">
        <f t="shared" si="573"/>
        <v>0</v>
      </c>
      <c r="BV316" s="44">
        <f t="shared" si="574"/>
        <v>0</v>
      </c>
      <c r="BW316" s="44">
        <f t="shared" si="575"/>
        <v>0</v>
      </c>
      <c r="BX316" s="44">
        <f t="shared" si="513"/>
        <v>0</v>
      </c>
      <c r="BY316" s="44">
        <f t="shared" si="576"/>
        <v>0</v>
      </c>
      <c r="BZ316" s="44">
        <f t="shared" si="514"/>
        <v>0</v>
      </c>
      <c r="CA316" s="44">
        <f t="shared" si="577"/>
        <v>0</v>
      </c>
      <c r="CB316" s="44">
        <f t="shared" si="515"/>
        <v>0</v>
      </c>
      <c r="CC316" s="46">
        <f t="shared" si="516"/>
        <v>0</v>
      </c>
      <c r="CD316" s="47">
        <f t="shared" si="517"/>
        <v>0</v>
      </c>
      <c r="CE316" s="604">
        <f t="shared" si="578"/>
        <v>0</v>
      </c>
      <c r="CF316" s="44">
        <f t="shared" si="579"/>
        <v>0</v>
      </c>
      <c r="CG316" s="44">
        <f t="shared" si="580"/>
        <v>0</v>
      </c>
      <c r="CH316" s="44">
        <f t="shared" si="581"/>
        <v>0</v>
      </c>
      <c r="CI316" s="44">
        <f t="shared" si="582"/>
        <v>0</v>
      </c>
      <c r="CJ316" s="44">
        <f t="shared" si="583"/>
        <v>0</v>
      </c>
      <c r="CK316" s="44">
        <f t="shared" si="518"/>
        <v>0</v>
      </c>
      <c r="CL316" s="44">
        <f t="shared" si="584"/>
        <v>0</v>
      </c>
      <c r="CM316" s="44">
        <f t="shared" si="519"/>
        <v>0</v>
      </c>
      <c r="CN316" s="44">
        <f t="shared" si="585"/>
        <v>0</v>
      </c>
      <c r="CO316" s="44">
        <f t="shared" si="520"/>
        <v>0</v>
      </c>
      <c r="CP316" s="46">
        <f t="shared" si="521"/>
        <v>0</v>
      </c>
      <c r="CQ316" s="47">
        <f t="shared" si="522"/>
        <v>0</v>
      </c>
      <c r="CR316" s="604">
        <f t="shared" si="586"/>
        <v>0</v>
      </c>
      <c r="CS316" s="44">
        <f t="shared" si="587"/>
        <v>0</v>
      </c>
      <c r="CT316" s="44">
        <f t="shared" si="588"/>
        <v>0</v>
      </c>
      <c r="CU316" s="44">
        <f t="shared" si="589"/>
        <v>0</v>
      </c>
      <c r="CV316" s="44">
        <f t="shared" si="590"/>
        <v>0</v>
      </c>
      <c r="CW316" s="44">
        <f t="shared" si="591"/>
        <v>0</v>
      </c>
      <c r="CX316" s="44">
        <f t="shared" si="523"/>
        <v>0</v>
      </c>
      <c r="CY316" s="44">
        <f t="shared" si="592"/>
        <v>0</v>
      </c>
      <c r="CZ316" s="44">
        <f t="shared" si="524"/>
        <v>0</v>
      </c>
      <c r="DA316" s="44">
        <f t="shared" si="593"/>
        <v>0</v>
      </c>
      <c r="DB316" s="44">
        <f t="shared" si="525"/>
        <v>0</v>
      </c>
      <c r="DC316" s="46">
        <f t="shared" si="526"/>
        <v>0</v>
      </c>
      <c r="DD316" s="47">
        <f t="shared" si="527"/>
        <v>0</v>
      </c>
      <c r="DE316" s="604">
        <f t="shared" si="594"/>
        <v>0</v>
      </c>
      <c r="DF316" s="44">
        <f t="shared" si="595"/>
        <v>0</v>
      </c>
      <c r="DG316" s="44">
        <f t="shared" si="596"/>
        <v>0</v>
      </c>
      <c r="DH316" s="44">
        <f t="shared" si="597"/>
        <v>0</v>
      </c>
      <c r="DI316" s="44">
        <f t="shared" si="598"/>
        <v>0</v>
      </c>
      <c r="DJ316" s="44">
        <f t="shared" si="599"/>
        <v>0</v>
      </c>
      <c r="DK316" s="44">
        <f t="shared" si="528"/>
        <v>0</v>
      </c>
      <c r="DL316" s="44">
        <f t="shared" si="600"/>
        <v>0</v>
      </c>
      <c r="DM316" s="44">
        <f t="shared" si="529"/>
        <v>0</v>
      </c>
      <c r="DN316" s="44">
        <f t="shared" si="601"/>
        <v>0</v>
      </c>
      <c r="DO316" s="44">
        <f t="shared" si="530"/>
        <v>0</v>
      </c>
      <c r="DP316" s="46">
        <f t="shared" si="531"/>
        <v>0</v>
      </c>
      <c r="DQ316" s="47">
        <f t="shared" si="532"/>
        <v>0</v>
      </c>
      <c r="DR316" s="604">
        <f t="shared" si="602"/>
        <v>0</v>
      </c>
      <c r="DS316" s="44">
        <f t="shared" si="603"/>
        <v>0</v>
      </c>
      <c r="DT316" s="44">
        <f t="shared" si="604"/>
        <v>0</v>
      </c>
      <c r="DU316" s="44">
        <f t="shared" si="605"/>
        <v>0</v>
      </c>
      <c r="DV316" s="44">
        <f t="shared" si="606"/>
        <v>0</v>
      </c>
      <c r="DW316" s="44">
        <f t="shared" si="607"/>
        <v>0</v>
      </c>
      <c r="DX316" s="44">
        <f t="shared" si="533"/>
        <v>0</v>
      </c>
      <c r="DY316" s="44">
        <f t="shared" si="608"/>
        <v>0</v>
      </c>
      <c r="DZ316" s="44">
        <f t="shared" si="534"/>
        <v>0</v>
      </c>
      <c r="EA316" s="44">
        <f t="shared" si="609"/>
        <v>0</v>
      </c>
      <c r="EB316" s="44">
        <f t="shared" si="535"/>
        <v>0</v>
      </c>
      <c r="EC316" s="46">
        <f t="shared" si="536"/>
        <v>0</v>
      </c>
      <c r="ED316" s="47">
        <f t="shared" si="537"/>
        <v>0</v>
      </c>
    </row>
    <row r="317" spans="1:134" x14ac:dyDescent="0.35">
      <c r="A317" s="172"/>
      <c r="B317" s="173"/>
      <c r="C317" s="174"/>
      <c r="D317" s="175"/>
      <c r="E317" s="176"/>
      <c r="F317" s="177"/>
      <c r="G317" s="178"/>
      <c r="H317" s="179"/>
      <c r="I317" s="180"/>
      <c r="J317" s="181"/>
      <c r="K317" s="42">
        <f t="shared" si="488"/>
        <v>0</v>
      </c>
      <c r="L317" s="43">
        <f t="shared" si="489"/>
        <v>0</v>
      </c>
      <c r="M317" s="44">
        <f t="shared" si="490"/>
        <v>0</v>
      </c>
      <c r="N317" s="44"/>
      <c r="O317" s="44">
        <f t="shared" si="491"/>
        <v>0</v>
      </c>
      <c r="P317" s="45"/>
      <c r="Q317" s="44">
        <f t="shared" si="492"/>
        <v>0</v>
      </c>
      <c r="R317" s="604">
        <f t="shared" si="538"/>
        <v>0</v>
      </c>
      <c r="S317" s="44">
        <f t="shared" si="539"/>
        <v>0</v>
      </c>
      <c r="T317" s="44">
        <f t="shared" si="540"/>
        <v>0</v>
      </c>
      <c r="U317" s="44">
        <f t="shared" si="541"/>
        <v>0</v>
      </c>
      <c r="V317" s="44">
        <f t="shared" si="542"/>
        <v>0</v>
      </c>
      <c r="W317" s="44">
        <f t="shared" si="543"/>
        <v>0</v>
      </c>
      <c r="X317" s="44">
        <f t="shared" si="493"/>
        <v>0</v>
      </c>
      <c r="Y317" s="44">
        <f t="shared" si="544"/>
        <v>0</v>
      </c>
      <c r="Z317" s="44">
        <f t="shared" si="494"/>
        <v>0</v>
      </c>
      <c r="AA317" s="44">
        <f t="shared" si="545"/>
        <v>0</v>
      </c>
      <c r="AB317" s="44">
        <f t="shared" si="495"/>
        <v>0</v>
      </c>
      <c r="AC317" s="46">
        <f t="shared" si="496"/>
        <v>0</v>
      </c>
      <c r="AD317" s="47">
        <f t="shared" si="497"/>
        <v>0</v>
      </c>
      <c r="AE317" s="604">
        <f t="shared" si="546"/>
        <v>0</v>
      </c>
      <c r="AF317" s="44">
        <f t="shared" si="547"/>
        <v>0</v>
      </c>
      <c r="AG317" s="44">
        <f t="shared" si="548"/>
        <v>0</v>
      </c>
      <c r="AH317" s="44">
        <f t="shared" si="549"/>
        <v>0</v>
      </c>
      <c r="AI317" s="44">
        <f t="shared" si="550"/>
        <v>0</v>
      </c>
      <c r="AJ317" s="44">
        <f t="shared" si="551"/>
        <v>0</v>
      </c>
      <c r="AK317" s="44">
        <f t="shared" si="498"/>
        <v>0</v>
      </c>
      <c r="AL317" s="44">
        <f t="shared" si="552"/>
        <v>0</v>
      </c>
      <c r="AM317" s="44">
        <f t="shared" si="499"/>
        <v>0</v>
      </c>
      <c r="AN317" s="44">
        <f t="shared" si="553"/>
        <v>0</v>
      </c>
      <c r="AO317" s="44">
        <f t="shared" si="500"/>
        <v>0</v>
      </c>
      <c r="AP317" s="46">
        <f t="shared" si="501"/>
        <v>0</v>
      </c>
      <c r="AQ317" s="47">
        <f t="shared" si="502"/>
        <v>0</v>
      </c>
      <c r="AR317" s="604">
        <f t="shared" si="554"/>
        <v>0</v>
      </c>
      <c r="AS317" s="44">
        <f t="shared" si="555"/>
        <v>0</v>
      </c>
      <c r="AT317" s="44">
        <f t="shared" si="556"/>
        <v>0</v>
      </c>
      <c r="AU317" s="44">
        <f t="shared" si="557"/>
        <v>0</v>
      </c>
      <c r="AV317" s="44">
        <f t="shared" si="558"/>
        <v>0</v>
      </c>
      <c r="AW317" s="44">
        <f t="shared" si="559"/>
        <v>0</v>
      </c>
      <c r="AX317" s="44">
        <f t="shared" si="503"/>
        <v>0</v>
      </c>
      <c r="AY317" s="44">
        <f t="shared" si="560"/>
        <v>0</v>
      </c>
      <c r="AZ317" s="44">
        <f t="shared" si="504"/>
        <v>0</v>
      </c>
      <c r="BA317" s="44">
        <f t="shared" si="561"/>
        <v>0</v>
      </c>
      <c r="BB317" s="44">
        <f t="shared" si="505"/>
        <v>0</v>
      </c>
      <c r="BC317" s="46">
        <f t="shared" si="506"/>
        <v>0</v>
      </c>
      <c r="BD317" s="47">
        <f t="shared" si="507"/>
        <v>0</v>
      </c>
      <c r="BE317" s="604">
        <f t="shared" si="562"/>
        <v>0</v>
      </c>
      <c r="BF317" s="44">
        <f t="shared" si="563"/>
        <v>0</v>
      </c>
      <c r="BG317" s="44">
        <f t="shared" si="564"/>
        <v>0</v>
      </c>
      <c r="BH317" s="44">
        <f t="shared" si="565"/>
        <v>0</v>
      </c>
      <c r="BI317" s="44">
        <f t="shared" si="566"/>
        <v>0</v>
      </c>
      <c r="BJ317" s="44">
        <f t="shared" si="567"/>
        <v>0</v>
      </c>
      <c r="BK317" s="44">
        <f t="shared" si="508"/>
        <v>0</v>
      </c>
      <c r="BL317" s="44">
        <f t="shared" si="568"/>
        <v>0</v>
      </c>
      <c r="BM317" s="44">
        <f t="shared" si="509"/>
        <v>0</v>
      </c>
      <c r="BN317" s="44">
        <f t="shared" si="569"/>
        <v>0</v>
      </c>
      <c r="BO317" s="44">
        <f t="shared" si="510"/>
        <v>0</v>
      </c>
      <c r="BP317" s="46">
        <f t="shared" si="511"/>
        <v>0</v>
      </c>
      <c r="BQ317" s="47">
        <f t="shared" si="512"/>
        <v>0</v>
      </c>
      <c r="BR317" s="604">
        <f t="shared" si="570"/>
        <v>0</v>
      </c>
      <c r="BS317" s="44">
        <f t="shared" si="571"/>
        <v>0</v>
      </c>
      <c r="BT317" s="44">
        <f t="shared" si="572"/>
        <v>0</v>
      </c>
      <c r="BU317" s="44">
        <f t="shared" si="573"/>
        <v>0</v>
      </c>
      <c r="BV317" s="44">
        <f t="shared" si="574"/>
        <v>0</v>
      </c>
      <c r="BW317" s="44">
        <f t="shared" si="575"/>
        <v>0</v>
      </c>
      <c r="BX317" s="44">
        <f t="shared" si="513"/>
        <v>0</v>
      </c>
      <c r="BY317" s="44">
        <f t="shared" si="576"/>
        <v>0</v>
      </c>
      <c r="BZ317" s="44">
        <f t="shared" si="514"/>
        <v>0</v>
      </c>
      <c r="CA317" s="44">
        <f t="shared" si="577"/>
        <v>0</v>
      </c>
      <c r="CB317" s="44">
        <f t="shared" si="515"/>
        <v>0</v>
      </c>
      <c r="CC317" s="46">
        <f t="shared" si="516"/>
        <v>0</v>
      </c>
      <c r="CD317" s="47">
        <f t="shared" si="517"/>
        <v>0</v>
      </c>
      <c r="CE317" s="604">
        <f t="shared" si="578"/>
        <v>0</v>
      </c>
      <c r="CF317" s="44">
        <f t="shared" si="579"/>
        <v>0</v>
      </c>
      <c r="CG317" s="44">
        <f t="shared" si="580"/>
        <v>0</v>
      </c>
      <c r="CH317" s="44">
        <f t="shared" si="581"/>
        <v>0</v>
      </c>
      <c r="CI317" s="44">
        <f t="shared" si="582"/>
        <v>0</v>
      </c>
      <c r="CJ317" s="44">
        <f t="shared" si="583"/>
        <v>0</v>
      </c>
      <c r="CK317" s="44">
        <f t="shared" si="518"/>
        <v>0</v>
      </c>
      <c r="CL317" s="44">
        <f t="shared" si="584"/>
        <v>0</v>
      </c>
      <c r="CM317" s="44">
        <f t="shared" si="519"/>
        <v>0</v>
      </c>
      <c r="CN317" s="44">
        <f t="shared" si="585"/>
        <v>0</v>
      </c>
      <c r="CO317" s="44">
        <f t="shared" si="520"/>
        <v>0</v>
      </c>
      <c r="CP317" s="46">
        <f t="shared" si="521"/>
        <v>0</v>
      </c>
      <c r="CQ317" s="47">
        <f t="shared" si="522"/>
        <v>0</v>
      </c>
      <c r="CR317" s="604">
        <f t="shared" si="586"/>
        <v>0</v>
      </c>
      <c r="CS317" s="44">
        <f t="shared" si="587"/>
        <v>0</v>
      </c>
      <c r="CT317" s="44">
        <f t="shared" si="588"/>
        <v>0</v>
      </c>
      <c r="CU317" s="44">
        <f t="shared" si="589"/>
        <v>0</v>
      </c>
      <c r="CV317" s="44">
        <f t="shared" si="590"/>
        <v>0</v>
      </c>
      <c r="CW317" s="44">
        <f t="shared" si="591"/>
        <v>0</v>
      </c>
      <c r="CX317" s="44">
        <f t="shared" si="523"/>
        <v>0</v>
      </c>
      <c r="CY317" s="44">
        <f t="shared" si="592"/>
        <v>0</v>
      </c>
      <c r="CZ317" s="44">
        <f t="shared" si="524"/>
        <v>0</v>
      </c>
      <c r="DA317" s="44">
        <f t="shared" si="593"/>
        <v>0</v>
      </c>
      <c r="DB317" s="44">
        <f t="shared" si="525"/>
        <v>0</v>
      </c>
      <c r="DC317" s="46">
        <f t="shared" si="526"/>
        <v>0</v>
      </c>
      <c r="DD317" s="47">
        <f t="shared" si="527"/>
        <v>0</v>
      </c>
      <c r="DE317" s="604">
        <f t="shared" si="594"/>
        <v>0</v>
      </c>
      <c r="DF317" s="44">
        <f t="shared" si="595"/>
        <v>0</v>
      </c>
      <c r="DG317" s="44">
        <f t="shared" si="596"/>
        <v>0</v>
      </c>
      <c r="DH317" s="44">
        <f t="shared" si="597"/>
        <v>0</v>
      </c>
      <c r="DI317" s="44">
        <f t="shared" si="598"/>
        <v>0</v>
      </c>
      <c r="DJ317" s="44">
        <f t="shared" si="599"/>
        <v>0</v>
      </c>
      <c r="DK317" s="44">
        <f t="shared" si="528"/>
        <v>0</v>
      </c>
      <c r="DL317" s="44">
        <f t="shared" si="600"/>
        <v>0</v>
      </c>
      <c r="DM317" s="44">
        <f t="shared" si="529"/>
        <v>0</v>
      </c>
      <c r="DN317" s="44">
        <f t="shared" si="601"/>
        <v>0</v>
      </c>
      <c r="DO317" s="44">
        <f t="shared" si="530"/>
        <v>0</v>
      </c>
      <c r="DP317" s="46">
        <f t="shared" si="531"/>
        <v>0</v>
      </c>
      <c r="DQ317" s="47">
        <f t="shared" si="532"/>
        <v>0</v>
      </c>
      <c r="DR317" s="604">
        <f t="shared" si="602"/>
        <v>0</v>
      </c>
      <c r="DS317" s="44">
        <f t="shared" si="603"/>
        <v>0</v>
      </c>
      <c r="DT317" s="44">
        <f t="shared" si="604"/>
        <v>0</v>
      </c>
      <c r="DU317" s="44">
        <f t="shared" si="605"/>
        <v>0</v>
      </c>
      <c r="DV317" s="44">
        <f t="shared" si="606"/>
        <v>0</v>
      </c>
      <c r="DW317" s="44">
        <f t="shared" si="607"/>
        <v>0</v>
      </c>
      <c r="DX317" s="44">
        <f t="shared" si="533"/>
        <v>0</v>
      </c>
      <c r="DY317" s="44">
        <f t="shared" si="608"/>
        <v>0</v>
      </c>
      <c r="DZ317" s="44">
        <f t="shared" si="534"/>
        <v>0</v>
      </c>
      <c r="EA317" s="44">
        <f t="shared" si="609"/>
        <v>0</v>
      </c>
      <c r="EB317" s="44">
        <f t="shared" si="535"/>
        <v>0</v>
      </c>
      <c r="EC317" s="46">
        <f t="shared" si="536"/>
        <v>0</v>
      </c>
      <c r="ED317" s="47">
        <f t="shared" si="537"/>
        <v>0</v>
      </c>
    </row>
    <row r="318" spans="1:134" x14ac:dyDescent="0.35">
      <c r="A318" s="172"/>
      <c r="B318" s="173"/>
      <c r="C318" s="174"/>
      <c r="D318" s="175"/>
      <c r="E318" s="176"/>
      <c r="F318" s="177"/>
      <c r="G318" s="178"/>
      <c r="H318" s="179"/>
      <c r="I318" s="180"/>
      <c r="J318" s="181"/>
      <c r="K318" s="42">
        <f t="shared" si="488"/>
        <v>0</v>
      </c>
      <c r="L318" s="43">
        <f t="shared" si="489"/>
        <v>0</v>
      </c>
      <c r="M318" s="44">
        <f t="shared" si="490"/>
        <v>0</v>
      </c>
      <c r="N318" s="44"/>
      <c r="O318" s="44">
        <f t="shared" si="491"/>
        <v>0</v>
      </c>
      <c r="P318" s="45"/>
      <c r="Q318" s="44">
        <f t="shared" si="492"/>
        <v>0</v>
      </c>
      <c r="R318" s="604">
        <f t="shared" si="538"/>
        <v>0</v>
      </c>
      <c r="S318" s="44">
        <f t="shared" si="539"/>
        <v>0</v>
      </c>
      <c r="T318" s="44">
        <f t="shared" si="540"/>
        <v>0</v>
      </c>
      <c r="U318" s="44">
        <f t="shared" si="541"/>
        <v>0</v>
      </c>
      <c r="V318" s="44">
        <f t="shared" si="542"/>
        <v>0</v>
      </c>
      <c r="W318" s="44">
        <f t="shared" si="543"/>
        <v>0</v>
      </c>
      <c r="X318" s="44">
        <f t="shared" si="493"/>
        <v>0</v>
      </c>
      <c r="Y318" s="44">
        <f t="shared" si="544"/>
        <v>0</v>
      </c>
      <c r="Z318" s="44">
        <f t="shared" si="494"/>
        <v>0</v>
      </c>
      <c r="AA318" s="44">
        <f t="shared" si="545"/>
        <v>0</v>
      </c>
      <c r="AB318" s="44">
        <f t="shared" si="495"/>
        <v>0</v>
      </c>
      <c r="AC318" s="46">
        <f t="shared" si="496"/>
        <v>0</v>
      </c>
      <c r="AD318" s="47">
        <f t="shared" si="497"/>
        <v>0</v>
      </c>
      <c r="AE318" s="604">
        <f t="shared" si="546"/>
        <v>0</v>
      </c>
      <c r="AF318" s="44">
        <f t="shared" si="547"/>
        <v>0</v>
      </c>
      <c r="AG318" s="44">
        <f t="shared" si="548"/>
        <v>0</v>
      </c>
      <c r="AH318" s="44">
        <f t="shared" si="549"/>
        <v>0</v>
      </c>
      <c r="AI318" s="44">
        <f t="shared" si="550"/>
        <v>0</v>
      </c>
      <c r="AJ318" s="44">
        <f t="shared" si="551"/>
        <v>0</v>
      </c>
      <c r="AK318" s="44">
        <f t="shared" si="498"/>
        <v>0</v>
      </c>
      <c r="AL318" s="44">
        <f t="shared" si="552"/>
        <v>0</v>
      </c>
      <c r="AM318" s="44">
        <f t="shared" si="499"/>
        <v>0</v>
      </c>
      <c r="AN318" s="44">
        <f t="shared" si="553"/>
        <v>0</v>
      </c>
      <c r="AO318" s="44">
        <f t="shared" si="500"/>
        <v>0</v>
      </c>
      <c r="AP318" s="46">
        <f t="shared" si="501"/>
        <v>0</v>
      </c>
      <c r="AQ318" s="47">
        <f t="shared" si="502"/>
        <v>0</v>
      </c>
      <c r="AR318" s="604">
        <f t="shared" si="554"/>
        <v>0</v>
      </c>
      <c r="AS318" s="44">
        <f t="shared" si="555"/>
        <v>0</v>
      </c>
      <c r="AT318" s="44">
        <f t="shared" si="556"/>
        <v>0</v>
      </c>
      <c r="AU318" s="44">
        <f t="shared" si="557"/>
        <v>0</v>
      </c>
      <c r="AV318" s="44">
        <f t="shared" si="558"/>
        <v>0</v>
      </c>
      <c r="AW318" s="44">
        <f t="shared" si="559"/>
        <v>0</v>
      </c>
      <c r="AX318" s="44">
        <f t="shared" si="503"/>
        <v>0</v>
      </c>
      <c r="AY318" s="44">
        <f t="shared" si="560"/>
        <v>0</v>
      </c>
      <c r="AZ318" s="44">
        <f t="shared" si="504"/>
        <v>0</v>
      </c>
      <c r="BA318" s="44">
        <f t="shared" si="561"/>
        <v>0</v>
      </c>
      <c r="BB318" s="44">
        <f t="shared" si="505"/>
        <v>0</v>
      </c>
      <c r="BC318" s="46">
        <f t="shared" si="506"/>
        <v>0</v>
      </c>
      <c r="BD318" s="47">
        <f t="shared" si="507"/>
        <v>0</v>
      </c>
      <c r="BE318" s="604">
        <f t="shared" si="562"/>
        <v>0</v>
      </c>
      <c r="BF318" s="44">
        <f t="shared" si="563"/>
        <v>0</v>
      </c>
      <c r="BG318" s="44">
        <f t="shared" si="564"/>
        <v>0</v>
      </c>
      <c r="BH318" s="44">
        <f t="shared" si="565"/>
        <v>0</v>
      </c>
      <c r="BI318" s="44">
        <f t="shared" si="566"/>
        <v>0</v>
      </c>
      <c r="BJ318" s="44">
        <f t="shared" si="567"/>
        <v>0</v>
      </c>
      <c r="BK318" s="44">
        <f t="shared" si="508"/>
        <v>0</v>
      </c>
      <c r="BL318" s="44">
        <f t="shared" si="568"/>
        <v>0</v>
      </c>
      <c r="BM318" s="44">
        <f t="shared" si="509"/>
        <v>0</v>
      </c>
      <c r="BN318" s="44">
        <f t="shared" si="569"/>
        <v>0</v>
      </c>
      <c r="BO318" s="44">
        <f t="shared" si="510"/>
        <v>0</v>
      </c>
      <c r="BP318" s="46">
        <f t="shared" si="511"/>
        <v>0</v>
      </c>
      <c r="BQ318" s="47">
        <f t="shared" si="512"/>
        <v>0</v>
      </c>
      <c r="BR318" s="604">
        <f t="shared" si="570"/>
        <v>0</v>
      </c>
      <c r="BS318" s="44">
        <f t="shared" si="571"/>
        <v>0</v>
      </c>
      <c r="BT318" s="44">
        <f t="shared" si="572"/>
        <v>0</v>
      </c>
      <c r="BU318" s="44">
        <f t="shared" si="573"/>
        <v>0</v>
      </c>
      <c r="BV318" s="44">
        <f t="shared" si="574"/>
        <v>0</v>
      </c>
      <c r="BW318" s="44">
        <f t="shared" si="575"/>
        <v>0</v>
      </c>
      <c r="BX318" s="44">
        <f t="shared" si="513"/>
        <v>0</v>
      </c>
      <c r="BY318" s="44">
        <f t="shared" si="576"/>
        <v>0</v>
      </c>
      <c r="BZ318" s="44">
        <f t="shared" si="514"/>
        <v>0</v>
      </c>
      <c r="CA318" s="44">
        <f t="shared" si="577"/>
        <v>0</v>
      </c>
      <c r="CB318" s="44">
        <f t="shared" si="515"/>
        <v>0</v>
      </c>
      <c r="CC318" s="46">
        <f t="shared" si="516"/>
        <v>0</v>
      </c>
      <c r="CD318" s="47">
        <f t="shared" si="517"/>
        <v>0</v>
      </c>
      <c r="CE318" s="604">
        <f t="shared" si="578"/>
        <v>0</v>
      </c>
      <c r="CF318" s="44">
        <f t="shared" si="579"/>
        <v>0</v>
      </c>
      <c r="CG318" s="44">
        <f t="shared" si="580"/>
        <v>0</v>
      </c>
      <c r="CH318" s="44">
        <f t="shared" si="581"/>
        <v>0</v>
      </c>
      <c r="CI318" s="44">
        <f t="shared" si="582"/>
        <v>0</v>
      </c>
      <c r="CJ318" s="44">
        <f t="shared" si="583"/>
        <v>0</v>
      </c>
      <c r="CK318" s="44">
        <f t="shared" si="518"/>
        <v>0</v>
      </c>
      <c r="CL318" s="44">
        <f t="shared" si="584"/>
        <v>0</v>
      </c>
      <c r="CM318" s="44">
        <f t="shared" si="519"/>
        <v>0</v>
      </c>
      <c r="CN318" s="44">
        <f t="shared" si="585"/>
        <v>0</v>
      </c>
      <c r="CO318" s="44">
        <f t="shared" si="520"/>
        <v>0</v>
      </c>
      <c r="CP318" s="46">
        <f t="shared" si="521"/>
        <v>0</v>
      </c>
      <c r="CQ318" s="47">
        <f t="shared" si="522"/>
        <v>0</v>
      </c>
      <c r="CR318" s="604">
        <f t="shared" si="586"/>
        <v>0</v>
      </c>
      <c r="CS318" s="44">
        <f t="shared" si="587"/>
        <v>0</v>
      </c>
      <c r="CT318" s="44">
        <f t="shared" si="588"/>
        <v>0</v>
      </c>
      <c r="CU318" s="44">
        <f t="shared" si="589"/>
        <v>0</v>
      </c>
      <c r="CV318" s="44">
        <f t="shared" si="590"/>
        <v>0</v>
      </c>
      <c r="CW318" s="44">
        <f t="shared" si="591"/>
        <v>0</v>
      </c>
      <c r="CX318" s="44">
        <f t="shared" si="523"/>
        <v>0</v>
      </c>
      <c r="CY318" s="44">
        <f t="shared" si="592"/>
        <v>0</v>
      </c>
      <c r="CZ318" s="44">
        <f t="shared" si="524"/>
        <v>0</v>
      </c>
      <c r="DA318" s="44">
        <f t="shared" si="593"/>
        <v>0</v>
      </c>
      <c r="DB318" s="44">
        <f t="shared" si="525"/>
        <v>0</v>
      </c>
      <c r="DC318" s="46">
        <f t="shared" si="526"/>
        <v>0</v>
      </c>
      <c r="DD318" s="47">
        <f t="shared" si="527"/>
        <v>0</v>
      </c>
      <c r="DE318" s="604">
        <f t="shared" si="594"/>
        <v>0</v>
      </c>
      <c r="DF318" s="44">
        <f t="shared" si="595"/>
        <v>0</v>
      </c>
      <c r="DG318" s="44">
        <f t="shared" si="596"/>
        <v>0</v>
      </c>
      <c r="DH318" s="44">
        <f t="shared" si="597"/>
        <v>0</v>
      </c>
      <c r="DI318" s="44">
        <f t="shared" si="598"/>
        <v>0</v>
      </c>
      <c r="DJ318" s="44">
        <f t="shared" si="599"/>
        <v>0</v>
      </c>
      <c r="DK318" s="44">
        <f t="shared" si="528"/>
        <v>0</v>
      </c>
      <c r="DL318" s="44">
        <f t="shared" si="600"/>
        <v>0</v>
      </c>
      <c r="DM318" s="44">
        <f t="shared" si="529"/>
        <v>0</v>
      </c>
      <c r="DN318" s="44">
        <f t="shared" si="601"/>
        <v>0</v>
      </c>
      <c r="DO318" s="44">
        <f t="shared" si="530"/>
        <v>0</v>
      </c>
      <c r="DP318" s="46">
        <f t="shared" si="531"/>
        <v>0</v>
      </c>
      <c r="DQ318" s="47">
        <f t="shared" si="532"/>
        <v>0</v>
      </c>
      <c r="DR318" s="604">
        <f t="shared" si="602"/>
        <v>0</v>
      </c>
      <c r="DS318" s="44">
        <f t="shared" si="603"/>
        <v>0</v>
      </c>
      <c r="DT318" s="44">
        <f t="shared" si="604"/>
        <v>0</v>
      </c>
      <c r="DU318" s="44">
        <f t="shared" si="605"/>
        <v>0</v>
      </c>
      <c r="DV318" s="44">
        <f t="shared" si="606"/>
        <v>0</v>
      </c>
      <c r="DW318" s="44">
        <f t="shared" si="607"/>
        <v>0</v>
      </c>
      <c r="DX318" s="44">
        <f t="shared" si="533"/>
        <v>0</v>
      </c>
      <c r="DY318" s="44">
        <f t="shared" si="608"/>
        <v>0</v>
      </c>
      <c r="DZ318" s="44">
        <f t="shared" si="534"/>
        <v>0</v>
      </c>
      <c r="EA318" s="44">
        <f t="shared" si="609"/>
        <v>0</v>
      </c>
      <c r="EB318" s="44">
        <f t="shared" si="535"/>
        <v>0</v>
      </c>
      <c r="EC318" s="46">
        <f t="shared" si="536"/>
        <v>0</v>
      </c>
      <c r="ED318" s="47">
        <f t="shared" si="537"/>
        <v>0</v>
      </c>
    </row>
    <row r="319" spans="1:134" ht="15" thickBot="1" x14ac:dyDescent="0.4">
      <c r="A319" s="186"/>
      <c r="B319" s="187"/>
      <c r="C319" s="188"/>
      <c r="D319" s="189"/>
      <c r="E319" s="190"/>
      <c r="F319" s="191"/>
      <c r="G319" s="192"/>
      <c r="H319" s="193"/>
      <c r="I319" s="194"/>
      <c r="J319" s="195"/>
      <c r="K319" s="48">
        <f t="shared" si="488"/>
        <v>0</v>
      </c>
      <c r="L319" s="49">
        <f t="shared" si="489"/>
        <v>0</v>
      </c>
      <c r="M319" s="50">
        <f t="shared" si="490"/>
        <v>0</v>
      </c>
      <c r="N319" s="50"/>
      <c r="O319" s="50">
        <f t="shared" si="491"/>
        <v>0</v>
      </c>
      <c r="P319" s="51"/>
      <c r="Q319" s="50">
        <f t="shared" si="492"/>
        <v>0</v>
      </c>
      <c r="R319" s="605">
        <f t="shared" si="538"/>
        <v>0</v>
      </c>
      <c r="S319" s="50">
        <f t="shared" si="539"/>
        <v>0</v>
      </c>
      <c r="T319" s="50">
        <f t="shared" si="540"/>
        <v>0</v>
      </c>
      <c r="U319" s="50">
        <f t="shared" si="541"/>
        <v>0</v>
      </c>
      <c r="V319" s="50">
        <f t="shared" si="542"/>
        <v>0</v>
      </c>
      <c r="W319" s="50">
        <f t="shared" si="543"/>
        <v>0</v>
      </c>
      <c r="X319" s="50">
        <f t="shared" si="493"/>
        <v>0</v>
      </c>
      <c r="Y319" s="50">
        <f t="shared" si="544"/>
        <v>0</v>
      </c>
      <c r="Z319" s="50">
        <f t="shared" si="494"/>
        <v>0</v>
      </c>
      <c r="AA319" s="50">
        <f t="shared" si="545"/>
        <v>0</v>
      </c>
      <c r="AB319" s="50">
        <f t="shared" si="495"/>
        <v>0</v>
      </c>
      <c r="AC319" s="52">
        <f t="shared" si="496"/>
        <v>0</v>
      </c>
      <c r="AD319" s="53">
        <f t="shared" si="497"/>
        <v>0</v>
      </c>
      <c r="AE319" s="605">
        <f t="shared" si="546"/>
        <v>0</v>
      </c>
      <c r="AF319" s="50">
        <f t="shared" si="547"/>
        <v>0</v>
      </c>
      <c r="AG319" s="50">
        <f t="shared" si="548"/>
        <v>0</v>
      </c>
      <c r="AH319" s="50">
        <f t="shared" si="549"/>
        <v>0</v>
      </c>
      <c r="AI319" s="50">
        <f t="shared" si="550"/>
        <v>0</v>
      </c>
      <c r="AJ319" s="50">
        <f t="shared" si="551"/>
        <v>0</v>
      </c>
      <c r="AK319" s="50">
        <f t="shared" si="498"/>
        <v>0</v>
      </c>
      <c r="AL319" s="50">
        <f t="shared" si="552"/>
        <v>0</v>
      </c>
      <c r="AM319" s="50">
        <f t="shared" si="499"/>
        <v>0</v>
      </c>
      <c r="AN319" s="50">
        <f t="shared" si="553"/>
        <v>0</v>
      </c>
      <c r="AO319" s="50">
        <f t="shared" si="500"/>
        <v>0</v>
      </c>
      <c r="AP319" s="52">
        <f t="shared" si="501"/>
        <v>0</v>
      </c>
      <c r="AQ319" s="53">
        <f t="shared" si="502"/>
        <v>0</v>
      </c>
      <c r="AR319" s="605">
        <f t="shared" si="554"/>
        <v>0</v>
      </c>
      <c r="AS319" s="50">
        <f t="shared" si="555"/>
        <v>0</v>
      </c>
      <c r="AT319" s="50">
        <f t="shared" si="556"/>
        <v>0</v>
      </c>
      <c r="AU319" s="50">
        <f t="shared" si="557"/>
        <v>0</v>
      </c>
      <c r="AV319" s="50">
        <f t="shared" si="558"/>
        <v>0</v>
      </c>
      <c r="AW319" s="50">
        <f t="shared" si="559"/>
        <v>0</v>
      </c>
      <c r="AX319" s="50">
        <f t="shared" si="503"/>
        <v>0</v>
      </c>
      <c r="AY319" s="50">
        <f t="shared" si="560"/>
        <v>0</v>
      </c>
      <c r="AZ319" s="50">
        <f t="shared" si="504"/>
        <v>0</v>
      </c>
      <c r="BA319" s="50">
        <f t="shared" si="561"/>
        <v>0</v>
      </c>
      <c r="BB319" s="50">
        <f t="shared" si="505"/>
        <v>0</v>
      </c>
      <c r="BC319" s="52">
        <f t="shared" si="506"/>
        <v>0</v>
      </c>
      <c r="BD319" s="53">
        <f t="shared" si="507"/>
        <v>0</v>
      </c>
      <c r="BE319" s="605">
        <f t="shared" si="562"/>
        <v>0</v>
      </c>
      <c r="BF319" s="50">
        <f t="shared" si="563"/>
        <v>0</v>
      </c>
      <c r="BG319" s="50">
        <f t="shared" si="564"/>
        <v>0</v>
      </c>
      <c r="BH319" s="50">
        <f t="shared" si="565"/>
        <v>0</v>
      </c>
      <c r="BI319" s="50">
        <f t="shared" si="566"/>
        <v>0</v>
      </c>
      <c r="BJ319" s="50">
        <f t="shared" si="567"/>
        <v>0</v>
      </c>
      <c r="BK319" s="50">
        <f t="shared" si="508"/>
        <v>0</v>
      </c>
      <c r="BL319" s="50">
        <f t="shared" si="568"/>
        <v>0</v>
      </c>
      <c r="BM319" s="50">
        <f t="shared" si="509"/>
        <v>0</v>
      </c>
      <c r="BN319" s="50">
        <f t="shared" si="569"/>
        <v>0</v>
      </c>
      <c r="BO319" s="50">
        <f t="shared" si="510"/>
        <v>0</v>
      </c>
      <c r="BP319" s="52">
        <f t="shared" si="511"/>
        <v>0</v>
      </c>
      <c r="BQ319" s="53">
        <f t="shared" si="512"/>
        <v>0</v>
      </c>
      <c r="BR319" s="605">
        <f t="shared" si="570"/>
        <v>0</v>
      </c>
      <c r="BS319" s="50">
        <f t="shared" si="571"/>
        <v>0</v>
      </c>
      <c r="BT319" s="50">
        <f t="shared" si="572"/>
        <v>0</v>
      </c>
      <c r="BU319" s="50">
        <f t="shared" si="573"/>
        <v>0</v>
      </c>
      <c r="BV319" s="50">
        <f t="shared" si="574"/>
        <v>0</v>
      </c>
      <c r="BW319" s="50">
        <f t="shared" si="575"/>
        <v>0</v>
      </c>
      <c r="BX319" s="50">
        <f t="shared" si="513"/>
        <v>0</v>
      </c>
      <c r="BY319" s="50">
        <f t="shared" si="576"/>
        <v>0</v>
      </c>
      <c r="BZ319" s="50">
        <f t="shared" si="514"/>
        <v>0</v>
      </c>
      <c r="CA319" s="50">
        <f t="shared" si="577"/>
        <v>0</v>
      </c>
      <c r="CB319" s="50">
        <f t="shared" si="515"/>
        <v>0</v>
      </c>
      <c r="CC319" s="52">
        <f t="shared" si="516"/>
        <v>0</v>
      </c>
      <c r="CD319" s="53">
        <f t="shared" si="517"/>
        <v>0</v>
      </c>
      <c r="CE319" s="605">
        <f t="shared" si="578"/>
        <v>0</v>
      </c>
      <c r="CF319" s="50">
        <f t="shared" si="579"/>
        <v>0</v>
      </c>
      <c r="CG319" s="50">
        <f t="shared" si="580"/>
        <v>0</v>
      </c>
      <c r="CH319" s="50">
        <f t="shared" si="581"/>
        <v>0</v>
      </c>
      <c r="CI319" s="50">
        <f t="shared" si="582"/>
        <v>0</v>
      </c>
      <c r="CJ319" s="50">
        <f t="shared" si="583"/>
        <v>0</v>
      </c>
      <c r="CK319" s="50">
        <f t="shared" si="518"/>
        <v>0</v>
      </c>
      <c r="CL319" s="50">
        <f t="shared" si="584"/>
        <v>0</v>
      </c>
      <c r="CM319" s="50">
        <f t="shared" si="519"/>
        <v>0</v>
      </c>
      <c r="CN319" s="50">
        <f t="shared" si="585"/>
        <v>0</v>
      </c>
      <c r="CO319" s="50">
        <f t="shared" si="520"/>
        <v>0</v>
      </c>
      <c r="CP319" s="52">
        <f t="shared" si="521"/>
        <v>0</v>
      </c>
      <c r="CQ319" s="53">
        <f t="shared" si="522"/>
        <v>0</v>
      </c>
      <c r="CR319" s="605">
        <f t="shared" si="586"/>
        <v>0</v>
      </c>
      <c r="CS319" s="50">
        <f t="shared" si="587"/>
        <v>0</v>
      </c>
      <c r="CT319" s="50">
        <f t="shared" si="588"/>
        <v>0</v>
      </c>
      <c r="CU319" s="50">
        <f t="shared" si="589"/>
        <v>0</v>
      </c>
      <c r="CV319" s="50">
        <f t="shared" si="590"/>
        <v>0</v>
      </c>
      <c r="CW319" s="50">
        <f t="shared" si="591"/>
        <v>0</v>
      </c>
      <c r="CX319" s="50">
        <f t="shared" si="523"/>
        <v>0</v>
      </c>
      <c r="CY319" s="50">
        <f t="shared" si="592"/>
        <v>0</v>
      </c>
      <c r="CZ319" s="50">
        <f t="shared" si="524"/>
        <v>0</v>
      </c>
      <c r="DA319" s="50">
        <f t="shared" si="593"/>
        <v>0</v>
      </c>
      <c r="DB319" s="50">
        <f t="shared" si="525"/>
        <v>0</v>
      </c>
      <c r="DC319" s="52">
        <f t="shared" si="526"/>
        <v>0</v>
      </c>
      <c r="DD319" s="53">
        <f t="shared" si="527"/>
        <v>0</v>
      </c>
      <c r="DE319" s="605">
        <f t="shared" si="594"/>
        <v>0</v>
      </c>
      <c r="DF319" s="50">
        <f t="shared" si="595"/>
        <v>0</v>
      </c>
      <c r="DG319" s="50">
        <f t="shared" si="596"/>
        <v>0</v>
      </c>
      <c r="DH319" s="50">
        <f t="shared" si="597"/>
        <v>0</v>
      </c>
      <c r="DI319" s="50">
        <f t="shared" si="598"/>
        <v>0</v>
      </c>
      <c r="DJ319" s="50">
        <f t="shared" si="599"/>
        <v>0</v>
      </c>
      <c r="DK319" s="50">
        <f t="shared" si="528"/>
        <v>0</v>
      </c>
      <c r="DL319" s="50">
        <f t="shared" si="600"/>
        <v>0</v>
      </c>
      <c r="DM319" s="50">
        <f t="shared" si="529"/>
        <v>0</v>
      </c>
      <c r="DN319" s="50">
        <f t="shared" si="601"/>
        <v>0</v>
      </c>
      <c r="DO319" s="50">
        <f t="shared" si="530"/>
        <v>0</v>
      </c>
      <c r="DP319" s="52">
        <f t="shared" si="531"/>
        <v>0</v>
      </c>
      <c r="DQ319" s="53">
        <f t="shared" si="532"/>
        <v>0</v>
      </c>
      <c r="DR319" s="605">
        <f t="shared" si="602"/>
        <v>0</v>
      </c>
      <c r="DS319" s="50">
        <f t="shared" si="603"/>
        <v>0</v>
      </c>
      <c r="DT319" s="50">
        <f t="shared" si="604"/>
        <v>0</v>
      </c>
      <c r="DU319" s="50">
        <f t="shared" si="605"/>
        <v>0</v>
      </c>
      <c r="DV319" s="50">
        <f t="shared" si="606"/>
        <v>0</v>
      </c>
      <c r="DW319" s="50">
        <f t="shared" si="607"/>
        <v>0</v>
      </c>
      <c r="DX319" s="50">
        <f t="shared" si="533"/>
        <v>0</v>
      </c>
      <c r="DY319" s="50">
        <f t="shared" si="608"/>
        <v>0</v>
      </c>
      <c r="DZ319" s="50">
        <f t="shared" si="534"/>
        <v>0</v>
      </c>
      <c r="EA319" s="50">
        <f t="shared" si="609"/>
        <v>0</v>
      </c>
      <c r="EB319" s="50">
        <f t="shared" si="535"/>
        <v>0</v>
      </c>
      <c r="EC319" s="52">
        <f t="shared" si="536"/>
        <v>0</v>
      </c>
      <c r="ED319" s="53">
        <f t="shared" si="537"/>
        <v>0</v>
      </c>
    </row>
    <row r="320" spans="1:134" ht="24" customHeight="1" x14ac:dyDescent="0.35">
      <c r="M320" s="372">
        <f>SUM(M5:M319)</f>
        <v>19835900</v>
      </c>
      <c r="N320" s="372">
        <f t="shared" ref="N320:AD320" si="610">SUM(N5:N319)</f>
        <v>0</v>
      </c>
      <c r="O320" s="372">
        <f t="shared" si="610"/>
        <v>16081400</v>
      </c>
      <c r="P320" s="372">
        <f t="shared" si="610"/>
        <v>0</v>
      </c>
      <c r="Q320" s="602">
        <f t="shared" si="610"/>
        <v>35917300</v>
      </c>
      <c r="R320" s="606">
        <f t="shared" si="610"/>
        <v>0</v>
      </c>
      <c r="S320" s="372">
        <f t="shared" si="610"/>
        <v>0</v>
      </c>
      <c r="T320" s="372">
        <f t="shared" si="610"/>
        <v>0</v>
      </c>
      <c r="U320" s="372">
        <f t="shared" si="610"/>
        <v>0</v>
      </c>
      <c r="V320" s="372">
        <f t="shared" si="610"/>
        <v>35917300</v>
      </c>
      <c r="W320" s="372">
        <f t="shared" si="610"/>
        <v>31552500</v>
      </c>
      <c r="X320" s="372">
        <f t="shared" si="610"/>
        <v>851470</v>
      </c>
      <c r="Y320" s="372">
        <f t="shared" si="610"/>
        <v>851470</v>
      </c>
      <c r="Z320" s="372">
        <f t="shared" si="610"/>
        <v>18984430</v>
      </c>
      <c r="AA320" s="372">
        <f t="shared" si="610"/>
        <v>18984430</v>
      </c>
      <c r="AB320" s="372">
        <f t="shared" si="610"/>
        <v>16932870</v>
      </c>
      <c r="AC320" s="372">
        <f t="shared" si="610"/>
        <v>0</v>
      </c>
      <c r="AD320" s="372">
        <f t="shared" si="610"/>
        <v>0</v>
      </c>
      <c r="AE320" s="606">
        <f t="shared" ref="AE320:BD320" si="611">SUM(AE5:AE319)</f>
        <v>0</v>
      </c>
      <c r="AF320" s="372">
        <f t="shared" si="611"/>
        <v>0</v>
      </c>
      <c r="AG320" s="372">
        <f t="shared" si="611"/>
        <v>0</v>
      </c>
      <c r="AH320" s="372">
        <f t="shared" si="611"/>
        <v>0</v>
      </c>
      <c r="AI320" s="372">
        <f t="shared" si="611"/>
        <v>35917300</v>
      </c>
      <c r="AJ320" s="372">
        <f t="shared" si="611"/>
        <v>31513000</v>
      </c>
      <c r="AK320" s="372">
        <f t="shared" si="611"/>
        <v>849245</v>
      </c>
      <c r="AL320" s="372">
        <f t="shared" si="611"/>
        <v>849245</v>
      </c>
      <c r="AM320" s="372">
        <f t="shared" si="611"/>
        <v>18135185</v>
      </c>
      <c r="AN320" s="372">
        <f t="shared" si="611"/>
        <v>18135185</v>
      </c>
      <c r="AO320" s="372">
        <f t="shared" si="611"/>
        <v>17782115</v>
      </c>
      <c r="AP320" s="372">
        <f t="shared" si="611"/>
        <v>0</v>
      </c>
      <c r="AQ320" s="372">
        <f t="shared" si="611"/>
        <v>0</v>
      </c>
      <c r="AR320" s="606">
        <f t="shared" si="611"/>
        <v>0</v>
      </c>
      <c r="AS320" s="372">
        <f t="shared" si="611"/>
        <v>0</v>
      </c>
      <c r="AT320" s="372">
        <f t="shared" si="611"/>
        <v>0</v>
      </c>
      <c r="AU320" s="372">
        <f t="shared" si="611"/>
        <v>0</v>
      </c>
      <c r="AV320" s="372">
        <f t="shared" si="611"/>
        <v>35917300</v>
      </c>
      <c r="AW320" s="372">
        <f t="shared" si="611"/>
        <v>31438000</v>
      </c>
      <c r="AX320" s="372">
        <f t="shared" si="611"/>
        <v>845120</v>
      </c>
      <c r="AY320" s="372">
        <f t="shared" si="611"/>
        <v>845120</v>
      </c>
      <c r="AZ320" s="372">
        <f t="shared" si="611"/>
        <v>17290065</v>
      </c>
      <c r="BA320" s="372">
        <f t="shared" si="611"/>
        <v>17290065</v>
      </c>
      <c r="BB320" s="372">
        <f t="shared" si="611"/>
        <v>18627235</v>
      </c>
      <c r="BC320" s="372">
        <f t="shared" si="611"/>
        <v>0</v>
      </c>
      <c r="BD320" s="372">
        <f t="shared" si="611"/>
        <v>0</v>
      </c>
      <c r="BE320" s="606">
        <f t="shared" ref="BE320:CQ320" si="612">SUM(BE5:BE319)</f>
        <v>0</v>
      </c>
      <c r="BF320" s="372">
        <f t="shared" si="612"/>
        <v>0</v>
      </c>
      <c r="BG320" s="372">
        <f t="shared" si="612"/>
        <v>0</v>
      </c>
      <c r="BH320" s="372">
        <f t="shared" si="612"/>
        <v>0</v>
      </c>
      <c r="BI320" s="372">
        <f t="shared" si="612"/>
        <v>35917300</v>
      </c>
      <c r="BJ320" s="372">
        <f t="shared" si="612"/>
        <v>31373000</v>
      </c>
      <c r="BK320" s="372">
        <f t="shared" si="612"/>
        <v>841370</v>
      </c>
      <c r="BL320" s="372">
        <f t="shared" si="612"/>
        <v>841370</v>
      </c>
      <c r="BM320" s="372">
        <f t="shared" si="612"/>
        <v>16448695</v>
      </c>
      <c r="BN320" s="372">
        <f t="shared" si="612"/>
        <v>16448695</v>
      </c>
      <c r="BO320" s="372">
        <f t="shared" si="612"/>
        <v>19468605</v>
      </c>
      <c r="BP320" s="372">
        <f t="shared" si="612"/>
        <v>0</v>
      </c>
      <c r="BQ320" s="372">
        <f t="shared" si="612"/>
        <v>0</v>
      </c>
      <c r="BR320" s="606">
        <f t="shared" si="612"/>
        <v>0</v>
      </c>
      <c r="BS320" s="372">
        <f t="shared" si="612"/>
        <v>0</v>
      </c>
      <c r="BT320" s="372">
        <f t="shared" si="612"/>
        <v>0</v>
      </c>
      <c r="BU320" s="372">
        <f t="shared" si="612"/>
        <v>0</v>
      </c>
      <c r="BV320" s="372">
        <f t="shared" si="612"/>
        <v>35917300</v>
      </c>
      <c r="BW320" s="372">
        <f t="shared" si="612"/>
        <v>31217500</v>
      </c>
      <c r="BX320" s="372">
        <f t="shared" si="612"/>
        <v>828645</v>
      </c>
      <c r="BY320" s="372">
        <f t="shared" si="612"/>
        <v>828645</v>
      </c>
      <c r="BZ320" s="372">
        <f t="shared" si="612"/>
        <v>15620050</v>
      </c>
      <c r="CA320" s="372">
        <f t="shared" si="612"/>
        <v>15620050</v>
      </c>
      <c r="CB320" s="372">
        <f t="shared" si="612"/>
        <v>20297250</v>
      </c>
      <c r="CC320" s="372">
        <f t="shared" si="612"/>
        <v>0</v>
      </c>
      <c r="CD320" s="372">
        <f t="shared" si="612"/>
        <v>0</v>
      </c>
      <c r="CE320" s="606">
        <f t="shared" si="612"/>
        <v>0</v>
      </c>
      <c r="CF320" s="372">
        <f t="shared" si="612"/>
        <v>0</v>
      </c>
      <c r="CG320" s="372">
        <f t="shared" si="612"/>
        <v>0</v>
      </c>
      <c r="CH320" s="372">
        <f t="shared" si="612"/>
        <v>0</v>
      </c>
      <c r="CI320" s="372">
        <f t="shared" si="612"/>
        <v>35917300</v>
      </c>
      <c r="CJ320" s="372">
        <f t="shared" si="612"/>
        <v>31044500</v>
      </c>
      <c r="CK320" s="372">
        <f t="shared" si="612"/>
        <v>814170</v>
      </c>
      <c r="CL320" s="372">
        <f t="shared" si="612"/>
        <v>814170</v>
      </c>
      <c r="CM320" s="372">
        <f t="shared" si="612"/>
        <v>14805880</v>
      </c>
      <c r="CN320" s="372">
        <f t="shared" si="612"/>
        <v>14805880</v>
      </c>
      <c r="CO320" s="372">
        <f t="shared" si="612"/>
        <v>21111420</v>
      </c>
      <c r="CP320" s="372">
        <f t="shared" si="612"/>
        <v>0</v>
      </c>
      <c r="CQ320" s="372">
        <f t="shared" si="612"/>
        <v>0</v>
      </c>
      <c r="CR320" s="606">
        <f t="shared" ref="CR320:DQ320" si="613">SUM(CR5:CR319)</f>
        <v>0</v>
      </c>
      <c r="CS320" s="372">
        <f t="shared" si="613"/>
        <v>0</v>
      </c>
      <c r="CT320" s="372">
        <f t="shared" si="613"/>
        <v>0</v>
      </c>
      <c r="CU320" s="372">
        <f t="shared" si="613"/>
        <v>0</v>
      </c>
      <c r="CV320" s="372">
        <f t="shared" si="613"/>
        <v>35917300</v>
      </c>
      <c r="CW320" s="372">
        <f t="shared" si="613"/>
        <v>30942999.990000002</v>
      </c>
      <c r="CX320" s="372">
        <f t="shared" si="613"/>
        <v>809200</v>
      </c>
      <c r="CY320" s="372">
        <f t="shared" si="613"/>
        <v>809200</v>
      </c>
      <c r="CZ320" s="372">
        <f t="shared" si="613"/>
        <v>13996680</v>
      </c>
      <c r="DA320" s="372">
        <f t="shared" si="613"/>
        <v>13996680</v>
      </c>
      <c r="DB320" s="372">
        <f t="shared" si="613"/>
        <v>21920620</v>
      </c>
      <c r="DC320" s="372">
        <f t="shared" si="613"/>
        <v>0</v>
      </c>
      <c r="DD320" s="372">
        <f t="shared" si="613"/>
        <v>0</v>
      </c>
      <c r="DE320" s="606">
        <f t="shared" si="613"/>
        <v>0</v>
      </c>
      <c r="DF320" s="372">
        <f t="shared" si="613"/>
        <v>0</v>
      </c>
      <c r="DG320" s="372">
        <f t="shared" si="613"/>
        <v>0</v>
      </c>
      <c r="DH320" s="372">
        <f t="shared" si="613"/>
        <v>0</v>
      </c>
      <c r="DI320" s="372">
        <f t="shared" si="613"/>
        <v>35917300</v>
      </c>
      <c r="DJ320" s="372">
        <f t="shared" si="613"/>
        <v>27840000</v>
      </c>
      <c r="DK320" s="372">
        <f t="shared" si="613"/>
        <v>597260</v>
      </c>
      <c r="DL320" s="372">
        <f t="shared" si="613"/>
        <v>597260</v>
      </c>
      <c r="DM320" s="372">
        <f t="shared" si="613"/>
        <v>13399420</v>
      </c>
      <c r="DN320" s="372">
        <f t="shared" si="613"/>
        <v>13399420</v>
      </c>
      <c r="DO320" s="372">
        <f t="shared" si="613"/>
        <v>22517880</v>
      </c>
      <c r="DP320" s="372">
        <f t="shared" si="613"/>
        <v>0</v>
      </c>
      <c r="DQ320" s="372">
        <f t="shared" si="613"/>
        <v>0</v>
      </c>
      <c r="DR320" s="606">
        <f t="shared" ref="DR320:ED320" si="614">SUM(DR5:DR319)</f>
        <v>0</v>
      </c>
      <c r="DS320" s="372">
        <f t="shared" si="614"/>
        <v>0</v>
      </c>
      <c r="DT320" s="372">
        <f t="shared" si="614"/>
        <v>0</v>
      </c>
      <c r="DU320" s="372">
        <f t="shared" si="614"/>
        <v>0</v>
      </c>
      <c r="DV320" s="372">
        <f t="shared" si="614"/>
        <v>35917300</v>
      </c>
      <c r="DW320" s="372">
        <f t="shared" si="614"/>
        <v>27385000</v>
      </c>
      <c r="DX320" s="372">
        <f t="shared" si="614"/>
        <v>578760</v>
      </c>
      <c r="DY320" s="372">
        <f t="shared" si="614"/>
        <v>578760</v>
      </c>
      <c r="DZ320" s="372">
        <f t="shared" si="614"/>
        <v>12820660</v>
      </c>
      <c r="EA320" s="372">
        <f t="shared" si="614"/>
        <v>12820660</v>
      </c>
      <c r="EB320" s="372">
        <f t="shared" si="614"/>
        <v>23096640</v>
      </c>
      <c r="EC320" s="372">
        <f t="shared" si="614"/>
        <v>0</v>
      </c>
      <c r="ED320" s="372">
        <f t="shared" si="614"/>
        <v>0</v>
      </c>
    </row>
    <row r="321" spans="1:134" ht="11.25" customHeight="1" x14ac:dyDescent="0.35">
      <c r="A321" s="78"/>
      <c r="B321" s="78"/>
      <c r="C321" s="78"/>
      <c r="D321" s="78"/>
      <c r="E321" s="78"/>
      <c r="F321" s="78"/>
      <c r="G321" s="78"/>
      <c r="H321" s="78"/>
      <c r="I321" s="78"/>
      <c r="J321" s="78"/>
      <c r="K321" s="78"/>
      <c r="L321" s="78"/>
      <c r="M321" s="78"/>
      <c r="N321" s="78"/>
      <c r="O321" s="78"/>
      <c r="P321" s="78"/>
      <c r="Q321" s="78"/>
      <c r="R321" s="607"/>
      <c r="S321" s="78"/>
      <c r="T321" s="78"/>
      <c r="U321" s="78"/>
      <c r="V321" s="78"/>
      <c r="W321" s="78"/>
      <c r="X321" s="78"/>
      <c r="Y321" s="78"/>
      <c r="Z321" s="78"/>
      <c r="AA321" s="78"/>
      <c r="AB321" s="78"/>
      <c r="AC321" s="78"/>
      <c r="AD321" s="78"/>
      <c r="AE321" s="607"/>
      <c r="AF321" s="78"/>
      <c r="AG321" s="78"/>
      <c r="AH321" s="78"/>
      <c r="AI321" s="78"/>
      <c r="AJ321" s="78"/>
      <c r="AK321" s="78"/>
      <c r="AL321" s="78"/>
      <c r="AM321" s="78"/>
      <c r="AN321" s="78"/>
      <c r="AO321" s="78"/>
      <c r="AP321" s="78"/>
      <c r="AQ321" s="78"/>
      <c r="AR321" s="607"/>
      <c r="AS321" s="78"/>
      <c r="AT321" s="78"/>
      <c r="AU321" s="78"/>
      <c r="AV321" s="78"/>
      <c r="AW321" s="78"/>
      <c r="AX321" s="78"/>
      <c r="AY321" s="78"/>
      <c r="AZ321" s="78"/>
      <c r="BA321" s="78"/>
      <c r="BB321" s="78"/>
      <c r="BC321" s="78"/>
      <c r="BD321" s="78"/>
      <c r="BE321" s="607"/>
      <c r="BF321" s="78"/>
      <c r="BG321" s="78"/>
      <c r="BH321" s="78"/>
      <c r="BI321" s="78"/>
      <c r="BJ321" s="78"/>
      <c r="BK321" s="78"/>
      <c r="BL321" s="78"/>
      <c r="BM321" s="78"/>
      <c r="BN321" s="78"/>
      <c r="BO321" s="78"/>
      <c r="BP321" s="78"/>
      <c r="BQ321" s="78"/>
      <c r="BR321" s="607"/>
      <c r="BS321" s="78"/>
      <c r="BT321" s="78"/>
      <c r="BU321" s="78"/>
      <c r="BV321" s="78"/>
      <c r="BW321" s="78"/>
      <c r="BX321" s="78"/>
      <c r="BY321" s="78"/>
      <c r="BZ321" s="78"/>
      <c r="CA321" s="78"/>
      <c r="CB321" s="78"/>
      <c r="CC321" s="78"/>
      <c r="CD321" s="78"/>
      <c r="CE321" s="607"/>
      <c r="CF321" s="78"/>
      <c r="CG321" s="78"/>
      <c r="CH321" s="78"/>
      <c r="CI321" s="78"/>
      <c r="CJ321" s="78"/>
      <c r="CK321" s="78"/>
      <c r="CL321" s="78"/>
      <c r="CM321" s="78"/>
      <c r="CN321" s="78"/>
      <c r="CO321" s="78"/>
      <c r="CP321" s="78"/>
      <c r="CQ321" s="78"/>
      <c r="CR321" s="607"/>
      <c r="CS321" s="78"/>
      <c r="CT321" s="78"/>
      <c r="CU321" s="78"/>
      <c r="CV321" s="78"/>
      <c r="CW321" s="78"/>
      <c r="CX321" s="78"/>
      <c r="CY321" s="78"/>
      <c r="CZ321" s="78"/>
      <c r="DA321" s="78"/>
      <c r="DB321" s="78"/>
      <c r="DC321" s="78"/>
      <c r="DD321" s="78"/>
      <c r="DE321" s="607"/>
      <c r="DF321" s="78"/>
      <c r="DG321" s="78"/>
      <c r="DH321" s="78"/>
      <c r="DI321" s="78"/>
      <c r="DJ321" s="78"/>
      <c r="DK321" s="78"/>
      <c r="DL321" s="78"/>
      <c r="DM321" s="78"/>
      <c r="DN321" s="78"/>
      <c r="DO321" s="78"/>
      <c r="DP321" s="78"/>
      <c r="DQ321" s="78"/>
      <c r="DR321" s="607"/>
      <c r="DS321" s="78"/>
      <c r="DT321" s="78"/>
      <c r="DU321" s="78"/>
      <c r="DV321" s="78"/>
      <c r="DW321" s="78"/>
      <c r="DX321" s="78"/>
      <c r="DY321" s="78"/>
      <c r="DZ321" s="78"/>
      <c r="EA321" s="78"/>
      <c r="EB321" s="78"/>
      <c r="EC321" s="78"/>
      <c r="ED321" s="78"/>
    </row>
    <row r="322" spans="1:134" s="10" customFormat="1" ht="18.5" customHeight="1" x14ac:dyDescent="0.45">
      <c r="Q322" s="225"/>
      <c r="R322" s="381"/>
      <c r="X322" s="375">
        <f>X4</f>
        <v>2012</v>
      </c>
      <c r="AE322" s="381"/>
      <c r="AK322" s="375">
        <f>AK4</f>
        <v>2013</v>
      </c>
      <c r="AR322" s="381"/>
      <c r="AX322" s="375">
        <f>AX4</f>
        <v>2014</v>
      </c>
      <c r="BE322" s="381"/>
      <c r="BK322" s="375">
        <f>BK4</f>
        <v>2015</v>
      </c>
      <c r="BR322" s="381"/>
      <c r="BX322" s="375">
        <f>BX4</f>
        <v>2016</v>
      </c>
      <c r="CE322" s="381"/>
      <c r="CK322" s="375">
        <f>CK4</f>
        <v>2017</v>
      </c>
      <c r="CR322" s="381"/>
      <c r="CX322" s="375">
        <f>CX4</f>
        <v>2018</v>
      </c>
      <c r="DE322" s="381"/>
      <c r="DK322" s="375">
        <f>DK4</f>
        <v>2019</v>
      </c>
      <c r="DR322" s="381"/>
      <c r="DX322" s="375">
        <f>DX4</f>
        <v>2020</v>
      </c>
    </row>
    <row r="323" spans="1:134" s="10" customFormat="1" ht="21" customHeight="1" x14ac:dyDescent="0.5">
      <c r="A323" s="95" t="s">
        <v>1076</v>
      </c>
      <c r="F323" s="288" t="str">
        <f>"Zwischen Zeile "&amp;ROW(322:322)&amp;" und Zeile "&amp;ROW(465:465)&amp;" weder eine Zeile einfügen noch löschen!!!"</f>
        <v>Zwischen Zeile 322 und Zeile 465 weder eine Zeile einfügen noch löschen!!!</v>
      </c>
      <c r="Q323" s="225">
        <v>2</v>
      </c>
      <c r="R323" s="608" t="s">
        <v>546</v>
      </c>
      <c r="V323" s="80" t="s">
        <v>376</v>
      </c>
      <c r="W323" s="80" t="s">
        <v>377</v>
      </c>
      <c r="X323" s="80" t="s">
        <v>180</v>
      </c>
      <c r="Y323" s="80" t="s">
        <v>378</v>
      </c>
      <c r="Z323" s="79" t="s">
        <v>1080</v>
      </c>
      <c r="AE323" s="608" t="s">
        <v>546</v>
      </c>
      <c r="AI323" s="80" t="s">
        <v>376</v>
      </c>
      <c r="AJ323" s="80" t="s">
        <v>377</v>
      </c>
      <c r="AK323" s="80" t="s">
        <v>180</v>
      </c>
      <c r="AL323" s="80" t="s">
        <v>378</v>
      </c>
      <c r="AM323" s="79" t="s">
        <v>1080</v>
      </c>
      <c r="AR323" s="608" t="s">
        <v>546</v>
      </c>
      <c r="AV323" s="80" t="s">
        <v>376</v>
      </c>
      <c r="AW323" s="80" t="s">
        <v>377</v>
      </c>
      <c r="AX323" s="80" t="s">
        <v>180</v>
      </c>
      <c r="AY323" s="80" t="s">
        <v>378</v>
      </c>
      <c r="AZ323" s="79" t="s">
        <v>1080</v>
      </c>
      <c r="BE323" s="608" t="s">
        <v>546</v>
      </c>
      <c r="BI323" s="80" t="s">
        <v>376</v>
      </c>
      <c r="BJ323" s="80" t="s">
        <v>377</v>
      </c>
      <c r="BK323" s="80" t="s">
        <v>180</v>
      </c>
      <c r="BL323" s="80" t="s">
        <v>378</v>
      </c>
      <c r="BM323" s="79" t="s">
        <v>1080</v>
      </c>
      <c r="BR323" s="608" t="s">
        <v>546</v>
      </c>
      <c r="BV323" s="80" t="s">
        <v>376</v>
      </c>
      <c r="BW323" s="80" t="s">
        <v>377</v>
      </c>
      <c r="BX323" s="80" t="s">
        <v>180</v>
      </c>
      <c r="BY323" s="80" t="s">
        <v>378</v>
      </c>
      <c r="BZ323" s="79" t="s">
        <v>1080</v>
      </c>
      <c r="CE323" s="608" t="s">
        <v>546</v>
      </c>
      <c r="CI323" s="80" t="s">
        <v>376</v>
      </c>
      <c r="CJ323" s="80" t="s">
        <v>377</v>
      </c>
      <c r="CK323" s="80" t="s">
        <v>180</v>
      </c>
      <c r="CL323" s="80" t="s">
        <v>378</v>
      </c>
      <c r="CM323" s="79" t="s">
        <v>1080</v>
      </c>
      <c r="CR323" s="608" t="s">
        <v>546</v>
      </c>
      <c r="CV323" s="80" t="s">
        <v>376</v>
      </c>
      <c r="CW323" s="80" t="s">
        <v>377</v>
      </c>
      <c r="CX323" s="80" t="s">
        <v>180</v>
      </c>
      <c r="CY323" s="80" t="s">
        <v>378</v>
      </c>
      <c r="CZ323" s="79" t="s">
        <v>1080</v>
      </c>
      <c r="DE323" s="608" t="s">
        <v>546</v>
      </c>
      <c r="DI323" s="80" t="s">
        <v>376</v>
      </c>
      <c r="DJ323" s="80" t="s">
        <v>377</v>
      </c>
      <c r="DK323" s="80" t="s">
        <v>180</v>
      </c>
      <c r="DL323" s="80" t="s">
        <v>378</v>
      </c>
      <c r="DM323" s="79" t="s">
        <v>1080</v>
      </c>
      <c r="DR323" s="608" t="s">
        <v>546</v>
      </c>
      <c r="DV323" s="80" t="s">
        <v>376</v>
      </c>
      <c r="DW323" s="80" t="s">
        <v>377</v>
      </c>
      <c r="DX323" s="80" t="s">
        <v>180</v>
      </c>
      <c r="DY323" s="80" t="s">
        <v>378</v>
      </c>
      <c r="DZ323" s="79" t="s">
        <v>1080</v>
      </c>
    </row>
    <row r="324" spans="1:134" s="10" customFormat="1" ht="14.5" customHeight="1" x14ac:dyDescent="0.35">
      <c r="A324" s="562" t="s">
        <v>168</v>
      </c>
      <c r="Q324" s="225">
        <v>3</v>
      </c>
      <c r="R324" s="381"/>
      <c r="V324" s="166">
        <f>SUMIF($D$5:$D$319,"=kas",V5:V319)+SUMIF($D$5:$D$319,"=kam",V5:V319)+SUMIF($D$5:$D$319,"=kar",V5:V319)+SUMIF($D$5:$D$319,"=kaz",V5:V319)</f>
        <v>14501000</v>
      </c>
      <c r="W324" s="90">
        <f>SUM(W325:W327)</f>
        <v>1</v>
      </c>
      <c r="X324" s="166">
        <f>SUMIF($D$5:$D$319,"=kas",X5:X319)+SUMIF($D$5:$D$319,"=kam",X5:X319)+SUMIF($D$5:$D$319,"=kar",X5:X319)+SUMIF($D$5:$D$319,"=kaz",X5:X319)</f>
        <v>289600</v>
      </c>
      <c r="Y324" s="90">
        <f>SUM(Y325:Y327)</f>
        <v>1</v>
      </c>
      <c r="Z324" s="562" t="s">
        <v>168</v>
      </c>
      <c r="AE324" s="381"/>
      <c r="AI324" s="166">
        <f>SUMIF($D$5:$D$319,"=kas",AI5:AI319)+SUMIF($D$5:$D$319,"=kam",AI5:AI319)+SUMIF($D$5:$D$319,"=kar",AI5:AI319)+SUMIF($D$5:$D$319,"=kaz",AI5:AI319)</f>
        <v>14501000</v>
      </c>
      <c r="AJ324" s="90">
        <f>SUM(AJ325:AJ327)</f>
        <v>1</v>
      </c>
      <c r="AK324" s="166">
        <f>SUMIF($D$5:$D$319,"=kas",AK5:AK319)+SUMIF($D$5:$D$319,"=kam",AK5:AK319)+SUMIF($D$5:$D$319,"=kar",AK5:AK319)+SUMIF($D$5:$D$319,"=kaz",AK5:AK319)</f>
        <v>289600</v>
      </c>
      <c r="AL324" s="90">
        <f>SUM(AL325:AL327)</f>
        <v>1</v>
      </c>
      <c r="AM324" s="612" t="s">
        <v>168</v>
      </c>
      <c r="AR324" s="381"/>
      <c r="AV324" s="166">
        <f>SUMIF($D$5:$D$319,"=kas",AV5:AV319)+SUMIF($D$5:$D$319,"=kam",AV5:AV319)+SUMIF($D$5:$D$319,"=kar",AV5:AV319)+SUMIF($D$5:$D$319,"=kaz",AV5:AV319)</f>
        <v>14501000</v>
      </c>
      <c r="AW324" s="90">
        <f>SUM(AW325:AW327)</f>
        <v>1</v>
      </c>
      <c r="AX324" s="166">
        <f>SUMIF($D$5:$D$319,"=kas",AX5:AX319)+SUMIF($D$5:$D$319,"=kam",AX5:AX319)+SUMIF($D$5:$D$319,"=kar",AX5:AX319)+SUMIF($D$5:$D$319,"=kaz",AX5:AX319)</f>
        <v>289600</v>
      </c>
      <c r="AY324" s="90">
        <f>SUM(AY325:AY327)</f>
        <v>1</v>
      </c>
      <c r="AZ324" s="612" t="s">
        <v>168</v>
      </c>
      <c r="BE324" s="381"/>
      <c r="BI324" s="166">
        <f>SUMIF($D$5:$D$319,"=kas",BI5:BI319)+SUMIF($D$5:$D$319,"=kam",BI5:BI319)+SUMIF($D$5:$D$319,"=kar",BI5:BI319)+SUMIF($D$5:$D$319,"=kaz",BI5:BI319)</f>
        <v>14501000</v>
      </c>
      <c r="BJ324" s="90">
        <f>SUM(BJ325:BJ327)</f>
        <v>1</v>
      </c>
      <c r="BK324" s="166">
        <f>SUMIF($D$5:$D$319,"=kas",BK5:BK319)+SUMIF($D$5:$D$319,"=kam",BK5:BK319)+SUMIF($D$5:$D$319,"=kar",BK5:BK319)+SUMIF($D$5:$D$319,"=kaz",BK5:BK319)</f>
        <v>289600</v>
      </c>
      <c r="BL324" s="90">
        <f>SUM(BL325:BL327)</f>
        <v>1</v>
      </c>
      <c r="BM324" s="612" t="s">
        <v>168</v>
      </c>
      <c r="BR324" s="381"/>
      <c r="BV324" s="166">
        <f>SUMIF($D$5:$D$319,"=kas",BV5:BV319)+SUMIF($D$5:$D$319,"=kam",BV5:BV319)+SUMIF($D$5:$D$319,"=kar",BV5:BV319)+SUMIF($D$5:$D$319,"=kaz",BV5:BV319)</f>
        <v>14501000</v>
      </c>
      <c r="BW324" s="90">
        <f>SUM(BW325:BW327)</f>
        <v>1</v>
      </c>
      <c r="BX324" s="166">
        <f>SUMIF($D$5:$D$319,"=kas",BX5:BX319)+SUMIF($D$5:$D$319,"=kam",BX5:BX319)+SUMIF($D$5:$D$319,"=kar",BX5:BX319)+SUMIF($D$5:$D$319,"=kaz",BX5:BX319)</f>
        <v>289600</v>
      </c>
      <c r="BY324" s="90">
        <f>SUM(BY325:BY327)</f>
        <v>1</v>
      </c>
      <c r="BZ324" s="612" t="s">
        <v>168</v>
      </c>
      <c r="CE324" s="381"/>
      <c r="CI324" s="166">
        <f>SUMIF($D$5:$D$319,"=kas",CI5:CI319)+SUMIF($D$5:$D$319,"=kam",CI5:CI319)+SUMIF($D$5:$D$319,"=kar",CI5:CI319)+SUMIF($D$5:$D$319,"=kaz",CI5:CI319)</f>
        <v>14501000</v>
      </c>
      <c r="CJ324" s="90">
        <f>SUM(CJ325:CJ327)</f>
        <v>1</v>
      </c>
      <c r="CK324" s="166">
        <f>SUMIF($D$5:$D$319,"=kas",CK5:CK319)+SUMIF($D$5:$D$319,"=kam",CK5:CK319)+SUMIF($D$5:$D$319,"=kar",CK5:CK319)+SUMIF($D$5:$D$319,"=kaz",CK5:CK319)</f>
        <v>289600</v>
      </c>
      <c r="CL324" s="90">
        <f>SUM(CL325:CL327)</f>
        <v>1</v>
      </c>
      <c r="CM324" s="612" t="s">
        <v>168</v>
      </c>
      <c r="CR324" s="381"/>
      <c r="CV324" s="166">
        <f>SUMIF($D$5:$D$319,"=kas",CV5:CV319)+SUMIF($D$5:$D$319,"=kam",CV5:CV319)+SUMIF($D$5:$D$319,"=kar",CV5:CV319)+SUMIF($D$5:$D$319,"=kaz",CV5:CV319)</f>
        <v>14501000</v>
      </c>
      <c r="CW324" s="90">
        <f>SUM(CW325:CW327)</f>
        <v>1</v>
      </c>
      <c r="CX324" s="166">
        <f>SUMIF($D$5:$D$319,"=kas",CX5:CX319)+SUMIF($D$5:$D$319,"=kam",CX5:CX319)+SUMIF($D$5:$D$319,"=kar",CX5:CX319)+SUMIF($D$5:$D$319,"=kaz",CX5:CX319)</f>
        <v>289600</v>
      </c>
      <c r="CY324" s="90">
        <f>SUM(CY325:CY327)</f>
        <v>1</v>
      </c>
      <c r="CZ324" s="612" t="s">
        <v>168</v>
      </c>
      <c r="DE324" s="381"/>
      <c r="DI324" s="166">
        <f>SUMIF($D$5:$D$319,"=kas",DI5:DI319)+SUMIF($D$5:$D$319,"=kam",DI5:DI319)+SUMIF($D$5:$D$319,"=kar",DI5:DI319)+SUMIF($D$5:$D$319,"=kaz",DI5:DI319)</f>
        <v>14501000</v>
      </c>
      <c r="DJ324" s="90">
        <f>SUM(DJ325:DJ327)</f>
        <v>1</v>
      </c>
      <c r="DK324" s="166">
        <f>SUMIF($D$5:$D$319,"=kas",DK5:DK319)+SUMIF($D$5:$D$319,"=kam",DK5:DK319)+SUMIF($D$5:$D$319,"=kar",DK5:DK319)+SUMIF($D$5:$D$319,"=kaz",DK5:DK319)</f>
        <v>289600</v>
      </c>
      <c r="DL324" s="90">
        <f>SUM(DL325:DL327)</f>
        <v>1</v>
      </c>
      <c r="DM324" s="612" t="s">
        <v>168</v>
      </c>
      <c r="DR324" s="381"/>
      <c r="DV324" s="166">
        <f>SUMIF($D$5:$D$319,"=kas",DV5:DV319)+SUMIF($D$5:$D$319,"=kam",DV5:DV319)+SUMIF($D$5:$D$319,"=kar",DV5:DV319)+SUMIF($D$5:$D$319,"=kaz",DV5:DV319)</f>
        <v>14501000</v>
      </c>
      <c r="DW324" s="90">
        <f>SUM(DW325:DW327)</f>
        <v>1</v>
      </c>
      <c r="DX324" s="166">
        <f>SUMIF($D$5:$D$319,"=kas",DX5:DX319)+SUMIF($D$5:$D$319,"=kam",DX5:DX319)+SUMIF($D$5:$D$319,"=kar",DX5:DX319)+SUMIF($D$5:$D$319,"=kaz",DX5:DX319)</f>
        <v>289600</v>
      </c>
      <c r="DY324" s="90">
        <f>SUM(DY325:DY327)</f>
        <v>1</v>
      </c>
      <c r="DZ324" s="612" t="s">
        <v>168</v>
      </c>
    </row>
    <row r="325" spans="1:134" s="10" customFormat="1" ht="14.5" customHeight="1" x14ac:dyDescent="0.35">
      <c r="A325" s="563" t="s">
        <v>169</v>
      </c>
      <c r="Q325" s="225">
        <v>4</v>
      </c>
      <c r="R325" s="381"/>
      <c r="V325" s="166">
        <f>SUMIF($D$5:$D$319,"=kas",V5:V319)*HLOOKUP(X322,Verteil_sw,6,FALSE)+SUMIF($D$5:$D$319,"=kam",V5:V319)*HLOOKUP(X322,Verteil_sw,7,FALSE)+SUMIF($D$5:$D$319,"=kar",V5:V319)*HLOOKUP(X322,Verteil_sw,8,FALSE)+SUMIF($D$5:$D$319,"=kaz",V5:V319)*HLOOKUP(X322,Verteil_sw,9,FALSE)</f>
        <v>7871000</v>
      </c>
      <c r="W325" s="90">
        <f>IF(V324&lt;&gt;0,V325/V324,0)</f>
        <v>0.54279015240328254</v>
      </c>
      <c r="X325" s="166">
        <f>SUMIF($D$5:$D$319,"=kas",X5:X319)*HLOOKUP(X322,Verteil_sw,6,FALSE)+SUMIF($D$5:$D$319,"=kam",X5:X319)*HLOOKUP(X322,Verteil_sw,7,FALSE)+SUMIF($D$5:$D$319,"=kar",X5:X319)*HLOOKUP(X322,Verteil_sw,8,FALSE)+SUMIF($D$5:$D$319,"=kaz",X5:X319)*HLOOKUP(X322,Verteil_sw,9,FALSE)</f>
        <v>157000</v>
      </c>
      <c r="Y325" s="90">
        <f>IF(X324&lt;&gt;0,X325/X324,0)</f>
        <v>0.54212707182320441</v>
      </c>
      <c r="Z325" s="563" t="s">
        <v>169</v>
      </c>
      <c r="AE325" s="381"/>
      <c r="AI325" s="166">
        <f>SUMIF($D$5:$D$319,"=kas",AI5:AI319)*HLOOKUP(AK322,Verteil_sw,6,FALSE)+SUMIF($D$5:$D$319,"=kam",AI5:AI319)*HLOOKUP(AK322,Verteil_sw,7,FALSE)+SUMIF($D$5:$D$319,"=kar",AI5:AI319)*HLOOKUP(AK322,Verteil_sw,8,FALSE)+SUMIF($D$5:$D$319,"=kaz",AI5:AI319)*HLOOKUP(AK322,Verteil_sw,9,FALSE)</f>
        <v>7871000</v>
      </c>
      <c r="AJ325" s="90">
        <f>IF(AI324&lt;&gt;0,AI325/AI324,0)</f>
        <v>0.54279015240328254</v>
      </c>
      <c r="AK325" s="166">
        <f>SUMIF($D$5:$D$319,"=kas",AK5:AK319)*HLOOKUP(AK322,Verteil_sw,6,FALSE)+SUMIF($D$5:$D$319,"=kam",AK5:AK319)*HLOOKUP(AK322,Verteil_sw,7,FALSE)+SUMIF($D$5:$D$319,"=kar",AK5:AK319)*HLOOKUP(AK322,Verteil_sw,8,FALSE)+SUMIF($D$5:$D$319,"=kaz",AK5:AK319)*HLOOKUP(AK322,Verteil_sw,9,FALSE)</f>
        <v>157000</v>
      </c>
      <c r="AL325" s="90">
        <f>IF(AK324&lt;&gt;0,AK325/AK324,0)</f>
        <v>0.54212707182320441</v>
      </c>
      <c r="AM325" s="611" t="s">
        <v>169</v>
      </c>
      <c r="AR325" s="381"/>
      <c r="AV325" s="166">
        <f>SUMIF($D$5:$D$319,"=kas",AV5:AV319)*HLOOKUP(AX322,Verteil_sw,6,FALSE)+SUMIF($D$5:$D$319,"=kam",AV5:AV319)*HLOOKUP(AX322,Verteil_sw,7,FALSE)+SUMIF($D$5:$D$319,"=kar",AV5:AV319)*HLOOKUP(AX322,Verteil_sw,8,FALSE)+SUMIF($D$5:$D$319,"=kaz",AV5:AV319)*HLOOKUP(AX322,Verteil_sw,9,FALSE)</f>
        <v>7871000</v>
      </c>
      <c r="AW325" s="90">
        <f>IF(AV324&lt;&gt;0,AV325/AV324,0)</f>
        <v>0.54279015240328254</v>
      </c>
      <c r="AX325" s="166">
        <f>SUMIF($D$5:$D$319,"=kas",AX5:AX319)*HLOOKUP(AX322,Verteil_sw,6,FALSE)+SUMIF($D$5:$D$319,"=kam",AX5:AX319)*HLOOKUP(AX322,Verteil_sw,7,FALSE)+SUMIF($D$5:$D$319,"=kar",AX5:AX319)*HLOOKUP(AX322,Verteil_sw,8,FALSE)+SUMIF($D$5:$D$319,"=kaz",AX5:AX319)*HLOOKUP(AX322,Verteil_sw,9,FALSE)</f>
        <v>157000</v>
      </c>
      <c r="AY325" s="90">
        <f>IF(AX324&lt;&gt;0,AX325/AX324,0)</f>
        <v>0.54212707182320441</v>
      </c>
      <c r="AZ325" s="611" t="s">
        <v>169</v>
      </c>
      <c r="BE325" s="381"/>
      <c r="BI325" s="166">
        <f>SUMIF($D$5:$D$319,"=kas",BI5:BI319)*HLOOKUP(BK322,Verteil_sw,6,FALSE)+SUMIF($D$5:$D$319,"=kam",BI5:BI319)*HLOOKUP(BK322,Verteil_sw,7,FALSE)+SUMIF($D$5:$D$319,"=kar",BI5:BI319)*HLOOKUP(BK322,Verteil_sw,8,FALSE)+SUMIF($D$5:$D$319,"=kaz",BI5:BI319)*HLOOKUP(BK322,Verteil_sw,9,FALSE)</f>
        <v>7871000</v>
      </c>
      <c r="BJ325" s="90">
        <f>IF(BI324&lt;&gt;0,BI325/BI324,0)</f>
        <v>0.54279015240328254</v>
      </c>
      <c r="BK325" s="166">
        <f>SUMIF($D$5:$D$319,"=kas",BK5:BK319)*HLOOKUP(BK322,Verteil_sw,6,FALSE)+SUMIF($D$5:$D$319,"=kam",BK5:BK319)*HLOOKUP(BK322,Verteil_sw,7,FALSE)+SUMIF($D$5:$D$319,"=kar",BK5:BK319)*HLOOKUP(BK322,Verteil_sw,8,FALSE)+SUMIF($D$5:$D$319,"=kaz",BK5:BK319)*HLOOKUP(BK322,Verteil_sw,9,FALSE)</f>
        <v>157000</v>
      </c>
      <c r="BL325" s="90">
        <f>IF(BK324&lt;&gt;0,BK325/BK324,0)</f>
        <v>0.54212707182320441</v>
      </c>
      <c r="BM325" s="611" t="s">
        <v>169</v>
      </c>
      <c r="BR325" s="381"/>
      <c r="BV325" s="166">
        <f>SUMIF($D$5:$D$319,"=kas",BV5:BV319)*HLOOKUP(BX322,Verteil_sw,6,FALSE)+SUMIF($D$5:$D$319,"=kam",BV5:BV319)*HLOOKUP(BX322,Verteil_sw,7,FALSE)+SUMIF($D$5:$D$319,"=kar",BV5:BV319)*HLOOKUP(BX322,Verteil_sw,8,FALSE)+SUMIF($D$5:$D$319,"=kaz",BV5:BV319)*HLOOKUP(BX322,Verteil_sw,9,FALSE)</f>
        <v>7871000</v>
      </c>
      <c r="BW325" s="90">
        <f>IF(BV324&lt;&gt;0,BV325/BV324,0)</f>
        <v>0.54279015240328254</v>
      </c>
      <c r="BX325" s="166">
        <f>SUMIF($D$5:$D$319,"=kas",BX5:BX319)*HLOOKUP(BX322,Verteil_sw,6,FALSE)+SUMIF($D$5:$D$319,"=kam",BX5:BX319)*HLOOKUP(BX322,Verteil_sw,7,FALSE)+SUMIF($D$5:$D$319,"=kar",BX5:BX319)*HLOOKUP(BX322,Verteil_sw,8,FALSE)+SUMIF($D$5:$D$319,"=kaz",BX5:BX319)*HLOOKUP(BX322,Verteil_sw,9,FALSE)</f>
        <v>157000</v>
      </c>
      <c r="BY325" s="90">
        <f>IF(BX324&lt;&gt;0,BX325/BX324,0)</f>
        <v>0.54212707182320441</v>
      </c>
      <c r="BZ325" s="611" t="s">
        <v>169</v>
      </c>
      <c r="CE325" s="381"/>
      <c r="CI325" s="166">
        <f>SUMIF($D$5:$D$319,"=kas",CI5:CI319)*HLOOKUP(CK322,Verteil_sw,6,FALSE)+SUMIF($D$5:$D$319,"=kam",CI5:CI319)*HLOOKUP(CK322,Verteil_sw,7,FALSE)+SUMIF($D$5:$D$319,"=kar",CI5:CI319)*HLOOKUP(CK322,Verteil_sw,8,FALSE)+SUMIF($D$5:$D$319,"=kaz",CI5:CI319)*HLOOKUP(CK322,Verteil_sw,9,FALSE)</f>
        <v>7871000</v>
      </c>
      <c r="CJ325" s="90">
        <f>IF(CI324&lt;&gt;0,CI325/CI324,0)</f>
        <v>0.54279015240328254</v>
      </c>
      <c r="CK325" s="166">
        <f>SUMIF($D$5:$D$319,"=kas",CK5:CK319)*HLOOKUP(CK322,Verteil_sw,6,FALSE)+SUMIF($D$5:$D$319,"=kam",CK5:CK319)*HLOOKUP(CK322,Verteil_sw,7,FALSE)+SUMIF($D$5:$D$319,"=kar",CK5:CK319)*HLOOKUP(CK322,Verteil_sw,8,FALSE)+SUMIF($D$5:$D$319,"=kaz",CK5:CK319)*HLOOKUP(CK322,Verteil_sw,9,FALSE)</f>
        <v>157000</v>
      </c>
      <c r="CL325" s="90">
        <f>IF(CK324&lt;&gt;0,CK325/CK324,0)</f>
        <v>0.54212707182320441</v>
      </c>
      <c r="CM325" s="611" t="s">
        <v>169</v>
      </c>
      <c r="CR325" s="381"/>
      <c r="CV325" s="166">
        <f>SUMIF($D$5:$D$319,"=kas",CV5:CV319)*HLOOKUP(CX322,Verteil_sw,6,FALSE)+SUMIF($D$5:$D$319,"=kam",CV5:CV319)*HLOOKUP(CX322,Verteil_sw,7,FALSE)+SUMIF($D$5:$D$319,"=kar",CV5:CV319)*HLOOKUP(CX322,Verteil_sw,8,FALSE)+SUMIF($D$5:$D$319,"=kaz",CV5:CV319)*HLOOKUP(CX322,Verteil_sw,9,FALSE)</f>
        <v>7871000</v>
      </c>
      <c r="CW325" s="90">
        <f>IF(CV324&lt;&gt;0,CV325/CV324,0)</f>
        <v>0.54279015240328254</v>
      </c>
      <c r="CX325" s="166">
        <f>SUMIF($D$5:$D$319,"=kas",CX5:CX319)*HLOOKUP(CX322,Verteil_sw,6,FALSE)+SUMIF($D$5:$D$319,"=kam",CX5:CX319)*HLOOKUP(CX322,Verteil_sw,7,FALSE)+SUMIF($D$5:$D$319,"=kar",CX5:CX319)*HLOOKUP(CX322,Verteil_sw,8,FALSE)+SUMIF($D$5:$D$319,"=kaz",CX5:CX319)*HLOOKUP(CX322,Verteil_sw,9,FALSE)</f>
        <v>157000</v>
      </c>
      <c r="CY325" s="90">
        <f>IF(CX324&lt;&gt;0,CX325/CX324,0)</f>
        <v>0.54212707182320441</v>
      </c>
      <c r="CZ325" s="611" t="s">
        <v>169</v>
      </c>
      <c r="DE325" s="381"/>
      <c r="DI325" s="166">
        <f>SUMIF($D$5:$D$319,"=kas",DI5:DI319)*HLOOKUP(DK322,Verteil_sw,6,FALSE)+SUMIF($D$5:$D$319,"=kam",DI5:DI319)*HLOOKUP(DK322,Verteil_sw,7,FALSE)+SUMIF($D$5:$D$319,"=kar",DI5:DI319)*HLOOKUP(DK322,Verteil_sw,8,FALSE)+SUMIF($D$5:$D$319,"=kaz",DI5:DI319)*HLOOKUP(DK322,Verteil_sw,9,FALSE)</f>
        <v>7871000</v>
      </c>
      <c r="DJ325" s="90">
        <f>IF(DI324&lt;&gt;0,DI325/DI324,0)</f>
        <v>0.54279015240328254</v>
      </c>
      <c r="DK325" s="166">
        <f>SUMIF($D$5:$D$319,"=kas",DK5:DK319)*HLOOKUP(DK322,Verteil_sw,6,FALSE)+SUMIF($D$5:$D$319,"=kam",DK5:DK319)*HLOOKUP(DK322,Verteil_sw,7,FALSE)+SUMIF($D$5:$D$319,"=kar",DK5:DK319)*HLOOKUP(DK322,Verteil_sw,8,FALSE)+SUMIF($D$5:$D$319,"=kaz",DK5:DK319)*HLOOKUP(DK322,Verteil_sw,9,FALSE)</f>
        <v>157000</v>
      </c>
      <c r="DL325" s="90">
        <f>IF(DK324&lt;&gt;0,DK325/DK324,0)</f>
        <v>0.54212707182320441</v>
      </c>
      <c r="DM325" s="611" t="s">
        <v>169</v>
      </c>
      <c r="DR325" s="381"/>
      <c r="DV325" s="166">
        <f>SUMIF($D$5:$D$319,"=kas",DV5:DV319)*HLOOKUP(DX322,Verteil_sw,6,FALSE)+SUMIF($D$5:$D$319,"=kam",DV5:DV319)*HLOOKUP(DX322,Verteil_sw,7,FALSE)+SUMIF($D$5:$D$319,"=kar",DV5:DV319)*HLOOKUP(DX322,Verteil_sw,8,FALSE)+SUMIF($D$5:$D$319,"=kaz",DV5:DV319)*HLOOKUP(DX322,Verteil_sw,9,FALSE)</f>
        <v>7871000</v>
      </c>
      <c r="DW325" s="90">
        <f>IF(DV324&lt;&gt;0,DV325/DV324,0)</f>
        <v>0.54279015240328254</v>
      </c>
      <c r="DX325" s="166">
        <f>SUMIF($D$5:$D$319,"=kas",DX5:DX319)*HLOOKUP(DX322,Verteil_sw,6,FALSE)+SUMIF($D$5:$D$319,"=kam",DX5:DX319)*HLOOKUP(DX322,Verteil_sw,7,FALSE)+SUMIF($D$5:$D$319,"=kar",DX5:DX319)*HLOOKUP(DX322,Verteil_sw,8,FALSE)+SUMIF($D$5:$D$319,"=kaz",DX5:DX319)*HLOOKUP(DX322,Verteil_sw,9,FALSE)</f>
        <v>157000</v>
      </c>
      <c r="DY325" s="90">
        <f>IF(DX324&lt;&gt;0,DX325/DX324,0)</f>
        <v>0.54212707182320441</v>
      </c>
      <c r="DZ325" s="611" t="s">
        <v>169</v>
      </c>
    </row>
    <row r="326" spans="1:134" s="10" customFormat="1" ht="14.5" customHeight="1" x14ac:dyDescent="0.35">
      <c r="A326" s="563" t="s">
        <v>170</v>
      </c>
      <c r="Q326" s="225">
        <v>5</v>
      </c>
      <c r="R326" s="381"/>
      <c r="V326" s="166">
        <f>SUMIF($D$5:$D$319,"=kas",V5:V319)*HLOOKUP(X322,Verteil_rwgr,5,FALSE)+SUMIF($D$5:$D$319,"=kam",V5:V319)*HLOOKUP(X322,Verteil_rwgr,6,FALSE)+SUMIF($D$5:$D$319,"=kar",V5:V319)*HLOOKUP(X322,Verteil_rwgr,7,FALSE)+SUMIF($D$5:$D$319,"=kaz",V5:V319)*HLOOKUP(X322,Verteil_rwgr,8,FALSE)</f>
        <v>3315000</v>
      </c>
      <c r="W326" s="90">
        <f>IF(V324&lt;&gt;0,V326/V324,0)</f>
        <v>0.22860492379835873</v>
      </c>
      <c r="X326" s="166">
        <f>SUMIF($D$5:$D$319,"=kas",X5:X319)*HLOOKUP(X322,Verteil_rwgr,5,FALSE)+SUMIF($D$5:$D$319,"=kam",X5:X319)*HLOOKUP(X322,Verteil_rwgr,6,FALSE)+SUMIF($D$5:$D$319,"=kar",X5:X319)*HLOOKUP(X322,Verteil_rwgr,7,FALSE)+SUMIF($D$5:$D$319,"=kaz",X5:X319)*HLOOKUP(X322,Verteil_rwgr,8,FALSE)</f>
        <v>66300</v>
      </c>
      <c r="Y326" s="90">
        <f>IF(X324&lt;&gt;0,X326/X324,0)</f>
        <v>0.2289364640883978</v>
      </c>
      <c r="Z326" s="563" t="s">
        <v>170</v>
      </c>
      <c r="AE326" s="381"/>
      <c r="AI326" s="166">
        <f>SUMIF($D$5:$D$319,"=kas",AI5:AI319)*HLOOKUP(AK322,Verteil_rwgr,5,FALSE)+SUMIF($D$5:$D$319,"=kam",AI5:AI319)*HLOOKUP(AK322,Verteil_rwgr,6,FALSE)+SUMIF($D$5:$D$319,"=kar",AI5:AI319)*HLOOKUP(AK322,Verteil_rwgr,7,FALSE)+SUMIF($D$5:$D$319,"=kaz",AI5:AI319)*HLOOKUP(AK322,Verteil_rwgr,8,FALSE)</f>
        <v>3315000</v>
      </c>
      <c r="AJ326" s="90">
        <f>IF(AI324&lt;&gt;0,AI326/AI324,0)</f>
        <v>0.22860492379835873</v>
      </c>
      <c r="AK326" s="166">
        <f>SUMIF($D$5:$D$319,"=kas",AK5:AK319)*HLOOKUP(AK322,Verteil_rwgr,5,FALSE)+SUMIF($D$5:$D$319,"=kam",AK5:AK319)*HLOOKUP(AK322,Verteil_rwgr,6,FALSE)+SUMIF($D$5:$D$319,"=kar",AK5:AK319)*HLOOKUP(AK322,Verteil_rwgr,7,FALSE)+SUMIF($D$5:$D$319,"=kaz",AK5:AK319)*HLOOKUP(AK322,Verteil_rwgr,8,FALSE)</f>
        <v>66300</v>
      </c>
      <c r="AL326" s="90">
        <f>IF(AK324&lt;&gt;0,AK326/AK324,0)</f>
        <v>0.2289364640883978</v>
      </c>
      <c r="AM326" s="611" t="s">
        <v>170</v>
      </c>
      <c r="AR326" s="381"/>
      <c r="AV326" s="166">
        <f>SUMIF($D$5:$D$319,"=kas",AV5:AV319)*HLOOKUP(AX322,Verteil_rwgr,5,FALSE)+SUMIF($D$5:$D$319,"=kam",AV5:AV319)*HLOOKUP(AX322,Verteil_rwgr,6,FALSE)+SUMIF($D$5:$D$319,"=kar",AV5:AV319)*HLOOKUP(AX322,Verteil_rwgr,7,FALSE)+SUMIF($D$5:$D$319,"=kaz",AV5:AV319)*HLOOKUP(AX322,Verteil_rwgr,8,FALSE)</f>
        <v>3315000</v>
      </c>
      <c r="AW326" s="90">
        <f>IF(AV324&lt;&gt;0,AV326/AV324,0)</f>
        <v>0.22860492379835873</v>
      </c>
      <c r="AX326" s="166">
        <f>SUMIF($D$5:$D$319,"=kas",AX5:AX319)*HLOOKUP(AX322,Verteil_rwgr,5,FALSE)+SUMIF($D$5:$D$319,"=kam",AX5:AX319)*HLOOKUP(AX322,Verteil_rwgr,6,FALSE)+SUMIF($D$5:$D$319,"=kar",AX5:AX319)*HLOOKUP(AX322,Verteil_rwgr,7,FALSE)+SUMIF($D$5:$D$319,"=kaz",AX5:AX319)*HLOOKUP(AX322,Verteil_rwgr,8,FALSE)</f>
        <v>66300</v>
      </c>
      <c r="AY326" s="90">
        <f>IF(AX324&lt;&gt;0,AX326/AX324,0)</f>
        <v>0.2289364640883978</v>
      </c>
      <c r="AZ326" s="611" t="s">
        <v>170</v>
      </c>
      <c r="BE326" s="381"/>
      <c r="BI326" s="166">
        <f>SUMIF($D$5:$D$319,"=kas",BI5:BI319)*HLOOKUP(BK322,Verteil_rwgr,5,FALSE)+SUMIF($D$5:$D$319,"=kam",BI5:BI319)*HLOOKUP(BK322,Verteil_rwgr,6,FALSE)+SUMIF($D$5:$D$319,"=kar",BI5:BI319)*HLOOKUP(BK322,Verteil_rwgr,7,FALSE)+SUMIF($D$5:$D$319,"=kaz",BI5:BI319)*HLOOKUP(BK322,Verteil_rwgr,8,FALSE)</f>
        <v>3315000</v>
      </c>
      <c r="BJ326" s="90">
        <f>IF(BI324&lt;&gt;0,BI326/BI324,0)</f>
        <v>0.22860492379835873</v>
      </c>
      <c r="BK326" s="166">
        <f>SUMIF($D$5:$D$319,"=kas",BK5:BK319)*HLOOKUP(BK322,Verteil_rwgr,5,FALSE)+SUMIF($D$5:$D$319,"=kam",BK5:BK319)*HLOOKUP(BK322,Verteil_rwgr,6,FALSE)+SUMIF($D$5:$D$319,"=kar",BK5:BK319)*HLOOKUP(BK322,Verteil_rwgr,7,FALSE)+SUMIF($D$5:$D$319,"=kaz",BK5:BK319)*HLOOKUP(BK322,Verteil_rwgr,8,FALSE)</f>
        <v>66300</v>
      </c>
      <c r="BL326" s="90">
        <f>IF(BK324&lt;&gt;0,BK326/BK324,0)</f>
        <v>0.2289364640883978</v>
      </c>
      <c r="BM326" s="611" t="s">
        <v>170</v>
      </c>
      <c r="BR326" s="381"/>
      <c r="BV326" s="166">
        <f>SUMIF($D$5:$D$319,"=kas",BV5:BV319)*HLOOKUP(BX322,Verteil_rwgr,5,FALSE)+SUMIF($D$5:$D$319,"=kam",BV5:BV319)*HLOOKUP(BX322,Verteil_rwgr,6,FALSE)+SUMIF($D$5:$D$319,"=kar",BV5:BV319)*HLOOKUP(BX322,Verteil_rwgr,7,FALSE)+SUMIF($D$5:$D$319,"=kaz",BV5:BV319)*HLOOKUP(BX322,Verteil_rwgr,8,FALSE)</f>
        <v>3315000</v>
      </c>
      <c r="BW326" s="90">
        <f>IF(BV324&lt;&gt;0,BV326/BV324,0)</f>
        <v>0.22860492379835873</v>
      </c>
      <c r="BX326" s="166">
        <f>SUMIF($D$5:$D$319,"=kas",BX5:BX319)*HLOOKUP(BX322,Verteil_rwgr,5,FALSE)+SUMIF($D$5:$D$319,"=kam",BX5:BX319)*HLOOKUP(BX322,Verteil_rwgr,6,FALSE)+SUMIF($D$5:$D$319,"=kar",BX5:BX319)*HLOOKUP(BX322,Verteil_rwgr,7,FALSE)+SUMIF($D$5:$D$319,"=kaz",BX5:BX319)*HLOOKUP(BX322,Verteil_rwgr,8,FALSE)</f>
        <v>66300</v>
      </c>
      <c r="BY326" s="90">
        <f>IF(BX324&lt;&gt;0,BX326/BX324,0)</f>
        <v>0.2289364640883978</v>
      </c>
      <c r="BZ326" s="611" t="s">
        <v>170</v>
      </c>
      <c r="CE326" s="381"/>
      <c r="CI326" s="166">
        <f>SUMIF($D$5:$D$319,"=kas",CI5:CI319)*HLOOKUP(CK322,Verteil_rwgr,5,FALSE)+SUMIF($D$5:$D$319,"=kam",CI5:CI319)*HLOOKUP(CK322,Verteil_rwgr,6,FALSE)+SUMIF($D$5:$D$319,"=kar",CI5:CI319)*HLOOKUP(CK322,Verteil_rwgr,7,FALSE)+SUMIF($D$5:$D$319,"=kaz",CI5:CI319)*HLOOKUP(CK322,Verteil_rwgr,8,FALSE)</f>
        <v>3315000</v>
      </c>
      <c r="CJ326" s="90">
        <f>IF(CI324&lt;&gt;0,CI326/CI324,0)</f>
        <v>0.22860492379835873</v>
      </c>
      <c r="CK326" s="166">
        <f>SUMIF($D$5:$D$319,"=kas",CK5:CK319)*HLOOKUP(CK322,Verteil_rwgr,5,FALSE)+SUMIF($D$5:$D$319,"=kam",CK5:CK319)*HLOOKUP(CK322,Verteil_rwgr,6,FALSE)+SUMIF($D$5:$D$319,"=kar",CK5:CK319)*HLOOKUP(CK322,Verteil_rwgr,7,FALSE)+SUMIF($D$5:$D$319,"=kaz",CK5:CK319)*HLOOKUP(CK322,Verteil_rwgr,8,FALSE)</f>
        <v>66300</v>
      </c>
      <c r="CL326" s="90">
        <f>IF(CK324&lt;&gt;0,CK326/CK324,0)</f>
        <v>0.2289364640883978</v>
      </c>
      <c r="CM326" s="611" t="s">
        <v>170</v>
      </c>
      <c r="CR326" s="381"/>
      <c r="CV326" s="166">
        <f>SUMIF($D$5:$D$319,"=kas",CV5:CV319)*HLOOKUP(CX322,Verteil_rwgr,5,FALSE)+SUMIF($D$5:$D$319,"=kam",CV5:CV319)*HLOOKUP(CX322,Verteil_rwgr,6,FALSE)+SUMIF($D$5:$D$319,"=kar",CV5:CV319)*HLOOKUP(CX322,Verteil_rwgr,7,FALSE)+SUMIF($D$5:$D$319,"=kaz",CV5:CV319)*HLOOKUP(CX322,Verteil_rwgr,8,FALSE)</f>
        <v>3315000</v>
      </c>
      <c r="CW326" s="90">
        <f>IF(CV324&lt;&gt;0,CV326/CV324,0)</f>
        <v>0.22860492379835873</v>
      </c>
      <c r="CX326" s="166">
        <f>SUMIF($D$5:$D$319,"=kas",CX5:CX319)*HLOOKUP(CX322,Verteil_rwgr,5,FALSE)+SUMIF($D$5:$D$319,"=kam",CX5:CX319)*HLOOKUP(CX322,Verteil_rwgr,6,FALSE)+SUMIF($D$5:$D$319,"=kar",CX5:CX319)*HLOOKUP(CX322,Verteil_rwgr,7,FALSE)+SUMIF($D$5:$D$319,"=kaz",CX5:CX319)*HLOOKUP(CX322,Verteil_rwgr,8,FALSE)</f>
        <v>66300</v>
      </c>
      <c r="CY326" s="90">
        <f>IF(CX324&lt;&gt;0,CX326/CX324,0)</f>
        <v>0.2289364640883978</v>
      </c>
      <c r="CZ326" s="611" t="s">
        <v>170</v>
      </c>
      <c r="DE326" s="381"/>
      <c r="DI326" s="166">
        <f>SUMIF($D$5:$D$319,"=kas",DI5:DI319)*HLOOKUP(DK322,Verteil_rwgr,5,FALSE)+SUMIF($D$5:$D$319,"=kam",DI5:DI319)*HLOOKUP(DK322,Verteil_rwgr,6,FALSE)+SUMIF($D$5:$D$319,"=kar",DI5:DI319)*HLOOKUP(DK322,Verteil_rwgr,7,FALSE)+SUMIF($D$5:$D$319,"=kaz",DI5:DI319)*HLOOKUP(DK322,Verteil_rwgr,8,FALSE)</f>
        <v>3315000</v>
      </c>
      <c r="DJ326" s="90">
        <f>IF(DI324&lt;&gt;0,DI326/DI324,0)</f>
        <v>0.22860492379835873</v>
      </c>
      <c r="DK326" s="166">
        <f>SUMIF($D$5:$D$319,"=kas",DK5:DK319)*HLOOKUP(DK322,Verteil_rwgr,5,FALSE)+SUMIF($D$5:$D$319,"=kam",DK5:DK319)*HLOOKUP(DK322,Verteil_rwgr,6,FALSE)+SUMIF($D$5:$D$319,"=kar",DK5:DK319)*HLOOKUP(DK322,Verteil_rwgr,7,FALSE)+SUMIF($D$5:$D$319,"=kaz",DK5:DK319)*HLOOKUP(DK322,Verteil_rwgr,8,FALSE)</f>
        <v>66300</v>
      </c>
      <c r="DL326" s="90">
        <f>IF(DK324&lt;&gt;0,DK326/DK324,0)</f>
        <v>0.2289364640883978</v>
      </c>
      <c r="DM326" s="611" t="s">
        <v>170</v>
      </c>
      <c r="DR326" s="381"/>
      <c r="DV326" s="166">
        <f>SUMIF($D$5:$D$319,"=kas",DV5:DV319)*HLOOKUP(DX322,Verteil_rwgr,5,FALSE)+SUMIF($D$5:$D$319,"=kam",DV5:DV319)*HLOOKUP(DX322,Verteil_rwgr,6,FALSE)+SUMIF($D$5:$D$319,"=kar",DV5:DV319)*HLOOKUP(DX322,Verteil_rwgr,7,FALSE)+SUMIF($D$5:$D$319,"=kaz",DV5:DV319)*HLOOKUP(DX322,Verteil_rwgr,8,FALSE)</f>
        <v>3315000</v>
      </c>
      <c r="DW326" s="90">
        <f>IF(DV324&lt;&gt;0,DV326/DV324,0)</f>
        <v>0.22860492379835873</v>
      </c>
      <c r="DX326" s="166">
        <f>SUMIF($D$5:$D$319,"=kas",DX5:DX319)*HLOOKUP(DX322,Verteil_rwgr,5,FALSE)+SUMIF($D$5:$D$319,"=kam",DX5:DX319)*HLOOKUP(DX322,Verteil_rwgr,6,FALSE)+SUMIF($D$5:$D$319,"=kar",DX5:DX319)*HLOOKUP(DX322,Verteil_rwgr,7,FALSE)+SUMIF($D$5:$D$319,"=kaz",DX5:DX319)*HLOOKUP(DX322,Verteil_rwgr,8,FALSE)</f>
        <v>66300</v>
      </c>
      <c r="DY326" s="90">
        <f>IF(DX324&lt;&gt;0,DX326/DX324,0)</f>
        <v>0.2289364640883978</v>
      </c>
      <c r="DZ326" s="611" t="s">
        <v>170</v>
      </c>
    </row>
    <row r="327" spans="1:134" s="10" customFormat="1" ht="14.5" customHeight="1" x14ac:dyDescent="0.35">
      <c r="A327" s="563" t="s">
        <v>171</v>
      </c>
      <c r="Q327" s="225">
        <v>6</v>
      </c>
      <c r="R327" s="381"/>
      <c r="V327" s="166">
        <f>SUMIF($D$5:$D$319,"=kas",V5:V319)*HLOOKUP(X322,Verteil_rwst,4,FALSE)+SUMIF($D$5:$D$319,"=kam",V5:V319)*HLOOKUP(X322,Verteil_rwst,5,FALSE)+SUMIF($D$5:$D$319,"=kar",V5:V319)*HLOOKUP(X322,Verteil_rwst,6,FALSE)+SUMIF($D$5:$D$319,"=kaz",V5:V319)*HLOOKUP(X322,Verteil_rwst,7,FALSE)</f>
        <v>3315000</v>
      </c>
      <c r="W327" s="90">
        <f>IF(V324&lt;&gt;0,V327/V324,0)</f>
        <v>0.22860492379835873</v>
      </c>
      <c r="X327" s="166">
        <f>SUMIF($D$5:$D$319,"=kas",X5:X319)*HLOOKUP(X322,Verteil_rwst,4,FALSE)+SUMIF($D$5:$D$319,"=kam",X5:X319)*HLOOKUP(X322,Verteil_rwst,5,FALSE)+SUMIF($D$5:$D$319,"=kar",X5:X319)*HLOOKUP(X322,Verteil_rwst,6,FALSE)+SUMIF($D$5:$D$319,"=kaz",X5:X319)*HLOOKUP(X322,Verteil_rwst,7,FALSE)</f>
        <v>66300</v>
      </c>
      <c r="Y327" s="90">
        <f>IF(X324&lt;&gt;0,X327/X324,0)</f>
        <v>0.2289364640883978</v>
      </c>
      <c r="Z327" s="563" t="s">
        <v>171</v>
      </c>
      <c r="AE327" s="381"/>
      <c r="AI327" s="166">
        <f>SUMIF($D$5:$D$319,"=kas",AI5:AI319)*HLOOKUP(AK322,Verteil_rwst,4,FALSE)+SUMIF($D$5:$D$319,"=kam",AI5:AI319)*HLOOKUP(AK322,Verteil_rwst,5,FALSE)+SUMIF($D$5:$D$319,"=kar",AI5:AI319)*HLOOKUP(AK322,Verteil_rwst,6,FALSE)+SUMIF($D$5:$D$319,"=kaz",AI5:AI319)*HLOOKUP(AK322,Verteil_rwst,7,FALSE)</f>
        <v>3315000</v>
      </c>
      <c r="AJ327" s="90">
        <f>IF(AI324&lt;&gt;0,AI327/AI324,0)</f>
        <v>0.22860492379835873</v>
      </c>
      <c r="AK327" s="166">
        <f>SUMIF($D$5:$D$319,"=kas",AK5:AK319)*HLOOKUP(AK322,Verteil_rwst,4,FALSE)+SUMIF($D$5:$D$319,"=kam",AK5:AK319)*HLOOKUP(AK322,Verteil_rwst,5,FALSE)+SUMIF($D$5:$D$319,"=kar",AK5:AK319)*HLOOKUP(AK322,Verteil_rwst,6,FALSE)+SUMIF($D$5:$D$319,"=kaz",AK5:AK319)*HLOOKUP(AK322,Verteil_rwst,7,FALSE)</f>
        <v>66300</v>
      </c>
      <c r="AL327" s="90">
        <f>IF(AK324&lt;&gt;0,AK327/AK324,0)</f>
        <v>0.2289364640883978</v>
      </c>
      <c r="AM327" s="611" t="s">
        <v>171</v>
      </c>
      <c r="AR327" s="381"/>
      <c r="AV327" s="166">
        <f>SUMIF($D$5:$D$319,"=kas",AV5:AV319)*HLOOKUP(AX322,Verteil_rwst,4,FALSE)+SUMIF($D$5:$D$319,"=kam",AV5:AV319)*HLOOKUP(AX322,Verteil_rwst,5,FALSE)+SUMIF($D$5:$D$319,"=kar",AV5:AV319)*HLOOKUP(AX322,Verteil_rwst,6,FALSE)+SUMIF($D$5:$D$319,"=kaz",AV5:AV319)*HLOOKUP(AX322,Verteil_rwst,7,FALSE)</f>
        <v>3315000</v>
      </c>
      <c r="AW327" s="90">
        <f>IF(AV324&lt;&gt;0,AV327/AV324,0)</f>
        <v>0.22860492379835873</v>
      </c>
      <c r="AX327" s="166">
        <f>SUMIF($D$5:$D$319,"=kas",AX5:AX319)*HLOOKUP(AX322,Verteil_rwst,4,FALSE)+SUMIF($D$5:$D$319,"=kam",AX5:AX319)*HLOOKUP(AX322,Verteil_rwst,5,FALSE)+SUMIF($D$5:$D$319,"=kar",AX5:AX319)*HLOOKUP(AX322,Verteil_rwst,6,FALSE)+SUMIF($D$5:$D$319,"=kaz",AX5:AX319)*HLOOKUP(AX322,Verteil_rwst,7,FALSE)</f>
        <v>66300</v>
      </c>
      <c r="AY327" s="90">
        <f>IF(AX324&lt;&gt;0,AX327/AX324,0)</f>
        <v>0.2289364640883978</v>
      </c>
      <c r="AZ327" s="611" t="s">
        <v>171</v>
      </c>
      <c r="BE327" s="381"/>
      <c r="BI327" s="166">
        <f>SUMIF($D$5:$D$319,"=kas",BI5:BI319)*HLOOKUP(BK322,Verteil_rwst,4,FALSE)+SUMIF($D$5:$D$319,"=kam",BI5:BI319)*HLOOKUP(BK322,Verteil_rwst,5,FALSE)+SUMIF($D$5:$D$319,"=kar",BI5:BI319)*HLOOKUP(BK322,Verteil_rwst,6,FALSE)+SUMIF($D$5:$D$319,"=kaz",BI5:BI319)*HLOOKUP(BK322,Verteil_rwst,7,FALSE)</f>
        <v>3315000</v>
      </c>
      <c r="BJ327" s="90">
        <f>IF(BI324&lt;&gt;0,BI327/BI324,0)</f>
        <v>0.22860492379835873</v>
      </c>
      <c r="BK327" s="166">
        <f>SUMIF($D$5:$D$319,"=kas",BK5:BK319)*HLOOKUP(BK322,Verteil_rwst,4,FALSE)+SUMIF($D$5:$D$319,"=kam",BK5:BK319)*HLOOKUP(BK322,Verteil_rwst,5,FALSE)+SUMIF($D$5:$D$319,"=kar",BK5:BK319)*HLOOKUP(BK322,Verteil_rwst,6,FALSE)+SUMIF($D$5:$D$319,"=kaz",BK5:BK319)*HLOOKUP(BK322,Verteil_rwst,7,FALSE)</f>
        <v>66300</v>
      </c>
      <c r="BL327" s="90">
        <f>IF(BK324&lt;&gt;0,BK327/BK324,0)</f>
        <v>0.2289364640883978</v>
      </c>
      <c r="BM327" s="611" t="s">
        <v>171</v>
      </c>
      <c r="BR327" s="381"/>
      <c r="BV327" s="166">
        <f>SUMIF($D$5:$D$319,"=kas",BV5:BV319)*HLOOKUP(BX322,Verteil_rwst,4,FALSE)+SUMIF($D$5:$D$319,"=kam",BV5:BV319)*HLOOKUP(BX322,Verteil_rwst,5,FALSE)+SUMIF($D$5:$D$319,"=kar",BV5:BV319)*HLOOKUP(BX322,Verteil_rwst,6,FALSE)+SUMIF($D$5:$D$319,"=kaz",BV5:BV319)*HLOOKUP(BX322,Verteil_rwst,7,FALSE)</f>
        <v>3315000</v>
      </c>
      <c r="BW327" s="90">
        <f>IF(BV324&lt;&gt;0,BV327/BV324,0)</f>
        <v>0.22860492379835873</v>
      </c>
      <c r="BX327" s="166">
        <f>SUMIF($D$5:$D$319,"=kas",BX5:BX319)*HLOOKUP(BX322,Verteil_rwst,4,FALSE)+SUMIF($D$5:$D$319,"=kam",BX5:BX319)*HLOOKUP(BX322,Verteil_rwst,5,FALSE)+SUMIF($D$5:$D$319,"=kar",BX5:BX319)*HLOOKUP(BX322,Verteil_rwst,6,FALSE)+SUMIF($D$5:$D$319,"=kaz",BX5:BX319)*HLOOKUP(BX322,Verteil_rwst,7,FALSE)</f>
        <v>66300</v>
      </c>
      <c r="BY327" s="90">
        <f>IF(BX324&lt;&gt;0,BX327/BX324,0)</f>
        <v>0.2289364640883978</v>
      </c>
      <c r="BZ327" s="611" t="s">
        <v>171</v>
      </c>
      <c r="CE327" s="381"/>
      <c r="CI327" s="166">
        <f>SUMIF($D$5:$D$319,"=kas",CI5:CI319)*HLOOKUP(CK322,Verteil_rwst,4,FALSE)+SUMIF($D$5:$D$319,"=kam",CI5:CI319)*HLOOKUP(CK322,Verteil_rwst,5,FALSE)+SUMIF($D$5:$D$319,"=kar",CI5:CI319)*HLOOKUP(CK322,Verteil_rwst,6,FALSE)+SUMIF($D$5:$D$319,"=kaz",CI5:CI319)*HLOOKUP(CK322,Verteil_rwst,7,FALSE)</f>
        <v>3315000</v>
      </c>
      <c r="CJ327" s="90">
        <f>IF(CI324&lt;&gt;0,CI327/CI324,0)</f>
        <v>0.22860492379835873</v>
      </c>
      <c r="CK327" s="166">
        <f>SUMIF($D$5:$D$319,"=kas",CK5:CK319)*HLOOKUP(CK322,Verteil_rwst,4,FALSE)+SUMIF($D$5:$D$319,"=kam",CK5:CK319)*HLOOKUP(CK322,Verteil_rwst,5,FALSE)+SUMIF($D$5:$D$319,"=kar",CK5:CK319)*HLOOKUP(CK322,Verteil_rwst,6,FALSE)+SUMIF($D$5:$D$319,"=kaz",CK5:CK319)*HLOOKUP(CK322,Verteil_rwst,7,FALSE)</f>
        <v>66300</v>
      </c>
      <c r="CL327" s="90">
        <f>IF(CK324&lt;&gt;0,CK327/CK324,0)</f>
        <v>0.2289364640883978</v>
      </c>
      <c r="CM327" s="611" t="s">
        <v>171</v>
      </c>
      <c r="CR327" s="381"/>
      <c r="CV327" s="166">
        <f>SUMIF($D$5:$D$319,"=kas",CV5:CV319)*HLOOKUP(CX322,Verteil_rwst,4,FALSE)+SUMIF($D$5:$D$319,"=kam",CV5:CV319)*HLOOKUP(CX322,Verteil_rwst,5,FALSE)+SUMIF($D$5:$D$319,"=kar",CV5:CV319)*HLOOKUP(CX322,Verteil_rwst,6,FALSE)+SUMIF($D$5:$D$319,"=kaz",CV5:CV319)*HLOOKUP(CX322,Verteil_rwst,7,FALSE)</f>
        <v>3315000</v>
      </c>
      <c r="CW327" s="90">
        <f>IF(CV324&lt;&gt;0,CV327/CV324,0)</f>
        <v>0.22860492379835873</v>
      </c>
      <c r="CX327" s="166">
        <f>SUMIF($D$5:$D$319,"=kas",CX5:CX319)*HLOOKUP(CX322,Verteil_rwst,4,FALSE)+SUMIF($D$5:$D$319,"=kam",CX5:CX319)*HLOOKUP(CX322,Verteil_rwst,5,FALSE)+SUMIF($D$5:$D$319,"=kar",CX5:CX319)*HLOOKUP(CX322,Verteil_rwst,6,FALSE)+SUMIF($D$5:$D$319,"=kaz",CX5:CX319)*HLOOKUP(CX322,Verteil_rwst,7,FALSE)</f>
        <v>66300</v>
      </c>
      <c r="CY327" s="90">
        <f>IF(CX324&lt;&gt;0,CX327/CX324,0)</f>
        <v>0.2289364640883978</v>
      </c>
      <c r="CZ327" s="611" t="s">
        <v>171</v>
      </c>
      <c r="DE327" s="381"/>
      <c r="DI327" s="166">
        <f>SUMIF($D$5:$D$319,"=kas",DI5:DI319)*HLOOKUP(DK322,Verteil_rwst,4,FALSE)+SUMIF($D$5:$D$319,"=kam",DI5:DI319)*HLOOKUP(DK322,Verteil_rwst,5,FALSE)+SUMIF($D$5:$D$319,"=kar",DI5:DI319)*HLOOKUP(DK322,Verteil_rwst,6,FALSE)+SUMIF($D$5:$D$319,"=kaz",DI5:DI319)*HLOOKUP(DK322,Verteil_rwst,7,FALSE)</f>
        <v>3315000</v>
      </c>
      <c r="DJ327" s="90">
        <f>IF(DI324&lt;&gt;0,DI327/DI324,0)</f>
        <v>0.22860492379835873</v>
      </c>
      <c r="DK327" s="166">
        <f>SUMIF($D$5:$D$319,"=kas",DK5:DK319)*HLOOKUP(DK322,Verteil_rwst,4,FALSE)+SUMIF($D$5:$D$319,"=kam",DK5:DK319)*HLOOKUP(DK322,Verteil_rwst,5,FALSE)+SUMIF($D$5:$D$319,"=kar",DK5:DK319)*HLOOKUP(DK322,Verteil_rwst,6,FALSE)+SUMIF($D$5:$D$319,"=kaz",DK5:DK319)*HLOOKUP(DK322,Verteil_rwst,7,FALSE)</f>
        <v>66300</v>
      </c>
      <c r="DL327" s="90">
        <f>IF(DK324&lt;&gt;0,DK327/DK324,0)</f>
        <v>0.2289364640883978</v>
      </c>
      <c r="DM327" s="611" t="s">
        <v>171</v>
      </c>
      <c r="DR327" s="381"/>
      <c r="DV327" s="166">
        <f>SUMIF($D$5:$D$319,"=kas",DV5:DV319)*HLOOKUP(DX322,Verteil_rwst,4,FALSE)+SUMIF($D$5:$D$319,"=kam",DV5:DV319)*HLOOKUP(DX322,Verteil_rwst,5,FALSE)+SUMIF($D$5:$D$319,"=kar",DV5:DV319)*HLOOKUP(DX322,Verteil_rwst,6,FALSE)+SUMIF($D$5:$D$319,"=kaz",DV5:DV319)*HLOOKUP(DX322,Verteil_rwst,7,FALSE)</f>
        <v>3315000</v>
      </c>
      <c r="DW327" s="90">
        <f>IF(DV324&lt;&gt;0,DV327/DV324,0)</f>
        <v>0.22860492379835873</v>
      </c>
      <c r="DX327" s="166">
        <f>SUMIF($D$5:$D$319,"=kas",DX5:DX319)*HLOOKUP(DX322,Verteil_rwst,4,FALSE)+SUMIF($D$5:$D$319,"=kam",DX5:DX319)*HLOOKUP(DX322,Verteil_rwst,5,FALSE)+SUMIF($D$5:$D$319,"=kar",DX5:DX319)*HLOOKUP(DX322,Verteil_rwst,6,FALSE)+SUMIF($D$5:$D$319,"=kaz",DX5:DX319)*HLOOKUP(DX322,Verteil_rwst,7,FALSE)</f>
        <v>66300</v>
      </c>
      <c r="DY327" s="90">
        <f>IF(DX324&lt;&gt;0,DX327/DX324,0)</f>
        <v>0.2289364640883978</v>
      </c>
      <c r="DZ327" s="611" t="s">
        <v>171</v>
      </c>
    </row>
    <row r="328" spans="1:134" s="10" customFormat="1" ht="14.5" customHeight="1" x14ac:dyDescent="0.35">
      <c r="A328" s="562" t="s">
        <v>172</v>
      </c>
      <c r="Q328" s="225">
        <v>7</v>
      </c>
      <c r="R328" s="381"/>
      <c r="V328" s="166">
        <f>SUMIF($D$5:$D$319,"=klm",V5:V319)+SUMIF($D$5:$D$319,"=kls",V5:V319)+SUMIF($D$5:$D$319,"=klr",V5:V319)+SUMIF($D$5:$D$319,"=klk",V5:V319)+SUMIF($D$5:$D$319,"=klz",V5:V319)</f>
        <v>16710300</v>
      </c>
      <c r="W328" s="90">
        <f t="shared" ref="W328:Y328" si="615">SUM(W329:W331)</f>
        <v>1</v>
      </c>
      <c r="X328" s="166">
        <f>SUMIF($D$5:$D$319,"=klm",X5:X319)+SUMIF($D$5:$D$319,"=kls",X5:X319)+SUMIF($D$5:$D$319,"=klr",X5:X319)+SUMIF($D$5:$D$319,"=klk",X5:X319)+SUMIF($D$5:$D$319,"=klz",X5:X319)</f>
        <v>463830</v>
      </c>
      <c r="Y328" s="90">
        <f t="shared" si="615"/>
        <v>1</v>
      </c>
      <c r="Z328" s="562" t="s">
        <v>172</v>
      </c>
      <c r="AE328" s="381"/>
      <c r="AI328" s="166">
        <f>SUMIF($D$5:$D$319,"=klm",AI5:AI319)+SUMIF($D$5:$D$319,"=kls",AI5:AI319)+SUMIF($D$5:$D$319,"=klr",AI5:AI319)+SUMIF($D$5:$D$319,"=klk",AI5:AI319)+SUMIF($D$5:$D$319,"=klz",AI5:AI319)</f>
        <v>16710300</v>
      </c>
      <c r="AJ328" s="90">
        <f t="shared" ref="AJ328" si="616">SUM(AJ329:AJ331)</f>
        <v>1</v>
      </c>
      <c r="AK328" s="166">
        <f>SUMIF($D$5:$D$319,"=klm",AK5:AK319)+SUMIF($D$5:$D$319,"=kls",AK5:AK319)+SUMIF($D$5:$D$319,"=klr",AK5:AK319)+SUMIF($D$5:$D$319,"=klk",AK5:AK319)+SUMIF($D$5:$D$319,"=klz",AK5:AK319)</f>
        <v>461605</v>
      </c>
      <c r="AL328" s="90">
        <f t="shared" ref="AL328" si="617">SUM(AL329:AL331)</f>
        <v>1</v>
      </c>
      <c r="AM328" s="612" t="s">
        <v>172</v>
      </c>
      <c r="AR328" s="381"/>
      <c r="AV328" s="166">
        <f>SUMIF($D$5:$D$319,"=klm",AV5:AV319)+SUMIF($D$5:$D$319,"=kls",AV5:AV319)+SUMIF($D$5:$D$319,"=klr",AV5:AV319)+SUMIF($D$5:$D$319,"=klk",AV5:AV319)+SUMIF($D$5:$D$319,"=klz",AV5:AV319)</f>
        <v>16710300</v>
      </c>
      <c r="AW328" s="90">
        <f t="shared" ref="AW328" si="618">SUM(AW329:AW331)</f>
        <v>1</v>
      </c>
      <c r="AX328" s="166">
        <f>SUMIF($D$5:$D$319,"=klm",AX5:AX319)+SUMIF($D$5:$D$319,"=kls",AX5:AX319)+SUMIF($D$5:$D$319,"=klr",AX5:AX319)+SUMIF($D$5:$D$319,"=klk",AX5:AX319)+SUMIF($D$5:$D$319,"=klz",AX5:AX319)</f>
        <v>460105</v>
      </c>
      <c r="AY328" s="90">
        <f t="shared" ref="AY328" si="619">SUM(AY329:AY331)</f>
        <v>1.0000000000000002</v>
      </c>
      <c r="AZ328" s="612" t="s">
        <v>172</v>
      </c>
      <c r="BE328" s="381"/>
      <c r="BI328" s="166">
        <f>SUMIF($D$5:$D$319,"=klm",BI5:BI319)+SUMIF($D$5:$D$319,"=kls",BI5:BI319)+SUMIF($D$5:$D$319,"=klr",BI5:BI319)+SUMIF($D$5:$D$319,"=klk",BI5:BI319)+SUMIF($D$5:$D$319,"=klz",BI5:BI319)</f>
        <v>16710300</v>
      </c>
      <c r="BJ328" s="90">
        <f t="shared" ref="BJ328" si="620">SUM(BJ329:BJ331)</f>
        <v>1</v>
      </c>
      <c r="BK328" s="166">
        <f>SUMIF($D$5:$D$319,"=klm",BK5:BK319)+SUMIF($D$5:$D$319,"=kls",BK5:BK319)+SUMIF($D$5:$D$319,"=klr",BK5:BK319)+SUMIF($D$5:$D$319,"=klk",BK5:BK319)+SUMIF($D$5:$D$319,"=klz",BK5:BK319)</f>
        <v>458980</v>
      </c>
      <c r="BL328" s="90">
        <f t="shared" ref="BL328" si="621">SUM(BL329:BL331)</f>
        <v>0.99999999999999989</v>
      </c>
      <c r="BM328" s="612" t="s">
        <v>172</v>
      </c>
      <c r="BR328" s="381"/>
      <c r="BV328" s="166">
        <f>SUMIF($D$5:$D$319,"=klm",BV5:BV319)+SUMIF($D$5:$D$319,"=kls",BV5:BV319)+SUMIF($D$5:$D$319,"=klr",BV5:BV319)+SUMIF($D$5:$D$319,"=klk",BV5:BV319)+SUMIF($D$5:$D$319,"=klz",BV5:BV319)</f>
        <v>16710300</v>
      </c>
      <c r="BW328" s="90">
        <f t="shared" ref="BW328" si="622">SUM(BW329:BW331)</f>
        <v>1</v>
      </c>
      <c r="BX328" s="166">
        <f>SUMIF($D$5:$D$319,"=klm",BX5:BX319)+SUMIF($D$5:$D$319,"=kls",BX5:BX319)+SUMIF($D$5:$D$319,"=klr",BX5:BX319)+SUMIF($D$5:$D$319,"=klk",BX5:BX319)+SUMIF($D$5:$D$319,"=klz",BX5:BX319)</f>
        <v>449080</v>
      </c>
      <c r="BY328" s="90">
        <f t="shared" ref="BY328" si="623">SUM(BY329:BY331)</f>
        <v>1</v>
      </c>
      <c r="BZ328" s="612" t="s">
        <v>172</v>
      </c>
      <c r="CE328" s="381"/>
      <c r="CI328" s="166">
        <f>SUMIF($D$5:$D$319,"=klm",CI5:CI319)+SUMIF($D$5:$D$319,"=kls",CI5:CI319)+SUMIF($D$5:$D$319,"=klr",CI5:CI319)+SUMIF($D$5:$D$319,"=klk",CI5:CI319)+SUMIF($D$5:$D$319,"=klz",CI5:CI319)</f>
        <v>16710300</v>
      </c>
      <c r="CJ328" s="90">
        <f t="shared" ref="CJ328" si="624">SUM(CJ329:CJ331)</f>
        <v>1</v>
      </c>
      <c r="CK328" s="166">
        <f>SUMIF($D$5:$D$319,"=klm",CK5:CK319)+SUMIF($D$5:$D$319,"=kls",CK5:CK319)+SUMIF($D$5:$D$319,"=klr",CK5:CK319)+SUMIF($D$5:$D$319,"=klk",CK5:CK319)+SUMIF($D$5:$D$319,"=klz",CK5:CK319)</f>
        <v>439180</v>
      </c>
      <c r="CL328" s="90">
        <f t="shared" ref="CL328" si="625">SUM(CL329:CL331)</f>
        <v>0.99999999999999978</v>
      </c>
      <c r="CM328" s="612" t="s">
        <v>172</v>
      </c>
      <c r="CR328" s="381"/>
      <c r="CV328" s="166">
        <f>SUMIF($D$5:$D$319,"=klm",CV5:CV319)+SUMIF($D$5:$D$319,"=kls",CV5:CV319)+SUMIF($D$5:$D$319,"=klr",CV5:CV319)+SUMIF($D$5:$D$319,"=klk",CV5:CV319)+SUMIF($D$5:$D$319,"=klz",CV5:CV319)</f>
        <v>16710300</v>
      </c>
      <c r="CW328" s="90">
        <f t="shared" ref="CW328" si="626">SUM(CW329:CW331)</f>
        <v>1</v>
      </c>
      <c r="CX328" s="166">
        <f>SUMIF($D$5:$D$319,"=klm",CX5:CX319)+SUMIF($D$5:$D$319,"=kls",CX5:CX319)+SUMIF($D$5:$D$319,"=klr",CX5:CX319)+SUMIF($D$5:$D$319,"=klk",CX5:CX319)+SUMIF($D$5:$D$319,"=klz",CX5:CX319)</f>
        <v>435960</v>
      </c>
      <c r="CY328" s="90">
        <f t="shared" ref="CY328" si="627">SUM(CY329:CY331)</f>
        <v>1</v>
      </c>
      <c r="CZ328" s="612" t="s">
        <v>172</v>
      </c>
      <c r="DE328" s="381"/>
      <c r="DI328" s="166">
        <f>SUMIF($D$5:$D$319,"=klm",DI5:DI319)+SUMIF($D$5:$D$319,"=kls",DI5:DI319)+SUMIF($D$5:$D$319,"=klr",DI5:DI319)+SUMIF($D$5:$D$319,"=klk",DI5:DI319)+SUMIF($D$5:$D$319,"=klz",DI5:DI319)</f>
        <v>16710300</v>
      </c>
      <c r="DJ328" s="90">
        <f t="shared" ref="DJ328" si="628">SUM(DJ329:DJ331)</f>
        <v>1</v>
      </c>
      <c r="DK328" s="166">
        <f>SUMIF($D$5:$D$319,"=klm",DK5:DK319)+SUMIF($D$5:$D$319,"=kls",DK5:DK319)+SUMIF($D$5:$D$319,"=klr",DK5:DK319)+SUMIF($D$5:$D$319,"=klk",DK5:DK319)+SUMIF($D$5:$D$319,"=klz",DK5:DK319)</f>
        <v>224020</v>
      </c>
      <c r="DL328" s="90">
        <f t="shared" ref="DL328" si="629">SUM(DL329:DL331)</f>
        <v>0.99999999999999989</v>
      </c>
      <c r="DM328" s="612" t="s">
        <v>172</v>
      </c>
      <c r="DR328" s="381"/>
      <c r="DV328" s="166">
        <f>SUMIF($D$5:$D$319,"=klm",DV5:DV319)+SUMIF($D$5:$D$319,"=kls",DV5:DV319)+SUMIF($D$5:$D$319,"=klr",DV5:DV319)+SUMIF($D$5:$D$319,"=klk",DV5:DV319)+SUMIF($D$5:$D$319,"=klz",DV5:DV319)</f>
        <v>16710300</v>
      </c>
      <c r="DW328" s="90">
        <f t="shared" ref="DW328" si="630">SUM(DW329:DW331)</f>
        <v>1</v>
      </c>
      <c r="DX328" s="166">
        <f>SUMIF($D$5:$D$319,"=klm",DX5:DX319)+SUMIF($D$5:$D$319,"=kls",DX5:DX319)+SUMIF($D$5:$D$319,"=klr",DX5:DX319)+SUMIF($D$5:$D$319,"=klk",DX5:DX319)+SUMIF($D$5:$D$319,"=klz",DX5:DX319)</f>
        <v>205520</v>
      </c>
      <c r="DY328" s="90">
        <f t="shared" ref="DY328" si="631">SUM(DY329:DY331)</f>
        <v>1</v>
      </c>
      <c r="DZ328" s="612" t="s">
        <v>172</v>
      </c>
    </row>
    <row r="329" spans="1:134" s="10" customFormat="1" ht="14.5" customHeight="1" x14ac:dyDescent="0.35">
      <c r="A329" s="563" t="s">
        <v>169</v>
      </c>
      <c r="Q329" s="225">
        <v>8</v>
      </c>
      <c r="R329" s="381"/>
      <c r="V329" s="166">
        <f>SUMIF($D$5:$D$319,"=kls",V5:V319)*HLOOKUP(X322,Verteil_sw,11,FALSE)+SUMIF($D$5:$D$319,"=klm",V5:V319)*HLOOKUP(X322,Verteil_sw,12,FALSE)+SUMIF($D$5:$D$319,"=klr",V5:V319)*HLOOKUP(X322,Verteil_sw,13,FALSE)+SUMIF($D$5:$D$319,"=klk",V5:V319)*HLOOKUP(X322,Verteil_sw,14,FALSE)+SUMIF($D$5:$D$319,"=klz",V5:V319)*HLOOKUP(X322,Verteil_sw,15,FALSE)</f>
        <v>14394594.456</v>
      </c>
      <c r="W329" s="90">
        <f t="shared" ref="W329:Y329" si="632">IF(V328&lt;&gt;0,V329/V328,0)</f>
        <v>0.86142046857327514</v>
      </c>
      <c r="X329" s="166">
        <f>SUMIF($D$5:$D$319,"=kls",X5:X319)*HLOOKUP(X322,Verteil_sw,11,FALSE)+SUMIF($D$5:$D$319,"=klm",X5:X319)*HLOOKUP(X322,Verteil_sw,12,FALSE)+SUMIF($D$5:$D$319,"=klr",X5:X319)*HLOOKUP(X322,Verteil_sw,13,FALSE)+SUMIF($D$5:$D$319,"=klk",X5:X319)*HLOOKUP(X322,Verteil_sw,14,FALSE)+SUMIF($D$5:$D$319,"=klz",X5:X319)*HLOOKUP(X322,Verteil_sw,15,FALSE)</f>
        <v>426792.15399999998</v>
      </c>
      <c r="Y329" s="90">
        <f t="shared" si="632"/>
        <v>0.9201477998404588</v>
      </c>
      <c r="Z329" s="563" t="s">
        <v>169</v>
      </c>
      <c r="AE329" s="381"/>
      <c r="AI329" s="166">
        <f>SUMIF($D$5:$D$319,"=kls",AI5:AI319)*HLOOKUP(AK322,Verteil_sw,11,FALSE)+SUMIF($D$5:$D$319,"=klm",AI5:AI319)*HLOOKUP(AK322,Verteil_sw,12,FALSE)+SUMIF($D$5:$D$319,"=klr",AI5:AI319)*HLOOKUP(AK322,Verteil_sw,13,FALSE)+SUMIF($D$5:$D$319,"=klk",AI5:AI319)*HLOOKUP(AK322,Verteil_sw,14,FALSE)+SUMIF($D$5:$D$319,"=klz",AI5:AI319)*HLOOKUP(AK322,Verteil_sw,15,FALSE)</f>
        <v>14394594.456</v>
      </c>
      <c r="AJ329" s="90">
        <f t="shared" ref="AJ329" si="633">IF(AI328&lt;&gt;0,AI329/AI328,0)</f>
        <v>0.86142046857327514</v>
      </c>
      <c r="AK329" s="166">
        <f>SUMIF($D$5:$D$319,"=kls",AK5:AK319)*HLOOKUP(AK322,Verteil_sw,11,FALSE)+SUMIF($D$5:$D$319,"=klm",AK5:AK319)*HLOOKUP(AK322,Verteil_sw,12,FALSE)+SUMIF($D$5:$D$319,"=klr",AK5:AK319)*HLOOKUP(AK322,Verteil_sw,13,FALSE)+SUMIF($D$5:$D$319,"=klk",AK5:AK319)*HLOOKUP(AK322,Verteil_sw,14,FALSE)+SUMIF($D$5:$D$319,"=klz",AK5:AK319)*HLOOKUP(AK322,Verteil_sw,15,FALSE)</f>
        <v>424875.49450000003</v>
      </c>
      <c r="AL329" s="90">
        <f t="shared" ref="AL329" si="634">IF(AK328&lt;&gt;0,AK329/AK328,0)</f>
        <v>0.92043087596538176</v>
      </c>
      <c r="AM329" s="611" t="s">
        <v>169</v>
      </c>
      <c r="AR329" s="381"/>
      <c r="AV329" s="166">
        <f>SUMIF($D$5:$D$319,"=kls",AV5:AV319)*HLOOKUP(AX322,Verteil_sw,11,FALSE)+SUMIF($D$5:$D$319,"=klm",AV5:AV319)*HLOOKUP(AX322,Verteil_sw,12,FALSE)+SUMIF($D$5:$D$319,"=klr",AV5:AV319)*HLOOKUP(AX322,Verteil_sw,13,FALSE)+SUMIF($D$5:$D$319,"=klk",AV5:AV319)*HLOOKUP(AX322,Verteil_sw,14,FALSE)+SUMIF($D$5:$D$319,"=klz",AV5:AV319)*HLOOKUP(AX322,Verteil_sw,15,FALSE)</f>
        <v>14394594.456</v>
      </c>
      <c r="AW329" s="90">
        <f t="shared" ref="AW329" si="635">IF(AV328&lt;&gt;0,AV329/AV328,0)</f>
        <v>0.86142046857327514</v>
      </c>
      <c r="AX329" s="166">
        <f>SUMIF($D$5:$D$319,"=kls",AX5:AX319)*HLOOKUP(AX322,Verteil_sw,11,FALSE)+SUMIF($D$5:$D$319,"=klm",AX5:AX319)*HLOOKUP(AX322,Verteil_sw,12,FALSE)+SUMIF($D$5:$D$319,"=klr",AX5:AX319)*HLOOKUP(AX322,Verteil_sw,13,FALSE)+SUMIF($D$5:$D$319,"=klk",AX5:AX319)*HLOOKUP(AX322,Verteil_sw,14,FALSE)+SUMIF($D$5:$D$319,"=klz",AX5:AX319)*HLOOKUP(AX322,Verteil_sw,15,FALSE)</f>
        <v>423583.36450000003</v>
      </c>
      <c r="AY329" s="90">
        <f t="shared" ref="AY329" si="636">IF(AX328&lt;&gt;0,AX329/AX328,0)</f>
        <v>0.92062325882135609</v>
      </c>
      <c r="AZ329" s="611" t="s">
        <v>169</v>
      </c>
      <c r="BE329" s="381"/>
      <c r="BI329" s="166">
        <f>SUMIF($D$5:$D$319,"=kls",BI5:BI319)*HLOOKUP(BK322,Verteil_sw,11,FALSE)+SUMIF($D$5:$D$319,"=klm",BI5:BI319)*HLOOKUP(BK322,Verteil_sw,12,FALSE)+SUMIF($D$5:$D$319,"=klr",BI5:BI319)*HLOOKUP(BK322,Verteil_sw,13,FALSE)+SUMIF($D$5:$D$319,"=klk",BI5:BI319)*HLOOKUP(BK322,Verteil_sw,14,FALSE)+SUMIF($D$5:$D$319,"=klz",BI5:BI319)*HLOOKUP(BK322,Verteil_sw,15,FALSE)</f>
        <v>14394594.456</v>
      </c>
      <c r="BJ329" s="90">
        <f t="shared" ref="BJ329" si="637">IF(BI328&lt;&gt;0,BI329/BI328,0)</f>
        <v>0.86142046857327514</v>
      </c>
      <c r="BK329" s="166">
        <f>SUMIF($D$5:$D$319,"=kls",BK5:BK319)*HLOOKUP(BK322,Verteil_sw,11,FALSE)+SUMIF($D$5:$D$319,"=klm",BK5:BK319)*HLOOKUP(BK322,Verteil_sw,12,FALSE)+SUMIF($D$5:$D$319,"=klr",BK5:BK319)*HLOOKUP(BK322,Verteil_sw,13,FALSE)+SUMIF($D$5:$D$319,"=klk",BK5:BK319)*HLOOKUP(BK322,Verteil_sw,14,FALSE)+SUMIF($D$5:$D$319,"=klz",BK5:BK319)*HLOOKUP(BK322,Verteil_sw,15,FALSE)</f>
        <v>422614.26699999999</v>
      </c>
      <c r="BL329" s="90">
        <f t="shared" ref="BL329" si="638">IF(BK328&lt;&gt;0,BK329/BK328,0)</f>
        <v>0.92076837117085708</v>
      </c>
      <c r="BM329" s="611" t="s">
        <v>169</v>
      </c>
      <c r="BR329" s="381"/>
      <c r="BV329" s="166">
        <f>SUMIF($D$5:$D$319,"=kls",BV5:BV319)*HLOOKUP(BX322,Verteil_sw,11,FALSE)+SUMIF($D$5:$D$319,"=klm",BV5:BV319)*HLOOKUP(BX322,Verteil_sw,12,FALSE)+SUMIF($D$5:$D$319,"=klr",BV5:BV319)*HLOOKUP(BX322,Verteil_sw,13,FALSE)+SUMIF($D$5:$D$319,"=klk",BV5:BV319)*HLOOKUP(BX322,Verteil_sw,14,FALSE)+SUMIF($D$5:$D$319,"=klz",BV5:BV319)*HLOOKUP(BX322,Verteil_sw,15,FALSE)</f>
        <v>14394594.456</v>
      </c>
      <c r="BW329" s="90">
        <f t="shared" ref="BW329" si="639">IF(BV328&lt;&gt;0,BV329/BV328,0)</f>
        <v>0.86142046857327514</v>
      </c>
      <c r="BX329" s="166">
        <f>SUMIF($D$5:$D$319,"=kls",BX5:BX319)*HLOOKUP(BX322,Verteil_sw,11,FALSE)+SUMIF($D$5:$D$319,"=klm",BX5:BX319)*HLOOKUP(BX322,Verteil_sw,12,FALSE)+SUMIF($D$5:$D$319,"=klr",BX5:BX319)*HLOOKUP(BX322,Verteil_sw,13,FALSE)+SUMIF($D$5:$D$319,"=klk",BX5:BX319)*HLOOKUP(BX322,Verteil_sw,14,FALSE)+SUMIF($D$5:$D$319,"=klz",BX5:BX319)*HLOOKUP(BX322,Verteil_sw,15,FALSE)</f>
        <v>412908.27899999998</v>
      </c>
      <c r="BY329" s="90">
        <f t="shared" ref="BY329" si="640">IF(BX328&lt;&gt;0,BX329/BX328,0)</f>
        <v>0.91945372539413905</v>
      </c>
      <c r="BZ329" s="611" t="s">
        <v>169</v>
      </c>
      <c r="CE329" s="381"/>
      <c r="CI329" s="166">
        <f>SUMIF($D$5:$D$319,"=kls",CI5:CI319)*HLOOKUP(CK322,Verteil_sw,11,FALSE)+SUMIF($D$5:$D$319,"=klm",CI5:CI319)*HLOOKUP(CK322,Verteil_sw,12,FALSE)+SUMIF($D$5:$D$319,"=klr",CI5:CI319)*HLOOKUP(CK322,Verteil_sw,13,FALSE)+SUMIF($D$5:$D$319,"=klk",CI5:CI319)*HLOOKUP(CK322,Verteil_sw,14,FALSE)+SUMIF($D$5:$D$319,"=klz",CI5:CI319)*HLOOKUP(CK322,Verteil_sw,15,FALSE)</f>
        <v>14394594.456</v>
      </c>
      <c r="CJ329" s="90">
        <f t="shared" ref="CJ329" si="641">IF(CI328&lt;&gt;0,CI329/CI328,0)</f>
        <v>0.86142046857327514</v>
      </c>
      <c r="CK329" s="166">
        <f>SUMIF($D$5:$D$319,"=kls",CK5:CK319)*HLOOKUP(CK322,Verteil_sw,11,FALSE)+SUMIF($D$5:$D$319,"=klm",CK5:CK319)*HLOOKUP(CK322,Verteil_sw,12,FALSE)+SUMIF($D$5:$D$319,"=klr",CK5:CK319)*HLOOKUP(CK322,Verteil_sw,13,FALSE)+SUMIF($D$5:$D$319,"=klk",CK5:CK319)*HLOOKUP(CK322,Verteil_sw,14,FALSE)+SUMIF($D$5:$D$319,"=klz",CK5:CK319)*HLOOKUP(CK322,Verteil_sw,15,FALSE)</f>
        <v>403202.29099999997</v>
      </c>
      <c r="CL329" s="90">
        <f t="shared" ref="CL329" si="642">IF(CK328&lt;&gt;0,CK329/CK328,0)</f>
        <v>0.91807981010064199</v>
      </c>
      <c r="CM329" s="611" t="s">
        <v>169</v>
      </c>
      <c r="CR329" s="381"/>
      <c r="CV329" s="166">
        <f>SUMIF($D$5:$D$319,"=kls",CV5:CV319)*HLOOKUP(CX322,Verteil_sw,11,FALSE)+SUMIF($D$5:$D$319,"=klm",CV5:CV319)*HLOOKUP(CX322,Verteil_sw,12,FALSE)+SUMIF($D$5:$D$319,"=klr",CV5:CV319)*HLOOKUP(CX322,Verteil_sw,13,FALSE)+SUMIF($D$5:$D$319,"=klk",CV5:CV319)*HLOOKUP(CX322,Verteil_sw,14,FALSE)+SUMIF($D$5:$D$319,"=klz",CV5:CV319)*HLOOKUP(CX322,Verteil_sw,15,FALSE)</f>
        <v>14394594.456</v>
      </c>
      <c r="CW329" s="90">
        <f t="shared" ref="CW329" si="643">IF(CV328&lt;&gt;0,CV329/CV328,0)</f>
        <v>0.86142046857327514</v>
      </c>
      <c r="CX329" s="166">
        <f>SUMIF($D$5:$D$319,"=kls",CX5:CX319)*HLOOKUP(CX322,Verteil_sw,11,FALSE)+SUMIF($D$5:$D$319,"=klm",CX5:CX319)*HLOOKUP(CX322,Verteil_sw,12,FALSE)+SUMIF($D$5:$D$319,"=klr",CX5:CX319)*HLOOKUP(CX322,Verteil_sw,13,FALSE)+SUMIF($D$5:$D$319,"=klk",CX5:CX319)*HLOOKUP(CX322,Verteil_sw,14,FALSE)+SUMIF($D$5:$D$319,"=klz",CX5:CX319)*HLOOKUP(CX322,Verteil_sw,15,FALSE)</f>
        <v>401230.87099999998</v>
      </c>
      <c r="CY329" s="90">
        <f t="shared" ref="CY329" si="644">IF(CX328&lt;&gt;0,CX329/CX328,0)</f>
        <v>0.92033872602991096</v>
      </c>
      <c r="CZ329" s="611" t="s">
        <v>169</v>
      </c>
      <c r="DE329" s="381"/>
      <c r="DI329" s="166">
        <f>SUMIF($D$5:$D$319,"=kls",DI5:DI319)*HLOOKUP(DK322,Verteil_sw,11,FALSE)+SUMIF($D$5:$D$319,"=klm",DI5:DI319)*HLOOKUP(DK322,Verteil_sw,12,FALSE)+SUMIF($D$5:$D$319,"=klr",DI5:DI319)*HLOOKUP(DK322,Verteil_sw,13,FALSE)+SUMIF($D$5:$D$319,"=klk",DI5:DI319)*HLOOKUP(DK322,Verteil_sw,14,FALSE)+SUMIF($D$5:$D$319,"=klz",DI5:DI319)*HLOOKUP(DK322,Verteil_sw,15,FALSE)</f>
        <v>14394594.456</v>
      </c>
      <c r="DJ329" s="90">
        <f t="shared" ref="DJ329" si="645">IF(DI328&lt;&gt;0,DI329/DI328,0)</f>
        <v>0.86142046857327514</v>
      </c>
      <c r="DK329" s="166">
        <f>SUMIF($D$5:$D$319,"=kls",DK5:DK319)*HLOOKUP(DK322,Verteil_sw,11,FALSE)+SUMIF($D$5:$D$319,"=klm",DK5:DK319)*HLOOKUP(DK322,Verteil_sw,12,FALSE)+SUMIF($D$5:$D$319,"=klr",DK5:DK319)*HLOOKUP(DK322,Verteil_sw,13,FALSE)+SUMIF($D$5:$D$319,"=klk",DK5:DK319)*HLOOKUP(DK322,Verteil_sw,14,FALSE)+SUMIF($D$5:$D$319,"=klz",DK5:DK319)*HLOOKUP(DK322,Verteil_sw,15,FALSE)</f>
        <v>197473.891</v>
      </c>
      <c r="DL329" s="90">
        <f t="shared" ref="DL329" si="646">IF(DK328&lt;&gt;0,DK329/DK328,0)</f>
        <v>0.8815011650745469</v>
      </c>
      <c r="DM329" s="611" t="s">
        <v>169</v>
      </c>
      <c r="DR329" s="381"/>
      <c r="DV329" s="166">
        <f>SUMIF($D$5:$D$319,"=kls",DV5:DV319)*HLOOKUP(DX322,Verteil_sw,11,FALSE)+SUMIF($D$5:$D$319,"=klm",DV5:DV319)*HLOOKUP(DX322,Verteil_sw,12,FALSE)+SUMIF($D$5:$D$319,"=klr",DV5:DV319)*HLOOKUP(DX322,Verteil_sw,13,FALSE)+SUMIF($D$5:$D$319,"=klk",DV5:DV319)*HLOOKUP(DX322,Verteil_sw,14,FALSE)+SUMIF($D$5:$D$319,"=klz",DV5:DV319)*HLOOKUP(DX322,Verteil_sw,15,FALSE)</f>
        <v>14394594.456</v>
      </c>
      <c r="DW329" s="90">
        <f t="shared" ref="DW329" si="647">IF(DV328&lt;&gt;0,DV329/DV328,0)</f>
        <v>0.86142046857327514</v>
      </c>
      <c r="DX329" s="166">
        <f>SUMIF($D$5:$D$319,"=kls",DX5:DX319)*HLOOKUP(DX322,Verteil_sw,11,FALSE)+SUMIF($D$5:$D$319,"=klm",DX5:DX319)*HLOOKUP(DX322,Verteil_sw,12,FALSE)+SUMIF($D$5:$D$319,"=klr",DX5:DX319)*HLOOKUP(DX322,Verteil_sw,13,FALSE)+SUMIF($D$5:$D$319,"=klk",DX5:DX319)*HLOOKUP(DX322,Verteil_sw,14,FALSE)+SUMIF($D$5:$D$319,"=klz",DX5:DX319)*HLOOKUP(DX322,Verteil_sw,15,FALSE)</f>
        <v>181537.62099999998</v>
      </c>
      <c r="DY329" s="90">
        <f t="shared" ref="DY329" si="648">IF(DX328&lt;&gt;0,DX329/DX328,0)</f>
        <v>0.88330878260023349</v>
      </c>
      <c r="DZ329" s="611" t="s">
        <v>169</v>
      </c>
    </row>
    <row r="330" spans="1:134" s="10" customFormat="1" ht="14.5" customHeight="1" x14ac:dyDescent="0.35">
      <c r="A330" s="563" t="s">
        <v>170</v>
      </c>
      <c r="Q330" s="225">
        <v>9</v>
      </c>
      <c r="R330" s="381"/>
      <c r="V330" s="166">
        <f>SUMIF($D$5:$D$319,"=kls",V5:V319)*HLOOKUP(X322,Verteil_rwgr,10,FALSE)+SUMIF($D$5:$D$319,"=klm",V5:V319)*HLOOKUP(X322,Verteil_rwgr,11,FALSE)+SUMIF($D$5:$D$319,"=klr",V5:V319)*HLOOKUP(X322,Verteil_rwgr,12,FALSE)+SUMIF($D$5:$D$319,"=klk",V5:V319)*HLOOKUP(X322,Verteil_rwgr,13,FALSE)+SUMIF($D$5:$D$319,"=klz",V5:V319)*HLOOKUP(X322,Verteil_rwgr,14,FALSE)</f>
        <v>1157852.7719999999</v>
      </c>
      <c r="W330" s="90">
        <f t="shared" ref="W330:Y330" si="649">IF(V328&lt;&gt;0,V330/V328,0)</f>
        <v>6.9289765713362414E-2</v>
      </c>
      <c r="X330" s="166">
        <f>SUMIF($D$5:$D$319,"=kls",X5:X319)*HLOOKUP(X322,Verteil_rwgr,10,FALSE)+SUMIF($D$5:$D$319,"=klm",X5:X319)*HLOOKUP(X322,Verteil_rwgr,11,FALSE)+SUMIF($D$5:$D$319,"=klr",X5:X319)*HLOOKUP(X322,Verteil_rwgr,12,FALSE)+SUMIF($D$5:$D$319,"=klk",X5:X319)*HLOOKUP(X322,Verteil_rwgr,13,FALSE)+SUMIF($D$5:$D$319,"=klz",X5:X319)*HLOOKUP(X322,Verteil_rwgr,14,FALSE)</f>
        <v>18518.923000000003</v>
      </c>
      <c r="Y330" s="90">
        <f t="shared" si="649"/>
        <v>3.9926100079770613E-2</v>
      </c>
      <c r="Z330" s="563" t="s">
        <v>170</v>
      </c>
      <c r="AE330" s="381"/>
      <c r="AI330" s="166">
        <f>SUMIF($D$5:$D$319,"=kls",AI5:AI319)*HLOOKUP(AK322,Verteil_rwgr,10,FALSE)+SUMIF($D$5:$D$319,"=klm",AI5:AI319)*HLOOKUP(AK322,Verteil_rwgr,11,FALSE)+SUMIF($D$5:$D$319,"=klr",AI5:AI319)*HLOOKUP(AK322,Verteil_rwgr,12,FALSE)+SUMIF($D$5:$D$319,"=klk",AI5:AI319)*HLOOKUP(AK322,Verteil_rwgr,13,FALSE)+SUMIF($D$5:$D$319,"=klz",AI5:AI319)*HLOOKUP(AK322,Verteil_rwgr,14,FALSE)</f>
        <v>1157852.7719999999</v>
      </c>
      <c r="AJ330" s="90">
        <f t="shared" ref="AJ330" si="650">IF(AI328&lt;&gt;0,AI330/AI328,0)</f>
        <v>6.9289765713362414E-2</v>
      </c>
      <c r="AK330" s="166">
        <f>SUMIF($D$5:$D$319,"=kls",AK5:AK319)*HLOOKUP(AK322,Verteil_rwgr,10,FALSE)+SUMIF($D$5:$D$319,"=klm",AK5:AK319)*HLOOKUP(AK322,Verteil_rwgr,11,FALSE)+SUMIF($D$5:$D$319,"=klr",AK5:AK319)*HLOOKUP(AK322,Verteil_rwgr,12,FALSE)+SUMIF($D$5:$D$319,"=klk",AK5:AK319)*HLOOKUP(AK322,Verteil_rwgr,13,FALSE)+SUMIF($D$5:$D$319,"=klz",AK5:AK319)*HLOOKUP(AK322,Verteil_rwgr,14,FALSE)</f>
        <v>18364.75275</v>
      </c>
      <c r="AL330" s="90">
        <f t="shared" ref="AL330" si="651">IF(AK328&lt;&gt;0,AK330/AK328,0)</f>
        <v>3.978456201730917E-2</v>
      </c>
      <c r="AM330" s="611" t="s">
        <v>170</v>
      </c>
      <c r="AR330" s="381"/>
      <c r="AV330" s="166">
        <f>SUMIF($D$5:$D$319,"=kls",AV5:AV319)*HLOOKUP(AX322,Verteil_rwgr,10,FALSE)+SUMIF($D$5:$D$319,"=klm",AV5:AV319)*HLOOKUP(AX322,Verteil_rwgr,11,FALSE)+SUMIF($D$5:$D$319,"=klr",AV5:AV319)*HLOOKUP(AX322,Verteil_rwgr,12,FALSE)+SUMIF($D$5:$D$319,"=klk",AV5:AV319)*HLOOKUP(AX322,Verteil_rwgr,13,FALSE)+SUMIF($D$5:$D$319,"=klz",AV5:AV319)*HLOOKUP(AX322,Verteil_rwgr,14,FALSE)</f>
        <v>1157852.7719999999</v>
      </c>
      <c r="AW330" s="90">
        <f t="shared" ref="AW330" si="652">IF(AV328&lt;&gt;0,AV330/AV328,0)</f>
        <v>6.9289765713362414E-2</v>
      </c>
      <c r="AX330" s="166">
        <f>SUMIF($D$5:$D$319,"=kls",AX5:AX319)*HLOOKUP(AX322,Verteil_rwgr,10,FALSE)+SUMIF($D$5:$D$319,"=klm",AX5:AX319)*HLOOKUP(AX322,Verteil_rwgr,11,FALSE)+SUMIF($D$5:$D$319,"=klr",AX5:AX319)*HLOOKUP(AX322,Verteil_rwgr,12,FALSE)+SUMIF($D$5:$D$319,"=klk",AX5:AX319)*HLOOKUP(AX322,Verteil_rwgr,13,FALSE)+SUMIF($D$5:$D$319,"=klz",AX5:AX319)*HLOOKUP(AX322,Verteil_rwgr,14,FALSE)</f>
        <v>18260.817750000002</v>
      </c>
      <c r="AY330" s="90">
        <f t="shared" ref="AY330" si="653">IF(AX328&lt;&gt;0,AX330/AX328,0)</f>
        <v>3.9688370589322008E-2</v>
      </c>
      <c r="AZ330" s="611" t="s">
        <v>170</v>
      </c>
      <c r="BE330" s="381"/>
      <c r="BI330" s="166">
        <f>SUMIF($D$5:$D$319,"=kls",BI5:BI319)*HLOOKUP(BK322,Verteil_rwgr,10,FALSE)+SUMIF($D$5:$D$319,"=klm",BI5:BI319)*HLOOKUP(BK322,Verteil_rwgr,11,FALSE)+SUMIF($D$5:$D$319,"=klr",BI5:BI319)*HLOOKUP(BK322,Verteil_rwgr,12,FALSE)+SUMIF($D$5:$D$319,"=klk",BI5:BI319)*HLOOKUP(BK322,Verteil_rwgr,13,FALSE)+SUMIF($D$5:$D$319,"=klz",BI5:BI319)*HLOOKUP(BK322,Verteil_rwgr,14,FALSE)</f>
        <v>1157852.7719999999</v>
      </c>
      <c r="BJ330" s="90">
        <f t="shared" ref="BJ330" si="654">IF(BI328&lt;&gt;0,BI330/BI328,0)</f>
        <v>6.9289765713362414E-2</v>
      </c>
      <c r="BK330" s="166">
        <f>SUMIF($D$5:$D$319,"=kls",BK5:BK319)*HLOOKUP(BK322,Verteil_rwgr,10,FALSE)+SUMIF($D$5:$D$319,"=klm",BK5:BK319)*HLOOKUP(BK322,Verteil_rwgr,11,FALSE)+SUMIF($D$5:$D$319,"=klr",BK5:BK319)*HLOOKUP(BK322,Verteil_rwgr,12,FALSE)+SUMIF($D$5:$D$319,"=klk",BK5:BK319)*HLOOKUP(BK322,Verteil_rwgr,13,FALSE)+SUMIF($D$5:$D$319,"=klz",BK5:BK319)*HLOOKUP(BK322,Verteil_rwgr,14,FALSE)</f>
        <v>18182.8665</v>
      </c>
      <c r="BL330" s="90">
        <f t="shared" ref="BL330" si="655">IF(BK328&lt;&gt;0,BK330/BK328,0)</f>
        <v>3.9615814414571439E-2</v>
      </c>
      <c r="BM330" s="611" t="s">
        <v>170</v>
      </c>
      <c r="BR330" s="381"/>
      <c r="BV330" s="166">
        <f>SUMIF($D$5:$D$319,"=kls",BV5:BV319)*HLOOKUP(BX322,Verteil_rwgr,10,FALSE)+SUMIF($D$5:$D$319,"=klm",BV5:BV319)*HLOOKUP(BX322,Verteil_rwgr,11,FALSE)+SUMIF($D$5:$D$319,"=klr",BV5:BV319)*HLOOKUP(BX322,Verteil_rwgr,12,FALSE)+SUMIF($D$5:$D$319,"=klk",BV5:BV319)*HLOOKUP(BX322,Verteil_rwgr,13,FALSE)+SUMIF($D$5:$D$319,"=klz",BV5:BV319)*HLOOKUP(BX322,Verteil_rwgr,14,FALSE)</f>
        <v>1157852.7719999999</v>
      </c>
      <c r="BW330" s="90">
        <f t="shared" ref="BW330" si="656">IF(BV328&lt;&gt;0,BV330/BV328,0)</f>
        <v>6.9289765713362414E-2</v>
      </c>
      <c r="BX330" s="166">
        <f>SUMIF($D$5:$D$319,"=kls",BX5:BX319)*HLOOKUP(BX322,Verteil_rwgr,10,FALSE)+SUMIF($D$5:$D$319,"=klm",BX5:BX319)*HLOOKUP(BX322,Verteil_rwgr,11,FALSE)+SUMIF($D$5:$D$319,"=klr",BX5:BX319)*HLOOKUP(BX322,Verteil_rwgr,12,FALSE)+SUMIF($D$5:$D$319,"=klk",BX5:BX319)*HLOOKUP(BX322,Verteil_rwgr,13,FALSE)+SUMIF($D$5:$D$319,"=klz",BX5:BX319)*HLOOKUP(BX322,Verteil_rwgr,14,FALSE)</f>
        <v>18085.860500000003</v>
      </c>
      <c r="BY330" s="90">
        <f t="shared" ref="BY330" si="657">IF(BX328&lt;&gt;0,BX330/BX328,0)</f>
        <v>4.0273137302930438E-2</v>
      </c>
      <c r="BZ330" s="611" t="s">
        <v>170</v>
      </c>
      <c r="CE330" s="381"/>
      <c r="CI330" s="166">
        <f>SUMIF($D$5:$D$319,"=kls",CI5:CI319)*HLOOKUP(CK322,Verteil_rwgr,10,FALSE)+SUMIF($D$5:$D$319,"=klm",CI5:CI319)*HLOOKUP(CK322,Verteil_rwgr,11,FALSE)+SUMIF($D$5:$D$319,"=klr",CI5:CI319)*HLOOKUP(CK322,Verteil_rwgr,12,FALSE)+SUMIF($D$5:$D$319,"=klk",CI5:CI319)*HLOOKUP(CK322,Verteil_rwgr,13,FALSE)+SUMIF($D$5:$D$319,"=klz",CI5:CI319)*HLOOKUP(CK322,Verteil_rwgr,14,FALSE)</f>
        <v>1157852.7719999999</v>
      </c>
      <c r="CJ330" s="90">
        <f t="shared" ref="CJ330" si="658">IF(CI328&lt;&gt;0,CI330/CI328,0)</f>
        <v>6.9289765713362414E-2</v>
      </c>
      <c r="CK330" s="166">
        <f>SUMIF($D$5:$D$319,"=kls",CK5:CK319)*HLOOKUP(CK322,Verteil_rwgr,10,FALSE)+SUMIF($D$5:$D$319,"=klm",CK5:CK319)*HLOOKUP(CK322,Verteil_rwgr,11,FALSE)+SUMIF($D$5:$D$319,"=klr",CK5:CK319)*HLOOKUP(CK322,Verteil_rwgr,12,FALSE)+SUMIF($D$5:$D$319,"=klk",CK5:CK319)*HLOOKUP(CK322,Verteil_rwgr,13,FALSE)+SUMIF($D$5:$D$319,"=klz",CK5:CK319)*HLOOKUP(CK322,Verteil_rwgr,14,FALSE)</f>
        <v>17988.854500000001</v>
      </c>
      <c r="CL330" s="90">
        <f t="shared" ref="CL330" si="659">IF(CK328&lt;&gt;0,CK330/CK328,0)</f>
        <v>4.0960094949678949E-2</v>
      </c>
      <c r="CM330" s="611" t="s">
        <v>170</v>
      </c>
      <c r="CR330" s="381"/>
      <c r="CV330" s="166">
        <f>SUMIF($D$5:$D$319,"=kls",CV5:CV319)*HLOOKUP(CX322,Verteil_rwgr,10,FALSE)+SUMIF($D$5:$D$319,"=klm",CV5:CV319)*HLOOKUP(CX322,Verteil_rwgr,11,FALSE)+SUMIF($D$5:$D$319,"=klr",CV5:CV319)*HLOOKUP(CX322,Verteil_rwgr,12,FALSE)+SUMIF($D$5:$D$319,"=klk",CV5:CV319)*HLOOKUP(CX322,Verteil_rwgr,13,FALSE)+SUMIF($D$5:$D$319,"=klz",CV5:CV319)*HLOOKUP(CX322,Verteil_rwgr,14,FALSE)</f>
        <v>1157852.7719999999</v>
      </c>
      <c r="CW330" s="90">
        <f t="shared" ref="CW330" si="660">IF(CV328&lt;&gt;0,CV330/CV328,0)</f>
        <v>6.9289765713362414E-2</v>
      </c>
      <c r="CX330" s="166">
        <f>SUMIF($D$5:$D$319,"=kls",CX5:CX319)*HLOOKUP(CX322,Verteil_rwgr,10,FALSE)+SUMIF($D$5:$D$319,"=klm",CX5:CX319)*HLOOKUP(CX322,Verteil_rwgr,11,FALSE)+SUMIF($D$5:$D$319,"=klr",CX5:CX319)*HLOOKUP(CX322,Verteil_rwgr,12,FALSE)+SUMIF($D$5:$D$319,"=klk",CX5:CX319)*HLOOKUP(CX322,Verteil_rwgr,13,FALSE)+SUMIF($D$5:$D$319,"=klz",CX5:CX319)*HLOOKUP(CX322,Verteil_rwgr,14,FALSE)</f>
        <v>17364.5645</v>
      </c>
      <c r="CY330" s="90">
        <f t="shared" ref="CY330" si="661">IF(CX328&lt;&gt;0,CX330/CX328,0)</f>
        <v>3.98306369850445E-2</v>
      </c>
      <c r="CZ330" s="611" t="s">
        <v>170</v>
      </c>
      <c r="DE330" s="381"/>
      <c r="DI330" s="166">
        <f>SUMIF($D$5:$D$319,"=kls",DI5:DI319)*HLOOKUP(DK322,Verteil_rwgr,10,FALSE)+SUMIF($D$5:$D$319,"=klm",DI5:DI319)*HLOOKUP(DK322,Verteil_rwgr,11,FALSE)+SUMIF($D$5:$D$319,"=klr",DI5:DI319)*HLOOKUP(DK322,Verteil_rwgr,12,FALSE)+SUMIF($D$5:$D$319,"=klk",DI5:DI319)*HLOOKUP(DK322,Verteil_rwgr,13,FALSE)+SUMIF($D$5:$D$319,"=klz",DI5:DI319)*HLOOKUP(DK322,Verteil_rwgr,14,FALSE)</f>
        <v>1157852.7719999999</v>
      </c>
      <c r="DJ330" s="90">
        <f t="shared" ref="DJ330" si="662">IF(DI328&lt;&gt;0,DI330/DI328,0)</f>
        <v>6.9289765713362414E-2</v>
      </c>
      <c r="DK330" s="166">
        <f>SUMIF($D$5:$D$319,"=kls",DK5:DK319)*HLOOKUP(DK322,Verteil_rwgr,10,FALSE)+SUMIF($D$5:$D$319,"=klm",DK5:DK319)*HLOOKUP(DK322,Verteil_rwgr,11,FALSE)+SUMIF($D$5:$D$319,"=klr",DK5:DK319)*HLOOKUP(DK322,Verteil_rwgr,12,FALSE)+SUMIF($D$5:$D$319,"=klk",DK5:DK319)*HLOOKUP(DK322,Verteil_rwgr,13,FALSE)+SUMIF($D$5:$D$319,"=klz",DK5:DK319)*HLOOKUP(DK322,Verteil_rwgr,14,FALSE)</f>
        <v>13273.0545</v>
      </c>
      <c r="DL330" s="90">
        <f t="shared" ref="DL330" si="663">IF(DK328&lt;&gt;0,DK330/DK328,0)</f>
        <v>5.9249417462726543E-2</v>
      </c>
      <c r="DM330" s="611" t="s">
        <v>170</v>
      </c>
      <c r="DR330" s="381"/>
      <c r="DV330" s="166">
        <f>SUMIF($D$5:$D$319,"=kls",DV5:DV319)*HLOOKUP(DX322,Verteil_rwgr,10,FALSE)+SUMIF($D$5:$D$319,"=klm",DV5:DV319)*HLOOKUP(DX322,Verteil_rwgr,11,FALSE)+SUMIF($D$5:$D$319,"=klr",DV5:DV319)*HLOOKUP(DX322,Verteil_rwgr,12,FALSE)+SUMIF($D$5:$D$319,"=klk",DV5:DV319)*HLOOKUP(DX322,Verteil_rwgr,13,FALSE)+SUMIF($D$5:$D$319,"=klz",DV5:DV319)*HLOOKUP(DX322,Verteil_rwgr,14,FALSE)</f>
        <v>1157852.7719999999</v>
      </c>
      <c r="DW330" s="90">
        <f t="shared" ref="DW330" si="664">IF(DV328&lt;&gt;0,DV330/DV328,0)</f>
        <v>6.9289765713362414E-2</v>
      </c>
      <c r="DX330" s="166">
        <f>SUMIF($D$5:$D$319,"=kls",DX5:DX319)*HLOOKUP(DX322,Verteil_rwgr,10,FALSE)+SUMIF($D$5:$D$319,"=klm",DX5:DX319)*HLOOKUP(DX322,Verteil_rwgr,11,FALSE)+SUMIF($D$5:$D$319,"=klr",DX5:DX319)*HLOOKUP(DX322,Verteil_rwgr,12,FALSE)+SUMIF($D$5:$D$319,"=klk",DX5:DX319)*HLOOKUP(DX322,Verteil_rwgr,13,FALSE)+SUMIF($D$5:$D$319,"=klz",DX5:DX319)*HLOOKUP(DX322,Verteil_rwgr,14,FALSE)</f>
        <v>11991.1895</v>
      </c>
      <c r="DY330" s="90">
        <f t="shared" ref="DY330" si="665">IF(DX328&lt;&gt;0,DX330/DX328,0)</f>
        <v>5.8345608699883228E-2</v>
      </c>
      <c r="DZ330" s="611" t="s">
        <v>170</v>
      </c>
    </row>
    <row r="331" spans="1:134" s="10" customFormat="1" ht="14.5" customHeight="1" x14ac:dyDescent="0.35">
      <c r="A331" s="563" t="s">
        <v>171</v>
      </c>
      <c r="Q331" s="225">
        <v>10</v>
      </c>
      <c r="R331" s="381"/>
      <c r="V331" s="166">
        <f>SUMIF($D$5:$D$319,"=kls",V5:V319)*HLOOKUP(X322,Verteil_rwst,9,FALSE)+SUMIF($D$5:$D$319,"=klm",V5:V319)*HLOOKUP(X322,Verteil_rwst,10,FALSE)+SUMIF($D$5:$D$319,"=klr",V5:V319)*HLOOKUP(X322,Verteil_rwst,11,FALSE)+SUMIF($D$5:$D$319,"=klk",V5:V319)*HLOOKUP(X322,Verteil_rwst,12,FALSE)+SUMIF($D$5:$D$319,"=klz",V5:V319)*HLOOKUP(X322,Verteil_rwst,13,FALSE)</f>
        <v>1157852.7719999999</v>
      </c>
      <c r="W331" s="90">
        <f t="shared" ref="W331:Y331" si="666">IF(V328&lt;&gt;0,V331/V328,0)</f>
        <v>6.9289765713362414E-2</v>
      </c>
      <c r="X331" s="166">
        <f>SUMIF($D$5:$D$319,"=kls",X5:X319)*HLOOKUP(X322,Verteil_rwst,9,FALSE)+SUMIF($D$5:$D$319,"=klm",X5:X319)*HLOOKUP(X322,Verteil_rwst,10,FALSE)+SUMIF($D$5:$D$319,"=klr",X5:X319)*HLOOKUP(X322,Verteil_rwst,11,FALSE)+SUMIF($D$5:$D$319,"=klk",X5:X319)*HLOOKUP(X322,Verteil_rwst,12,FALSE)+SUMIF($D$5:$D$319,"=klz",X5:X319)*HLOOKUP(X322,Verteil_rwst,13,FALSE)</f>
        <v>18518.923000000003</v>
      </c>
      <c r="Y331" s="90">
        <f t="shared" si="666"/>
        <v>3.9926100079770613E-2</v>
      </c>
      <c r="Z331" s="563" t="s">
        <v>171</v>
      </c>
      <c r="AE331" s="381"/>
      <c r="AI331" s="166">
        <f>SUMIF($D$5:$D$319,"=kls",AI5:AI319)*HLOOKUP(AK322,Verteil_rwst,9,FALSE)+SUMIF($D$5:$D$319,"=klm",AI5:AI319)*HLOOKUP(AK322,Verteil_rwst,10,FALSE)+SUMIF($D$5:$D$319,"=klr",AI5:AI319)*HLOOKUP(AK322,Verteil_rwst,11,FALSE)+SUMIF($D$5:$D$319,"=klk",AI5:AI319)*HLOOKUP(AK322,Verteil_rwst,12,FALSE)+SUMIF($D$5:$D$319,"=klz",AI5:AI319)*HLOOKUP(AK322,Verteil_rwst,13,FALSE)</f>
        <v>1157852.7719999999</v>
      </c>
      <c r="AJ331" s="90">
        <f t="shared" ref="AJ331" si="667">IF(AI328&lt;&gt;0,AI331/AI328,0)</f>
        <v>6.9289765713362414E-2</v>
      </c>
      <c r="AK331" s="166">
        <f>SUMIF($D$5:$D$319,"=kls",AK5:AK319)*HLOOKUP(AK322,Verteil_rwst,9,FALSE)+SUMIF($D$5:$D$319,"=klm",AK5:AK319)*HLOOKUP(AK322,Verteil_rwst,10,FALSE)+SUMIF($D$5:$D$319,"=klr",AK5:AK319)*HLOOKUP(AK322,Verteil_rwst,11,FALSE)+SUMIF($D$5:$D$319,"=klk",AK5:AK319)*HLOOKUP(AK322,Verteil_rwst,12,FALSE)+SUMIF($D$5:$D$319,"=klz",AK5:AK319)*HLOOKUP(AK322,Verteil_rwst,13,FALSE)</f>
        <v>18364.75275</v>
      </c>
      <c r="AL331" s="90">
        <f t="shared" ref="AL331" si="668">IF(AK328&lt;&gt;0,AK331/AK328,0)</f>
        <v>3.978456201730917E-2</v>
      </c>
      <c r="AM331" s="611" t="s">
        <v>171</v>
      </c>
      <c r="AR331" s="381"/>
      <c r="AV331" s="166">
        <f>SUMIF($D$5:$D$319,"=kls",AV5:AV319)*HLOOKUP(AX322,Verteil_rwst,9,FALSE)+SUMIF($D$5:$D$319,"=klm",AV5:AV319)*HLOOKUP(AX322,Verteil_rwst,10,FALSE)+SUMIF($D$5:$D$319,"=klr",AV5:AV319)*HLOOKUP(AX322,Verteil_rwst,11,FALSE)+SUMIF($D$5:$D$319,"=klk",AV5:AV319)*HLOOKUP(AX322,Verteil_rwst,12,FALSE)+SUMIF($D$5:$D$319,"=klz",AV5:AV319)*HLOOKUP(AX322,Verteil_rwst,13,FALSE)</f>
        <v>1157852.7719999999</v>
      </c>
      <c r="AW331" s="90">
        <f t="shared" ref="AW331" si="669">IF(AV328&lt;&gt;0,AV331/AV328,0)</f>
        <v>6.9289765713362414E-2</v>
      </c>
      <c r="AX331" s="166">
        <f>SUMIF($D$5:$D$319,"=kls",AX5:AX319)*HLOOKUP(AX322,Verteil_rwst,9,FALSE)+SUMIF($D$5:$D$319,"=klm",AX5:AX319)*HLOOKUP(AX322,Verteil_rwst,10,FALSE)+SUMIF($D$5:$D$319,"=klr",AX5:AX319)*HLOOKUP(AX322,Verteil_rwst,11,FALSE)+SUMIF($D$5:$D$319,"=klk",AX5:AX319)*HLOOKUP(AX322,Verteil_rwst,12,FALSE)+SUMIF($D$5:$D$319,"=klz",AX5:AX319)*HLOOKUP(AX322,Verteil_rwst,13,FALSE)</f>
        <v>18260.817750000002</v>
      </c>
      <c r="AY331" s="90">
        <f t="shared" ref="AY331" si="670">IF(AX328&lt;&gt;0,AX331/AX328,0)</f>
        <v>3.9688370589322008E-2</v>
      </c>
      <c r="AZ331" s="611" t="s">
        <v>171</v>
      </c>
      <c r="BE331" s="381"/>
      <c r="BI331" s="166">
        <f>SUMIF($D$5:$D$319,"=kls",BI5:BI319)*HLOOKUP(BK322,Verteil_rwst,9,FALSE)+SUMIF($D$5:$D$319,"=klm",BI5:BI319)*HLOOKUP(BK322,Verteil_rwst,10,FALSE)+SUMIF($D$5:$D$319,"=klr",BI5:BI319)*HLOOKUP(BK322,Verteil_rwst,11,FALSE)+SUMIF($D$5:$D$319,"=klk",BI5:BI319)*HLOOKUP(BK322,Verteil_rwst,12,FALSE)+SUMIF($D$5:$D$319,"=klz",BI5:BI319)*HLOOKUP(BK322,Verteil_rwst,13,FALSE)</f>
        <v>1157852.7719999999</v>
      </c>
      <c r="BJ331" s="90">
        <f t="shared" ref="BJ331" si="671">IF(BI328&lt;&gt;0,BI331/BI328,0)</f>
        <v>6.9289765713362414E-2</v>
      </c>
      <c r="BK331" s="166">
        <f>SUMIF($D$5:$D$319,"=kls",BK5:BK319)*HLOOKUP(BK322,Verteil_rwst,9,FALSE)+SUMIF($D$5:$D$319,"=klm",BK5:BK319)*HLOOKUP(BK322,Verteil_rwst,10,FALSE)+SUMIF($D$5:$D$319,"=klr",BK5:BK319)*HLOOKUP(BK322,Verteil_rwst,11,FALSE)+SUMIF($D$5:$D$319,"=klk",BK5:BK319)*HLOOKUP(BK322,Verteil_rwst,12,FALSE)+SUMIF($D$5:$D$319,"=klz",BK5:BK319)*HLOOKUP(BK322,Verteil_rwst,13,FALSE)</f>
        <v>18182.8665</v>
      </c>
      <c r="BL331" s="90">
        <f t="shared" ref="BL331" si="672">IF(BK328&lt;&gt;0,BK331/BK328,0)</f>
        <v>3.9615814414571439E-2</v>
      </c>
      <c r="BM331" s="611" t="s">
        <v>171</v>
      </c>
      <c r="BR331" s="381"/>
      <c r="BV331" s="166">
        <f>SUMIF($D$5:$D$319,"=kls",BV5:BV319)*HLOOKUP(BX322,Verteil_rwst,9,FALSE)+SUMIF($D$5:$D$319,"=klm",BV5:BV319)*HLOOKUP(BX322,Verteil_rwst,10,FALSE)+SUMIF($D$5:$D$319,"=klr",BV5:BV319)*HLOOKUP(BX322,Verteil_rwst,11,FALSE)+SUMIF($D$5:$D$319,"=klk",BV5:BV319)*HLOOKUP(BX322,Verteil_rwst,12,FALSE)+SUMIF($D$5:$D$319,"=klz",BV5:BV319)*HLOOKUP(BX322,Verteil_rwst,13,FALSE)</f>
        <v>1157852.7719999999</v>
      </c>
      <c r="BW331" s="90">
        <f t="shared" ref="BW331" si="673">IF(BV328&lt;&gt;0,BV331/BV328,0)</f>
        <v>6.9289765713362414E-2</v>
      </c>
      <c r="BX331" s="166">
        <f>SUMIF($D$5:$D$319,"=kls",BX5:BX319)*HLOOKUP(BX322,Verteil_rwst,9,FALSE)+SUMIF($D$5:$D$319,"=klm",BX5:BX319)*HLOOKUP(BX322,Verteil_rwst,10,FALSE)+SUMIF($D$5:$D$319,"=klr",BX5:BX319)*HLOOKUP(BX322,Verteil_rwst,11,FALSE)+SUMIF($D$5:$D$319,"=klk",BX5:BX319)*HLOOKUP(BX322,Verteil_rwst,12,FALSE)+SUMIF($D$5:$D$319,"=klz",BX5:BX319)*HLOOKUP(BX322,Verteil_rwst,13,FALSE)</f>
        <v>18085.860500000003</v>
      </c>
      <c r="BY331" s="90">
        <f t="shared" ref="BY331" si="674">IF(BX328&lt;&gt;0,BX331/BX328,0)</f>
        <v>4.0273137302930438E-2</v>
      </c>
      <c r="BZ331" s="611" t="s">
        <v>171</v>
      </c>
      <c r="CE331" s="381"/>
      <c r="CI331" s="166">
        <f>SUMIF($D$5:$D$319,"=kls",CI5:CI319)*HLOOKUP(CK322,Verteil_rwst,9,FALSE)+SUMIF($D$5:$D$319,"=klm",CI5:CI319)*HLOOKUP(CK322,Verteil_rwst,10,FALSE)+SUMIF($D$5:$D$319,"=klr",CI5:CI319)*HLOOKUP(CK322,Verteil_rwst,11,FALSE)+SUMIF($D$5:$D$319,"=klk",CI5:CI319)*HLOOKUP(CK322,Verteil_rwst,12,FALSE)+SUMIF($D$5:$D$319,"=klz",CI5:CI319)*HLOOKUP(CK322,Verteil_rwst,13,FALSE)</f>
        <v>1157852.7719999999</v>
      </c>
      <c r="CJ331" s="90">
        <f t="shared" ref="CJ331" si="675">IF(CI328&lt;&gt;0,CI331/CI328,0)</f>
        <v>6.9289765713362414E-2</v>
      </c>
      <c r="CK331" s="166">
        <f>SUMIF($D$5:$D$319,"=kls",CK5:CK319)*HLOOKUP(CK322,Verteil_rwst,9,FALSE)+SUMIF($D$5:$D$319,"=klm",CK5:CK319)*HLOOKUP(CK322,Verteil_rwst,10,FALSE)+SUMIF($D$5:$D$319,"=klr",CK5:CK319)*HLOOKUP(CK322,Verteil_rwst,11,FALSE)+SUMIF($D$5:$D$319,"=klk",CK5:CK319)*HLOOKUP(CK322,Verteil_rwst,12,FALSE)+SUMIF($D$5:$D$319,"=klz",CK5:CK319)*HLOOKUP(CK322,Verteil_rwst,13,FALSE)</f>
        <v>17988.854500000001</v>
      </c>
      <c r="CL331" s="90">
        <f t="shared" ref="CL331" si="676">IF(CK328&lt;&gt;0,CK331/CK328,0)</f>
        <v>4.0960094949678949E-2</v>
      </c>
      <c r="CM331" s="611" t="s">
        <v>171</v>
      </c>
      <c r="CR331" s="381"/>
      <c r="CV331" s="166">
        <f>SUMIF($D$5:$D$319,"=kls",CV5:CV319)*HLOOKUP(CX322,Verteil_rwst,9,FALSE)+SUMIF($D$5:$D$319,"=klm",CV5:CV319)*HLOOKUP(CX322,Verteil_rwst,10,FALSE)+SUMIF($D$5:$D$319,"=klr",CV5:CV319)*HLOOKUP(CX322,Verteil_rwst,11,FALSE)+SUMIF($D$5:$D$319,"=klk",CV5:CV319)*HLOOKUP(CX322,Verteil_rwst,12,FALSE)+SUMIF($D$5:$D$319,"=klz",CV5:CV319)*HLOOKUP(CX322,Verteil_rwst,13,FALSE)</f>
        <v>1157852.7719999999</v>
      </c>
      <c r="CW331" s="90">
        <f t="shared" ref="CW331" si="677">IF(CV328&lt;&gt;0,CV331/CV328,0)</f>
        <v>6.9289765713362414E-2</v>
      </c>
      <c r="CX331" s="166">
        <f>SUMIF($D$5:$D$319,"=kls",CX5:CX319)*HLOOKUP(CX322,Verteil_rwst,9,FALSE)+SUMIF($D$5:$D$319,"=klm",CX5:CX319)*HLOOKUP(CX322,Verteil_rwst,10,FALSE)+SUMIF($D$5:$D$319,"=klr",CX5:CX319)*HLOOKUP(CX322,Verteil_rwst,11,FALSE)+SUMIF($D$5:$D$319,"=klk",CX5:CX319)*HLOOKUP(CX322,Verteil_rwst,12,FALSE)+SUMIF($D$5:$D$319,"=klz",CX5:CX319)*HLOOKUP(CX322,Verteil_rwst,13,FALSE)</f>
        <v>17364.5645</v>
      </c>
      <c r="CY331" s="90">
        <f t="shared" ref="CY331" si="678">IF(CX328&lt;&gt;0,CX331/CX328,0)</f>
        <v>3.98306369850445E-2</v>
      </c>
      <c r="CZ331" s="611" t="s">
        <v>171</v>
      </c>
      <c r="DE331" s="381"/>
      <c r="DI331" s="166">
        <f>SUMIF($D$5:$D$319,"=kls",DI5:DI319)*HLOOKUP(DK322,Verteil_rwst,9,FALSE)+SUMIF($D$5:$D$319,"=klm",DI5:DI319)*HLOOKUP(DK322,Verteil_rwst,10,FALSE)+SUMIF($D$5:$D$319,"=klr",DI5:DI319)*HLOOKUP(DK322,Verteil_rwst,11,FALSE)+SUMIF($D$5:$D$319,"=klk",DI5:DI319)*HLOOKUP(DK322,Verteil_rwst,12,FALSE)+SUMIF($D$5:$D$319,"=klz",DI5:DI319)*HLOOKUP(DK322,Verteil_rwst,13,FALSE)</f>
        <v>1157852.7719999999</v>
      </c>
      <c r="DJ331" s="90">
        <f t="shared" ref="DJ331" si="679">IF(DI328&lt;&gt;0,DI331/DI328,0)</f>
        <v>6.9289765713362414E-2</v>
      </c>
      <c r="DK331" s="166">
        <f>SUMIF($D$5:$D$319,"=kls",DK5:DK319)*HLOOKUP(DK322,Verteil_rwst,9,FALSE)+SUMIF($D$5:$D$319,"=klm",DK5:DK319)*HLOOKUP(DK322,Verteil_rwst,10,FALSE)+SUMIF($D$5:$D$319,"=klr",DK5:DK319)*HLOOKUP(DK322,Verteil_rwst,11,FALSE)+SUMIF($D$5:$D$319,"=klk",DK5:DK319)*HLOOKUP(DK322,Verteil_rwst,12,FALSE)+SUMIF($D$5:$D$319,"=klz",DK5:DK319)*HLOOKUP(DK322,Verteil_rwst,13,FALSE)</f>
        <v>13273.0545</v>
      </c>
      <c r="DL331" s="90">
        <f t="shared" ref="DL331" si="680">IF(DK328&lt;&gt;0,DK331/DK328,0)</f>
        <v>5.9249417462726543E-2</v>
      </c>
      <c r="DM331" s="611" t="s">
        <v>171</v>
      </c>
      <c r="DR331" s="381"/>
      <c r="DV331" s="166">
        <f>SUMIF($D$5:$D$319,"=kls",DV5:DV319)*HLOOKUP(DX322,Verteil_rwst,9,FALSE)+SUMIF($D$5:$D$319,"=klm",DV5:DV319)*HLOOKUP(DX322,Verteil_rwst,10,FALSE)+SUMIF($D$5:$D$319,"=klr",DV5:DV319)*HLOOKUP(DX322,Verteil_rwst,11,FALSE)+SUMIF($D$5:$D$319,"=klk",DV5:DV319)*HLOOKUP(DX322,Verteil_rwst,12,FALSE)+SUMIF($D$5:$D$319,"=klz",DV5:DV319)*HLOOKUP(DX322,Verteil_rwst,13,FALSE)</f>
        <v>1157852.7719999999</v>
      </c>
      <c r="DW331" s="90">
        <f t="shared" ref="DW331" si="681">IF(DV328&lt;&gt;0,DV331/DV328,0)</f>
        <v>6.9289765713362414E-2</v>
      </c>
      <c r="DX331" s="166">
        <f>SUMIF($D$5:$D$319,"=kls",DX5:DX319)*HLOOKUP(DX322,Verteil_rwst,9,FALSE)+SUMIF($D$5:$D$319,"=klm",DX5:DX319)*HLOOKUP(DX322,Verteil_rwst,10,FALSE)+SUMIF($D$5:$D$319,"=klr",DX5:DX319)*HLOOKUP(DX322,Verteil_rwst,11,FALSE)+SUMIF($D$5:$D$319,"=klk",DX5:DX319)*HLOOKUP(DX322,Verteil_rwst,12,FALSE)+SUMIF($D$5:$D$319,"=klz",DX5:DX319)*HLOOKUP(DX322,Verteil_rwst,13,FALSE)</f>
        <v>11991.1895</v>
      </c>
      <c r="DY331" s="90">
        <f t="shared" ref="DY331" si="682">IF(DX328&lt;&gt;0,DX331/DX328,0)</f>
        <v>5.8345608699883228E-2</v>
      </c>
      <c r="DZ331" s="611" t="s">
        <v>171</v>
      </c>
    </row>
    <row r="332" spans="1:134" s="10" customFormat="1" ht="14.5" customHeight="1" x14ac:dyDescent="0.35">
      <c r="A332" s="562" t="s">
        <v>173</v>
      </c>
      <c r="Q332" s="225">
        <v>11</v>
      </c>
      <c r="R332" s="381"/>
      <c r="V332" s="166">
        <f>SUMIF($D$5:$D$319,"=sos",V5:V319)+SUMIF($D$5:$D$319,"=som",V5:V319)+SUMIF($D$5:$D$319,"=sor",V5:V319)+SUMIF($D$5:$D$319,"=soz",V5:V319)</f>
        <v>2534000</v>
      </c>
      <c r="W332" s="90">
        <f t="shared" ref="W332:Y332" si="683">SUM(W333:W335)</f>
        <v>1</v>
      </c>
      <c r="X332" s="166">
        <f>SUMIF($D$5:$D$319,"=sos",X5:X319)+SUMIF($D$5:$D$319,"=som",X5:X319)+SUMIF($D$5:$D$319,"=sor",X5:X319)+SUMIF($D$5:$D$319,"=soz",X5:X319)</f>
        <v>73500</v>
      </c>
      <c r="Y332" s="90">
        <f t="shared" si="683"/>
        <v>1</v>
      </c>
      <c r="Z332" s="562" t="s">
        <v>173</v>
      </c>
      <c r="AE332" s="381"/>
      <c r="AI332" s="166">
        <f>SUMIF($D$5:$D$319,"=sos",AI5:AI319)+SUMIF($D$5:$D$319,"=som",AI5:AI319)+SUMIF($D$5:$D$319,"=sor",AI5:AI319)+SUMIF($D$5:$D$319,"=soz",AI5:AI319)</f>
        <v>2534000</v>
      </c>
      <c r="AJ332" s="90">
        <f t="shared" ref="AJ332" si="684">SUM(AJ333:AJ335)</f>
        <v>1</v>
      </c>
      <c r="AK332" s="166">
        <f>SUMIF($D$5:$D$319,"=sos",AK5:AK319)+SUMIF($D$5:$D$319,"=som",AK5:AK319)+SUMIF($D$5:$D$319,"=sor",AK5:AK319)+SUMIF($D$5:$D$319,"=soz",AK5:AK319)</f>
        <v>73500</v>
      </c>
      <c r="AL332" s="90">
        <f t="shared" ref="AL332" si="685">SUM(AL333:AL335)</f>
        <v>1</v>
      </c>
      <c r="AM332" s="612" t="s">
        <v>173</v>
      </c>
      <c r="AR332" s="381"/>
      <c r="AV332" s="166">
        <f>SUMIF($D$5:$D$319,"=sos",AV5:AV319)+SUMIF($D$5:$D$319,"=som",AV5:AV319)+SUMIF($D$5:$D$319,"=sor",AV5:AV319)+SUMIF($D$5:$D$319,"=soz",AV5:AV319)</f>
        <v>2534000</v>
      </c>
      <c r="AW332" s="90">
        <f t="shared" ref="AW332" si="686">SUM(AW333:AW335)</f>
        <v>1</v>
      </c>
      <c r="AX332" s="166">
        <f>SUMIF($D$5:$D$319,"=sos",AX5:AX319)+SUMIF($D$5:$D$319,"=som",AX5:AX319)+SUMIF($D$5:$D$319,"=sor",AX5:AX319)+SUMIF($D$5:$D$319,"=soz",AX5:AX319)</f>
        <v>70875</v>
      </c>
      <c r="AY332" s="90">
        <f t="shared" ref="AY332" si="687">SUM(AY333:AY335)</f>
        <v>1</v>
      </c>
      <c r="AZ332" s="612" t="s">
        <v>173</v>
      </c>
      <c r="BE332" s="381"/>
      <c r="BI332" s="166">
        <f>SUMIF($D$5:$D$319,"=sos",BI5:BI319)+SUMIF($D$5:$D$319,"=som",BI5:BI319)+SUMIF($D$5:$D$319,"=sor",BI5:BI319)+SUMIF($D$5:$D$319,"=soz",BI5:BI319)</f>
        <v>2534000</v>
      </c>
      <c r="BJ332" s="90">
        <f t="shared" ref="BJ332" si="688">SUM(BJ333:BJ335)</f>
        <v>1</v>
      </c>
      <c r="BK332" s="166">
        <f>SUMIF($D$5:$D$319,"=sos",BK5:BK319)+SUMIF($D$5:$D$319,"=som",BK5:BK319)+SUMIF($D$5:$D$319,"=sor",BK5:BK319)+SUMIF($D$5:$D$319,"=soz",BK5:BK319)</f>
        <v>68250</v>
      </c>
      <c r="BL332" s="90">
        <f t="shared" ref="BL332" si="689">SUM(BL333:BL335)</f>
        <v>1</v>
      </c>
      <c r="BM332" s="612" t="s">
        <v>173</v>
      </c>
      <c r="BR332" s="381"/>
      <c r="BV332" s="166">
        <f>SUMIF($D$5:$D$319,"=sos",BV5:BV319)+SUMIF($D$5:$D$319,"=som",BV5:BV319)+SUMIF($D$5:$D$319,"=sor",BV5:BV319)+SUMIF($D$5:$D$319,"=soz",BV5:BV319)</f>
        <v>2534000</v>
      </c>
      <c r="BW332" s="90">
        <f t="shared" ref="BW332" si="690">SUM(BW333:BW335)</f>
        <v>1</v>
      </c>
      <c r="BX332" s="166">
        <f>SUMIF($D$5:$D$319,"=sos",BX5:BX319)+SUMIF($D$5:$D$319,"=som",BX5:BX319)+SUMIF($D$5:$D$319,"=sor",BX5:BX319)+SUMIF($D$5:$D$319,"=soz",BX5:BX319)</f>
        <v>65425</v>
      </c>
      <c r="BY332" s="90">
        <f t="shared" ref="BY332" si="691">SUM(BY333:BY335)</f>
        <v>1</v>
      </c>
      <c r="BZ332" s="612" t="s">
        <v>173</v>
      </c>
      <c r="CE332" s="381"/>
      <c r="CI332" s="166">
        <f>SUMIF($D$5:$D$319,"=sos",CI5:CI319)+SUMIF($D$5:$D$319,"=som",CI5:CI319)+SUMIF($D$5:$D$319,"=sor",CI5:CI319)+SUMIF($D$5:$D$319,"=soz",CI5:CI319)</f>
        <v>2534000</v>
      </c>
      <c r="CJ332" s="90">
        <f t="shared" ref="CJ332" si="692">SUM(CJ333:CJ335)</f>
        <v>1</v>
      </c>
      <c r="CK332" s="166">
        <f>SUMIF($D$5:$D$319,"=sos",CK5:CK319)+SUMIF($D$5:$D$319,"=som",CK5:CK319)+SUMIF($D$5:$D$319,"=sor",CK5:CK319)+SUMIF($D$5:$D$319,"=soz",CK5:CK319)</f>
        <v>60850</v>
      </c>
      <c r="CL332" s="90">
        <f t="shared" ref="CL332" si="693">SUM(CL333:CL335)</f>
        <v>1</v>
      </c>
      <c r="CM332" s="612" t="s">
        <v>173</v>
      </c>
      <c r="CR332" s="381"/>
      <c r="CV332" s="166">
        <f>SUMIF($D$5:$D$319,"=sos",CV5:CV319)+SUMIF($D$5:$D$319,"=som",CV5:CV319)+SUMIF($D$5:$D$319,"=sor",CV5:CV319)+SUMIF($D$5:$D$319,"=soz",CV5:CV319)</f>
        <v>2534000</v>
      </c>
      <c r="CW332" s="90">
        <f t="shared" ref="CW332" si="694">SUM(CW333:CW335)</f>
        <v>1</v>
      </c>
      <c r="CX332" s="166">
        <f>SUMIF($D$5:$D$319,"=sos",CX5:CX319)+SUMIF($D$5:$D$319,"=som",CX5:CX319)+SUMIF($D$5:$D$319,"=sor",CX5:CX319)+SUMIF($D$5:$D$319,"=soz",CX5:CX319)</f>
        <v>59100</v>
      </c>
      <c r="CY332" s="90">
        <f t="shared" ref="CY332" si="695">SUM(CY333:CY335)</f>
        <v>1</v>
      </c>
      <c r="CZ332" s="612" t="s">
        <v>173</v>
      </c>
      <c r="DE332" s="381"/>
      <c r="DI332" s="166">
        <f>SUMIF($D$5:$D$319,"=sos",DI5:DI319)+SUMIF($D$5:$D$319,"=som",DI5:DI319)+SUMIF($D$5:$D$319,"=sor",DI5:DI319)+SUMIF($D$5:$D$319,"=soz",DI5:DI319)</f>
        <v>2534000</v>
      </c>
      <c r="DJ332" s="90">
        <f t="shared" ref="DJ332" si="696">SUM(DJ333:DJ335)</f>
        <v>1</v>
      </c>
      <c r="DK332" s="166">
        <f>SUMIF($D$5:$D$319,"=sos",DK5:DK319)+SUMIF($D$5:$D$319,"=som",DK5:DK319)+SUMIF($D$5:$D$319,"=sor",DK5:DK319)+SUMIF($D$5:$D$319,"=soz",DK5:DK319)</f>
        <v>59100</v>
      </c>
      <c r="DL332" s="90">
        <f t="shared" ref="DL332" si="697">SUM(DL333:DL335)</f>
        <v>1</v>
      </c>
      <c r="DM332" s="612" t="s">
        <v>173</v>
      </c>
      <c r="DR332" s="381"/>
      <c r="DV332" s="166">
        <f>SUMIF($D$5:$D$319,"=sos",DV5:DV319)+SUMIF($D$5:$D$319,"=som",DV5:DV319)+SUMIF($D$5:$D$319,"=sor",DV5:DV319)+SUMIF($D$5:$D$319,"=soz",DV5:DV319)</f>
        <v>2534000</v>
      </c>
      <c r="DW332" s="90">
        <f t="shared" ref="DW332" si="698">SUM(DW333:DW335)</f>
        <v>1</v>
      </c>
      <c r="DX332" s="166">
        <f>SUMIF($D$5:$D$319,"=sos",DX5:DX319)+SUMIF($D$5:$D$319,"=som",DX5:DX319)+SUMIF($D$5:$D$319,"=sor",DX5:DX319)+SUMIF($D$5:$D$319,"=soz",DX5:DX319)</f>
        <v>59100</v>
      </c>
      <c r="DY332" s="90">
        <f t="shared" ref="DY332" si="699">SUM(DY333:DY335)</f>
        <v>1</v>
      </c>
      <c r="DZ332" s="612" t="s">
        <v>173</v>
      </c>
    </row>
    <row r="333" spans="1:134" s="10" customFormat="1" ht="14.5" customHeight="1" x14ac:dyDescent="0.35">
      <c r="A333" s="563" t="s">
        <v>169</v>
      </c>
      <c r="Q333" s="225">
        <v>12</v>
      </c>
      <c r="R333" s="381"/>
      <c r="V333" s="166">
        <f>SUMIF($D$5:$D$319,"=sos",V5:V319)*HLOOKUP(X322,Verteil_sw,17,FALSE)+SUMIF($D$5:$D$319,"=som",V5:V319)*HLOOKUP(X322,Verteil_sw,18,FALSE)+SUMIF($D$5:$D$319,"=sor",V5:V319)*HLOOKUP(X322,Verteil_sw,19,FALSE)+SUMIF($D$5:$D$319,"=soz",V5:V319)*HLOOKUP(X322,Verteil_sw,20,FALSE)</f>
        <v>1480500</v>
      </c>
      <c r="W333" s="90">
        <f t="shared" ref="W333:Y333" si="700">IF(V332&lt;&gt;0,V333/V332,0)</f>
        <v>0.58425414364640882</v>
      </c>
      <c r="X333" s="166">
        <f>SUMIF($D$5:$D$319,"=sos",X5:X319)*HLOOKUP(X322,Verteil_sw,17,FALSE)+SUMIF($D$5:$D$319,"=som",X5:X319)*HLOOKUP(X322,Verteil_sw,18,FALSE)+SUMIF($D$5:$D$319,"=sor",X5:X319)*HLOOKUP(X322,Verteil_sw,19,FALSE)+SUMIF($D$5:$D$319,"=soz",X5:X319)*HLOOKUP(X322,Verteil_sw,20,FALSE)</f>
        <v>40775</v>
      </c>
      <c r="Y333" s="90">
        <f t="shared" si="700"/>
        <v>0.55476190476190479</v>
      </c>
      <c r="Z333" s="563" t="s">
        <v>169</v>
      </c>
      <c r="AE333" s="381"/>
      <c r="AI333" s="166">
        <f>SUMIF($D$5:$D$319,"=sos",AI5:AI319)*HLOOKUP(AK322,Verteil_sw,17,FALSE)+SUMIF($D$5:$D$319,"=som",AI5:AI319)*HLOOKUP(AK322,Verteil_sw,18,FALSE)+SUMIF($D$5:$D$319,"=sor",AI5:AI319)*HLOOKUP(AK322,Verteil_sw,19,FALSE)+SUMIF($D$5:$D$319,"=soz",AI5:AI319)*HLOOKUP(AK322,Verteil_sw,20,FALSE)</f>
        <v>1480500</v>
      </c>
      <c r="AJ333" s="90">
        <f t="shared" ref="AJ333" si="701">IF(AI332&lt;&gt;0,AI333/AI332,0)</f>
        <v>0.58425414364640882</v>
      </c>
      <c r="AK333" s="166">
        <f>SUMIF($D$5:$D$319,"=sos",AK5:AK319)*HLOOKUP(AK322,Verteil_sw,17,FALSE)+SUMIF($D$5:$D$319,"=som",AK5:AK319)*HLOOKUP(AK322,Verteil_sw,18,FALSE)+SUMIF($D$5:$D$319,"=sor",AK5:AK319)*HLOOKUP(AK322,Verteil_sw,19,FALSE)+SUMIF($D$5:$D$319,"=soz",AK5:AK319)*HLOOKUP(AK322,Verteil_sw,20,FALSE)</f>
        <v>40775</v>
      </c>
      <c r="AL333" s="90">
        <f t="shared" ref="AL333" si="702">IF(AK332&lt;&gt;0,AK333/AK332,0)</f>
        <v>0.55476190476190479</v>
      </c>
      <c r="AM333" s="611" t="s">
        <v>169</v>
      </c>
      <c r="AR333" s="381"/>
      <c r="AV333" s="166">
        <f>SUMIF($D$5:$D$319,"=sos",AV5:AV319)*HLOOKUP(AX322,Verteil_sw,17,FALSE)+SUMIF($D$5:$D$319,"=som",AV5:AV319)*HLOOKUP(AX322,Verteil_sw,18,FALSE)+SUMIF($D$5:$D$319,"=sor",AV5:AV319)*HLOOKUP(AX322,Verteil_sw,19,FALSE)+SUMIF($D$5:$D$319,"=soz",AV5:AV319)*HLOOKUP(AX322,Verteil_sw,20,FALSE)</f>
        <v>1480500</v>
      </c>
      <c r="AW333" s="90">
        <f t="shared" ref="AW333" si="703">IF(AV332&lt;&gt;0,AV333/AV332,0)</f>
        <v>0.58425414364640882</v>
      </c>
      <c r="AX333" s="166">
        <f>SUMIF($D$5:$D$319,"=sos",AX5:AX319)*HLOOKUP(AX322,Verteil_sw,17,FALSE)+SUMIF($D$5:$D$319,"=som",AX5:AX319)*HLOOKUP(AX322,Verteil_sw,18,FALSE)+SUMIF($D$5:$D$319,"=sor",AX5:AX319)*HLOOKUP(AX322,Verteil_sw,19,FALSE)+SUMIF($D$5:$D$319,"=soz",AX5:AX319)*HLOOKUP(AX322,Verteil_sw,20,FALSE)</f>
        <v>39462.5</v>
      </c>
      <c r="AY333" s="90">
        <f t="shared" ref="AY333" si="704">IF(AX332&lt;&gt;0,AX333/AX332,0)</f>
        <v>0.55679012345679013</v>
      </c>
      <c r="AZ333" s="611" t="s">
        <v>169</v>
      </c>
      <c r="BE333" s="381"/>
      <c r="BI333" s="166">
        <f>SUMIF($D$5:$D$319,"=sos",BI5:BI319)*HLOOKUP(BK322,Verteil_sw,17,FALSE)+SUMIF($D$5:$D$319,"=som",BI5:BI319)*HLOOKUP(BK322,Verteil_sw,18,FALSE)+SUMIF($D$5:$D$319,"=sor",BI5:BI319)*HLOOKUP(BK322,Verteil_sw,19,FALSE)+SUMIF($D$5:$D$319,"=soz",BI5:BI319)*HLOOKUP(BK322,Verteil_sw,20,FALSE)</f>
        <v>1480500</v>
      </c>
      <c r="BJ333" s="90">
        <f t="shared" ref="BJ333" si="705">IF(BI332&lt;&gt;0,BI333/BI332,0)</f>
        <v>0.58425414364640882</v>
      </c>
      <c r="BK333" s="166">
        <f>SUMIF($D$5:$D$319,"=sos",BK5:BK319)*HLOOKUP(BK322,Verteil_sw,17,FALSE)+SUMIF($D$5:$D$319,"=som",BK5:BK319)*HLOOKUP(BK322,Verteil_sw,18,FALSE)+SUMIF($D$5:$D$319,"=sor",BK5:BK319)*HLOOKUP(BK322,Verteil_sw,19,FALSE)+SUMIF($D$5:$D$319,"=soz",BK5:BK319)*HLOOKUP(BK322,Verteil_sw,20,FALSE)</f>
        <v>38150</v>
      </c>
      <c r="BL333" s="90">
        <f t="shared" ref="BL333" si="706">IF(BK332&lt;&gt;0,BK333/BK332,0)</f>
        <v>0.55897435897435899</v>
      </c>
      <c r="BM333" s="611" t="s">
        <v>169</v>
      </c>
      <c r="BR333" s="381"/>
      <c r="BV333" s="166">
        <f>SUMIF($D$5:$D$319,"=sos",BV5:BV319)*HLOOKUP(BX322,Verteil_sw,17,FALSE)+SUMIF($D$5:$D$319,"=som",BV5:BV319)*HLOOKUP(BX322,Verteil_sw,18,FALSE)+SUMIF($D$5:$D$319,"=sor",BV5:BV319)*HLOOKUP(BX322,Verteil_sw,19,FALSE)+SUMIF($D$5:$D$319,"=soz",BV5:BV319)*HLOOKUP(BX322,Verteil_sw,20,FALSE)</f>
        <v>1480500</v>
      </c>
      <c r="BW333" s="90">
        <f t="shared" ref="BW333" si="707">IF(BV332&lt;&gt;0,BV333/BV332,0)</f>
        <v>0.58425414364640882</v>
      </c>
      <c r="BX333" s="166">
        <f>SUMIF($D$5:$D$319,"=sos",BX5:BX319)*HLOOKUP(BX322,Verteil_sw,17,FALSE)+SUMIF($D$5:$D$319,"=som",BX5:BX319)*HLOOKUP(BX322,Verteil_sw,18,FALSE)+SUMIF($D$5:$D$319,"=sor",BX5:BX319)*HLOOKUP(BX322,Verteil_sw,19,FALSE)+SUMIF($D$5:$D$319,"=soz",BX5:BX319)*HLOOKUP(BX322,Verteil_sw,20,FALSE)</f>
        <v>36737.5</v>
      </c>
      <c r="BY333" s="90">
        <f t="shared" ref="BY333" si="708">IF(BX332&lt;&gt;0,BX333/BX332,0)</f>
        <v>0.56152082537256398</v>
      </c>
      <c r="BZ333" s="611" t="s">
        <v>169</v>
      </c>
      <c r="CE333" s="381"/>
      <c r="CI333" s="166">
        <f>SUMIF($D$5:$D$319,"=sos",CI5:CI319)*HLOOKUP(CK322,Verteil_sw,17,FALSE)+SUMIF($D$5:$D$319,"=som",CI5:CI319)*HLOOKUP(CK322,Verteil_sw,18,FALSE)+SUMIF($D$5:$D$319,"=sor",CI5:CI319)*HLOOKUP(CK322,Verteil_sw,19,FALSE)+SUMIF($D$5:$D$319,"=soz",CI5:CI319)*HLOOKUP(CK322,Verteil_sw,20,FALSE)</f>
        <v>1480500</v>
      </c>
      <c r="CJ333" s="90">
        <f t="shared" ref="CJ333" si="709">IF(CI332&lt;&gt;0,CI333/CI332,0)</f>
        <v>0.58425414364640882</v>
      </c>
      <c r="CK333" s="166">
        <f>SUMIF($D$5:$D$319,"=sos",CK5:CK319)*HLOOKUP(CK322,Verteil_sw,17,FALSE)+SUMIF($D$5:$D$319,"=som",CK5:CK319)*HLOOKUP(CK322,Verteil_sw,18,FALSE)+SUMIF($D$5:$D$319,"=sor",CK5:CK319)*HLOOKUP(CK322,Verteil_sw,19,FALSE)+SUMIF($D$5:$D$319,"=soz",CK5:CK319)*HLOOKUP(CK322,Verteil_sw,20,FALSE)</f>
        <v>34450</v>
      </c>
      <c r="CL333" s="90">
        <f t="shared" ref="CL333" si="710">IF(CK332&lt;&gt;0,CK333/CK332,0)</f>
        <v>0.5661462612982745</v>
      </c>
      <c r="CM333" s="611" t="s">
        <v>169</v>
      </c>
      <c r="CR333" s="381"/>
      <c r="CV333" s="166">
        <f>SUMIF($D$5:$D$319,"=sos",CV5:CV319)*HLOOKUP(CX322,Verteil_sw,17,FALSE)+SUMIF($D$5:$D$319,"=som",CV5:CV319)*HLOOKUP(CX322,Verteil_sw,18,FALSE)+SUMIF($D$5:$D$319,"=sor",CV5:CV319)*HLOOKUP(CX322,Verteil_sw,19,FALSE)+SUMIF($D$5:$D$319,"=soz",CV5:CV319)*HLOOKUP(CX322,Verteil_sw,20,FALSE)</f>
        <v>1480500</v>
      </c>
      <c r="CW333" s="90">
        <f t="shared" ref="CW333" si="711">IF(CV332&lt;&gt;0,CV333/CV332,0)</f>
        <v>0.58425414364640882</v>
      </c>
      <c r="CX333" s="166">
        <f>SUMIF($D$5:$D$319,"=sos",CX5:CX319)*HLOOKUP(CX322,Verteil_sw,17,FALSE)+SUMIF($D$5:$D$319,"=som",CX5:CX319)*HLOOKUP(CX322,Verteil_sw,18,FALSE)+SUMIF($D$5:$D$319,"=sor",CX5:CX319)*HLOOKUP(CX322,Verteil_sw,19,FALSE)+SUMIF($D$5:$D$319,"=soz",CX5:CX319)*HLOOKUP(CX322,Verteil_sw,20,FALSE)</f>
        <v>33575</v>
      </c>
      <c r="CY333" s="90">
        <f t="shared" ref="CY333" si="712">IF(CX332&lt;&gt;0,CX333/CX332,0)</f>
        <v>0.56810490693739424</v>
      </c>
      <c r="CZ333" s="611" t="s">
        <v>169</v>
      </c>
      <c r="DE333" s="381"/>
      <c r="DI333" s="166">
        <f>SUMIF($D$5:$D$319,"=sos",DI5:DI319)*HLOOKUP(DK322,Verteil_sw,17,FALSE)+SUMIF($D$5:$D$319,"=som",DI5:DI319)*HLOOKUP(DK322,Verteil_sw,18,FALSE)+SUMIF($D$5:$D$319,"=sor",DI5:DI319)*HLOOKUP(DK322,Verteil_sw,19,FALSE)+SUMIF($D$5:$D$319,"=soz",DI5:DI319)*HLOOKUP(DK322,Verteil_sw,20,FALSE)</f>
        <v>1480500</v>
      </c>
      <c r="DJ333" s="90">
        <f t="shared" ref="DJ333" si="713">IF(DI332&lt;&gt;0,DI333/DI332,0)</f>
        <v>0.58425414364640882</v>
      </c>
      <c r="DK333" s="166">
        <f>SUMIF($D$5:$D$319,"=sos",DK5:DK319)*HLOOKUP(DK322,Verteil_sw,17,FALSE)+SUMIF($D$5:$D$319,"=som",DK5:DK319)*HLOOKUP(DK322,Verteil_sw,18,FALSE)+SUMIF($D$5:$D$319,"=sor",DK5:DK319)*HLOOKUP(DK322,Verteil_sw,19,FALSE)+SUMIF($D$5:$D$319,"=soz",DK5:DK319)*HLOOKUP(DK322,Verteil_sw,20,FALSE)</f>
        <v>33575</v>
      </c>
      <c r="DL333" s="90">
        <f t="shared" ref="DL333" si="714">IF(DK332&lt;&gt;0,DK333/DK332,0)</f>
        <v>0.56810490693739424</v>
      </c>
      <c r="DM333" s="611" t="s">
        <v>169</v>
      </c>
      <c r="DR333" s="381"/>
      <c r="DV333" s="166">
        <f>SUMIF($D$5:$D$319,"=sos",DV5:DV319)*HLOOKUP(DX322,Verteil_sw,17,FALSE)+SUMIF($D$5:$D$319,"=som",DV5:DV319)*HLOOKUP(DX322,Verteil_sw,18,FALSE)+SUMIF($D$5:$D$319,"=sor",DV5:DV319)*HLOOKUP(DX322,Verteil_sw,19,FALSE)+SUMIF($D$5:$D$319,"=soz",DV5:DV319)*HLOOKUP(DX322,Verteil_sw,20,FALSE)</f>
        <v>1480500</v>
      </c>
      <c r="DW333" s="90">
        <f t="shared" ref="DW333" si="715">IF(DV332&lt;&gt;0,DV333/DV332,0)</f>
        <v>0.58425414364640882</v>
      </c>
      <c r="DX333" s="166">
        <f>SUMIF($D$5:$D$319,"=sos",DX5:DX319)*HLOOKUP(DX322,Verteil_sw,17,FALSE)+SUMIF($D$5:$D$319,"=som",DX5:DX319)*HLOOKUP(DX322,Verteil_sw,18,FALSE)+SUMIF($D$5:$D$319,"=sor",DX5:DX319)*HLOOKUP(DX322,Verteil_sw,19,FALSE)+SUMIF($D$5:$D$319,"=soz",DX5:DX319)*HLOOKUP(DX322,Verteil_sw,20,FALSE)</f>
        <v>33575</v>
      </c>
      <c r="DY333" s="90">
        <f t="shared" ref="DY333" si="716">IF(DX332&lt;&gt;0,DX333/DX332,0)</f>
        <v>0.56810490693739424</v>
      </c>
      <c r="DZ333" s="611" t="s">
        <v>169</v>
      </c>
    </row>
    <row r="334" spans="1:134" s="10" customFormat="1" ht="14.5" customHeight="1" x14ac:dyDescent="0.35">
      <c r="A334" s="563" t="s">
        <v>170</v>
      </c>
      <c r="Q334" s="225">
        <v>13</v>
      </c>
      <c r="R334" s="381"/>
      <c r="V334" s="166">
        <f>SUMIF($D$5:$D$319,"=sos",V5:V319)*HLOOKUP(X322,Verteil_rwgr,16,FALSE)+SUMIF($D$5:$D$319,"=som",V5:V319)*HLOOKUP(X322,Verteil_rwgr,17,FALSE)+SUMIF($D$5:$D$319,"=sor",V5:V319)*HLOOKUP(X322,Verteil_rwgr,18,FALSE)+SUMIF($D$5:$D$319,"=soz",V5:V319)*HLOOKUP(X322,Verteil_rwgr,19,FALSE)</f>
        <v>526750</v>
      </c>
      <c r="W334" s="90">
        <f t="shared" ref="W334:Y334" si="717">IF(V332&lt;&gt;0,V334/V332,0)</f>
        <v>0.20787292817679559</v>
      </c>
      <c r="X334" s="166">
        <f>SUMIF($D$5:$D$319,"=sos",X5:X319)*HLOOKUP(X322,Verteil_rwgr,16,FALSE)+SUMIF($D$5:$D$319,"=som",X5:X319)*HLOOKUP(X322,Verteil_rwgr,17,FALSE)+SUMIF($D$5:$D$319,"=sor",X5:X319)*HLOOKUP(X322,Verteil_rwgr,18,FALSE)+SUMIF($D$5:$D$319,"=soz",X5:X319)*HLOOKUP(X322,Verteil_rwgr,19,FALSE)</f>
        <v>16362.5</v>
      </c>
      <c r="Y334" s="90">
        <f t="shared" si="717"/>
        <v>0.22261904761904761</v>
      </c>
      <c r="Z334" s="563" t="s">
        <v>170</v>
      </c>
      <c r="AE334" s="381"/>
      <c r="AI334" s="166">
        <f>SUMIF($D$5:$D$319,"=sos",AI5:AI319)*HLOOKUP(AK322,Verteil_rwgr,16,FALSE)+SUMIF($D$5:$D$319,"=som",AI5:AI319)*HLOOKUP(AK322,Verteil_rwgr,17,FALSE)+SUMIF($D$5:$D$319,"=sor",AI5:AI319)*HLOOKUP(AK322,Verteil_rwgr,18,FALSE)+SUMIF($D$5:$D$319,"=soz",AI5:AI319)*HLOOKUP(AK322,Verteil_rwgr,19,FALSE)</f>
        <v>526750</v>
      </c>
      <c r="AJ334" s="90">
        <f t="shared" ref="AJ334" si="718">IF(AI332&lt;&gt;0,AI334/AI332,0)</f>
        <v>0.20787292817679559</v>
      </c>
      <c r="AK334" s="166">
        <f>SUMIF($D$5:$D$319,"=sos",AK5:AK319)*HLOOKUP(AK322,Verteil_rwgr,16,FALSE)+SUMIF($D$5:$D$319,"=som",AK5:AK319)*HLOOKUP(AK322,Verteil_rwgr,17,FALSE)+SUMIF($D$5:$D$319,"=sor",AK5:AK319)*HLOOKUP(AK322,Verteil_rwgr,18,FALSE)+SUMIF($D$5:$D$319,"=soz",AK5:AK319)*HLOOKUP(AK322,Verteil_rwgr,19,FALSE)</f>
        <v>16362.5</v>
      </c>
      <c r="AL334" s="90">
        <f t="shared" ref="AL334" si="719">IF(AK332&lt;&gt;0,AK334/AK332,0)</f>
        <v>0.22261904761904761</v>
      </c>
      <c r="AM334" s="611" t="s">
        <v>170</v>
      </c>
      <c r="AR334" s="381"/>
      <c r="AV334" s="166">
        <f>SUMIF($D$5:$D$319,"=sos",AV5:AV319)*HLOOKUP(AX322,Verteil_rwgr,16,FALSE)+SUMIF($D$5:$D$319,"=som",AV5:AV319)*HLOOKUP(AX322,Verteil_rwgr,17,FALSE)+SUMIF($D$5:$D$319,"=sor",AV5:AV319)*HLOOKUP(AX322,Verteil_rwgr,18,FALSE)+SUMIF($D$5:$D$319,"=soz",AV5:AV319)*HLOOKUP(AX322,Verteil_rwgr,19,FALSE)</f>
        <v>526750</v>
      </c>
      <c r="AW334" s="90">
        <f t="shared" ref="AW334" si="720">IF(AV332&lt;&gt;0,AV334/AV332,0)</f>
        <v>0.20787292817679559</v>
      </c>
      <c r="AX334" s="166">
        <f>SUMIF($D$5:$D$319,"=sos",AX5:AX319)*HLOOKUP(AX322,Verteil_rwgr,16,FALSE)+SUMIF($D$5:$D$319,"=som",AX5:AX319)*HLOOKUP(AX322,Verteil_rwgr,17,FALSE)+SUMIF($D$5:$D$319,"=sor",AX5:AX319)*HLOOKUP(AX322,Verteil_rwgr,18,FALSE)+SUMIF($D$5:$D$319,"=soz",AX5:AX319)*HLOOKUP(AX322,Verteil_rwgr,19,FALSE)</f>
        <v>15706.25</v>
      </c>
      <c r="AY334" s="90">
        <f t="shared" ref="AY334" si="721">IF(AX332&lt;&gt;0,AX334/AX332,0)</f>
        <v>0.22160493827160493</v>
      </c>
      <c r="AZ334" s="611" t="s">
        <v>170</v>
      </c>
      <c r="BE334" s="381"/>
      <c r="BI334" s="166">
        <f>SUMIF($D$5:$D$319,"=sos",BI5:BI319)*HLOOKUP(BK322,Verteil_rwgr,16,FALSE)+SUMIF($D$5:$D$319,"=som",BI5:BI319)*HLOOKUP(BK322,Verteil_rwgr,17,FALSE)+SUMIF($D$5:$D$319,"=sor",BI5:BI319)*HLOOKUP(BK322,Verteil_rwgr,18,FALSE)+SUMIF($D$5:$D$319,"=soz",BI5:BI319)*HLOOKUP(BK322,Verteil_rwgr,19,FALSE)</f>
        <v>526750</v>
      </c>
      <c r="BJ334" s="90">
        <f t="shared" ref="BJ334" si="722">IF(BI332&lt;&gt;0,BI334/BI332,0)</f>
        <v>0.20787292817679559</v>
      </c>
      <c r="BK334" s="166">
        <f>SUMIF($D$5:$D$319,"=sos",BK5:BK319)*HLOOKUP(BK322,Verteil_rwgr,16,FALSE)+SUMIF($D$5:$D$319,"=som",BK5:BK319)*HLOOKUP(BK322,Verteil_rwgr,17,FALSE)+SUMIF($D$5:$D$319,"=sor",BK5:BK319)*HLOOKUP(BK322,Verteil_rwgr,18,FALSE)+SUMIF($D$5:$D$319,"=soz",BK5:BK319)*HLOOKUP(BK322,Verteil_rwgr,19,FALSE)</f>
        <v>15050</v>
      </c>
      <c r="BL334" s="90">
        <f t="shared" ref="BL334" si="723">IF(BK332&lt;&gt;0,BK334/BK332,0)</f>
        <v>0.22051282051282051</v>
      </c>
      <c r="BM334" s="611" t="s">
        <v>170</v>
      </c>
      <c r="BR334" s="381"/>
      <c r="BV334" s="166">
        <f>SUMIF($D$5:$D$319,"=sos",BV5:BV319)*HLOOKUP(BX322,Verteil_rwgr,16,FALSE)+SUMIF($D$5:$D$319,"=som",BV5:BV319)*HLOOKUP(BX322,Verteil_rwgr,17,FALSE)+SUMIF($D$5:$D$319,"=sor",BV5:BV319)*HLOOKUP(BX322,Verteil_rwgr,18,FALSE)+SUMIF($D$5:$D$319,"=soz",BV5:BV319)*HLOOKUP(BX322,Verteil_rwgr,19,FALSE)</f>
        <v>526750</v>
      </c>
      <c r="BW334" s="90">
        <f t="shared" ref="BW334" si="724">IF(BV332&lt;&gt;0,BV334/BV332,0)</f>
        <v>0.20787292817679559</v>
      </c>
      <c r="BX334" s="166">
        <f>SUMIF($D$5:$D$319,"=sos",BX5:BX319)*HLOOKUP(BX322,Verteil_rwgr,16,FALSE)+SUMIF($D$5:$D$319,"=som",BX5:BX319)*HLOOKUP(BX322,Verteil_rwgr,17,FALSE)+SUMIF($D$5:$D$319,"=sor",BX5:BX319)*HLOOKUP(BX322,Verteil_rwgr,18,FALSE)+SUMIF($D$5:$D$319,"=soz",BX5:BX319)*HLOOKUP(BX322,Verteil_rwgr,19,FALSE)</f>
        <v>14343.75</v>
      </c>
      <c r="BY334" s="90">
        <f t="shared" ref="BY334" si="725">IF(BX332&lt;&gt;0,BX334/BX332,0)</f>
        <v>0.21923958731371801</v>
      </c>
      <c r="BZ334" s="611" t="s">
        <v>170</v>
      </c>
      <c r="CE334" s="381"/>
      <c r="CI334" s="166">
        <f>SUMIF($D$5:$D$319,"=sos",CI5:CI319)*HLOOKUP(CK322,Verteil_rwgr,16,FALSE)+SUMIF($D$5:$D$319,"=som",CI5:CI319)*HLOOKUP(CK322,Verteil_rwgr,17,FALSE)+SUMIF($D$5:$D$319,"=sor",CI5:CI319)*HLOOKUP(CK322,Verteil_rwgr,18,FALSE)+SUMIF($D$5:$D$319,"=soz",CI5:CI319)*HLOOKUP(CK322,Verteil_rwgr,19,FALSE)</f>
        <v>526750</v>
      </c>
      <c r="CJ334" s="90">
        <f t="shared" ref="CJ334" si="726">IF(CI332&lt;&gt;0,CI334/CI332,0)</f>
        <v>0.20787292817679559</v>
      </c>
      <c r="CK334" s="166">
        <f>SUMIF($D$5:$D$319,"=sos",CK5:CK319)*HLOOKUP(CK322,Verteil_rwgr,16,FALSE)+SUMIF($D$5:$D$319,"=som",CK5:CK319)*HLOOKUP(CK322,Verteil_rwgr,17,FALSE)+SUMIF($D$5:$D$319,"=sor",CK5:CK319)*HLOOKUP(CK322,Verteil_rwgr,18,FALSE)+SUMIF($D$5:$D$319,"=soz",CK5:CK319)*HLOOKUP(CK322,Verteil_rwgr,19,FALSE)</f>
        <v>13200</v>
      </c>
      <c r="CL334" s="90">
        <f t="shared" ref="CL334" si="727">IF(CK332&lt;&gt;0,CK334/CK332,0)</f>
        <v>0.21692686935086278</v>
      </c>
      <c r="CM334" s="611" t="s">
        <v>170</v>
      </c>
      <c r="CR334" s="381"/>
      <c r="CV334" s="166">
        <f>SUMIF($D$5:$D$319,"=sos",CV5:CV319)*HLOOKUP(CX322,Verteil_rwgr,16,FALSE)+SUMIF($D$5:$D$319,"=som",CV5:CV319)*HLOOKUP(CX322,Verteil_rwgr,17,FALSE)+SUMIF($D$5:$D$319,"=sor",CV5:CV319)*HLOOKUP(CX322,Verteil_rwgr,18,FALSE)+SUMIF($D$5:$D$319,"=soz",CV5:CV319)*HLOOKUP(CX322,Verteil_rwgr,19,FALSE)</f>
        <v>526750</v>
      </c>
      <c r="CW334" s="90">
        <f t="shared" ref="CW334" si="728">IF(CV332&lt;&gt;0,CV334/CV332,0)</f>
        <v>0.20787292817679559</v>
      </c>
      <c r="CX334" s="166">
        <f>SUMIF($D$5:$D$319,"=sos",CX5:CX319)*HLOOKUP(CX322,Verteil_rwgr,16,FALSE)+SUMIF($D$5:$D$319,"=som",CX5:CX319)*HLOOKUP(CX322,Verteil_rwgr,17,FALSE)+SUMIF($D$5:$D$319,"=sor",CX5:CX319)*HLOOKUP(CX322,Verteil_rwgr,18,FALSE)+SUMIF($D$5:$D$319,"=soz",CX5:CX319)*HLOOKUP(CX322,Verteil_rwgr,19,FALSE)</f>
        <v>12762.5</v>
      </c>
      <c r="CY334" s="90">
        <f t="shared" ref="CY334" si="729">IF(CX332&lt;&gt;0,CX334/CX332,0)</f>
        <v>0.21594754653130288</v>
      </c>
      <c r="CZ334" s="611" t="s">
        <v>170</v>
      </c>
      <c r="DE334" s="381"/>
      <c r="DI334" s="166">
        <f>SUMIF($D$5:$D$319,"=sos",DI5:DI319)*HLOOKUP(DK322,Verteil_rwgr,16,FALSE)+SUMIF($D$5:$D$319,"=som",DI5:DI319)*HLOOKUP(DK322,Verteil_rwgr,17,FALSE)+SUMIF($D$5:$D$319,"=sor",DI5:DI319)*HLOOKUP(DK322,Verteil_rwgr,18,FALSE)+SUMIF($D$5:$D$319,"=soz",DI5:DI319)*HLOOKUP(DK322,Verteil_rwgr,19,FALSE)</f>
        <v>526750</v>
      </c>
      <c r="DJ334" s="90">
        <f t="shared" ref="DJ334" si="730">IF(DI332&lt;&gt;0,DI334/DI332,0)</f>
        <v>0.20787292817679559</v>
      </c>
      <c r="DK334" s="166">
        <f>SUMIF($D$5:$D$319,"=sos",DK5:DK319)*HLOOKUP(DK322,Verteil_rwgr,16,FALSE)+SUMIF($D$5:$D$319,"=som",DK5:DK319)*HLOOKUP(DK322,Verteil_rwgr,17,FALSE)+SUMIF($D$5:$D$319,"=sor",DK5:DK319)*HLOOKUP(DK322,Verteil_rwgr,18,FALSE)+SUMIF($D$5:$D$319,"=soz",DK5:DK319)*HLOOKUP(DK322,Verteil_rwgr,19,FALSE)</f>
        <v>12762.5</v>
      </c>
      <c r="DL334" s="90">
        <f t="shared" ref="DL334" si="731">IF(DK332&lt;&gt;0,DK334/DK332,0)</f>
        <v>0.21594754653130288</v>
      </c>
      <c r="DM334" s="611" t="s">
        <v>170</v>
      </c>
      <c r="DR334" s="381"/>
      <c r="DV334" s="166">
        <f>SUMIF($D$5:$D$319,"=sos",DV5:DV319)*HLOOKUP(DX322,Verteil_rwgr,16,FALSE)+SUMIF($D$5:$D$319,"=som",DV5:DV319)*HLOOKUP(DX322,Verteil_rwgr,17,FALSE)+SUMIF($D$5:$D$319,"=sor",DV5:DV319)*HLOOKUP(DX322,Verteil_rwgr,18,FALSE)+SUMIF($D$5:$D$319,"=soz",DV5:DV319)*HLOOKUP(DX322,Verteil_rwgr,19,FALSE)</f>
        <v>526750</v>
      </c>
      <c r="DW334" s="90">
        <f t="shared" ref="DW334" si="732">IF(DV332&lt;&gt;0,DV334/DV332,0)</f>
        <v>0.20787292817679559</v>
      </c>
      <c r="DX334" s="166">
        <f>SUMIF($D$5:$D$319,"=sos",DX5:DX319)*HLOOKUP(DX322,Verteil_rwgr,16,FALSE)+SUMIF($D$5:$D$319,"=som",DX5:DX319)*HLOOKUP(DX322,Verteil_rwgr,17,FALSE)+SUMIF($D$5:$D$319,"=sor",DX5:DX319)*HLOOKUP(DX322,Verteil_rwgr,18,FALSE)+SUMIF($D$5:$D$319,"=soz",DX5:DX319)*HLOOKUP(DX322,Verteil_rwgr,19,FALSE)</f>
        <v>12762.5</v>
      </c>
      <c r="DY334" s="90">
        <f t="shared" ref="DY334" si="733">IF(DX332&lt;&gt;0,DX334/DX332,0)</f>
        <v>0.21594754653130288</v>
      </c>
      <c r="DZ334" s="611" t="s">
        <v>170</v>
      </c>
    </row>
    <row r="335" spans="1:134" s="10" customFormat="1" ht="14.5" customHeight="1" x14ac:dyDescent="0.35">
      <c r="A335" s="563" t="s">
        <v>171</v>
      </c>
      <c r="Q335" s="225">
        <v>14</v>
      </c>
      <c r="R335" s="381"/>
      <c r="V335" s="166">
        <f>SUMIF($D$5:$D$319,"=sos",V5:V319)*HLOOKUP(X322,Verteil_rwst,15,FALSE)+SUMIF($D$5:$D$319,"=som",V5:V319)*HLOOKUP(X322,Verteil_rwst,16,FALSE)+SUMIF($D$5:$D$319,"=sor",V5:V319)*HLOOKUP(X322,Verteil_rwst,17,FALSE)+SUMIF($D$5:$D$319,"=soz",V5:V319)*HLOOKUP(X322,Verteil_rwst,18,FALSE)</f>
        <v>526750</v>
      </c>
      <c r="W335" s="90">
        <f t="shared" ref="W335:Y335" si="734">IF(V332&lt;&gt;0,V335/V332,0)</f>
        <v>0.20787292817679559</v>
      </c>
      <c r="X335" s="166">
        <f>SUMIF($D$5:$D$319,"=sos",X5:X319)*HLOOKUP(X322,Verteil_rwst,15,FALSE)+SUMIF($D$5:$D$319,"=som",X5:X319)*HLOOKUP(X322,Verteil_rwst,16,FALSE)+SUMIF($D$5:$D$319,"=sor",X5:X319)*HLOOKUP(X322,Verteil_rwst,17,FALSE)+SUMIF($D$5:$D$319,"=soz",X5:X319)*HLOOKUP(X322,Verteil_rwst,18,FALSE)</f>
        <v>16362.5</v>
      </c>
      <c r="Y335" s="90">
        <f t="shared" si="734"/>
        <v>0.22261904761904761</v>
      </c>
      <c r="Z335" s="563" t="s">
        <v>171</v>
      </c>
      <c r="AE335" s="381"/>
      <c r="AI335" s="166">
        <f>SUMIF($D$5:$D$319,"=sos",AI5:AI319)*HLOOKUP(AK322,Verteil_rwst,15,FALSE)+SUMIF($D$5:$D$319,"=som",AI5:AI319)*HLOOKUP(AK322,Verteil_rwst,16,FALSE)+SUMIF($D$5:$D$319,"=sor",AI5:AI319)*HLOOKUP(AK322,Verteil_rwst,17,FALSE)+SUMIF($D$5:$D$319,"=soz",AI5:AI319)*HLOOKUP(AK322,Verteil_rwst,18,FALSE)</f>
        <v>526750</v>
      </c>
      <c r="AJ335" s="90">
        <f t="shared" ref="AJ335" si="735">IF(AI332&lt;&gt;0,AI335/AI332,0)</f>
        <v>0.20787292817679559</v>
      </c>
      <c r="AK335" s="166">
        <f>SUMIF($D$5:$D$319,"=sos",AK5:AK319)*HLOOKUP(AK322,Verteil_rwst,15,FALSE)+SUMIF($D$5:$D$319,"=som",AK5:AK319)*HLOOKUP(AK322,Verteil_rwst,16,FALSE)+SUMIF($D$5:$D$319,"=sor",AK5:AK319)*HLOOKUP(AK322,Verteil_rwst,17,FALSE)+SUMIF($D$5:$D$319,"=soz",AK5:AK319)*HLOOKUP(AK322,Verteil_rwst,18,FALSE)</f>
        <v>16362.5</v>
      </c>
      <c r="AL335" s="90">
        <f t="shared" ref="AL335" si="736">IF(AK332&lt;&gt;0,AK335/AK332,0)</f>
        <v>0.22261904761904761</v>
      </c>
      <c r="AM335" s="611" t="s">
        <v>171</v>
      </c>
      <c r="AR335" s="381"/>
      <c r="AV335" s="166">
        <f>SUMIF($D$5:$D$319,"=sos",AV5:AV319)*HLOOKUP(AX322,Verteil_rwst,15,FALSE)+SUMIF($D$5:$D$319,"=som",AV5:AV319)*HLOOKUP(AX322,Verteil_rwst,16,FALSE)+SUMIF($D$5:$D$319,"=sor",AV5:AV319)*HLOOKUP(AX322,Verteil_rwst,17,FALSE)+SUMIF($D$5:$D$319,"=soz",AV5:AV319)*HLOOKUP(AX322,Verteil_rwst,18,FALSE)</f>
        <v>526750</v>
      </c>
      <c r="AW335" s="90">
        <f t="shared" ref="AW335" si="737">IF(AV332&lt;&gt;0,AV335/AV332,0)</f>
        <v>0.20787292817679559</v>
      </c>
      <c r="AX335" s="166">
        <f>SUMIF($D$5:$D$319,"=sos",AX5:AX319)*HLOOKUP(AX322,Verteil_rwst,15,FALSE)+SUMIF($D$5:$D$319,"=som",AX5:AX319)*HLOOKUP(AX322,Verteil_rwst,16,FALSE)+SUMIF($D$5:$D$319,"=sor",AX5:AX319)*HLOOKUP(AX322,Verteil_rwst,17,FALSE)+SUMIF($D$5:$D$319,"=soz",AX5:AX319)*HLOOKUP(AX322,Verteil_rwst,18,FALSE)</f>
        <v>15706.25</v>
      </c>
      <c r="AY335" s="90">
        <f t="shared" ref="AY335" si="738">IF(AX332&lt;&gt;0,AX335/AX332,0)</f>
        <v>0.22160493827160493</v>
      </c>
      <c r="AZ335" s="611" t="s">
        <v>171</v>
      </c>
      <c r="BE335" s="381"/>
      <c r="BI335" s="166">
        <f>SUMIF($D$5:$D$319,"=sos",BI5:BI319)*HLOOKUP(BK322,Verteil_rwst,15,FALSE)+SUMIF($D$5:$D$319,"=som",BI5:BI319)*HLOOKUP(BK322,Verteil_rwst,16,FALSE)+SUMIF($D$5:$D$319,"=sor",BI5:BI319)*HLOOKUP(BK322,Verteil_rwst,17,FALSE)+SUMIF($D$5:$D$319,"=soz",BI5:BI319)*HLOOKUP(BK322,Verteil_rwst,18,FALSE)</f>
        <v>526750</v>
      </c>
      <c r="BJ335" s="90">
        <f t="shared" ref="BJ335" si="739">IF(BI332&lt;&gt;0,BI335/BI332,0)</f>
        <v>0.20787292817679559</v>
      </c>
      <c r="BK335" s="166">
        <f>SUMIF($D$5:$D$319,"=sos",BK5:BK319)*HLOOKUP(BK322,Verteil_rwst,15,FALSE)+SUMIF($D$5:$D$319,"=som",BK5:BK319)*HLOOKUP(BK322,Verteil_rwst,16,FALSE)+SUMIF($D$5:$D$319,"=sor",BK5:BK319)*HLOOKUP(BK322,Verteil_rwst,17,FALSE)+SUMIF($D$5:$D$319,"=soz",BK5:BK319)*HLOOKUP(BK322,Verteil_rwst,18,FALSE)</f>
        <v>15050</v>
      </c>
      <c r="BL335" s="90">
        <f t="shared" ref="BL335" si="740">IF(BK332&lt;&gt;0,BK335/BK332,0)</f>
        <v>0.22051282051282051</v>
      </c>
      <c r="BM335" s="611" t="s">
        <v>171</v>
      </c>
      <c r="BR335" s="381"/>
      <c r="BV335" s="166">
        <f>SUMIF($D$5:$D$319,"=sos",BV5:BV319)*HLOOKUP(BX322,Verteil_rwst,15,FALSE)+SUMIF($D$5:$D$319,"=som",BV5:BV319)*HLOOKUP(BX322,Verteil_rwst,16,FALSE)+SUMIF($D$5:$D$319,"=sor",BV5:BV319)*HLOOKUP(BX322,Verteil_rwst,17,FALSE)+SUMIF($D$5:$D$319,"=soz",BV5:BV319)*HLOOKUP(BX322,Verteil_rwst,18,FALSE)</f>
        <v>526750</v>
      </c>
      <c r="BW335" s="90">
        <f t="shared" ref="BW335" si="741">IF(BV332&lt;&gt;0,BV335/BV332,0)</f>
        <v>0.20787292817679559</v>
      </c>
      <c r="BX335" s="166">
        <f>SUMIF($D$5:$D$319,"=sos",BX5:BX319)*HLOOKUP(BX322,Verteil_rwst,15,FALSE)+SUMIF($D$5:$D$319,"=som",BX5:BX319)*HLOOKUP(BX322,Verteil_rwst,16,FALSE)+SUMIF($D$5:$D$319,"=sor",BX5:BX319)*HLOOKUP(BX322,Verteil_rwst,17,FALSE)+SUMIF($D$5:$D$319,"=soz",BX5:BX319)*HLOOKUP(BX322,Verteil_rwst,18,FALSE)</f>
        <v>14343.75</v>
      </c>
      <c r="BY335" s="90">
        <f t="shared" ref="BY335" si="742">IF(BX332&lt;&gt;0,BX335/BX332,0)</f>
        <v>0.21923958731371801</v>
      </c>
      <c r="BZ335" s="611" t="s">
        <v>171</v>
      </c>
      <c r="CE335" s="381"/>
      <c r="CI335" s="166">
        <f>SUMIF($D$5:$D$319,"=sos",CI5:CI319)*HLOOKUP(CK322,Verteil_rwst,15,FALSE)+SUMIF($D$5:$D$319,"=som",CI5:CI319)*HLOOKUP(CK322,Verteil_rwst,16,FALSE)+SUMIF($D$5:$D$319,"=sor",CI5:CI319)*HLOOKUP(CK322,Verteil_rwst,17,FALSE)+SUMIF($D$5:$D$319,"=soz",CI5:CI319)*HLOOKUP(CK322,Verteil_rwst,18,FALSE)</f>
        <v>526750</v>
      </c>
      <c r="CJ335" s="90">
        <f t="shared" ref="CJ335" si="743">IF(CI332&lt;&gt;0,CI335/CI332,0)</f>
        <v>0.20787292817679559</v>
      </c>
      <c r="CK335" s="166">
        <f>SUMIF($D$5:$D$319,"=sos",CK5:CK319)*HLOOKUP(CK322,Verteil_rwst,15,FALSE)+SUMIF($D$5:$D$319,"=som",CK5:CK319)*HLOOKUP(CK322,Verteil_rwst,16,FALSE)+SUMIF($D$5:$D$319,"=sor",CK5:CK319)*HLOOKUP(CK322,Verteil_rwst,17,FALSE)+SUMIF($D$5:$D$319,"=soz",CK5:CK319)*HLOOKUP(CK322,Verteil_rwst,18,FALSE)</f>
        <v>13200</v>
      </c>
      <c r="CL335" s="90">
        <f t="shared" ref="CL335" si="744">IF(CK332&lt;&gt;0,CK335/CK332,0)</f>
        <v>0.21692686935086278</v>
      </c>
      <c r="CM335" s="611" t="s">
        <v>171</v>
      </c>
      <c r="CR335" s="381"/>
      <c r="CV335" s="166">
        <f>SUMIF($D$5:$D$319,"=sos",CV5:CV319)*HLOOKUP(CX322,Verteil_rwst,15,FALSE)+SUMIF($D$5:$D$319,"=som",CV5:CV319)*HLOOKUP(CX322,Verteil_rwst,16,FALSE)+SUMIF($D$5:$D$319,"=sor",CV5:CV319)*HLOOKUP(CX322,Verteil_rwst,17,FALSE)+SUMIF($D$5:$D$319,"=soz",CV5:CV319)*HLOOKUP(CX322,Verteil_rwst,18,FALSE)</f>
        <v>526750</v>
      </c>
      <c r="CW335" s="90">
        <f t="shared" ref="CW335" si="745">IF(CV332&lt;&gt;0,CV335/CV332,0)</f>
        <v>0.20787292817679559</v>
      </c>
      <c r="CX335" s="166">
        <f>SUMIF($D$5:$D$319,"=sos",CX5:CX319)*HLOOKUP(CX322,Verteil_rwst,15,FALSE)+SUMIF($D$5:$D$319,"=som",CX5:CX319)*HLOOKUP(CX322,Verteil_rwst,16,FALSE)+SUMIF($D$5:$D$319,"=sor",CX5:CX319)*HLOOKUP(CX322,Verteil_rwst,17,FALSE)+SUMIF($D$5:$D$319,"=soz",CX5:CX319)*HLOOKUP(CX322,Verteil_rwst,18,FALSE)</f>
        <v>12762.5</v>
      </c>
      <c r="CY335" s="90">
        <f t="shared" ref="CY335" si="746">IF(CX332&lt;&gt;0,CX335/CX332,0)</f>
        <v>0.21594754653130288</v>
      </c>
      <c r="CZ335" s="611" t="s">
        <v>171</v>
      </c>
      <c r="DE335" s="381"/>
      <c r="DI335" s="166">
        <f>SUMIF($D$5:$D$319,"=sos",DI5:DI319)*HLOOKUP(DK322,Verteil_rwst,15,FALSE)+SUMIF($D$5:$D$319,"=som",DI5:DI319)*HLOOKUP(DK322,Verteil_rwst,16,FALSE)+SUMIF($D$5:$D$319,"=sor",DI5:DI319)*HLOOKUP(DK322,Verteil_rwst,17,FALSE)+SUMIF($D$5:$D$319,"=soz",DI5:DI319)*HLOOKUP(DK322,Verteil_rwst,18,FALSE)</f>
        <v>526750</v>
      </c>
      <c r="DJ335" s="90">
        <f t="shared" ref="DJ335" si="747">IF(DI332&lt;&gt;0,DI335/DI332,0)</f>
        <v>0.20787292817679559</v>
      </c>
      <c r="DK335" s="166">
        <f>SUMIF($D$5:$D$319,"=sos",DK5:DK319)*HLOOKUP(DK322,Verteil_rwst,15,FALSE)+SUMIF($D$5:$D$319,"=som",DK5:DK319)*HLOOKUP(DK322,Verteil_rwst,16,FALSE)+SUMIF($D$5:$D$319,"=sor",DK5:DK319)*HLOOKUP(DK322,Verteil_rwst,17,FALSE)+SUMIF($D$5:$D$319,"=soz",DK5:DK319)*HLOOKUP(DK322,Verteil_rwst,18,FALSE)</f>
        <v>12762.5</v>
      </c>
      <c r="DL335" s="90">
        <f t="shared" ref="DL335" si="748">IF(DK332&lt;&gt;0,DK335/DK332,0)</f>
        <v>0.21594754653130288</v>
      </c>
      <c r="DM335" s="611" t="s">
        <v>171</v>
      </c>
      <c r="DR335" s="381"/>
      <c r="DV335" s="166">
        <f>SUMIF($D$5:$D$319,"=sos",DV5:DV319)*HLOOKUP(DX322,Verteil_rwst,15,FALSE)+SUMIF($D$5:$D$319,"=som",DV5:DV319)*HLOOKUP(DX322,Verteil_rwst,16,FALSE)+SUMIF($D$5:$D$319,"=sor",DV5:DV319)*HLOOKUP(DX322,Verteil_rwst,17,FALSE)+SUMIF($D$5:$D$319,"=soz",DV5:DV319)*HLOOKUP(DX322,Verteil_rwst,18,FALSE)</f>
        <v>526750</v>
      </c>
      <c r="DW335" s="90">
        <f t="shared" ref="DW335" si="749">IF(DV332&lt;&gt;0,DV335/DV332,0)</f>
        <v>0.20787292817679559</v>
      </c>
      <c r="DX335" s="166">
        <f>SUMIF($D$5:$D$319,"=sos",DX5:DX319)*HLOOKUP(DX322,Verteil_rwst,15,FALSE)+SUMIF($D$5:$D$319,"=som",DX5:DX319)*HLOOKUP(DX322,Verteil_rwst,16,FALSE)+SUMIF($D$5:$D$319,"=sor",DX5:DX319)*HLOOKUP(DX322,Verteil_rwst,17,FALSE)+SUMIF($D$5:$D$319,"=soz",DX5:DX319)*HLOOKUP(DX322,Verteil_rwst,18,FALSE)</f>
        <v>12762.5</v>
      </c>
      <c r="DY335" s="90">
        <f t="shared" ref="DY335" si="750">IF(DX332&lt;&gt;0,DX335/DX332,0)</f>
        <v>0.21594754653130288</v>
      </c>
      <c r="DZ335" s="611" t="s">
        <v>171</v>
      </c>
    </row>
    <row r="336" spans="1:134" s="10" customFormat="1" ht="14.5" customHeight="1" x14ac:dyDescent="0.35">
      <c r="A336" s="562" t="s">
        <v>174</v>
      </c>
      <c r="Q336" s="225">
        <v>15</v>
      </c>
      <c r="R336" s="381"/>
      <c r="V336" s="166">
        <f>SUMIF($D$5:$D$319,"=has",V5:V319)+SUMIF($D$5:$D$319,"=ham",V5:V319)+SUMIF($D$5:$D$319,"=har",V5:V319)+SUMIF($D$5:$D$319,"=haz",V5:V319)</f>
        <v>2172000</v>
      </c>
      <c r="W336" s="90">
        <f t="shared" ref="W336:Y336" si="751">SUM(W337:W339)</f>
        <v>1</v>
      </c>
      <c r="X336" s="166">
        <f>SUMIF($D$5:$D$319,"=has",X5:X319)+SUMIF($D$5:$D$319,"=ham",X5:X319)+SUMIF($D$5:$D$319,"=har",X5:X319)+SUMIF($D$5:$D$319,"=haz",X5:X319)</f>
        <v>24540</v>
      </c>
      <c r="Y336" s="90">
        <f t="shared" si="751"/>
        <v>1</v>
      </c>
      <c r="Z336" s="562" t="s">
        <v>174</v>
      </c>
      <c r="AE336" s="381"/>
      <c r="AI336" s="166">
        <f>SUMIF($D$5:$D$319,"=has",AI5:AI319)+SUMIF($D$5:$D$319,"=ham",AI5:AI319)+SUMIF($D$5:$D$319,"=har",AI5:AI319)+SUMIF($D$5:$D$319,"=haz",AI5:AI319)</f>
        <v>2172000</v>
      </c>
      <c r="AJ336" s="90">
        <f t="shared" ref="AJ336" si="752">SUM(AJ337:AJ339)</f>
        <v>1</v>
      </c>
      <c r="AK336" s="166">
        <f>SUMIF($D$5:$D$319,"=has",AK5:AK319)+SUMIF($D$5:$D$319,"=ham",AK5:AK319)+SUMIF($D$5:$D$319,"=har",AK5:AK319)+SUMIF($D$5:$D$319,"=haz",AK5:AK319)</f>
        <v>24540</v>
      </c>
      <c r="AL336" s="90">
        <f t="shared" ref="AL336" si="753">SUM(AL337:AL339)</f>
        <v>1</v>
      </c>
      <c r="AM336" s="612" t="s">
        <v>174</v>
      </c>
      <c r="AR336" s="381"/>
      <c r="AV336" s="166">
        <f>SUMIF($D$5:$D$319,"=has",AV5:AV319)+SUMIF($D$5:$D$319,"=ham",AV5:AV319)+SUMIF($D$5:$D$319,"=har",AV5:AV319)+SUMIF($D$5:$D$319,"=haz",AV5:AV319)</f>
        <v>2172000</v>
      </c>
      <c r="AW336" s="90">
        <f t="shared" ref="AW336" si="754">SUM(AW337:AW339)</f>
        <v>1</v>
      </c>
      <c r="AX336" s="166">
        <f>SUMIF($D$5:$D$319,"=has",AX5:AX319)+SUMIF($D$5:$D$319,"=ham",AX5:AX319)+SUMIF($D$5:$D$319,"=har",AX5:AX319)+SUMIF($D$5:$D$319,"=haz",AX5:AX319)</f>
        <v>24540</v>
      </c>
      <c r="AY336" s="90">
        <f t="shared" ref="AY336" si="755">SUM(AY337:AY339)</f>
        <v>1</v>
      </c>
      <c r="AZ336" s="612" t="s">
        <v>174</v>
      </c>
      <c r="BE336" s="381"/>
      <c r="BI336" s="166">
        <f>SUMIF($D$5:$D$319,"=has",BI5:BI319)+SUMIF($D$5:$D$319,"=ham",BI5:BI319)+SUMIF($D$5:$D$319,"=har",BI5:BI319)+SUMIF($D$5:$D$319,"=haz",BI5:BI319)</f>
        <v>2172000</v>
      </c>
      <c r="BJ336" s="90">
        <f t="shared" ref="BJ336" si="756">SUM(BJ337:BJ339)</f>
        <v>1</v>
      </c>
      <c r="BK336" s="166">
        <f>SUMIF($D$5:$D$319,"=has",BK5:BK319)+SUMIF($D$5:$D$319,"=ham",BK5:BK319)+SUMIF($D$5:$D$319,"=har",BK5:BK319)+SUMIF($D$5:$D$319,"=haz",BK5:BK319)</f>
        <v>24540</v>
      </c>
      <c r="BL336" s="90">
        <f t="shared" ref="BL336" si="757">SUM(BL337:BL339)</f>
        <v>1</v>
      </c>
      <c r="BM336" s="612" t="s">
        <v>174</v>
      </c>
      <c r="BR336" s="381"/>
      <c r="BV336" s="166">
        <f>SUMIF($D$5:$D$319,"=has",BV5:BV319)+SUMIF($D$5:$D$319,"=ham",BV5:BV319)+SUMIF($D$5:$D$319,"=har",BV5:BV319)+SUMIF($D$5:$D$319,"=haz",BV5:BV319)</f>
        <v>2172000</v>
      </c>
      <c r="BW336" s="90">
        <f t="shared" ref="BW336" si="758">SUM(BW337:BW339)</f>
        <v>1</v>
      </c>
      <c r="BX336" s="166">
        <f>SUMIF($D$5:$D$319,"=has",BX5:BX319)+SUMIF($D$5:$D$319,"=ham",BX5:BX319)+SUMIF($D$5:$D$319,"=har",BX5:BX319)+SUMIF($D$5:$D$319,"=haz",BX5:BX319)</f>
        <v>24540</v>
      </c>
      <c r="BY336" s="90">
        <f t="shared" ref="BY336" si="759">SUM(BY337:BY339)</f>
        <v>1</v>
      </c>
      <c r="BZ336" s="612" t="s">
        <v>174</v>
      </c>
      <c r="CE336" s="381"/>
      <c r="CI336" s="166">
        <f>SUMIF($D$5:$D$319,"=has",CI5:CI319)+SUMIF($D$5:$D$319,"=ham",CI5:CI319)+SUMIF($D$5:$D$319,"=har",CI5:CI319)+SUMIF($D$5:$D$319,"=haz",CI5:CI319)</f>
        <v>2172000</v>
      </c>
      <c r="CJ336" s="90">
        <f t="shared" ref="CJ336" si="760">SUM(CJ337:CJ339)</f>
        <v>1</v>
      </c>
      <c r="CK336" s="166">
        <f>SUMIF($D$5:$D$319,"=has",CK5:CK319)+SUMIF($D$5:$D$319,"=ham",CK5:CK319)+SUMIF($D$5:$D$319,"=har",CK5:CK319)+SUMIF($D$5:$D$319,"=haz",CK5:CK319)</f>
        <v>24540</v>
      </c>
      <c r="CL336" s="90">
        <f t="shared" ref="CL336" si="761">SUM(CL337:CL339)</f>
        <v>1</v>
      </c>
      <c r="CM336" s="612" t="s">
        <v>174</v>
      </c>
      <c r="CR336" s="381"/>
      <c r="CV336" s="166">
        <f>SUMIF($D$5:$D$319,"=has",CV5:CV319)+SUMIF($D$5:$D$319,"=ham",CV5:CV319)+SUMIF($D$5:$D$319,"=har",CV5:CV319)+SUMIF($D$5:$D$319,"=haz",CV5:CV319)</f>
        <v>2172000</v>
      </c>
      <c r="CW336" s="90">
        <f t="shared" ref="CW336" si="762">SUM(CW337:CW339)</f>
        <v>1</v>
      </c>
      <c r="CX336" s="166">
        <f>SUMIF($D$5:$D$319,"=has",CX5:CX319)+SUMIF($D$5:$D$319,"=ham",CX5:CX319)+SUMIF($D$5:$D$319,"=har",CX5:CX319)+SUMIF($D$5:$D$319,"=haz",CX5:CX319)</f>
        <v>24540</v>
      </c>
      <c r="CY336" s="90">
        <f t="shared" ref="CY336" si="763">SUM(CY337:CY339)</f>
        <v>1</v>
      </c>
      <c r="CZ336" s="612" t="s">
        <v>174</v>
      </c>
      <c r="DE336" s="381"/>
      <c r="DI336" s="166">
        <f>SUMIF($D$5:$D$319,"=has",DI5:DI319)+SUMIF($D$5:$D$319,"=ham",DI5:DI319)+SUMIF($D$5:$D$319,"=har",DI5:DI319)+SUMIF($D$5:$D$319,"=haz",DI5:DI319)</f>
        <v>2172000</v>
      </c>
      <c r="DJ336" s="90">
        <f t="shared" ref="DJ336" si="764">SUM(DJ337:DJ339)</f>
        <v>1</v>
      </c>
      <c r="DK336" s="166">
        <f>SUMIF($D$5:$D$319,"=has",DK5:DK319)+SUMIF($D$5:$D$319,"=ham",DK5:DK319)+SUMIF($D$5:$D$319,"=har",DK5:DK319)+SUMIF($D$5:$D$319,"=haz",DK5:DK319)</f>
        <v>24540</v>
      </c>
      <c r="DL336" s="90">
        <f t="shared" ref="DL336" si="765">SUM(DL337:DL339)</f>
        <v>1</v>
      </c>
      <c r="DM336" s="612" t="s">
        <v>174</v>
      </c>
      <c r="DR336" s="381"/>
      <c r="DV336" s="166">
        <f>SUMIF($D$5:$D$319,"=has",DV5:DV319)+SUMIF($D$5:$D$319,"=ham",DV5:DV319)+SUMIF($D$5:$D$319,"=har",DV5:DV319)+SUMIF($D$5:$D$319,"=haz",DV5:DV319)</f>
        <v>2172000</v>
      </c>
      <c r="DW336" s="90">
        <f t="shared" ref="DW336" si="766">SUM(DW337:DW339)</f>
        <v>1</v>
      </c>
      <c r="DX336" s="166">
        <f>SUMIF($D$5:$D$319,"=has",DX5:DX319)+SUMIF($D$5:$D$319,"=ham",DX5:DX319)+SUMIF($D$5:$D$319,"=har",DX5:DX319)+SUMIF($D$5:$D$319,"=haz",DX5:DX319)</f>
        <v>24540</v>
      </c>
      <c r="DY336" s="90">
        <f t="shared" ref="DY336" si="767">SUM(DY337:DY339)</f>
        <v>1</v>
      </c>
      <c r="DZ336" s="612" t="s">
        <v>174</v>
      </c>
    </row>
    <row r="337" spans="1:133" s="10" customFormat="1" ht="14.5" customHeight="1" x14ac:dyDescent="0.35">
      <c r="A337" s="563" t="s">
        <v>169</v>
      </c>
      <c r="Q337" s="225">
        <v>16</v>
      </c>
      <c r="R337" s="381"/>
      <c r="V337" s="166">
        <f>SUMIF($D$5:$D$319,"=has",V5:V319)*HLOOKUP(X322,Verteil_sw,22,FALSE)+SUMIF($D$5:$D$319,"=ham",V5:V319)*HLOOKUP(X322,Verteil_sw,23,FALSE)+SUMIF($D$5:$D$319,"=har",V5:V319)*HLOOKUP(X322,Verteil_sw,24,FALSE)+SUMIF($D$5:$D$319,"=haz",V5:V319)*HLOOKUP(X322,Verteil_sw,25,FALSE)</f>
        <v>1177500</v>
      </c>
      <c r="W337" s="90">
        <f t="shared" ref="W337:Y337" si="768">IF(V336&lt;&gt;0,V337/V336,0)</f>
        <v>0.54212707182320441</v>
      </c>
      <c r="X337" s="166">
        <f>SUMIF($D$5:$D$319,"=has",X5:X319)*HLOOKUP(X322,Verteil_sw,22,FALSE)+SUMIF($D$5:$D$319,"=ham",X5:X319)*HLOOKUP(X322,Verteil_sw,23,FALSE)+SUMIF($D$5:$D$319,"=har",X5:X319)*HLOOKUP(X322,Verteil_sw,24,FALSE)+SUMIF($D$5:$D$319,"=haz",X5:X319)*HLOOKUP(X322,Verteil_sw,25,FALSE)</f>
        <v>14100</v>
      </c>
      <c r="Y337" s="90">
        <f t="shared" si="768"/>
        <v>0.57457212713936434</v>
      </c>
      <c r="Z337" s="563" t="s">
        <v>169</v>
      </c>
      <c r="AE337" s="381"/>
      <c r="AI337" s="166">
        <f>SUMIF($D$5:$D$319,"=has",AI5:AI319)*HLOOKUP(AK322,Verteil_sw,22,FALSE)+SUMIF($D$5:$D$319,"=ham",AI5:AI319)*HLOOKUP(AK322,Verteil_sw,23,FALSE)+SUMIF($D$5:$D$319,"=har",AI5:AI319)*HLOOKUP(AK322,Verteil_sw,24,FALSE)+SUMIF($D$5:$D$319,"=haz",AI5:AI319)*HLOOKUP(AK322,Verteil_sw,25,FALSE)</f>
        <v>1177500</v>
      </c>
      <c r="AJ337" s="90">
        <f t="shared" ref="AJ337" si="769">IF(AI336&lt;&gt;0,AI337/AI336,0)</f>
        <v>0.54212707182320441</v>
      </c>
      <c r="AK337" s="166">
        <f>SUMIF($D$5:$D$319,"=has",AK5:AK319)*HLOOKUP(AK322,Verteil_sw,22,FALSE)+SUMIF($D$5:$D$319,"=ham",AK5:AK319)*HLOOKUP(AK322,Verteil_sw,23,FALSE)+SUMIF($D$5:$D$319,"=har",AK5:AK319)*HLOOKUP(AK322,Verteil_sw,24,FALSE)+SUMIF($D$5:$D$319,"=haz",AK5:AK319)*HLOOKUP(AK322,Verteil_sw,25,FALSE)</f>
        <v>14100</v>
      </c>
      <c r="AL337" s="90">
        <f t="shared" ref="AL337" si="770">IF(AK336&lt;&gt;0,AK337/AK336,0)</f>
        <v>0.57457212713936434</v>
      </c>
      <c r="AM337" s="611" t="s">
        <v>169</v>
      </c>
      <c r="AR337" s="381"/>
      <c r="AV337" s="166">
        <f>SUMIF($D$5:$D$319,"=has",AV5:AV319)*HLOOKUP(AX322,Verteil_sw,22,FALSE)+SUMIF($D$5:$D$319,"=ham",AV5:AV319)*HLOOKUP(AX322,Verteil_sw,23,FALSE)+SUMIF($D$5:$D$319,"=har",AV5:AV319)*HLOOKUP(AX322,Verteil_sw,24,FALSE)+SUMIF($D$5:$D$319,"=haz",AV5:AV319)*HLOOKUP(AX322,Verteil_sw,25,FALSE)</f>
        <v>1177500</v>
      </c>
      <c r="AW337" s="90">
        <f t="shared" ref="AW337" si="771">IF(AV336&lt;&gt;0,AV337/AV336,0)</f>
        <v>0.54212707182320441</v>
      </c>
      <c r="AX337" s="166">
        <f>SUMIF($D$5:$D$319,"=has",AX5:AX319)*HLOOKUP(AX322,Verteil_sw,22,FALSE)+SUMIF($D$5:$D$319,"=ham",AX5:AX319)*HLOOKUP(AX322,Verteil_sw,23,FALSE)+SUMIF($D$5:$D$319,"=har",AX5:AX319)*HLOOKUP(AX322,Verteil_sw,24,FALSE)+SUMIF($D$5:$D$319,"=haz",AX5:AX319)*HLOOKUP(AX322,Verteil_sw,25,FALSE)</f>
        <v>14100</v>
      </c>
      <c r="AY337" s="90">
        <f t="shared" ref="AY337" si="772">IF(AX336&lt;&gt;0,AX337/AX336,0)</f>
        <v>0.57457212713936434</v>
      </c>
      <c r="AZ337" s="611" t="s">
        <v>169</v>
      </c>
      <c r="BE337" s="381"/>
      <c r="BI337" s="166">
        <f>SUMIF($D$5:$D$319,"=has",BI5:BI319)*HLOOKUP(BK322,Verteil_sw,22,FALSE)+SUMIF($D$5:$D$319,"=ham",BI5:BI319)*HLOOKUP(BK322,Verteil_sw,23,FALSE)+SUMIF($D$5:$D$319,"=har",BI5:BI319)*HLOOKUP(BK322,Verteil_sw,24,FALSE)+SUMIF($D$5:$D$319,"=haz",BI5:BI319)*HLOOKUP(BK322,Verteil_sw,25,FALSE)</f>
        <v>1177500</v>
      </c>
      <c r="BJ337" s="90">
        <f t="shared" ref="BJ337" si="773">IF(BI336&lt;&gt;0,BI337/BI336,0)</f>
        <v>0.54212707182320441</v>
      </c>
      <c r="BK337" s="166">
        <f>SUMIF($D$5:$D$319,"=has",BK5:BK319)*HLOOKUP(BK322,Verteil_sw,22,FALSE)+SUMIF($D$5:$D$319,"=ham",BK5:BK319)*HLOOKUP(BK322,Verteil_sw,23,FALSE)+SUMIF($D$5:$D$319,"=har",BK5:BK319)*HLOOKUP(BK322,Verteil_sw,24,FALSE)+SUMIF($D$5:$D$319,"=haz",BK5:BK319)*HLOOKUP(BK322,Verteil_sw,25,FALSE)</f>
        <v>14100</v>
      </c>
      <c r="BL337" s="90">
        <f t="shared" ref="BL337" si="774">IF(BK336&lt;&gt;0,BK337/BK336,0)</f>
        <v>0.57457212713936434</v>
      </c>
      <c r="BM337" s="611" t="s">
        <v>169</v>
      </c>
      <c r="BR337" s="381"/>
      <c r="BV337" s="166">
        <f>SUMIF($D$5:$D$319,"=has",BV5:BV319)*HLOOKUP(BX322,Verteil_sw,22,FALSE)+SUMIF($D$5:$D$319,"=ham",BV5:BV319)*HLOOKUP(BX322,Verteil_sw,23,FALSE)+SUMIF($D$5:$D$319,"=har",BV5:BV319)*HLOOKUP(BX322,Verteil_sw,24,FALSE)+SUMIF($D$5:$D$319,"=haz",BV5:BV319)*HLOOKUP(BX322,Verteil_sw,25,FALSE)</f>
        <v>1177500</v>
      </c>
      <c r="BW337" s="90">
        <f t="shared" ref="BW337" si="775">IF(BV336&lt;&gt;0,BV337/BV336,0)</f>
        <v>0.54212707182320441</v>
      </c>
      <c r="BX337" s="166">
        <f>SUMIF($D$5:$D$319,"=has",BX5:BX319)*HLOOKUP(BX322,Verteil_sw,22,FALSE)+SUMIF($D$5:$D$319,"=ham",BX5:BX319)*HLOOKUP(BX322,Verteil_sw,23,FALSE)+SUMIF($D$5:$D$319,"=har",BX5:BX319)*HLOOKUP(BX322,Verteil_sw,24,FALSE)+SUMIF($D$5:$D$319,"=haz",BX5:BX319)*HLOOKUP(BX322,Verteil_sw,25,FALSE)</f>
        <v>14100</v>
      </c>
      <c r="BY337" s="90">
        <f t="shared" ref="BY337" si="776">IF(BX336&lt;&gt;0,BX337/BX336,0)</f>
        <v>0.57457212713936434</v>
      </c>
      <c r="BZ337" s="611" t="s">
        <v>169</v>
      </c>
      <c r="CE337" s="381"/>
      <c r="CI337" s="166">
        <f>SUMIF($D$5:$D$319,"=has",CI5:CI319)*HLOOKUP(CK322,Verteil_sw,22,FALSE)+SUMIF($D$5:$D$319,"=ham",CI5:CI319)*HLOOKUP(CK322,Verteil_sw,23,FALSE)+SUMIF($D$5:$D$319,"=har",CI5:CI319)*HLOOKUP(CK322,Verteil_sw,24,FALSE)+SUMIF($D$5:$D$319,"=haz",CI5:CI319)*HLOOKUP(CK322,Verteil_sw,25,FALSE)</f>
        <v>1177500</v>
      </c>
      <c r="CJ337" s="90">
        <f t="shared" ref="CJ337" si="777">IF(CI336&lt;&gt;0,CI337/CI336,0)</f>
        <v>0.54212707182320441</v>
      </c>
      <c r="CK337" s="166">
        <f>SUMIF($D$5:$D$319,"=has",CK5:CK319)*HLOOKUP(CK322,Verteil_sw,22,FALSE)+SUMIF($D$5:$D$319,"=ham",CK5:CK319)*HLOOKUP(CK322,Verteil_sw,23,FALSE)+SUMIF($D$5:$D$319,"=har",CK5:CK319)*HLOOKUP(CK322,Verteil_sw,24,FALSE)+SUMIF($D$5:$D$319,"=haz",CK5:CK319)*HLOOKUP(CK322,Verteil_sw,25,FALSE)</f>
        <v>14100</v>
      </c>
      <c r="CL337" s="90">
        <f t="shared" ref="CL337" si="778">IF(CK336&lt;&gt;0,CK337/CK336,0)</f>
        <v>0.57457212713936434</v>
      </c>
      <c r="CM337" s="611" t="s">
        <v>169</v>
      </c>
      <c r="CR337" s="381"/>
      <c r="CV337" s="166">
        <f>SUMIF($D$5:$D$319,"=has",CV5:CV319)*HLOOKUP(CX322,Verteil_sw,22,FALSE)+SUMIF($D$5:$D$319,"=ham",CV5:CV319)*HLOOKUP(CX322,Verteil_sw,23,FALSE)+SUMIF($D$5:$D$319,"=har",CV5:CV319)*HLOOKUP(CX322,Verteil_sw,24,FALSE)+SUMIF($D$5:$D$319,"=haz",CV5:CV319)*HLOOKUP(CX322,Verteil_sw,25,FALSE)</f>
        <v>1177500</v>
      </c>
      <c r="CW337" s="90">
        <f t="shared" ref="CW337" si="779">IF(CV336&lt;&gt;0,CV337/CV336,0)</f>
        <v>0.54212707182320441</v>
      </c>
      <c r="CX337" s="166">
        <f>SUMIF($D$5:$D$319,"=has",CX5:CX319)*HLOOKUP(CX322,Verteil_sw,22,FALSE)+SUMIF($D$5:$D$319,"=ham",CX5:CX319)*HLOOKUP(CX322,Verteil_sw,23,FALSE)+SUMIF($D$5:$D$319,"=har",CX5:CX319)*HLOOKUP(CX322,Verteil_sw,24,FALSE)+SUMIF($D$5:$D$319,"=haz",CX5:CX319)*HLOOKUP(CX322,Verteil_sw,25,FALSE)</f>
        <v>14100</v>
      </c>
      <c r="CY337" s="90">
        <f t="shared" ref="CY337" si="780">IF(CX336&lt;&gt;0,CX337/CX336,0)</f>
        <v>0.57457212713936434</v>
      </c>
      <c r="CZ337" s="611" t="s">
        <v>169</v>
      </c>
      <c r="DE337" s="381"/>
      <c r="DI337" s="166">
        <f>SUMIF($D$5:$D$319,"=has",DI5:DI319)*HLOOKUP(DK322,Verteil_sw,22,FALSE)+SUMIF($D$5:$D$319,"=ham",DI5:DI319)*HLOOKUP(DK322,Verteil_sw,23,FALSE)+SUMIF($D$5:$D$319,"=har",DI5:DI319)*HLOOKUP(DK322,Verteil_sw,24,FALSE)+SUMIF($D$5:$D$319,"=haz",DI5:DI319)*HLOOKUP(DK322,Verteil_sw,25,FALSE)</f>
        <v>1177500</v>
      </c>
      <c r="DJ337" s="90">
        <f t="shared" ref="DJ337" si="781">IF(DI336&lt;&gt;0,DI337/DI336,0)</f>
        <v>0.54212707182320441</v>
      </c>
      <c r="DK337" s="166">
        <f>SUMIF($D$5:$D$319,"=has",DK5:DK319)*HLOOKUP(DK322,Verteil_sw,22,FALSE)+SUMIF($D$5:$D$319,"=ham",DK5:DK319)*HLOOKUP(DK322,Verteil_sw,23,FALSE)+SUMIF($D$5:$D$319,"=har",DK5:DK319)*HLOOKUP(DK322,Verteil_sw,24,FALSE)+SUMIF($D$5:$D$319,"=haz",DK5:DK319)*HLOOKUP(DK322,Verteil_sw,25,FALSE)</f>
        <v>14100</v>
      </c>
      <c r="DL337" s="90">
        <f t="shared" ref="DL337" si="782">IF(DK336&lt;&gt;0,DK337/DK336,0)</f>
        <v>0.57457212713936434</v>
      </c>
      <c r="DM337" s="611" t="s">
        <v>169</v>
      </c>
      <c r="DR337" s="381"/>
      <c r="DV337" s="166">
        <f>SUMIF($D$5:$D$319,"=has",DV5:DV319)*HLOOKUP(DX322,Verteil_sw,22,FALSE)+SUMIF($D$5:$D$319,"=ham",DV5:DV319)*HLOOKUP(DX322,Verteil_sw,23,FALSE)+SUMIF($D$5:$D$319,"=har",DV5:DV319)*HLOOKUP(DX322,Verteil_sw,24,FALSE)+SUMIF($D$5:$D$319,"=haz",DV5:DV319)*HLOOKUP(DX322,Verteil_sw,25,FALSE)</f>
        <v>1177500</v>
      </c>
      <c r="DW337" s="90">
        <f t="shared" ref="DW337" si="783">IF(DV336&lt;&gt;0,DV337/DV336,0)</f>
        <v>0.54212707182320441</v>
      </c>
      <c r="DX337" s="166">
        <f>SUMIF($D$5:$D$319,"=has",DX5:DX319)*HLOOKUP(DX322,Verteil_sw,22,FALSE)+SUMIF($D$5:$D$319,"=ham",DX5:DX319)*HLOOKUP(DX322,Verteil_sw,23,FALSE)+SUMIF($D$5:$D$319,"=har",DX5:DX319)*HLOOKUP(DX322,Verteil_sw,24,FALSE)+SUMIF($D$5:$D$319,"=haz",DX5:DX319)*HLOOKUP(DX322,Verteil_sw,25,FALSE)</f>
        <v>14100</v>
      </c>
      <c r="DY337" s="90">
        <f t="shared" ref="DY337" si="784">IF(DX336&lt;&gt;0,DX337/DX336,0)</f>
        <v>0.57457212713936434</v>
      </c>
      <c r="DZ337" s="611" t="s">
        <v>169</v>
      </c>
    </row>
    <row r="338" spans="1:133" s="10" customFormat="1" ht="14.5" customHeight="1" x14ac:dyDescent="0.35">
      <c r="A338" s="563" t="s">
        <v>170</v>
      </c>
      <c r="Q338" s="225">
        <v>17</v>
      </c>
      <c r="R338" s="381"/>
      <c r="V338" s="166">
        <f>SUMIF($D$5:$D$319,"=has",V5:V319)*HLOOKUP(X322,Verteil_rwgr,21,FALSE)+SUMIF($D$5:$D$319,"=ham",V5:V319)*HLOOKUP(X322,Verteil_rwgr,22,FALSE)+SUMIF($D$5:$D$319,"=har",V5:V319)*HLOOKUP(X322,Verteil_rwgr,23,FALSE)+SUMIF($D$5:$D$319,"=haz",V5:V319)*HLOOKUP(X322,Verteil_rwgr,24,FALSE)</f>
        <v>994500</v>
      </c>
      <c r="W338" s="90">
        <f t="shared" ref="W338:Y338" si="785">IF(V336&lt;&gt;0,V338/V336,0)</f>
        <v>0.45787292817679559</v>
      </c>
      <c r="X338" s="166">
        <f>SUMIF($D$5:$D$319,"=has",X5:X319)*HLOOKUP(X322,Verteil_rwgr,21,FALSE)+SUMIF($D$5:$D$319,"=ham",X5:X319)*HLOOKUP(X322,Verteil_rwgr,22,FALSE)+SUMIF($D$5:$D$319,"=har",X5:X319)*HLOOKUP(X322,Verteil_rwgr,23,FALSE)+SUMIF($D$5:$D$319,"=haz",X5:X319)*HLOOKUP(X322,Verteil_rwgr,24,FALSE)</f>
        <v>10440</v>
      </c>
      <c r="Y338" s="90">
        <f t="shared" si="785"/>
        <v>0.42542787286063571</v>
      </c>
      <c r="Z338" s="563" t="s">
        <v>170</v>
      </c>
      <c r="AE338" s="381"/>
      <c r="AI338" s="166">
        <f>SUMIF($D$5:$D$319,"=has",AI5:AI319)*HLOOKUP(AK322,Verteil_rwgr,21,FALSE)+SUMIF($D$5:$D$319,"=ham",AI5:AI319)*HLOOKUP(AK322,Verteil_rwgr,22,FALSE)+SUMIF($D$5:$D$319,"=har",AI5:AI319)*HLOOKUP(AK322,Verteil_rwgr,23,FALSE)+SUMIF($D$5:$D$319,"=haz",AI5:AI319)*HLOOKUP(AK322,Verteil_rwgr,24,FALSE)</f>
        <v>994500</v>
      </c>
      <c r="AJ338" s="90">
        <f t="shared" ref="AJ338" si="786">IF(AI336&lt;&gt;0,AI338/AI336,0)</f>
        <v>0.45787292817679559</v>
      </c>
      <c r="AK338" s="166">
        <f>SUMIF($D$5:$D$319,"=has",AK5:AK319)*HLOOKUP(AK322,Verteil_rwgr,21,FALSE)+SUMIF($D$5:$D$319,"=ham",AK5:AK319)*HLOOKUP(AK322,Verteil_rwgr,22,FALSE)+SUMIF($D$5:$D$319,"=har",AK5:AK319)*HLOOKUP(AK322,Verteil_rwgr,23,FALSE)+SUMIF($D$5:$D$319,"=haz",AK5:AK319)*HLOOKUP(AK322,Verteil_rwgr,24,FALSE)</f>
        <v>10440</v>
      </c>
      <c r="AL338" s="90">
        <f t="shared" ref="AL338" si="787">IF(AK336&lt;&gt;0,AK338/AK336,0)</f>
        <v>0.42542787286063571</v>
      </c>
      <c r="AM338" s="611" t="s">
        <v>170</v>
      </c>
      <c r="AR338" s="381"/>
      <c r="AV338" s="166">
        <f>SUMIF($D$5:$D$319,"=has",AV5:AV319)*HLOOKUP(AX322,Verteil_rwgr,21,FALSE)+SUMIF($D$5:$D$319,"=ham",AV5:AV319)*HLOOKUP(AX322,Verteil_rwgr,22,FALSE)+SUMIF($D$5:$D$319,"=har",AV5:AV319)*HLOOKUP(AX322,Verteil_rwgr,23,FALSE)+SUMIF($D$5:$D$319,"=haz",AV5:AV319)*HLOOKUP(AX322,Verteil_rwgr,24,FALSE)</f>
        <v>994500</v>
      </c>
      <c r="AW338" s="90">
        <f t="shared" ref="AW338" si="788">IF(AV336&lt;&gt;0,AV338/AV336,0)</f>
        <v>0.45787292817679559</v>
      </c>
      <c r="AX338" s="166">
        <f>SUMIF($D$5:$D$319,"=has",AX5:AX319)*HLOOKUP(AX322,Verteil_rwgr,21,FALSE)+SUMIF($D$5:$D$319,"=ham",AX5:AX319)*HLOOKUP(AX322,Verteil_rwgr,22,FALSE)+SUMIF($D$5:$D$319,"=har",AX5:AX319)*HLOOKUP(AX322,Verteil_rwgr,23,FALSE)+SUMIF($D$5:$D$319,"=haz",AX5:AX319)*HLOOKUP(AX322,Verteil_rwgr,24,FALSE)</f>
        <v>10440</v>
      </c>
      <c r="AY338" s="90">
        <f t="shared" ref="AY338" si="789">IF(AX336&lt;&gt;0,AX338/AX336,0)</f>
        <v>0.42542787286063571</v>
      </c>
      <c r="AZ338" s="611" t="s">
        <v>170</v>
      </c>
      <c r="BE338" s="381"/>
      <c r="BI338" s="166">
        <f>SUMIF($D$5:$D$319,"=has",BI5:BI319)*HLOOKUP(BK322,Verteil_rwgr,21,FALSE)+SUMIF($D$5:$D$319,"=ham",BI5:BI319)*HLOOKUP(BK322,Verteil_rwgr,22,FALSE)+SUMIF($D$5:$D$319,"=har",BI5:BI319)*HLOOKUP(BK322,Verteil_rwgr,23,FALSE)+SUMIF($D$5:$D$319,"=haz",BI5:BI319)*HLOOKUP(BK322,Verteil_rwgr,24,FALSE)</f>
        <v>994500</v>
      </c>
      <c r="BJ338" s="90">
        <f t="shared" ref="BJ338" si="790">IF(BI336&lt;&gt;0,BI338/BI336,0)</f>
        <v>0.45787292817679559</v>
      </c>
      <c r="BK338" s="166">
        <f>SUMIF($D$5:$D$319,"=has",BK5:BK319)*HLOOKUP(BK322,Verteil_rwgr,21,FALSE)+SUMIF($D$5:$D$319,"=ham",BK5:BK319)*HLOOKUP(BK322,Verteil_rwgr,22,FALSE)+SUMIF($D$5:$D$319,"=har",BK5:BK319)*HLOOKUP(BK322,Verteil_rwgr,23,FALSE)+SUMIF($D$5:$D$319,"=haz",BK5:BK319)*HLOOKUP(BK322,Verteil_rwgr,24,FALSE)</f>
        <v>10440</v>
      </c>
      <c r="BL338" s="90">
        <f t="shared" ref="BL338" si="791">IF(BK336&lt;&gt;0,BK338/BK336,0)</f>
        <v>0.42542787286063571</v>
      </c>
      <c r="BM338" s="611" t="s">
        <v>170</v>
      </c>
      <c r="BR338" s="381"/>
      <c r="BV338" s="166">
        <f>SUMIF($D$5:$D$319,"=has",BV5:BV319)*HLOOKUP(BX322,Verteil_rwgr,21,FALSE)+SUMIF($D$5:$D$319,"=ham",BV5:BV319)*HLOOKUP(BX322,Verteil_rwgr,22,FALSE)+SUMIF($D$5:$D$319,"=har",BV5:BV319)*HLOOKUP(BX322,Verteil_rwgr,23,FALSE)+SUMIF($D$5:$D$319,"=haz",BV5:BV319)*HLOOKUP(BX322,Verteil_rwgr,24,FALSE)</f>
        <v>994500</v>
      </c>
      <c r="BW338" s="90">
        <f t="shared" ref="BW338" si="792">IF(BV336&lt;&gt;0,BV338/BV336,0)</f>
        <v>0.45787292817679559</v>
      </c>
      <c r="BX338" s="166">
        <f>SUMIF($D$5:$D$319,"=has",BX5:BX319)*HLOOKUP(BX322,Verteil_rwgr,21,FALSE)+SUMIF($D$5:$D$319,"=ham",BX5:BX319)*HLOOKUP(BX322,Verteil_rwgr,22,FALSE)+SUMIF($D$5:$D$319,"=har",BX5:BX319)*HLOOKUP(BX322,Verteil_rwgr,23,FALSE)+SUMIF($D$5:$D$319,"=haz",BX5:BX319)*HLOOKUP(BX322,Verteil_rwgr,24,FALSE)</f>
        <v>10440</v>
      </c>
      <c r="BY338" s="90">
        <f t="shared" ref="BY338" si="793">IF(BX336&lt;&gt;0,BX338/BX336,0)</f>
        <v>0.42542787286063571</v>
      </c>
      <c r="BZ338" s="611" t="s">
        <v>170</v>
      </c>
      <c r="CE338" s="381"/>
      <c r="CI338" s="166">
        <f>SUMIF($D$5:$D$319,"=has",CI5:CI319)*HLOOKUP(CK322,Verteil_rwgr,21,FALSE)+SUMIF($D$5:$D$319,"=ham",CI5:CI319)*HLOOKUP(CK322,Verteil_rwgr,22,FALSE)+SUMIF($D$5:$D$319,"=har",CI5:CI319)*HLOOKUP(CK322,Verteil_rwgr,23,FALSE)+SUMIF($D$5:$D$319,"=haz",CI5:CI319)*HLOOKUP(CK322,Verteil_rwgr,24,FALSE)</f>
        <v>994500</v>
      </c>
      <c r="CJ338" s="90">
        <f t="shared" ref="CJ338" si="794">IF(CI336&lt;&gt;0,CI338/CI336,0)</f>
        <v>0.45787292817679559</v>
      </c>
      <c r="CK338" s="166">
        <f>SUMIF($D$5:$D$319,"=has",CK5:CK319)*HLOOKUP(CK322,Verteil_rwgr,21,FALSE)+SUMIF($D$5:$D$319,"=ham",CK5:CK319)*HLOOKUP(CK322,Verteil_rwgr,22,FALSE)+SUMIF($D$5:$D$319,"=har",CK5:CK319)*HLOOKUP(CK322,Verteil_rwgr,23,FALSE)+SUMIF($D$5:$D$319,"=haz",CK5:CK319)*HLOOKUP(CK322,Verteil_rwgr,24,FALSE)</f>
        <v>10440</v>
      </c>
      <c r="CL338" s="90">
        <f t="shared" ref="CL338" si="795">IF(CK336&lt;&gt;0,CK338/CK336,0)</f>
        <v>0.42542787286063571</v>
      </c>
      <c r="CM338" s="611" t="s">
        <v>170</v>
      </c>
      <c r="CR338" s="381"/>
      <c r="CV338" s="166">
        <f>SUMIF($D$5:$D$319,"=has",CV5:CV319)*HLOOKUP(CX322,Verteil_rwgr,21,FALSE)+SUMIF($D$5:$D$319,"=ham",CV5:CV319)*HLOOKUP(CX322,Verteil_rwgr,22,FALSE)+SUMIF($D$5:$D$319,"=har",CV5:CV319)*HLOOKUP(CX322,Verteil_rwgr,23,FALSE)+SUMIF($D$5:$D$319,"=haz",CV5:CV319)*HLOOKUP(CX322,Verteil_rwgr,24,FALSE)</f>
        <v>994500</v>
      </c>
      <c r="CW338" s="90">
        <f t="shared" ref="CW338" si="796">IF(CV336&lt;&gt;0,CV338/CV336,0)</f>
        <v>0.45787292817679559</v>
      </c>
      <c r="CX338" s="166">
        <f>SUMIF($D$5:$D$319,"=has",CX5:CX319)*HLOOKUP(CX322,Verteil_rwgr,21,FALSE)+SUMIF($D$5:$D$319,"=ham",CX5:CX319)*HLOOKUP(CX322,Verteil_rwgr,22,FALSE)+SUMIF($D$5:$D$319,"=har",CX5:CX319)*HLOOKUP(CX322,Verteil_rwgr,23,FALSE)+SUMIF($D$5:$D$319,"=haz",CX5:CX319)*HLOOKUP(CX322,Verteil_rwgr,24,FALSE)</f>
        <v>10440</v>
      </c>
      <c r="CY338" s="90">
        <f t="shared" ref="CY338" si="797">IF(CX336&lt;&gt;0,CX338/CX336,0)</f>
        <v>0.42542787286063571</v>
      </c>
      <c r="CZ338" s="611" t="s">
        <v>170</v>
      </c>
      <c r="DE338" s="381"/>
      <c r="DI338" s="166">
        <f>SUMIF($D$5:$D$319,"=has",DI5:DI319)*HLOOKUP(DK322,Verteil_rwgr,21,FALSE)+SUMIF($D$5:$D$319,"=ham",DI5:DI319)*HLOOKUP(DK322,Verteil_rwgr,22,FALSE)+SUMIF($D$5:$D$319,"=har",DI5:DI319)*HLOOKUP(DK322,Verteil_rwgr,23,FALSE)+SUMIF($D$5:$D$319,"=haz",DI5:DI319)*HLOOKUP(DK322,Verteil_rwgr,24,FALSE)</f>
        <v>994500</v>
      </c>
      <c r="DJ338" s="90">
        <f t="shared" ref="DJ338" si="798">IF(DI336&lt;&gt;0,DI338/DI336,0)</f>
        <v>0.45787292817679559</v>
      </c>
      <c r="DK338" s="166">
        <f>SUMIF($D$5:$D$319,"=has",DK5:DK319)*HLOOKUP(DK322,Verteil_rwgr,21,FALSE)+SUMIF($D$5:$D$319,"=ham",DK5:DK319)*HLOOKUP(DK322,Verteil_rwgr,22,FALSE)+SUMIF($D$5:$D$319,"=har",DK5:DK319)*HLOOKUP(DK322,Verteil_rwgr,23,FALSE)+SUMIF($D$5:$D$319,"=haz",DK5:DK319)*HLOOKUP(DK322,Verteil_rwgr,24,FALSE)</f>
        <v>10440</v>
      </c>
      <c r="DL338" s="90">
        <f t="shared" ref="DL338" si="799">IF(DK336&lt;&gt;0,DK338/DK336,0)</f>
        <v>0.42542787286063571</v>
      </c>
      <c r="DM338" s="611" t="s">
        <v>170</v>
      </c>
      <c r="DR338" s="381"/>
      <c r="DV338" s="166">
        <f>SUMIF($D$5:$D$319,"=has",DV5:DV319)*HLOOKUP(DX322,Verteil_rwgr,21,FALSE)+SUMIF($D$5:$D$319,"=ham",DV5:DV319)*HLOOKUP(DX322,Verteil_rwgr,22,FALSE)+SUMIF($D$5:$D$319,"=har",DV5:DV319)*HLOOKUP(DX322,Verteil_rwgr,23,FALSE)+SUMIF($D$5:$D$319,"=haz",DV5:DV319)*HLOOKUP(DX322,Verteil_rwgr,24,FALSE)</f>
        <v>994500</v>
      </c>
      <c r="DW338" s="90">
        <f t="shared" ref="DW338" si="800">IF(DV336&lt;&gt;0,DV338/DV336,0)</f>
        <v>0.45787292817679559</v>
      </c>
      <c r="DX338" s="166">
        <f>SUMIF($D$5:$D$319,"=has",DX5:DX319)*HLOOKUP(DX322,Verteil_rwgr,21,FALSE)+SUMIF($D$5:$D$319,"=ham",DX5:DX319)*HLOOKUP(DX322,Verteil_rwgr,22,FALSE)+SUMIF($D$5:$D$319,"=har",DX5:DX319)*HLOOKUP(DX322,Verteil_rwgr,23,FALSE)+SUMIF($D$5:$D$319,"=haz",DX5:DX319)*HLOOKUP(DX322,Verteil_rwgr,24,FALSE)</f>
        <v>10440</v>
      </c>
      <c r="DY338" s="90">
        <f t="shared" ref="DY338" si="801">IF(DX336&lt;&gt;0,DX338/DX336,0)</f>
        <v>0.42542787286063571</v>
      </c>
      <c r="DZ338" s="611" t="s">
        <v>170</v>
      </c>
    </row>
    <row r="339" spans="1:133" s="10" customFormat="1" ht="14.5" customHeight="1" x14ac:dyDescent="0.35">
      <c r="A339" s="99" t="s">
        <v>175</v>
      </c>
      <c r="Q339" s="225">
        <v>18</v>
      </c>
      <c r="R339" s="381"/>
      <c r="V339" s="166"/>
      <c r="W339" s="90"/>
      <c r="X339" s="166"/>
      <c r="Y339" s="166"/>
      <c r="Z339" s="99" t="s">
        <v>175</v>
      </c>
      <c r="AE339" s="381"/>
      <c r="AI339" s="166"/>
      <c r="AJ339" s="90"/>
      <c r="AK339" s="166"/>
      <c r="AL339" s="166"/>
      <c r="AM339" s="99" t="s">
        <v>175</v>
      </c>
      <c r="AR339" s="381"/>
      <c r="AV339" s="166"/>
      <c r="AW339" s="90"/>
      <c r="AX339" s="166"/>
      <c r="AY339" s="166"/>
      <c r="AZ339" s="99" t="s">
        <v>175</v>
      </c>
      <c r="BE339" s="381"/>
      <c r="BI339" s="166"/>
      <c r="BJ339" s="90"/>
      <c r="BK339" s="166"/>
      <c r="BL339" s="166"/>
      <c r="BM339" s="99" t="s">
        <v>175</v>
      </c>
      <c r="BR339" s="381"/>
      <c r="BV339" s="166"/>
      <c r="BW339" s="90"/>
      <c r="BX339" s="166"/>
      <c r="BY339" s="166"/>
      <c r="BZ339" s="99" t="s">
        <v>175</v>
      </c>
      <c r="CE339" s="381"/>
      <c r="CI339" s="166"/>
      <c r="CJ339" s="90"/>
      <c r="CK339" s="166"/>
      <c r="CL339" s="166"/>
      <c r="CM339" s="99" t="s">
        <v>175</v>
      </c>
      <c r="CR339" s="381"/>
      <c r="CV339" s="166"/>
      <c r="CW339" s="90"/>
      <c r="CX339" s="166"/>
      <c r="CY339" s="166"/>
      <c r="CZ339" s="99" t="s">
        <v>175</v>
      </c>
      <c r="DE339" s="381"/>
      <c r="DI339" s="166"/>
      <c r="DJ339" s="90"/>
      <c r="DK339" s="166"/>
      <c r="DL339" s="166"/>
      <c r="DM339" s="99" t="s">
        <v>175</v>
      </c>
      <c r="DR339" s="381"/>
      <c r="DV339" s="166"/>
      <c r="DW339" s="90"/>
      <c r="DX339" s="166"/>
      <c r="DY339" s="166"/>
      <c r="DZ339" s="99" t="s">
        <v>175</v>
      </c>
    </row>
    <row r="340" spans="1:133" s="10" customFormat="1" ht="14.5" customHeight="1" x14ac:dyDescent="0.35">
      <c r="A340" s="562" t="s">
        <v>176</v>
      </c>
      <c r="Q340" s="225">
        <v>19</v>
      </c>
      <c r="R340" s="381"/>
      <c r="V340" s="166">
        <f>SUMIF($D$5:$D$319,"=sas",V5:V319)+SUMIF($D$5:$D$319,"=sam",V5:V319)+SUMIF($D$5:$D$319,"=sar",V5:V319)+SUMIF($D$5:$D$319,"=saz",V5:V319)</f>
        <v>0</v>
      </c>
      <c r="W340" s="90">
        <f t="shared" ref="W340" si="802">SUM(W341:W343)</f>
        <v>0</v>
      </c>
      <c r="X340" s="166">
        <f>SUMIF($D$5:$D$319,"=sas",X5:X319)+SUMIF($D$5:$D$319,"=sam",X5:X319)+SUMIF($D$5:$D$319,"=sar",X5:X319)+SUMIF($D$5:$D$319,"=saz",X5:X319)</f>
        <v>0</v>
      </c>
      <c r="Y340" s="90">
        <f t="shared" ref="Y340" si="803">SUM(Y341:Y343)</f>
        <v>0</v>
      </c>
      <c r="Z340" s="562" t="s">
        <v>176</v>
      </c>
      <c r="AE340" s="381"/>
      <c r="AI340" s="166">
        <f>SUMIF($D$5:$D$319,"=sas",AI5:AI319)+SUMIF($D$5:$D$319,"=sam",AI5:AI319)+SUMIF($D$5:$D$319,"=sar",AI5:AI319)+SUMIF($D$5:$D$319,"=saz",AI5:AI319)</f>
        <v>0</v>
      </c>
      <c r="AJ340" s="90">
        <f t="shared" ref="AJ340" si="804">SUM(AJ341:AJ343)</f>
        <v>0</v>
      </c>
      <c r="AK340" s="166">
        <f>SUMIF($D$5:$D$319,"=sas",AK5:AK319)+SUMIF($D$5:$D$319,"=sam",AK5:AK319)+SUMIF($D$5:$D$319,"=sar",AK5:AK319)+SUMIF($D$5:$D$319,"=saz",AK5:AK319)</f>
        <v>0</v>
      </c>
      <c r="AL340" s="90">
        <f t="shared" ref="AL340" si="805">SUM(AL341:AL343)</f>
        <v>0</v>
      </c>
      <c r="AM340" s="612" t="s">
        <v>176</v>
      </c>
      <c r="AR340" s="381"/>
      <c r="AV340" s="166">
        <f>SUMIF($D$5:$D$319,"=sas",AV5:AV319)+SUMIF($D$5:$D$319,"=sam",AV5:AV319)+SUMIF($D$5:$D$319,"=sar",AV5:AV319)+SUMIF($D$5:$D$319,"=saz",AV5:AV319)</f>
        <v>0</v>
      </c>
      <c r="AW340" s="90">
        <f t="shared" ref="AW340" si="806">SUM(AW341:AW343)</f>
        <v>0</v>
      </c>
      <c r="AX340" s="166">
        <f>SUMIF($D$5:$D$319,"=sas",AX5:AX319)+SUMIF($D$5:$D$319,"=sam",AX5:AX319)+SUMIF($D$5:$D$319,"=sar",AX5:AX319)+SUMIF($D$5:$D$319,"=saz",AX5:AX319)</f>
        <v>0</v>
      </c>
      <c r="AY340" s="90">
        <f t="shared" ref="AY340" si="807">SUM(AY341:AY343)</f>
        <v>0</v>
      </c>
      <c r="AZ340" s="612" t="s">
        <v>176</v>
      </c>
      <c r="BE340" s="381"/>
      <c r="BI340" s="166">
        <f>SUMIF($D$5:$D$319,"=sas",BI5:BI319)+SUMIF($D$5:$D$319,"=sam",BI5:BI319)+SUMIF($D$5:$D$319,"=sar",BI5:BI319)+SUMIF($D$5:$D$319,"=saz",BI5:BI319)</f>
        <v>0</v>
      </c>
      <c r="BJ340" s="90">
        <f t="shared" ref="BJ340" si="808">SUM(BJ341:BJ343)</f>
        <v>0</v>
      </c>
      <c r="BK340" s="166">
        <f>SUMIF($D$5:$D$319,"=sas",BK5:BK319)+SUMIF($D$5:$D$319,"=sam",BK5:BK319)+SUMIF($D$5:$D$319,"=sar",BK5:BK319)+SUMIF($D$5:$D$319,"=saz",BK5:BK319)</f>
        <v>0</v>
      </c>
      <c r="BL340" s="90">
        <f t="shared" ref="BL340" si="809">SUM(BL341:BL343)</f>
        <v>0</v>
      </c>
      <c r="BM340" s="612" t="s">
        <v>176</v>
      </c>
      <c r="BR340" s="381"/>
      <c r="BV340" s="166">
        <f>SUMIF($D$5:$D$319,"=sas",BV5:BV319)+SUMIF($D$5:$D$319,"=sam",BV5:BV319)+SUMIF($D$5:$D$319,"=sar",BV5:BV319)+SUMIF($D$5:$D$319,"=saz",BV5:BV319)</f>
        <v>0</v>
      </c>
      <c r="BW340" s="90">
        <f t="shared" ref="BW340" si="810">SUM(BW341:BW343)</f>
        <v>0</v>
      </c>
      <c r="BX340" s="166">
        <f>SUMIF($D$5:$D$319,"=sas",BX5:BX319)+SUMIF($D$5:$D$319,"=sam",BX5:BX319)+SUMIF($D$5:$D$319,"=sar",BX5:BX319)+SUMIF($D$5:$D$319,"=saz",BX5:BX319)</f>
        <v>0</v>
      </c>
      <c r="BY340" s="90">
        <f t="shared" ref="BY340" si="811">SUM(BY341:BY343)</f>
        <v>0</v>
      </c>
      <c r="BZ340" s="612" t="s">
        <v>176</v>
      </c>
      <c r="CE340" s="381"/>
      <c r="CI340" s="166">
        <f>SUMIF($D$5:$D$319,"=sas",CI5:CI319)+SUMIF($D$5:$D$319,"=sam",CI5:CI319)+SUMIF($D$5:$D$319,"=sar",CI5:CI319)+SUMIF($D$5:$D$319,"=saz",CI5:CI319)</f>
        <v>0</v>
      </c>
      <c r="CJ340" s="90">
        <f t="shared" ref="CJ340" si="812">SUM(CJ341:CJ343)</f>
        <v>0</v>
      </c>
      <c r="CK340" s="166">
        <f>SUMIF($D$5:$D$319,"=sas",CK5:CK319)+SUMIF($D$5:$D$319,"=sam",CK5:CK319)+SUMIF($D$5:$D$319,"=sar",CK5:CK319)+SUMIF($D$5:$D$319,"=saz",CK5:CK319)</f>
        <v>0</v>
      </c>
      <c r="CL340" s="90">
        <f t="shared" ref="CL340" si="813">SUM(CL341:CL343)</f>
        <v>0</v>
      </c>
      <c r="CM340" s="612" t="s">
        <v>176</v>
      </c>
      <c r="CR340" s="381"/>
      <c r="CV340" s="166">
        <f>SUMIF($D$5:$D$319,"=sas",CV5:CV319)+SUMIF($D$5:$D$319,"=sam",CV5:CV319)+SUMIF($D$5:$D$319,"=sar",CV5:CV319)+SUMIF($D$5:$D$319,"=saz",CV5:CV319)</f>
        <v>0</v>
      </c>
      <c r="CW340" s="90">
        <f t="shared" ref="CW340" si="814">SUM(CW341:CW343)</f>
        <v>0</v>
      </c>
      <c r="CX340" s="166">
        <f>SUMIF($D$5:$D$319,"=sas",CX5:CX319)+SUMIF($D$5:$D$319,"=sam",CX5:CX319)+SUMIF($D$5:$D$319,"=sar",CX5:CX319)+SUMIF($D$5:$D$319,"=saz",CX5:CX319)</f>
        <v>0</v>
      </c>
      <c r="CY340" s="90">
        <f t="shared" ref="CY340" si="815">SUM(CY341:CY343)</f>
        <v>0</v>
      </c>
      <c r="CZ340" s="612" t="s">
        <v>176</v>
      </c>
      <c r="DE340" s="381"/>
      <c r="DI340" s="166">
        <f>SUMIF($D$5:$D$319,"=sas",DI5:DI319)+SUMIF($D$5:$D$319,"=sam",DI5:DI319)+SUMIF($D$5:$D$319,"=sar",DI5:DI319)+SUMIF($D$5:$D$319,"=saz",DI5:DI319)</f>
        <v>0</v>
      </c>
      <c r="DJ340" s="90">
        <f t="shared" ref="DJ340" si="816">SUM(DJ341:DJ343)</f>
        <v>0</v>
      </c>
      <c r="DK340" s="166">
        <f>SUMIF($D$5:$D$319,"=sas",DK5:DK319)+SUMIF($D$5:$D$319,"=sam",DK5:DK319)+SUMIF($D$5:$D$319,"=sar",DK5:DK319)+SUMIF($D$5:$D$319,"=saz",DK5:DK319)</f>
        <v>0</v>
      </c>
      <c r="DL340" s="90">
        <f t="shared" ref="DL340" si="817">SUM(DL341:DL343)</f>
        <v>0</v>
      </c>
      <c r="DM340" s="612" t="s">
        <v>176</v>
      </c>
      <c r="DR340" s="381"/>
      <c r="DV340" s="166">
        <f>SUMIF($D$5:$D$319,"=sas",DV5:DV319)+SUMIF($D$5:$D$319,"=sam",DV5:DV319)+SUMIF($D$5:$D$319,"=sar",DV5:DV319)+SUMIF($D$5:$D$319,"=saz",DV5:DV319)</f>
        <v>0</v>
      </c>
      <c r="DW340" s="90">
        <f t="shared" ref="DW340" si="818">SUM(DW341:DW343)</f>
        <v>0</v>
      </c>
      <c r="DX340" s="166">
        <f>SUMIF($D$5:$D$319,"=sas",DX5:DX319)+SUMIF($D$5:$D$319,"=sam",DX5:DX319)+SUMIF($D$5:$D$319,"=sar",DX5:DX319)+SUMIF($D$5:$D$319,"=saz",DX5:DX319)</f>
        <v>0</v>
      </c>
      <c r="DY340" s="90">
        <f t="shared" ref="DY340" si="819">SUM(DY341:DY343)</f>
        <v>0</v>
      </c>
      <c r="DZ340" s="612" t="s">
        <v>176</v>
      </c>
    </row>
    <row r="341" spans="1:133" s="10" customFormat="1" ht="14.5" customHeight="1" x14ac:dyDescent="0.35">
      <c r="A341" s="563" t="s">
        <v>169</v>
      </c>
      <c r="Q341" s="225">
        <v>20</v>
      </c>
      <c r="R341" s="381"/>
      <c r="V341" s="166">
        <f>SUMIF($D$5:$D$319,"=sas",V5:V319)*HLOOKUP(X322,Verteil_sw,27,FALSE)+SUMIF($D$5:$D$319,"=sam",V5:V319)*HLOOKUP(X322,Verteil_sw,28,FALSE)+SUMIF($D$5:$D$319,"=sar",V5:V319)*HLOOKUP(X322,Verteil_sw,29,FALSE)+SUMIF($D$5:$D$319,"=saz",V5:V319)*HLOOKUP(X322,Verteil_sw,30,FALSE)</f>
        <v>0</v>
      </c>
      <c r="W341" s="90">
        <f t="shared" ref="W341" si="820">IF(V340&lt;&gt;0,V341/V340,0)</f>
        <v>0</v>
      </c>
      <c r="X341" s="166">
        <f>SUMIF($D$5:$D$319,"=sas",X5:X319)*HLOOKUP(X322,Verteil_sw,27,FALSE)+SUMIF($D$5:$D$319,"=sam",X5:X319)*HLOOKUP(X322,Verteil_sw,28,FALSE)+SUMIF($D$5:$D$319,"=sar",X5:X319)*HLOOKUP(X322,Verteil_sw,29,FALSE)+SUMIF($D$5:$D$319,"=saz",X5:X319)*HLOOKUP(X322,Verteil_sw,30,FALSE)</f>
        <v>0</v>
      </c>
      <c r="Y341" s="90">
        <f t="shared" ref="Y341:Y345" si="821">IF(X340&lt;&gt;0,X341/X340,0)</f>
        <v>0</v>
      </c>
      <c r="Z341" s="563" t="s">
        <v>169</v>
      </c>
      <c r="AE341" s="381"/>
      <c r="AI341" s="166">
        <f>SUMIF($D$5:$D$319,"=sas",AI5:AI319)*HLOOKUP(AK322,Verteil_sw,27,FALSE)+SUMIF($D$5:$D$319,"=sam",AI5:AI319)*HLOOKUP(AK322,Verteil_sw,28,FALSE)+SUMIF($D$5:$D$319,"=sar",AI5:AI319)*HLOOKUP(AK322,Verteil_sw,29,FALSE)+SUMIF($D$5:$D$319,"=saz",AI5:AI319)*HLOOKUP(AK322,Verteil_sw,30,FALSE)</f>
        <v>0</v>
      </c>
      <c r="AJ341" s="90">
        <f t="shared" ref="AJ341" si="822">IF(AI340&lt;&gt;0,AI341/AI340,0)</f>
        <v>0</v>
      </c>
      <c r="AK341" s="166">
        <f>SUMIF($D$5:$D$319,"=sas",AK5:AK319)*HLOOKUP(AK322,Verteil_sw,27,FALSE)+SUMIF($D$5:$D$319,"=sam",AK5:AK319)*HLOOKUP(AK322,Verteil_sw,28,FALSE)+SUMIF($D$5:$D$319,"=sar",AK5:AK319)*HLOOKUP(AK322,Verteil_sw,29,FALSE)+SUMIF($D$5:$D$319,"=saz",AK5:AK319)*HLOOKUP(AK322,Verteil_sw,30,FALSE)</f>
        <v>0</v>
      </c>
      <c r="AL341" s="90">
        <f t="shared" ref="AL341" si="823">IF(AK340&lt;&gt;0,AK341/AK340,0)</f>
        <v>0</v>
      </c>
      <c r="AM341" s="611" t="s">
        <v>169</v>
      </c>
      <c r="AR341" s="381"/>
      <c r="AV341" s="166">
        <f>SUMIF($D$5:$D$319,"=sas",AV5:AV319)*HLOOKUP(AX322,Verteil_sw,27,FALSE)+SUMIF($D$5:$D$319,"=sam",AV5:AV319)*HLOOKUP(AX322,Verteil_sw,28,FALSE)+SUMIF($D$5:$D$319,"=sar",AV5:AV319)*HLOOKUP(AX322,Verteil_sw,29,FALSE)+SUMIF($D$5:$D$319,"=saz",AV5:AV319)*HLOOKUP(AX322,Verteil_sw,30,FALSE)</f>
        <v>0</v>
      </c>
      <c r="AW341" s="90">
        <f t="shared" ref="AW341" si="824">IF(AV340&lt;&gt;0,AV341/AV340,0)</f>
        <v>0</v>
      </c>
      <c r="AX341" s="166">
        <f>SUMIF($D$5:$D$319,"=sas",AX5:AX319)*HLOOKUP(AX322,Verteil_sw,27,FALSE)+SUMIF($D$5:$D$319,"=sam",AX5:AX319)*HLOOKUP(AX322,Verteil_sw,28,FALSE)+SUMIF($D$5:$D$319,"=sar",AX5:AX319)*HLOOKUP(AX322,Verteil_sw,29,FALSE)+SUMIF($D$5:$D$319,"=saz",AX5:AX319)*HLOOKUP(AX322,Verteil_sw,30,FALSE)</f>
        <v>0</v>
      </c>
      <c r="AY341" s="90">
        <f t="shared" ref="AY341" si="825">IF(AX340&lt;&gt;0,AX341/AX340,0)</f>
        <v>0</v>
      </c>
      <c r="AZ341" s="611" t="s">
        <v>169</v>
      </c>
      <c r="BE341" s="381"/>
      <c r="BI341" s="166">
        <f>SUMIF($D$5:$D$319,"=sas",BI5:BI319)*HLOOKUP(BK322,Verteil_sw,27,FALSE)+SUMIF($D$5:$D$319,"=sam",BI5:BI319)*HLOOKUP(BK322,Verteil_sw,28,FALSE)+SUMIF($D$5:$D$319,"=sar",BI5:BI319)*HLOOKUP(BK322,Verteil_sw,29,FALSE)+SUMIF($D$5:$D$319,"=saz",BI5:BI319)*HLOOKUP(BK322,Verteil_sw,30,FALSE)</f>
        <v>0</v>
      </c>
      <c r="BJ341" s="90">
        <f t="shared" ref="BJ341" si="826">IF(BI340&lt;&gt;0,BI341/BI340,0)</f>
        <v>0</v>
      </c>
      <c r="BK341" s="166">
        <f>SUMIF($D$5:$D$319,"=sas",BK5:BK319)*HLOOKUP(BK322,Verteil_sw,27,FALSE)+SUMIF($D$5:$D$319,"=sam",BK5:BK319)*HLOOKUP(BK322,Verteil_sw,28,FALSE)+SUMIF($D$5:$D$319,"=sar",BK5:BK319)*HLOOKUP(BK322,Verteil_sw,29,FALSE)+SUMIF($D$5:$D$319,"=saz",BK5:BK319)*HLOOKUP(BK322,Verteil_sw,30,FALSE)</f>
        <v>0</v>
      </c>
      <c r="BL341" s="90">
        <f t="shared" ref="BL341" si="827">IF(BK340&lt;&gt;0,BK341/BK340,0)</f>
        <v>0</v>
      </c>
      <c r="BM341" s="611" t="s">
        <v>169</v>
      </c>
      <c r="BR341" s="381"/>
      <c r="BV341" s="166">
        <f>SUMIF($D$5:$D$319,"=sas",BV5:BV319)*HLOOKUP(BX322,Verteil_sw,27,FALSE)+SUMIF($D$5:$D$319,"=sam",BV5:BV319)*HLOOKUP(BX322,Verteil_sw,28,FALSE)+SUMIF($D$5:$D$319,"=sar",BV5:BV319)*HLOOKUP(BX322,Verteil_sw,29,FALSE)+SUMIF($D$5:$D$319,"=saz",BV5:BV319)*HLOOKUP(BX322,Verteil_sw,30,FALSE)</f>
        <v>0</v>
      </c>
      <c r="BW341" s="90">
        <f t="shared" ref="BW341" si="828">IF(BV340&lt;&gt;0,BV341/BV340,0)</f>
        <v>0</v>
      </c>
      <c r="BX341" s="166">
        <f>SUMIF($D$5:$D$319,"=sas",BX5:BX319)*HLOOKUP(BX322,Verteil_sw,27,FALSE)+SUMIF($D$5:$D$319,"=sam",BX5:BX319)*HLOOKUP(BX322,Verteil_sw,28,FALSE)+SUMIF($D$5:$D$319,"=sar",BX5:BX319)*HLOOKUP(BX322,Verteil_sw,29,FALSE)+SUMIF($D$5:$D$319,"=saz",BX5:BX319)*HLOOKUP(BX322,Verteil_sw,30,FALSE)</f>
        <v>0</v>
      </c>
      <c r="BY341" s="90">
        <f t="shared" ref="BY341" si="829">IF(BX340&lt;&gt;0,BX341/BX340,0)</f>
        <v>0</v>
      </c>
      <c r="BZ341" s="611" t="s">
        <v>169</v>
      </c>
      <c r="CE341" s="381"/>
      <c r="CI341" s="166">
        <f>SUMIF($D$5:$D$319,"=sas",CI5:CI319)*HLOOKUP(CK322,Verteil_sw,27,FALSE)+SUMIF($D$5:$D$319,"=sam",CI5:CI319)*HLOOKUP(CK322,Verteil_sw,28,FALSE)+SUMIF($D$5:$D$319,"=sar",CI5:CI319)*HLOOKUP(CK322,Verteil_sw,29,FALSE)+SUMIF($D$5:$D$319,"=saz",CI5:CI319)*HLOOKUP(CK322,Verteil_sw,30,FALSE)</f>
        <v>0</v>
      </c>
      <c r="CJ341" s="90">
        <f t="shared" ref="CJ341" si="830">IF(CI340&lt;&gt;0,CI341/CI340,0)</f>
        <v>0</v>
      </c>
      <c r="CK341" s="166">
        <f>SUMIF($D$5:$D$319,"=sas",CK5:CK319)*HLOOKUP(CK322,Verteil_sw,27,FALSE)+SUMIF($D$5:$D$319,"=sam",CK5:CK319)*HLOOKUP(CK322,Verteil_sw,28,FALSE)+SUMIF($D$5:$D$319,"=sar",CK5:CK319)*HLOOKUP(CK322,Verteil_sw,29,FALSE)+SUMIF($D$5:$D$319,"=saz",CK5:CK319)*HLOOKUP(CK322,Verteil_sw,30,FALSE)</f>
        <v>0</v>
      </c>
      <c r="CL341" s="90">
        <f t="shared" ref="CL341" si="831">IF(CK340&lt;&gt;0,CK341/CK340,0)</f>
        <v>0</v>
      </c>
      <c r="CM341" s="611" t="s">
        <v>169</v>
      </c>
      <c r="CR341" s="381"/>
      <c r="CV341" s="166">
        <f>SUMIF($D$5:$D$319,"=sas",CV5:CV319)*HLOOKUP(CX322,Verteil_sw,27,FALSE)+SUMIF($D$5:$D$319,"=sam",CV5:CV319)*HLOOKUP(CX322,Verteil_sw,28,FALSE)+SUMIF($D$5:$D$319,"=sar",CV5:CV319)*HLOOKUP(CX322,Verteil_sw,29,FALSE)+SUMIF($D$5:$D$319,"=saz",CV5:CV319)*HLOOKUP(CX322,Verteil_sw,30,FALSE)</f>
        <v>0</v>
      </c>
      <c r="CW341" s="90">
        <f t="shared" ref="CW341" si="832">IF(CV340&lt;&gt;0,CV341/CV340,0)</f>
        <v>0</v>
      </c>
      <c r="CX341" s="166">
        <f>SUMIF($D$5:$D$319,"=sas",CX5:CX319)*HLOOKUP(CX322,Verteil_sw,27,FALSE)+SUMIF($D$5:$D$319,"=sam",CX5:CX319)*HLOOKUP(CX322,Verteil_sw,28,FALSE)+SUMIF($D$5:$D$319,"=sar",CX5:CX319)*HLOOKUP(CX322,Verteil_sw,29,FALSE)+SUMIF($D$5:$D$319,"=saz",CX5:CX319)*HLOOKUP(CX322,Verteil_sw,30,FALSE)</f>
        <v>0</v>
      </c>
      <c r="CY341" s="90">
        <f t="shared" ref="CY341" si="833">IF(CX340&lt;&gt;0,CX341/CX340,0)</f>
        <v>0</v>
      </c>
      <c r="CZ341" s="611" t="s">
        <v>169</v>
      </c>
      <c r="DE341" s="381"/>
      <c r="DI341" s="166">
        <f>SUMIF($D$5:$D$319,"=sas",DI5:DI319)*HLOOKUP(DK322,Verteil_sw,27,FALSE)+SUMIF($D$5:$D$319,"=sam",DI5:DI319)*HLOOKUP(DK322,Verteil_sw,28,FALSE)+SUMIF($D$5:$D$319,"=sar",DI5:DI319)*HLOOKUP(DK322,Verteil_sw,29,FALSE)+SUMIF($D$5:$D$319,"=saz",DI5:DI319)*HLOOKUP(DK322,Verteil_sw,30,FALSE)</f>
        <v>0</v>
      </c>
      <c r="DJ341" s="90">
        <f t="shared" ref="DJ341" si="834">IF(DI340&lt;&gt;0,DI341/DI340,0)</f>
        <v>0</v>
      </c>
      <c r="DK341" s="166">
        <f>SUMIF($D$5:$D$319,"=sas",DK5:DK319)*HLOOKUP(DK322,Verteil_sw,27,FALSE)+SUMIF($D$5:$D$319,"=sam",DK5:DK319)*HLOOKUP(DK322,Verteil_sw,28,FALSE)+SUMIF($D$5:$D$319,"=sar",DK5:DK319)*HLOOKUP(DK322,Verteil_sw,29,FALSE)+SUMIF($D$5:$D$319,"=saz",DK5:DK319)*HLOOKUP(DK322,Verteil_sw,30,FALSE)</f>
        <v>0</v>
      </c>
      <c r="DL341" s="90">
        <f t="shared" ref="DL341" si="835">IF(DK340&lt;&gt;0,DK341/DK340,0)</f>
        <v>0</v>
      </c>
      <c r="DM341" s="611" t="s">
        <v>169</v>
      </c>
      <c r="DR341" s="381"/>
      <c r="DV341" s="166">
        <f>SUMIF($D$5:$D$319,"=sas",DV5:DV319)*HLOOKUP(DX322,Verteil_sw,27,FALSE)+SUMIF($D$5:$D$319,"=sam",DV5:DV319)*HLOOKUP(DX322,Verteil_sw,28,FALSE)+SUMIF($D$5:$D$319,"=sar",DV5:DV319)*HLOOKUP(DX322,Verteil_sw,29,FALSE)+SUMIF($D$5:$D$319,"=saz",DV5:DV319)*HLOOKUP(DX322,Verteil_sw,30,FALSE)</f>
        <v>0</v>
      </c>
      <c r="DW341" s="90">
        <f t="shared" ref="DW341" si="836">IF(DV340&lt;&gt;0,DV341/DV340,0)</f>
        <v>0</v>
      </c>
      <c r="DX341" s="166">
        <f>SUMIF($D$5:$D$319,"=sas",DX5:DX319)*HLOOKUP(DX322,Verteil_sw,27,FALSE)+SUMIF($D$5:$D$319,"=sam",DX5:DX319)*HLOOKUP(DX322,Verteil_sw,28,FALSE)+SUMIF($D$5:$D$319,"=sar",DX5:DX319)*HLOOKUP(DX322,Verteil_sw,29,FALSE)+SUMIF($D$5:$D$319,"=saz",DX5:DX319)*HLOOKUP(DX322,Verteil_sw,30,FALSE)</f>
        <v>0</v>
      </c>
      <c r="DY341" s="90">
        <f t="shared" ref="DY341" si="837">IF(DX340&lt;&gt;0,DX341/DX340,0)</f>
        <v>0</v>
      </c>
      <c r="DZ341" s="611" t="s">
        <v>169</v>
      </c>
    </row>
    <row r="342" spans="1:133" s="10" customFormat="1" ht="14.5" customHeight="1" x14ac:dyDescent="0.35">
      <c r="A342" s="563" t="s">
        <v>170</v>
      </c>
      <c r="Q342" s="225">
        <v>21</v>
      </c>
      <c r="R342" s="381"/>
      <c r="V342" s="166">
        <f>SUMIF($D$5:$D$319,"=sas",V5:V319)*HLOOKUP(X322,Verteil_rwgr,26,FALSE)+SUMIF($D$5:$D$319,"=sam",V5:V319)*HLOOKUP(X322,Verteil_rwgr,27,FALSE)+SUMIF($D$5:$D$319,"=sar",V5:V319)*HLOOKUP(X322,Verteil_rwgr,28,FALSE)+SUMIF($D$5:$D$319,"=saz",V5:V319)*HLOOKUP(X322,Verteil_rwgr,29,FALSE)</f>
        <v>0</v>
      </c>
      <c r="W342" s="90">
        <f t="shared" ref="W342" si="838">IF(V340&lt;&gt;0,V342/V340,0)</f>
        <v>0</v>
      </c>
      <c r="X342" s="166">
        <f>SUMIF($D$5:$D$319,"=sas",X5:X319)*HLOOKUP(X322,Verteil_rwgr,26,FALSE)+SUMIF($D$5:$D$319,"=sam",X5:X319)*HLOOKUP(X322,Verteil_rwgr,27,FALSE)+SUMIF($D$5:$D$319,"=sar",X5:X319)*HLOOKUP(X322,Verteil_rwgr,28,FALSE)+SUMIF($D$5:$D$319,"=saz",X5:X319)*HLOOKUP(X322,Verteil_rwgr,29,FALSE)</f>
        <v>0</v>
      </c>
      <c r="Y342" s="90">
        <f t="shared" ref="Y342:Y346" si="839">IF(X340&lt;&gt;0,X342/X340,0)</f>
        <v>0</v>
      </c>
      <c r="Z342" s="563" t="s">
        <v>170</v>
      </c>
      <c r="AE342" s="381"/>
      <c r="AI342" s="166">
        <f>SUMIF($D$5:$D$319,"=sas",AI5:AI319)*HLOOKUP(AK322,Verteil_rwgr,26,FALSE)+SUMIF($D$5:$D$319,"=sam",AI5:AI319)*HLOOKUP(AK322,Verteil_rwgr,27,FALSE)+SUMIF($D$5:$D$319,"=sar",AI5:AI319)*HLOOKUP(AK322,Verteil_rwgr,28,FALSE)+SUMIF($D$5:$D$319,"=saz",AI5:AI319)*HLOOKUP(AK322,Verteil_rwgr,29,FALSE)</f>
        <v>0</v>
      </c>
      <c r="AJ342" s="90">
        <f t="shared" ref="AJ342" si="840">IF(AI340&lt;&gt;0,AI342/AI340,0)</f>
        <v>0</v>
      </c>
      <c r="AK342" s="166">
        <f>SUMIF($D$5:$D$319,"=sas",AK5:AK319)*HLOOKUP(AK322,Verteil_rwgr,26,FALSE)+SUMIF($D$5:$D$319,"=sam",AK5:AK319)*HLOOKUP(AK322,Verteil_rwgr,27,FALSE)+SUMIF($D$5:$D$319,"=sar",AK5:AK319)*HLOOKUP(AK322,Verteil_rwgr,28,FALSE)+SUMIF($D$5:$D$319,"=saz",AK5:AK319)*HLOOKUP(AK322,Verteil_rwgr,29,FALSE)</f>
        <v>0</v>
      </c>
      <c r="AL342" s="90">
        <f t="shared" ref="AL342" si="841">IF(AK340&lt;&gt;0,AK342/AK340,0)</f>
        <v>0</v>
      </c>
      <c r="AM342" s="611" t="s">
        <v>170</v>
      </c>
      <c r="AR342" s="381"/>
      <c r="AV342" s="166">
        <f>SUMIF($D$5:$D$319,"=sas",AV5:AV319)*HLOOKUP(AX322,Verteil_rwgr,26,FALSE)+SUMIF($D$5:$D$319,"=sam",AV5:AV319)*HLOOKUP(AX322,Verteil_rwgr,27,FALSE)+SUMIF($D$5:$D$319,"=sar",AV5:AV319)*HLOOKUP(AX322,Verteil_rwgr,28,FALSE)+SUMIF($D$5:$D$319,"=saz",AV5:AV319)*HLOOKUP(AX322,Verteil_rwgr,29,FALSE)</f>
        <v>0</v>
      </c>
      <c r="AW342" s="90">
        <f t="shared" ref="AW342" si="842">IF(AV340&lt;&gt;0,AV342/AV340,0)</f>
        <v>0</v>
      </c>
      <c r="AX342" s="166">
        <f>SUMIF($D$5:$D$319,"=sas",AX5:AX319)*HLOOKUP(AX322,Verteil_rwgr,26,FALSE)+SUMIF($D$5:$D$319,"=sam",AX5:AX319)*HLOOKUP(AX322,Verteil_rwgr,27,FALSE)+SUMIF($D$5:$D$319,"=sar",AX5:AX319)*HLOOKUP(AX322,Verteil_rwgr,28,FALSE)+SUMIF($D$5:$D$319,"=saz",AX5:AX319)*HLOOKUP(AX322,Verteil_rwgr,29,FALSE)</f>
        <v>0</v>
      </c>
      <c r="AY342" s="90">
        <f t="shared" ref="AY342" si="843">IF(AX340&lt;&gt;0,AX342/AX340,0)</f>
        <v>0</v>
      </c>
      <c r="AZ342" s="611" t="s">
        <v>170</v>
      </c>
      <c r="BE342" s="381"/>
      <c r="BI342" s="166">
        <f>SUMIF($D$5:$D$319,"=sas",BI5:BI319)*HLOOKUP(BK322,Verteil_rwgr,26,FALSE)+SUMIF($D$5:$D$319,"=sam",BI5:BI319)*HLOOKUP(BK322,Verteil_rwgr,27,FALSE)+SUMIF($D$5:$D$319,"=sar",BI5:BI319)*HLOOKUP(BK322,Verteil_rwgr,28,FALSE)+SUMIF($D$5:$D$319,"=saz",BI5:BI319)*HLOOKUP(BK322,Verteil_rwgr,29,FALSE)</f>
        <v>0</v>
      </c>
      <c r="BJ342" s="90">
        <f t="shared" ref="BJ342" si="844">IF(BI340&lt;&gt;0,BI342/BI340,0)</f>
        <v>0</v>
      </c>
      <c r="BK342" s="166">
        <f>SUMIF($D$5:$D$319,"=sas",BK5:BK319)*HLOOKUP(BK322,Verteil_rwgr,26,FALSE)+SUMIF($D$5:$D$319,"=sam",BK5:BK319)*HLOOKUP(BK322,Verteil_rwgr,27,FALSE)+SUMIF($D$5:$D$319,"=sar",BK5:BK319)*HLOOKUP(BK322,Verteil_rwgr,28,FALSE)+SUMIF($D$5:$D$319,"=saz",BK5:BK319)*HLOOKUP(BK322,Verteil_rwgr,29,FALSE)</f>
        <v>0</v>
      </c>
      <c r="BL342" s="90">
        <f t="shared" ref="BL342" si="845">IF(BK340&lt;&gt;0,BK342/BK340,0)</f>
        <v>0</v>
      </c>
      <c r="BM342" s="611" t="s">
        <v>170</v>
      </c>
      <c r="BR342" s="381"/>
      <c r="BV342" s="166">
        <f>SUMIF($D$5:$D$319,"=sas",BV5:BV319)*HLOOKUP(BX322,Verteil_rwgr,26,FALSE)+SUMIF($D$5:$D$319,"=sam",BV5:BV319)*HLOOKUP(BX322,Verteil_rwgr,27,FALSE)+SUMIF($D$5:$D$319,"=sar",BV5:BV319)*HLOOKUP(BX322,Verteil_rwgr,28,FALSE)+SUMIF($D$5:$D$319,"=saz",BV5:BV319)*HLOOKUP(BX322,Verteil_rwgr,29,FALSE)</f>
        <v>0</v>
      </c>
      <c r="BW342" s="90">
        <f t="shared" ref="BW342" si="846">IF(BV340&lt;&gt;0,BV342/BV340,0)</f>
        <v>0</v>
      </c>
      <c r="BX342" s="166">
        <f>SUMIF($D$5:$D$319,"=sas",BX5:BX319)*HLOOKUP(BX322,Verteil_rwgr,26,FALSE)+SUMIF($D$5:$D$319,"=sam",BX5:BX319)*HLOOKUP(BX322,Verteil_rwgr,27,FALSE)+SUMIF($D$5:$D$319,"=sar",BX5:BX319)*HLOOKUP(BX322,Verteil_rwgr,28,FALSE)+SUMIF($D$5:$D$319,"=saz",BX5:BX319)*HLOOKUP(BX322,Verteil_rwgr,29,FALSE)</f>
        <v>0</v>
      </c>
      <c r="BY342" s="90">
        <f t="shared" ref="BY342" si="847">IF(BX340&lt;&gt;0,BX342/BX340,0)</f>
        <v>0</v>
      </c>
      <c r="BZ342" s="611" t="s">
        <v>170</v>
      </c>
      <c r="CE342" s="381"/>
      <c r="CI342" s="166">
        <f>SUMIF($D$5:$D$319,"=sas",CI5:CI319)*HLOOKUP(CK322,Verteil_rwgr,26,FALSE)+SUMIF($D$5:$D$319,"=sam",CI5:CI319)*HLOOKUP(CK322,Verteil_rwgr,27,FALSE)+SUMIF($D$5:$D$319,"=sar",CI5:CI319)*HLOOKUP(CK322,Verteil_rwgr,28,FALSE)+SUMIF($D$5:$D$319,"=saz",CI5:CI319)*HLOOKUP(CK322,Verteil_rwgr,29,FALSE)</f>
        <v>0</v>
      </c>
      <c r="CJ342" s="90">
        <f t="shared" ref="CJ342" si="848">IF(CI340&lt;&gt;0,CI342/CI340,0)</f>
        <v>0</v>
      </c>
      <c r="CK342" s="166">
        <f>SUMIF($D$5:$D$319,"=sas",CK5:CK319)*HLOOKUP(CK322,Verteil_rwgr,26,FALSE)+SUMIF($D$5:$D$319,"=sam",CK5:CK319)*HLOOKUP(CK322,Verteil_rwgr,27,FALSE)+SUMIF($D$5:$D$319,"=sar",CK5:CK319)*HLOOKUP(CK322,Verteil_rwgr,28,FALSE)+SUMIF($D$5:$D$319,"=saz",CK5:CK319)*HLOOKUP(CK322,Verteil_rwgr,29,FALSE)</f>
        <v>0</v>
      </c>
      <c r="CL342" s="90">
        <f t="shared" ref="CL342" si="849">IF(CK340&lt;&gt;0,CK342/CK340,0)</f>
        <v>0</v>
      </c>
      <c r="CM342" s="611" t="s">
        <v>170</v>
      </c>
      <c r="CR342" s="381"/>
      <c r="CV342" s="166">
        <f>SUMIF($D$5:$D$319,"=sas",CV5:CV319)*HLOOKUP(CX322,Verteil_rwgr,26,FALSE)+SUMIF($D$5:$D$319,"=sam",CV5:CV319)*HLOOKUP(CX322,Verteil_rwgr,27,FALSE)+SUMIF($D$5:$D$319,"=sar",CV5:CV319)*HLOOKUP(CX322,Verteil_rwgr,28,FALSE)+SUMIF($D$5:$D$319,"=saz",CV5:CV319)*HLOOKUP(CX322,Verteil_rwgr,29,FALSE)</f>
        <v>0</v>
      </c>
      <c r="CW342" s="90">
        <f t="shared" ref="CW342" si="850">IF(CV340&lt;&gt;0,CV342/CV340,0)</f>
        <v>0</v>
      </c>
      <c r="CX342" s="166">
        <f>SUMIF($D$5:$D$319,"=sas",CX5:CX319)*HLOOKUP(CX322,Verteil_rwgr,26,FALSE)+SUMIF($D$5:$D$319,"=sam",CX5:CX319)*HLOOKUP(CX322,Verteil_rwgr,27,FALSE)+SUMIF($D$5:$D$319,"=sar",CX5:CX319)*HLOOKUP(CX322,Verteil_rwgr,28,FALSE)+SUMIF($D$5:$D$319,"=saz",CX5:CX319)*HLOOKUP(CX322,Verteil_rwgr,29,FALSE)</f>
        <v>0</v>
      </c>
      <c r="CY342" s="90">
        <f t="shared" ref="CY342" si="851">IF(CX340&lt;&gt;0,CX342/CX340,0)</f>
        <v>0</v>
      </c>
      <c r="CZ342" s="611" t="s">
        <v>170</v>
      </c>
      <c r="DE342" s="381"/>
      <c r="DI342" s="166">
        <f>SUMIF($D$5:$D$319,"=sas",DI5:DI319)*HLOOKUP(DK322,Verteil_rwgr,26,FALSE)+SUMIF($D$5:$D$319,"=sam",DI5:DI319)*HLOOKUP(DK322,Verteil_rwgr,27,FALSE)+SUMIF($D$5:$D$319,"=sar",DI5:DI319)*HLOOKUP(DK322,Verteil_rwgr,28,FALSE)+SUMIF($D$5:$D$319,"=saz",DI5:DI319)*HLOOKUP(DK322,Verteil_rwgr,29,FALSE)</f>
        <v>0</v>
      </c>
      <c r="DJ342" s="90">
        <f t="shared" ref="DJ342" si="852">IF(DI340&lt;&gt;0,DI342/DI340,0)</f>
        <v>0</v>
      </c>
      <c r="DK342" s="166">
        <f>SUMIF($D$5:$D$319,"=sas",DK5:DK319)*HLOOKUP(DK322,Verteil_rwgr,26,FALSE)+SUMIF($D$5:$D$319,"=sam",DK5:DK319)*HLOOKUP(DK322,Verteil_rwgr,27,FALSE)+SUMIF($D$5:$D$319,"=sar",DK5:DK319)*HLOOKUP(DK322,Verteil_rwgr,28,FALSE)+SUMIF($D$5:$D$319,"=saz",DK5:DK319)*HLOOKUP(DK322,Verteil_rwgr,29,FALSE)</f>
        <v>0</v>
      </c>
      <c r="DL342" s="90">
        <f t="shared" ref="DL342" si="853">IF(DK340&lt;&gt;0,DK342/DK340,0)</f>
        <v>0</v>
      </c>
      <c r="DM342" s="611" t="s">
        <v>170</v>
      </c>
      <c r="DR342" s="381"/>
      <c r="DV342" s="166">
        <f>SUMIF($D$5:$D$319,"=sas",DV5:DV319)*HLOOKUP(DX322,Verteil_rwgr,26,FALSE)+SUMIF($D$5:$D$319,"=sam",DV5:DV319)*HLOOKUP(DX322,Verteil_rwgr,27,FALSE)+SUMIF($D$5:$D$319,"=sar",DV5:DV319)*HLOOKUP(DX322,Verteil_rwgr,28,FALSE)+SUMIF($D$5:$D$319,"=saz",DV5:DV319)*HLOOKUP(DX322,Verteil_rwgr,29,FALSE)</f>
        <v>0</v>
      </c>
      <c r="DW342" s="90">
        <f t="shared" ref="DW342" si="854">IF(DV340&lt;&gt;0,DV342/DV340,0)</f>
        <v>0</v>
      </c>
      <c r="DX342" s="166">
        <f>SUMIF($D$5:$D$319,"=sas",DX5:DX319)*HLOOKUP(DX322,Verteil_rwgr,26,FALSE)+SUMIF($D$5:$D$319,"=sam",DX5:DX319)*HLOOKUP(DX322,Verteil_rwgr,27,FALSE)+SUMIF($D$5:$D$319,"=sar",DX5:DX319)*HLOOKUP(DX322,Verteil_rwgr,28,FALSE)+SUMIF($D$5:$D$319,"=saz",DX5:DX319)*HLOOKUP(DX322,Verteil_rwgr,29,FALSE)</f>
        <v>0</v>
      </c>
      <c r="DY342" s="90">
        <f t="shared" ref="DY342" si="855">IF(DX340&lt;&gt;0,DX342/DX340,0)</f>
        <v>0</v>
      </c>
      <c r="DZ342" s="611" t="s">
        <v>170</v>
      </c>
    </row>
    <row r="343" spans="1:133" s="10" customFormat="1" ht="14.5" customHeight="1" x14ac:dyDescent="0.35">
      <c r="A343" s="563" t="s">
        <v>171</v>
      </c>
      <c r="Q343" s="225">
        <v>22</v>
      </c>
      <c r="R343" s="381"/>
      <c r="V343" s="166">
        <f>SUMIF($D$5:$D$319,"=sas",V5:V319)*HLOOKUP(X322,Verteil_rwst,25,FALSE)+SUMIF($D$5:$D$319,"=sam",V5:V319)*HLOOKUP(X322,Verteil_rwst,26,FALSE)+SUMIF($D$5:$D$319,"=sar",V5:V319)*HLOOKUP(X322,Verteil_rwst,27,FALSE)+SUMIF($D$5:$D$319,"=saz",V5:V319)*HLOOKUP(X322,Verteil_rwst,28,FALSE)</f>
        <v>0</v>
      </c>
      <c r="W343" s="90">
        <f t="shared" ref="W343" si="856">IF(V340&lt;&gt;0,V343/V340,0)</f>
        <v>0</v>
      </c>
      <c r="X343" s="166">
        <f>SUMIF($D$5:$D$319,"=sas",X5:X319)*HLOOKUP(X322,Verteil_rwst,25,FALSE)+SUMIF($D$5:$D$319,"=sam",X5:X319)*HLOOKUP(X322,Verteil_rwst,26,FALSE)+SUMIF($D$5:$D$319,"=sar",X5:X319)*HLOOKUP(X322,Verteil_rwst,27,FALSE)+SUMIF($D$5:$D$319,"=saz",X5:X319)*HLOOKUP(X322,Verteil_rwst,28,FALSE)</f>
        <v>0</v>
      </c>
      <c r="Y343" s="90">
        <f t="shared" ref="Y343:Y347" si="857">IF(X340&lt;&gt;0,X343/X340,0)</f>
        <v>0</v>
      </c>
      <c r="Z343" s="563" t="s">
        <v>171</v>
      </c>
      <c r="AE343" s="381"/>
      <c r="AI343" s="166">
        <f>SUMIF($D$5:$D$319,"=sas",AI5:AI319)*HLOOKUP(AK322,Verteil_rwst,25,FALSE)+SUMIF($D$5:$D$319,"=sam",AI5:AI319)*HLOOKUP(AK322,Verteil_rwst,26,FALSE)+SUMIF($D$5:$D$319,"=sar",AI5:AI319)*HLOOKUP(AK322,Verteil_rwst,27,FALSE)+SUMIF($D$5:$D$319,"=saz",AI5:AI319)*HLOOKUP(AK322,Verteil_rwst,28,FALSE)</f>
        <v>0</v>
      </c>
      <c r="AJ343" s="90">
        <f t="shared" ref="AJ343" si="858">IF(AI340&lt;&gt;0,AI343/AI340,0)</f>
        <v>0</v>
      </c>
      <c r="AK343" s="166">
        <f>SUMIF($D$5:$D$319,"=sas",AK5:AK319)*HLOOKUP(AK322,Verteil_rwst,25,FALSE)+SUMIF($D$5:$D$319,"=sam",AK5:AK319)*HLOOKUP(AK322,Verteil_rwst,26,FALSE)+SUMIF($D$5:$D$319,"=sar",AK5:AK319)*HLOOKUP(AK322,Verteil_rwst,27,FALSE)+SUMIF($D$5:$D$319,"=saz",AK5:AK319)*HLOOKUP(AK322,Verteil_rwst,28,FALSE)</f>
        <v>0</v>
      </c>
      <c r="AL343" s="90">
        <f t="shared" ref="AL343" si="859">IF(AK340&lt;&gt;0,AK343/AK340,0)</f>
        <v>0</v>
      </c>
      <c r="AM343" s="611" t="s">
        <v>171</v>
      </c>
      <c r="AR343" s="381"/>
      <c r="AV343" s="166">
        <f>SUMIF($D$5:$D$319,"=sas",AV5:AV319)*HLOOKUP(AX322,Verteil_rwst,25,FALSE)+SUMIF($D$5:$D$319,"=sam",AV5:AV319)*HLOOKUP(AX322,Verteil_rwst,26,FALSE)+SUMIF($D$5:$D$319,"=sar",AV5:AV319)*HLOOKUP(AX322,Verteil_rwst,27,FALSE)+SUMIF($D$5:$D$319,"=saz",AV5:AV319)*HLOOKUP(AX322,Verteil_rwst,28,FALSE)</f>
        <v>0</v>
      </c>
      <c r="AW343" s="90">
        <f t="shared" ref="AW343" si="860">IF(AV340&lt;&gt;0,AV343/AV340,0)</f>
        <v>0</v>
      </c>
      <c r="AX343" s="166">
        <f>SUMIF($D$5:$D$319,"=sas",AX5:AX319)*HLOOKUP(AX322,Verteil_rwst,25,FALSE)+SUMIF($D$5:$D$319,"=sam",AX5:AX319)*HLOOKUP(AX322,Verteil_rwst,26,FALSE)+SUMIF($D$5:$D$319,"=sar",AX5:AX319)*HLOOKUP(AX322,Verteil_rwst,27,FALSE)+SUMIF($D$5:$D$319,"=saz",AX5:AX319)*HLOOKUP(AX322,Verteil_rwst,28,FALSE)</f>
        <v>0</v>
      </c>
      <c r="AY343" s="90">
        <f t="shared" ref="AY343" si="861">IF(AX340&lt;&gt;0,AX343/AX340,0)</f>
        <v>0</v>
      </c>
      <c r="AZ343" s="611" t="s">
        <v>171</v>
      </c>
      <c r="BE343" s="381"/>
      <c r="BI343" s="166">
        <f>SUMIF($D$5:$D$319,"=sas",BI5:BI319)*HLOOKUP(BK322,Verteil_rwst,25,FALSE)+SUMIF($D$5:$D$319,"=sam",BI5:BI319)*HLOOKUP(BK322,Verteil_rwst,26,FALSE)+SUMIF($D$5:$D$319,"=sar",BI5:BI319)*HLOOKUP(BK322,Verteil_rwst,27,FALSE)+SUMIF($D$5:$D$319,"=saz",BI5:BI319)*HLOOKUP(BK322,Verteil_rwst,28,FALSE)</f>
        <v>0</v>
      </c>
      <c r="BJ343" s="90">
        <f t="shared" ref="BJ343" si="862">IF(BI340&lt;&gt;0,BI343/BI340,0)</f>
        <v>0</v>
      </c>
      <c r="BK343" s="166">
        <f>SUMIF($D$5:$D$319,"=sas",BK5:BK319)*HLOOKUP(BK322,Verteil_rwst,25,FALSE)+SUMIF($D$5:$D$319,"=sam",BK5:BK319)*HLOOKUP(BK322,Verteil_rwst,26,FALSE)+SUMIF($D$5:$D$319,"=sar",BK5:BK319)*HLOOKUP(BK322,Verteil_rwst,27,FALSE)+SUMIF($D$5:$D$319,"=saz",BK5:BK319)*HLOOKUP(BK322,Verteil_rwst,28,FALSE)</f>
        <v>0</v>
      </c>
      <c r="BL343" s="90">
        <f t="shared" ref="BL343" si="863">IF(BK340&lt;&gt;0,BK343/BK340,0)</f>
        <v>0</v>
      </c>
      <c r="BM343" s="611" t="s">
        <v>171</v>
      </c>
      <c r="BR343" s="381"/>
      <c r="BV343" s="166">
        <f>SUMIF($D$5:$D$319,"=sas",BV5:BV319)*HLOOKUP(BX322,Verteil_rwst,25,FALSE)+SUMIF($D$5:$D$319,"=sam",BV5:BV319)*HLOOKUP(BX322,Verteil_rwst,26,FALSE)+SUMIF($D$5:$D$319,"=sar",BV5:BV319)*HLOOKUP(BX322,Verteil_rwst,27,FALSE)+SUMIF($D$5:$D$319,"=saz",BV5:BV319)*HLOOKUP(BX322,Verteil_rwst,28,FALSE)</f>
        <v>0</v>
      </c>
      <c r="BW343" s="90">
        <f t="shared" ref="BW343" si="864">IF(BV340&lt;&gt;0,BV343/BV340,0)</f>
        <v>0</v>
      </c>
      <c r="BX343" s="166">
        <f>SUMIF($D$5:$D$319,"=sas",BX5:BX319)*HLOOKUP(BX322,Verteil_rwst,25,FALSE)+SUMIF($D$5:$D$319,"=sam",BX5:BX319)*HLOOKUP(BX322,Verteil_rwst,26,FALSE)+SUMIF($D$5:$D$319,"=sar",BX5:BX319)*HLOOKUP(BX322,Verteil_rwst,27,FALSE)+SUMIF($D$5:$D$319,"=saz",BX5:BX319)*HLOOKUP(BX322,Verteil_rwst,28,FALSE)</f>
        <v>0</v>
      </c>
      <c r="BY343" s="90">
        <f t="shared" ref="BY343" si="865">IF(BX340&lt;&gt;0,BX343/BX340,0)</f>
        <v>0</v>
      </c>
      <c r="BZ343" s="611" t="s">
        <v>171</v>
      </c>
      <c r="CE343" s="381"/>
      <c r="CI343" s="166">
        <f>SUMIF($D$5:$D$319,"=sas",CI5:CI319)*HLOOKUP(CK322,Verteil_rwst,25,FALSE)+SUMIF($D$5:$D$319,"=sam",CI5:CI319)*HLOOKUP(CK322,Verteil_rwst,26,FALSE)+SUMIF($D$5:$D$319,"=sar",CI5:CI319)*HLOOKUP(CK322,Verteil_rwst,27,FALSE)+SUMIF($D$5:$D$319,"=saz",CI5:CI319)*HLOOKUP(CK322,Verteil_rwst,28,FALSE)</f>
        <v>0</v>
      </c>
      <c r="CJ343" s="90">
        <f t="shared" ref="CJ343" si="866">IF(CI340&lt;&gt;0,CI343/CI340,0)</f>
        <v>0</v>
      </c>
      <c r="CK343" s="166">
        <f>SUMIF($D$5:$D$319,"=sas",CK5:CK319)*HLOOKUP(CK322,Verteil_rwst,25,FALSE)+SUMIF($D$5:$D$319,"=sam",CK5:CK319)*HLOOKUP(CK322,Verteil_rwst,26,FALSE)+SUMIF($D$5:$D$319,"=sar",CK5:CK319)*HLOOKUP(CK322,Verteil_rwst,27,FALSE)+SUMIF($D$5:$D$319,"=saz",CK5:CK319)*HLOOKUP(CK322,Verteil_rwst,28,FALSE)</f>
        <v>0</v>
      </c>
      <c r="CL343" s="90">
        <f t="shared" ref="CL343" si="867">IF(CK340&lt;&gt;0,CK343/CK340,0)</f>
        <v>0</v>
      </c>
      <c r="CM343" s="611" t="s">
        <v>171</v>
      </c>
      <c r="CR343" s="381"/>
      <c r="CV343" s="166">
        <f>SUMIF($D$5:$D$319,"=sas",CV5:CV319)*HLOOKUP(CX322,Verteil_rwst,25,FALSE)+SUMIF($D$5:$D$319,"=sam",CV5:CV319)*HLOOKUP(CX322,Verteil_rwst,26,FALSE)+SUMIF($D$5:$D$319,"=sar",CV5:CV319)*HLOOKUP(CX322,Verteil_rwst,27,FALSE)+SUMIF($D$5:$D$319,"=saz",CV5:CV319)*HLOOKUP(CX322,Verteil_rwst,28,FALSE)</f>
        <v>0</v>
      </c>
      <c r="CW343" s="90">
        <f t="shared" ref="CW343" si="868">IF(CV340&lt;&gt;0,CV343/CV340,0)</f>
        <v>0</v>
      </c>
      <c r="CX343" s="166">
        <f>SUMIF($D$5:$D$319,"=sas",CX5:CX319)*HLOOKUP(CX322,Verteil_rwst,25,FALSE)+SUMIF($D$5:$D$319,"=sam",CX5:CX319)*HLOOKUP(CX322,Verteil_rwst,26,FALSE)+SUMIF($D$5:$D$319,"=sar",CX5:CX319)*HLOOKUP(CX322,Verteil_rwst,27,FALSE)+SUMIF($D$5:$D$319,"=saz",CX5:CX319)*HLOOKUP(CX322,Verteil_rwst,28,FALSE)</f>
        <v>0</v>
      </c>
      <c r="CY343" s="90">
        <f t="shared" ref="CY343" si="869">IF(CX340&lt;&gt;0,CX343/CX340,0)</f>
        <v>0</v>
      </c>
      <c r="CZ343" s="611" t="s">
        <v>171</v>
      </c>
      <c r="DE343" s="381"/>
      <c r="DI343" s="166">
        <f>SUMIF($D$5:$D$319,"=sas",DI5:DI319)*HLOOKUP(DK322,Verteil_rwst,25,FALSE)+SUMIF($D$5:$D$319,"=sam",DI5:DI319)*HLOOKUP(DK322,Verteil_rwst,26,FALSE)+SUMIF($D$5:$D$319,"=sar",DI5:DI319)*HLOOKUP(DK322,Verteil_rwst,27,FALSE)+SUMIF($D$5:$D$319,"=saz",DI5:DI319)*HLOOKUP(DK322,Verteil_rwst,28,FALSE)</f>
        <v>0</v>
      </c>
      <c r="DJ343" s="90">
        <f t="shared" ref="DJ343" si="870">IF(DI340&lt;&gt;0,DI343/DI340,0)</f>
        <v>0</v>
      </c>
      <c r="DK343" s="166">
        <f>SUMIF($D$5:$D$319,"=sas",DK5:DK319)*HLOOKUP(DK322,Verteil_rwst,25,FALSE)+SUMIF($D$5:$D$319,"=sam",DK5:DK319)*HLOOKUP(DK322,Verteil_rwst,26,FALSE)+SUMIF($D$5:$D$319,"=sar",DK5:DK319)*HLOOKUP(DK322,Verteil_rwst,27,FALSE)+SUMIF($D$5:$D$319,"=saz",DK5:DK319)*HLOOKUP(DK322,Verteil_rwst,28,FALSE)</f>
        <v>0</v>
      </c>
      <c r="DL343" s="90">
        <f t="shared" ref="DL343" si="871">IF(DK340&lt;&gt;0,DK343/DK340,0)</f>
        <v>0</v>
      </c>
      <c r="DM343" s="611" t="s">
        <v>171</v>
      </c>
      <c r="DR343" s="381"/>
      <c r="DV343" s="166">
        <f>SUMIF($D$5:$D$319,"=sas",DV5:DV319)*HLOOKUP(DX322,Verteil_rwst,25,FALSE)+SUMIF($D$5:$D$319,"=sam",DV5:DV319)*HLOOKUP(DX322,Verteil_rwst,26,FALSE)+SUMIF($D$5:$D$319,"=sar",DV5:DV319)*HLOOKUP(DX322,Verteil_rwst,27,FALSE)+SUMIF($D$5:$D$319,"=saz",DV5:DV319)*HLOOKUP(DX322,Verteil_rwst,28,FALSE)</f>
        <v>0</v>
      </c>
      <c r="DW343" s="90">
        <f t="shared" ref="DW343" si="872">IF(DV340&lt;&gt;0,DV343/DV340,0)</f>
        <v>0</v>
      </c>
      <c r="DX343" s="166">
        <f>SUMIF($D$5:$D$319,"=sas",DX5:DX319)*HLOOKUP(DX322,Verteil_rwst,25,FALSE)+SUMIF($D$5:$D$319,"=sam",DX5:DX319)*HLOOKUP(DX322,Verteil_rwst,26,FALSE)+SUMIF($D$5:$D$319,"=sar",DX5:DX319)*HLOOKUP(DX322,Verteil_rwst,27,FALSE)+SUMIF($D$5:$D$319,"=saz",DX5:DX319)*HLOOKUP(DX322,Verteil_rwst,28,FALSE)</f>
        <v>0</v>
      </c>
      <c r="DY343" s="90">
        <f t="shared" ref="DY343" si="873">IF(DX340&lt;&gt;0,DX343/DX340,0)</f>
        <v>0</v>
      </c>
      <c r="DZ343" s="611" t="s">
        <v>171</v>
      </c>
    </row>
    <row r="344" spans="1:133" s="10" customFormat="1" ht="14.5" customHeight="1" x14ac:dyDescent="0.35">
      <c r="A344" s="562" t="s">
        <v>177</v>
      </c>
      <c r="Q344" s="225">
        <v>23</v>
      </c>
      <c r="R344" s="381"/>
      <c r="V344" s="166">
        <f>ROUND(V324+V328+V332+V336+V340,2)</f>
        <v>35917300</v>
      </c>
      <c r="W344" s="90">
        <f t="shared" ref="W344" si="874">SUM(W345:W347)</f>
        <v>1</v>
      </c>
      <c r="X344" s="54">
        <f>ROUND(X324+X328+X332+X336+X340,2)</f>
        <v>851470</v>
      </c>
      <c r="Y344" s="90">
        <f t="shared" ref="Y344" si="875">SUM(Y345:Y347)</f>
        <v>0.9999999882556051</v>
      </c>
      <c r="Z344" s="562" t="s">
        <v>177</v>
      </c>
      <c r="AE344" s="381"/>
      <c r="AI344" s="166">
        <f>ROUND(AI324+AI328+AI332+AI336+AI340,2)</f>
        <v>35917300</v>
      </c>
      <c r="AJ344" s="90">
        <f t="shared" ref="AJ344" si="876">SUM(AJ345:AJ347)</f>
        <v>1</v>
      </c>
      <c r="AK344" s="54">
        <f>ROUND(AK324+AK328+AK332+AK336+AK340,2)</f>
        <v>849245</v>
      </c>
      <c r="AL344" s="90">
        <f t="shared" ref="AL344" si="877">SUM(AL345:AL347)</f>
        <v>0.99999998822483505</v>
      </c>
      <c r="AM344" s="612" t="s">
        <v>177</v>
      </c>
      <c r="AR344" s="381"/>
      <c r="AV344" s="166">
        <f>ROUND(AV324+AV328+AV332+AV336+AV340,2)</f>
        <v>35917300</v>
      </c>
      <c r="AW344" s="90">
        <f t="shared" ref="AW344" si="878">SUM(AW345:AW347)</f>
        <v>1</v>
      </c>
      <c r="AX344" s="54">
        <f>ROUND(AX324+AX328+AX332+AX336+AX340,2)</f>
        <v>845120</v>
      </c>
      <c r="AY344" s="90">
        <f t="shared" ref="AY344" si="879">SUM(AY345:AY347)</f>
        <v>0.99999999999999989</v>
      </c>
      <c r="AZ344" s="612" t="s">
        <v>177</v>
      </c>
      <c r="BE344" s="381"/>
      <c r="BI344" s="166">
        <f>ROUND(BI324+BI328+BI332+BI336+BI340,2)</f>
        <v>35917300</v>
      </c>
      <c r="BJ344" s="90">
        <f t="shared" ref="BJ344" si="880">SUM(BJ345:BJ347)</f>
        <v>1</v>
      </c>
      <c r="BK344" s="54">
        <f>ROUND(BK324+BK328+BK332+BK336+BK340,2)</f>
        <v>841370</v>
      </c>
      <c r="BL344" s="90">
        <f t="shared" ref="BL344" si="881">SUM(BL345:BL347)</f>
        <v>1.0000000118853773</v>
      </c>
      <c r="BM344" s="612" t="s">
        <v>177</v>
      </c>
      <c r="BR344" s="381"/>
      <c r="BV344" s="166">
        <f>ROUND(BV324+BV328+BV332+BV336+BV340,2)</f>
        <v>35917300</v>
      </c>
      <c r="BW344" s="90">
        <f t="shared" ref="BW344" si="882">SUM(BW345:BW347)</f>
        <v>1</v>
      </c>
      <c r="BX344" s="54">
        <f>ROUND(BX324+BX328+BX332+BX336+BX340,2)</f>
        <v>828645</v>
      </c>
      <c r="BY344" s="90">
        <f t="shared" ref="BY344" si="883">SUM(BY345:BY347)</f>
        <v>1</v>
      </c>
      <c r="BZ344" s="612" t="s">
        <v>177</v>
      </c>
      <c r="CE344" s="381"/>
      <c r="CI344" s="166">
        <f>ROUND(CI324+CI328+CI332+CI336+CI340,2)</f>
        <v>35917300</v>
      </c>
      <c r="CJ344" s="90">
        <f t="shared" ref="CJ344" si="884">SUM(CJ345:CJ347)</f>
        <v>1</v>
      </c>
      <c r="CK344" s="54">
        <f>ROUND(CK324+CK328+CK332+CK336+CK340,2)</f>
        <v>814170</v>
      </c>
      <c r="CL344" s="90">
        <f t="shared" ref="CL344" si="885">SUM(CL345:CL347)</f>
        <v>0.99999998771755294</v>
      </c>
      <c r="CM344" s="612" t="s">
        <v>177</v>
      </c>
      <c r="CR344" s="381"/>
      <c r="CV344" s="166">
        <f>ROUND(CV324+CV328+CV332+CV336+CV340,2)</f>
        <v>35917300</v>
      </c>
      <c r="CW344" s="90">
        <f t="shared" ref="CW344" si="886">SUM(CW345:CW347)</f>
        <v>1</v>
      </c>
      <c r="CX344" s="54">
        <f>ROUND(CX324+CX328+CX332+CX336+CX340,2)</f>
        <v>809200</v>
      </c>
      <c r="CY344" s="90">
        <f t="shared" ref="CY344" si="887">SUM(CY345:CY347)</f>
        <v>0.99999998764211562</v>
      </c>
      <c r="CZ344" s="612" t="s">
        <v>177</v>
      </c>
      <c r="DE344" s="381"/>
      <c r="DI344" s="166">
        <f>ROUND(DI324+DI328+DI332+DI336+DI340,2)</f>
        <v>35917300</v>
      </c>
      <c r="DJ344" s="90">
        <f t="shared" ref="DJ344" si="888">SUM(DJ345:DJ347)</f>
        <v>1</v>
      </c>
      <c r="DK344" s="54">
        <f>ROUND(DK324+DK328+DK332+DK336+DK340,2)</f>
        <v>597260</v>
      </c>
      <c r="DL344" s="90">
        <f t="shared" ref="DL344" si="889">SUM(DL345:DL347)</f>
        <v>0.99999998325687312</v>
      </c>
      <c r="DM344" s="612" t="s">
        <v>177</v>
      </c>
      <c r="DR344" s="381"/>
      <c r="DV344" s="166">
        <f>ROUND(DV324+DV328+DV332+DV336+DV340,2)</f>
        <v>35917300</v>
      </c>
      <c r="DW344" s="90">
        <f t="shared" ref="DW344" si="890">SUM(DW345:DW347)</f>
        <v>1</v>
      </c>
      <c r="DX344" s="54">
        <f>ROUND(DX324+DX328+DX332+DX336+DX340,2)</f>
        <v>578760</v>
      </c>
      <c r="DY344" s="90">
        <f t="shared" ref="DY344" si="891">SUM(DY345:DY347)</f>
        <v>0.99999999999999989</v>
      </c>
      <c r="DZ344" s="612" t="s">
        <v>177</v>
      </c>
    </row>
    <row r="345" spans="1:133" s="10" customFormat="1" ht="14.5" customHeight="1" x14ac:dyDescent="0.35">
      <c r="A345" s="563" t="s">
        <v>169</v>
      </c>
      <c r="Q345" s="225">
        <v>24</v>
      </c>
      <c r="R345" s="381"/>
      <c r="V345" s="166">
        <f t="shared" ref="V345:V347" si="892">ROUND(V325+V329+V333+V337+V341,2)</f>
        <v>24923594.460000001</v>
      </c>
      <c r="W345" s="90">
        <f t="shared" ref="W345" si="893">IF(V344&lt;&gt;0,V345/V344,0)</f>
        <v>0.69391614792871403</v>
      </c>
      <c r="X345" s="54">
        <f t="shared" ref="X345:X347" si="894">ROUND(X325+X329+X333+X337+X341,2)</f>
        <v>638667.15</v>
      </c>
      <c r="Y345" s="90">
        <f t="shared" si="821"/>
        <v>0.7500759275135942</v>
      </c>
      <c r="Z345" s="563" t="s">
        <v>169</v>
      </c>
      <c r="AE345" s="381"/>
      <c r="AI345" s="166">
        <f t="shared" ref="AI345:AI347" si="895">ROUND(AI325+AI329+AI333+AI337+AI341,2)</f>
        <v>24923594.460000001</v>
      </c>
      <c r="AJ345" s="90">
        <f t="shared" ref="AJ345" si="896">IF(AI344&lt;&gt;0,AI345/AI344,0)</f>
        <v>0.69391614792871403</v>
      </c>
      <c r="AK345" s="54">
        <f t="shared" ref="AK345:AK347" si="897">ROUND(AK325+AK329+AK333+AK337+AK341,2)</f>
        <v>636750.49</v>
      </c>
      <c r="AL345" s="90">
        <f t="shared" ref="AL345" si="898">IF(AK344&lt;&gt;0,AK345/AK344,0)</f>
        <v>0.74978420832621917</v>
      </c>
      <c r="AM345" s="611" t="s">
        <v>169</v>
      </c>
      <c r="AR345" s="381"/>
      <c r="AV345" s="166">
        <f t="shared" ref="AV345:AV347" si="899">ROUND(AV325+AV329+AV333+AV337+AV341,2)</f>
        <v>24923594.460000001</v>
      </c>
      <c r="AW345" s="90">
        <f t="shared" ref="AW345" si="900">IF(AV344&lt;&gt;0,AV345/AV344,0)</f>
        <v>0.69391614792871403</v>
      </c>
      <c r="AX345" s="54">
        <f t="shared" ref="AX345:AX347" si="901">ROUND(AX325+AX329+AX333+AX337+AX341,2)</f>
        <v>634145.86</v>
      </c>
      <c r="AY345" s="90">
        <f t="shared" ref="AY345" si="902">IF(AX344&lt;&gt;0,AX345/AX344,0)</f>
        <v>0.75036191310109801</v>
      </c>
      <c r="AZ345" s="611" t="s">
        <v>169</v>
      </c>
      <c r="BE345" s="381"/>
      <c r="BI345" s="166">
        <f t="shared" ref="BI345:BI347" si="903">ROUND(BI325+BI329+BI333+BI337+BI341,2)</f>
        <v>24923594.460000001</v>
      </c>
      <c r="BJ345" s="90">
        <f t="shared" ref="BJ345" si="904">IF(BI344&lt;&gt;0,BI345/BI344,0)</f>
        <v>0.69391614792871403</v>
      </c>
      <c r="BK345" s="54">
        <f t="shared" ref="BK345:BK347" si="905">ROUND(BK325+BK329+BK333+BK337+BK341,2)</f>
        <v>631864.27</v>
      </c>
      <c r="BL345" s="90">
        <f t="shared" ref="BL345" si="906">IF(BK344&lt;&gt;0,BK345/BK344,0)</f>
        <v>0.75099453272638672</v>
      </c>
      <c r="BM345" s="611" t="s">
        <v>169</v>
      </c>
      <c r="BR345" s="381"/>
      <c r="BV345" s="166">
        <f t="shared" ref="BV345:BV347" si="907">ROUND(BV325+BV329+BV333+BV337+BV341,2)</f>
        <v>24923594.460000001</v>
      </c>
      <c r="BW345" s="90">
        <f t="shared" ref="BW345" si="908">IF(BV344&lt;&gt;0,BV345/BV344,0)</f>
        <v>0.69391614792871403</v>
      </c>
      <c r="BX345" s="54">
        <f t="shared" ref="BX345:BX347" si="909">ROUND(BX325+BX329+BX333+BX337+BX341,2)</f>
        <v>620745.78</v>
      </c>
      <c r="BY345" s="90">
        <f t="shared" ref="BY345" si="910">IF(BX344&lt;&gt;0,BX345/BX344,0)</f>
        <v>0.74910942562858651</v>
      </c>
      <c r="BZ345" s="611" t="s">
        <v>169</v>
      </c>
      <c r="CE345" s="381"/>
      <c r="CI345" s="166">
        <f t="shared" ref="CI345:CI347" si="911">ROUND(CI325+CI329+CI333+CI337+CI341,2)</f>
        <v>24923594.460000001</v>
      </c>
      <c r="CJ345" s="90">
        <f t="shared" ref="CJ345" si="912">IF(CI344&lt;&gt;0,CI345/CI344,0)</f>
        <v>0.69391614792871403</v>
      </c>
      <c r="CK345" s="54">
        <f t="shared" ref="CK345:CK347" si="913">ROUND(CK325+CK329+CK333+CK337+CK341,2)</f>
        <v>608752.29</v>
      </c>
      <c r="CL345" s="90">
        <f t="shared" ref="CL345" si="914">IF(CK344&lt;&gt;0,CK345/CK344,0)</f>
        <v>0.74769678322709021</v>
      </c>
      <c r="CM345" s="611" t="s">
        <v>169</v>
      </c>
      <c r="CR345" s="381"/>
      <c r="CV345" s="166">
        <f t="shared" ref="CV345:CV347" si="915">ROUND(CV325+CV329+CV333+CV337+CV341,2)</f>
        <v>24923594.460000001</v>
      </c>
      <c r="CW345" s="90">
        <f t="shared" ref="CW345" si="916">IF(CV344&lt;&gt;0,CV345/CV344,0)</f>
        <v>0.69391614792871403</v>
      </c>
      <c r="CX345" s="54">
        <f t="shared" ref="CX345:CX347" si="917">ROUND(CX325+CX329+CX333+CX337+CX341,2)</f>
        <v>605905.87</v>
      </c>
      <c r="CY345" s="90">
        <f t="shared" ref="CY345" si="918">IF(CX344&lt;&gt;0,CX345/CX344,0)</f>
        <v>0.74877146564508157</v>
      </c>
      <c r="CZ345" s="611" t="s">
        <v>169</v>
      </c>
      <c r="DE345" s="381"/>
      <c r="DI345" s="166">
        <f t="shared" ref="DI345:DI347" si="919">ROUND(DI325+DI329+DI333+DI337+DI341,2)</f>
        <v>24923594.460000001</v>
      </c>
      <c r="DJ345" s="90">
        <f t="shared" ref="DJ345" si="920">IF(DI344&lt;&gt;0,DI345/DI344,0)</f>
        <v>0.69391614792871403</v>
      </c>
      <c r="DK345" s="54">
        <f t="shared" ref="DK345:DK347" si="921">ROUND(DK325+DK329+DK333+DK337+DK341,2)</f>
        <v>402148.89</v>
      </c>
      <c r="DL345" s="90">
        <f t="shared" ref="DL345" si="922">IF(DK344&lt;&gt;0,DK345/DK344,0)</f>
        <v>0.67332299166192278</v>
      </c>
      <c r="DM345" s="611" t="s">
        <v>169</v>
      </c>
      <c r="DR345" s="381"/>
      <c r="DV345" s="166">
        <f t="shared" ref="DV345:DV347" si="923">ROUND(DV325+DV329+DV333+DV337+DV341,2)</f>
        <v>24923594.460000001</v>
      </c>
      <c r="DW345" s="90">
        <f t="shared" ref="DW345" si="924">IF(DV344&lt;&gt;0,DV345/DV344,0)</f>
        <v>0.69391614792871403</v>
      </c>
      <c r="DX345" s="54">
        <f t="shared" ref="DX345:DX347" si="925">ROUND(DX325+DX329+DX333+DX337+DX341,2)</f>
        <v>386212.62</v>
      </c>
      <c r="DY345" s="90">
        <f t="shared" ref="DY345" si="926">IF(DX344&lt;&gt;0,DX345/DX344,0)</f>
        <v>0.667310491395397</v>
      </c>
      <c r="DZ345" s="611" t="s">
        <v>169</v>
      </c>
    </row>
    <row r="346" spans="1:133" s="10" customFormat="1" ht="14.5" customHeight="1" x14ac:dyDescent="0.35">
      <c r="A346" s="563" t="s">
        <v>170</v>
      </c>
      <c r="Q346" s="225">
        <v>25</v>
      </c>
      <c r="R346" s="381"/>
      <c r="V346" s="166">
        <f t="shared" si="892"/>
        <v>5994102.7699999996</v>
      </c>
      <c r="W346" s="90">
        <f t="shared" ref="W346" si="927">IF(V344&lt;&gt;0,V346/V344,0)</f>
        <v>0.16688622947716003</v>
      </c>
      <c r="X346" s="54">
        <f t="shared" si="894"/>
        <v>111621.42</v>
      </c>
      <c r="Y346" s="90">
        <f t="shared" si="839"/>
        <v>0.13109260455447638</v>
      </c>
      <c r="Z346" s="563" t="s">
        <v>170</v>
      </c>
      <c r="AE346" s="381"/>
      <c r="AI346" s="166">
        <f t="shared" si="895"/>
        <v>5994102.7699999996</v>
      </c>
      <c r="AJ346" s="90">
        <f t="shared" ref="AJ346" si="928">IF(AI344&lt;&gt;0,AI346/AI344,0)</f>
        <v>0.16688622947716003</v>
      </c>
      <c r="AK346" s="54">
        <f t="shared" si="897"/>
        <v>111467.25</v>
      </c>
      <c r="AL346" s="90">
        <f t="shared" ref="AL346" si="929">IF(AK344&lt;&gt;0,AK346/AK344,0)</f>
        <v>0.1312545260790467</v>
      </c>
      <c r="AM346" s="611" t="s">
        <v>170</v>
      </c>
      <c r="AR346" s="381"/>
      <c r="AV346" s="166">
        <f t="shared" si="899"/>
        <v>5994102.7699999996</v>
      </c>
      <c r="AW346" s="90">
        <f t="shared" ref="AW346" si="930">IF(AV344&lt;&gt;0,AV346/AV344,0)</f>
        <v>0.16688622947716003</v>
      </c>
      <c r="AX346" s="54">
        <f t="shared" si="901"/>
        <v>110707.07</v>
      </c>
      <c r="AY346" s="90">
        <f t="shared" ref="AY346" si="931">IF(AX344&lt;&gt;0,AX346/AX344,0)</f>
        <v>0.13099568108670959</v>
      </c>
      <c r="AZ346" s="611" t="s">
        <v>170</v>
      </c>
      <c r="BE346" s="381"/>
      <c r="BI346" s="166">
        <f t="shared" si="903"/>
        <v>5994102.7699999996</v>
      </c>
      <c r="BJ346" s="90">
        <f t="shared" ref="BJ346" si="932">IF(BI344&lt;&gt;0,BI346/BI344,0)</f>
        <v>0.16688622947716003</v>
      </c>
      <c r="BK346" s="54">
        <f t="shared" si="905"/>
        <v>109972.87</v>
      </c>
      <c r="BL346" s="90">
        <f t="shared" ref="BL346" si="933">IF(BK344&lt;&gt;0,BK346/BK344,0)</f>
        <v>0.13070690659281886</v>
      </c>
      <c r="BM346" s="611" t="s">
        <v>170</v>
      </c>
      <c r="BR346" s="381"/>
      <c r="BV346" s="166">
        <f t="shared" si="907"/>
        <v>5994102.7699999996</v>
      </c>
      <c r="BW346" s="90">
        <f t="shared" ref="BW346" si="934">IF(BV344&lt;&gt;0,BV346/BV344,0)</f>
        <v>0.16688622947716003</v>
      </c>
      <c r="BX346" s="54">
        <f t="shared" si="909"/>
        <v>109169.61</v>
      </c>
      <c r="BY346" s="90">
        <f t="shared" ref="BY346" si="935">IF(BX344&lt;&gt;0,BX346/BX344,0)</f>
        <v>0.13174472783882121</v>
      </c>
      <c r="BZ346" s="611" t="s">
        <v>170</v>
      </c>
      <c r="CE346" s="381"/>
      <c r="CI346" s="166">
        <f t="shared" si="911"/>
        <v>5994102.7699999996</v>
      </c>
      <c r="CJ346" s="90">
        <f t="shared" ref="CJ346" si="936">IF(CI344&lt;&gt;0,CI346/CI344,0)</f>
        <v>0.16688622947716003</v>
      </c>
      <c r="CK346" s="54">
        <f t="shared" si="913"/>
        <v>107928.85</v>
      </c>
      <c r="CL346" s="90">
        <f t="shared" ref="CL346" si="937">IF(CK344&lt;&gt;0,CK346/CK344,0)</f>
        <v>0.13256303966002186</v>
      </c>
      <c r="CM346" s="611" t="s">
        <v>170</v>
      </c>
      <c r="CR346" s="381"/>
      <c r="CV346" s="166">
        <f t="shared" si="915"/>
        <v>5994102.7699999996</v>
      </c>
      <c r="CW346" s="90">
        <f t="shared" ref="CW346" si="938">IF(CV344&lt;&gt;0,CV346/CV344,0)</f>
        <v>0.16688622947716003</v>
      </c>
      <c r="CX346" s="54">
        <f t="shared" si="917"/>
        <v>106867.06</v>
      </c>
      <c r="CY346" s="90">
        <f t="shared" ref="CY346" si="939">IF(CX344&lt;&gt;0,CX346/CX344,0)</f>
        <v>0.13206507661888284</v>
      </c>
      <c r="CZ346" s="611" t="s">
        <v>170</v>
      </c>
      <c r="DE346" s="381"/>
      <c r="DI346" s="166">
        <f t="shared" si="919"/>
        <v>5994102.7699999996</v>
      </c>
      <c r="DJ346" s="90">
        <f t="shared" ref="DJ346" si="940">IF(DI344&lt;&gt;0,DI346/DI344,0)</f>
        <v>0.16688622947716003</v>
      </c>
      <c r="DK346" s="54">
        <f t="shared" si="921"/>
        <v>102775.55</v>
      </c>
      <c r="DL346" s="90">
        <f t="shared" ref="DL346" si="941">IF(DK344&lt;&gt;0,DK346/DK344,0)</f>
        <v>0.17207840806348995</v>
      </c>
      <c r="DM346" s="611" t="s">
        <v>170</v>
      </c>
      <c r="DR346" s="381"/>
      <c r="DV346" s="166">
        <f t="shared" si="923"/>
        <v>5994102.7699999996</v>
      </c>
      <c r="DW346" s="90">
        <f t="shared" ref="DW346" si="942">IF(DV344&lt;&gt;0,DV346/DV344,0)</f>
        <v>0.16688622947716003</v>
      </c>
      <c r="DX346" s="54">
        <f t="shared" si="925"/>
        <v>101493.69</v>
      </c>
      <c r="DY346" s="90">
        <f t="shared" ref="DY346" si="943">IF(DX344&lt;&gt;0,DX346/DX344,0)</f>
        <v>0.17536403690648975</v>
      </c>
      <c r="DZ346" s="611" t="s">
        <v>170</v>
      </c>
    </row>
    <row r="347" spans="1:133" s="10" customFormat="1" ht="14.5" customHeight="1" x14ac:dyDescent="0.35">
      <c r="A347" s="563" t="s">
        <v>171</v>
      </c>
      <c r="Q347" s="225">
        <v>26</v>
      </c>
      <c r="R347" s="381"/>
      <c r="V347" s="166">
        <f t="shared" si="892"/>
        <v>4999602.7699999996</v>
      </c>
      <c r="W347" s="90">
        <f t="shared" ref="W347" si="944">IF(V344&lt;&gt;0,V347/V344,0)</f>
        <v>0.13919762259412594</v>
      </c>
      <c r="X347" s="54">
        <f t="shared" si="894"/>
        <v>101181.42</v>
      </c>
      <c r="Y347" s="90">
        <f t="shared" si="857"/>
        <v>0.1188314561875345</v>
      </c>
      <c r="Z347" s="563" t="s">
        <v>171</v>
      </c>
      <c r="AE347" s="381"/>
      <c r="AI347" s="166">
        <f t="shared" si="895"/>
        <v>4999602.7699999996</v>
      </c>
      <c r="AJ347" s="90">
        <f t="shared" ref="AJ347" si="945">IF(AI344&lt;&gt;0,AI347/AI344,0)</f>
        <v>0.13919762259412594</v>
      </c>
      <c r="AK347" s="54">
        <f t="shared" si="897"/>
        <v>101027.25</v>
      </c>
      <c r="AL347" s="90">
        <f t="shared" ref="AL347" si="946">IF(AK344&lt;&gt;0,AK347/AK344,0)</f>
        <v>0.11896125381956915</v>
      </c>
      <c r="AM347" s="611" t="s">
        <v>171</v>
      </c>
      <c r="AR347" s="381"/>
      <c r="AV347" s="166">
        <f t="shared" si="899"/>
        <v>4999602.7699999996</v>
      </c>
      <c r="AW347" s="90">
        <f t="shared" ref="AW347" si="947">IF(AV344&lt;&gt;0,AV347/AV344,0)</f>
        <v>0.13919762259412594</v>
      </c>
      <c r="AX347" s="54">
        <f t="shared" si="901"/>
        <v>100267.07</v>
      </c>
      <c r="AY347" s="90">
        <f t="shared" ref="AY347" si="948">IF(AX344&lt;&gt;0,AX347/AX344,0)</f>
        <v>0.11864240581219236</v>
      </c>
      <c r="AZ347" s="611" t="s">
        <v>171</v>
      </c>
      <c r="BE347" s="381"/>
      <c r="BI347" s="166">
        <f t="shared" si="903"/>
        <v>4999602.7699999996</v>
      </c>
      <c r="BJ347" s="90">
        <f t="shared" ref="BJ347" si="949">IF(BI344&lt;&gt;0,BI347/BI344,0)</f>
        <v>0.13919762259412594</v>
      </c>
      <c r="BK347" s="54">
        <f t="shared" si="905"/>
        <v>99532.87</v>
      </c>
      <c r="BL347" s="90">
        <f t="shared" ref="BL347" si="950">IF(BK344&lt;&gt;0,BK347/BK344,0)</f>
        <v>0.11829857256617184</v>
      </c>
      <c r="BM347" s="611" t="s">
        <v>171</v>
      </c>
      <c r="BR347" s="381"/>
      <c r="BV347" s="166">
        <f t="shared" si="907"/>
        <v>4999602.7699999996</v>
      </c>
      <c r="BW347" s="90">
        <f t="shared" ref="BW347" si="951">IF(BV344&lt;&gt;0,BV347/BV344,0)</f>
        <v>0.13919762259412594</v>
      </c>
      <c r="BX347" s="54">
        <f t="shared" si="909"/>
        <v>98729.61</v>
      </c>
      <c r="BY347" s="90">
        <f t="shared" ref="BY347" si="952">IF(BX344&lt;&gt;0,BX347/BX344,0)</f>
        <v>0.11914584653259236</v>
      </c>
      <c r="BZ347" s="611" t="s">
        <v>171</v>
      </c>
      <c r="CE347" s="381"/>
      <c r="CI347" s="166">
        <f t="shared" si="911"/>
        <v>4999602.7699999996</v>
      </c>
      <c r="CJ347" s="90">
        <f t="shared" ref="CJ347" si="953">IF(CI344&lt;&gt;0,CI347/CI344,0)</f>
        <v>0.13919762259412594</v>
      </c>
      <c r="CK347" s="54">
        <f t="shared" si="913"/>
        <v>97488.85</v>
      </c>
      <c r="CL347" s="90">
        <f t="shared" ref="CL347" si="954">IF(CK344&lt;&gt;0,CK347/CK344,0)</f>
        <v>0.11974016483044082</v>
      </c>
      <c r="CM347" s="611" t="s">
        <v>171</v>
      </c>
      <c r="CR347" s="381"/>
      <c r="CV347" s="166">
        <f t="shared" si="915"/>
        <v>4999602.7699999996</v>
      </c>
      <c r="CW347" s="90">
        <f t="shared" ref="CW347" si="955">IF(CV344&lt;&gt;0,CV347/CV344,0)</f>
        <v>0.13919762259412594</v>
      </c>
      <c r="CX347" s="54">
        <f t="shared" si="917"/>
        <v>96427.06</v>
      </c>
      <c r="CY347" s="90">
        <f t="shared" ref="CY347" si="956">IF(CX344&lt;&gt;0,CX347/CX344,0)</f>
        <v>0.11916344537815125</v>
      </c>
      <c r="CZ347" s="611" t="s">
        <v>171</v>
      </c>
      <c r="DE347" s="381"/>
      <c r="DI347" s="166">
        <f t="shared" si="919"/>
        <v>4999602.7699999996</v>
      </c>
      <c r="DJ347" s="90">
        <f t="shared" ref="DJ347" si="957">IF(DI344&lt;&gt;0,DI347/DI344,0)</f>
        <v>0.13919762259412594</v>
      </c>
      <c r="DK347" s="54">
        <f t="shared" si="921"/>
        <v>92335.55</v>
      </c>
      <c r="DL347" s="90">
        <f t="shared" ref="DL347" si="958">IF(DK344&lt;&gt;0,DK347/DK344,0)</f>
        <v>0.15459858353146033</v>
      </c>
      <c r="DM347" s="611" t="s">
        <v>171</v>
      </c>
      <c r="DR347" s="381"/>
      <c r="DV347" s="166">
        <f t="shared" si="923"/>
        <v>4999602.7699999996</v>
      </c>
      <c r="DW347" s="90">
        <f t="shared" ref="DW347" si="959">IF(DV344&lt;&gt;0,DV347/DV344,0)</f>
        <v>0.13919762259412594</v>
      </c>
      <c r="DX347" s="54">
        <f t="shared" si="925"/>
        <v>91053.69</v>
      </c>
      <c r="DY347" s="90">
        <f t="shared" ref="DY347" si="960">IF(DX344&lt;&gt;0,DX347/DX344,0)</f>
        <v>0.1573254716981132</v>
      </c>
      <c r="DZ347" s="611" t="s">
        <v>171</v>
      </c>
    </row>
    <row r="348" spans="1:133" s="10" customFormat="1" ht="18.75" customHeight="1" x14ac:dyDescent="0.45">
      <c r="A348" s="95" t="s">
        <v>1081</v>
      </c>
      <c r="Q348" s="225">
        <v>27</v>
      </c>
      <c r="R348" s="608" t="s">
        <v>1077</v>
      </c>
      <c r="S348" s="80" t="s">
        <v>390</v>
      </c>
      <c r="T348" s="80"/>
      <c r="U348" s="80" t="s">
        <v>567</v>
      </c>
      <c r="W348" s="80" t="s">
        <v>391</v>
      </c>
      <c r="X348" s="562" t="s">
        <v>385</v>
      </c>
      <c r="Y348" s="562" t="s">
        <v>386</v>
      </c>
      <c r="Z348" s="79" t="s">
        <v>387</v>
      </c>
      <c r="AA348" s="79" t="s">
        <v>388</v>
      </c>
      <c r="AB348" s="566" t="s">
        <v>389</v>
      </c>
      <c r="AC348" s="79" t="s">
        <v>862</v>
      </c>
      <c r="AE348" s="608" t="s">
        <v>1077</v>
      </c>
      <c r="AF348" s="80" t="s">
        <v>390</v>
      </c>
      <c r="AG348" s="80"/>
      <c r="AH348" s="80" t="s">
        <v>567</v>
      </c>
      <c r="AJ348" s="80" t="s">
        <v>391</v>
      </c>
      <c r="AK348" s="612" t="s">
        <v>385</v>
      </c>
      <c r="AL348" s="612" t="s">
        <v>386</v>
      </c>
      <c r="AM348" s="79" t="s">
        <v>387</v>
      </c>
      <c r="AN348" s="79" t="s">
        <v>388</v>
      </c>
      <c r="AO348" s="566" t="s">
        <v>389</v>
      </c>
      <c r="AP348" s="79" t="s">
        <v>862</v>
      </c>
      <c r="AR348" s="608" t="s">
        <v>1077</v>
      </c>
      <c r="AS348" s="80" t="s">
        <v>390</v>
      </c>
      <c r="AT348" s="80"/>
      <c r="AU348" s="80" t="s">
        <v>567</v>
      </c>
      <c r="AW348" s="80" t="s">
        <v>391</v>
      </c>
      <c r="AX348" s="612" t="s">
        <v>385</v>
      </c>
      <c r="AY348" s="612" t="s">
        <v>386</v>
      </c>
      <c r="AZ348" s="79" t="s">
        <v>387</v>
      </c>
      <c r="BA348" s="79" t="s">
        <v>388</v>
      </c>
      <c r="BB348" s="566" t="s">
        <v>389</v>
      </c>
      <c r="BC348" s="79" t="s">
        <v>862</v>
      </c>
      <c r="BE348" s="608" t="s">
        <v>1077</v>
      </c>
      <c r="BF348" s="80" t="s">
        <v>390</v>
      </c>
      <c r="BG348" s="80"/>
      <c r="BH348" s="80" t="s">
        <v>567</v>
      </c>
      <c r="BJ348" s="80" t="s">
        <v>391</v>
      </c>
      <c r="BK348" s="612" t="s">
        <v>385</v>
      </c>
      <c r="BL348" s="612" t="s">
        <v>386</v>
      </c>
      <c r="BM348" s="79" t="s">
        <v>387</v>
      </c>
      <c r="BN348" s="79" t="s">
        <v>388</v>
      </c>
      <c r="BO348" s="566" t="s">
        <v>389</v>
      </c>
      <c r="BP348" s="79" t="s">
        <v>862</v>
      </c>
      <c r="BR348" s="608" t="s">
        <v>1077</v>
      </c>
      <c r="BS348" s="80" t="s">
        <v>390</v>
      </c>
      <c r="BT348" s="80"/>
      <c r="BU348" s="80" t="s">
        <v>567</v>
      </c>
      <c r="BW348" s="80" t="s">
        <v>391</v>
      </c>
      <c r="BX348" s="612" t="s">
        <v>385</v>
      </c>
      <c r="BY348" s="612" t="s">
        <v>386</v>
      </c>
      <c r="BZ348" s="79" t="s">
        <v>387</v>
      </c>
      <c r="CA348" s="79" t="s">
        <v>388</v>
      </c>
      <c r="CB348" s="566" t="s">
        <v>389</v>
      </c>
      <c r="CC348" s="79" t="s">
        <v>862</v>
      </c>
      <c r="CE348" s="608" t="s">
        <v>1077</v>
      </c>
      <c r="CF348" s="80" t="s">
        <v>390</v>
      </c>
      <c r="CG348" s="80"/>
      <c r="CH348" s="80" t="s">
        <v>567</v>
      </c>
      <c r="CJ348" s="80" t="s">
        <v>391</v>
      </c>
      <c r="CK348" s="612" t="s">
        <v>385</v>
      </c>
      <c r="CL348" s="612" t="s">
        <v>386</v>
      </c>
      <c r="CM348" s="79" t="s">
        <v>387</v>
      </c>
      <c r="CN348" s="79" t="s">
        <v>388</v>
      </c>
      <c r="CO348" s="566" t="s">
        <v>389</v>
      </c>
      <c r="CP348" s="79" t="s">
        <v>862</v>
      </c>
      <c r="CR348" s="608" t="s">
        <v>1077</v>
      </c>
      <c r="CS348" s="80" t="s">
        <v>390</v>
      </c>
      <c r="CT348" s="80"/>
      <c r="CU348" s="80" t="s">
        <v>567</v>
      </c>
      <c r="CW348" s="80" t="s">
        <v>391</v>
      </c>
      <c r="CX348" s="612" t="s">
        <v>385</v>
      </c>
      <c r="CY348" s="612" t="s">
        <v>386</v>
      </c>
      <c r="CZ348" s="79" t="s">
        <v>387</v>
      </c>
      <c r="DA348" s="79" t="s">
        <v>388</v>
      </c>
      <c r="DB348" s="566" t="s">
        <v>389</v>
      </c>
      <c r="DC348" s="79" t="s">
        <v>862</v>
      </c>
      <c r="DE348" s="608" t="s">
        <v>1077</v>
      </c>
      <c r="DF348" s="80" t="s">
        <v>390</v>
      </c>
      <c r="DG348" s="80"/>
      <c r="DH348" s="80" t="s">
        <v>567</v>
      </c>
      <c r="DJ348" s="80" t="s">
        <v>391</v>
      </c>
      <c r="DK348" s="612" t="s">
        <v>385</v>
      </c>
      <c r="DL348" s="612" t="s">
        <v>386</v>
      </c>
      <c r="DM348" s="79" t="s">
        <v>387</v>
      </c>
      <c r="DN348" s="79" t="s">
        <v>388</v>
      </c>
      <c r="DO348" s="566" t="s">
        <v>389</v>
      </c>
      <c r="DP348" s="79" t="s">
        <v>862</v>
      </c>
      <c r="DR348" s="608" t="s">
        <v>1077</v>
      </c>
      <c r="DS348" s="80" t="s">
        <v>390</v>
      </c>
      <c r="DT348" s="80"/>
      <c r="DU348" s="80" t="s">
        <v>567</v>
      </c>
      <c r="DW348" s="80" t="s">
        <v>391</v>
      </c>
      <c r="DX348" s="612" t="s">
        <v>385</v>
      </c>
      <c r="DY348" s="612" t="s">
        <v>386</v>
      </c>
      <c r="DZ348" s="79" t="s">
        <v>387</v>
      </c>
      <c r="EA348" s="79" t="s">
        <v>388</v>
      </c>
      <c r="EB348" s="566" t="s">
        <v>389</v>
      </c>
      <c r="EC348" s="79" t="s">
        <v>862</v>
      </c>
    </row>
    <row r="349" spans="1:133" s="10" customFormat="1" ht="15" customHeight="1" x14ac:dyDescent="0.35">
      <c r="A349" s="564" t="s">
        <v>379</v>
      </c>
      <c r="Q349" s="225">
        <v>28</v>
      </c>
      <c r="R349" s="381"/>
      <c r="S349" s="166">
        <f>SUMIF($D$5:$D$319,"=kas",S5:S319)+SUMIF($D$5:$D$319,"=kam",S5:S319)+SUMIF($D$5:$D$319,"=kar",S5:S319)+SUMIF($D$5:$D$319,"=kaz",S5:S319)</f>
        <v>0</v>
      </c>
      <c r="U349" s="166">
        <f>SUMIF($D$5:$D$319,"=kas",U5:U319)+SUMIF($D$5:$D$319,"=kam",U5:U319)+SUMIF($D$5:$D$319,"=kar",U5:U319)+SUMIF($D$5:$D$319,"=kaz",U5:U319)</f>
        <v>0</v>
      </c>
      <c r="W349" s="90">
        <f>SUM(W350:W352)</f>
        <v>1</v>
      </c>
      <c r="X349" s="166">
        <f>ROUND(Z349*HLOOKUP(X322,Grund_zins,2,FALSE),2)</f>
        <v>296924.25</v>
      </c>
      <c r="Y349" s="166">
        <f>SUMIF($D$5:$D$319,"=kas",Y5:Y319)+SUMIF($D$5:$D$319,"=kam",Y5:Y319)+SUMIF($D$5:$D$319,"=kar",Y5:Y319)+SUMIF($D$5:$D$319,"=kaz",Y5:Y319)</f>
        <v>289600</v>
      </c>
      <c r="Z349" s="166">
        <f>AA349-S349+U349+Y349/2</f>
        <v>8483550</v>
      </c>
      <c r="AA349" s="166">
        <f>SUMIF($D$5:$D$319,"=kas",AA5:AA319)+SUMIF($D$5:$D$319,"=kam",AA5:AA319)+SUMIF($D$5:$D$319,"=kar",AA5:AA319)+SUMIF($D$5:$D$319,"=kaz",AA5:AA319)</f>
        <v>8338750</v>
      </c>
      <c r="AB349" s="90">
        <f>SUM(AB350:AB352)</f>
        <v>1</v>
      </c>
      <c r="AC349" s="564" t="s">
        <v>379</v>
      </c>
      <c r="AE349" s="381"/>
      <c r="AF349" s="166">
        <f>SUMIF($D$5:$D$319,"=kas",AF5:AF319)+SUMIF($D$5:$D$319,"=kam",AF5:AF319)+SUMIF($D$5:$D$319,"=kar",AF5:AF319)+SUMIF($D$5:$D$319,"=kaz",AF5:AF319)</f>
        <v>0</v>
      </c>
      <c r="AH349" s="166">
        <f>SUMIF($D$5:$D$319,"=kas",AH5:AH319)+SUMIF($D$5:$D$319,"=kam",AH5:AH319)+SUMIF($D$5:$D$319,"=kar",AH5:AH319)+SUMIF($D$5:$D$319,"=kaz",AH5:AH319)</f>
        <v>0</v>
      </c>
      <c r="AJ349" s="90">
        <f>SUM(AJ350:AJ352)</f>
        <v>1</v>
      </c>
      <c r="AK349" s="166">
        <f>ROUND(AM349*HLOOKUP(AK322,Grund_zins,2,FALSE),2)</f>
        <v>286788.25</v>
      </c>
      <c r="AL349" s="166">
        <f>SUMIF($D$5:$D$319,"=kas",AL5:AL319)+SUMIF($D$5:$D$319,"=kam",AL5:AL319)+SUMIF($D$5:$D$319,"=kar",AL5:AL319)+SUMIF($D$5:$D$319,"=kaz",AL5:AL319)</f>
        <v>289600</v>
      </c>
      <c r="AM349" s="166">
        <f>AN349-AF349+AH349+AL349/2</f>
        <v>8193950</v>
      </c>
      <c r="AN349" s="166">
        <f>SUMIF($D$5:$D$319,"=kas",AN5:AN319)+SUMIF($D$5:$D$319,"=kam",AN5:AN319)+SUMIF($D$5:$D$319,"=kar",AN5:AN319)+SUMIF($D$5:$D$319,"=kaz",AN5:AN319)</f>
        <v>8049150</v>
      </c>
      <c r="AO349" s="90">
        <f>SUM(AO350:AO352)</f>
        <v>1</v>
      </c>
      <c r="AP349" s="564" t="s">
        <v>379</v>
      </c>
      <c r="AR349" s="381"/>
      <c r="AS349" s="166">
        <f>SUMIF($D$5:$D$319,"=kas",AS5:AS319)+SUMIF($D$5:$D$319,"=kam",AS5:AS319)+SUMIF($D$5:$D$319,"=kar",AS5:AS319)+SUMIF($D$5:$D$319,"=kaz",AS5:AS319)</f>
        <v>0</v>
      </c>
      <c r="AU349" s="166">
        <f>SUMIF($D$5:$D$319,"=kas",AU5:AU319)+SUMIF($D$5:$D$319,"=kam",AU5:AU319)+SUMIF($D$5:$D$319,"=kar",AU5:AU319)+SUMIF($D$5:$D$319,"=kaz",AU5:AU319)</f>
        <v>0</v>
      </c>
      <c r="AW349" s="90">
        <f>SUM(AW350:AW352)</f>
        <v>1</v>
      </c>
      <c r="AX349" s="166">
        <f>ROUND(AZ349*HLOOKUP(AX322,Grund_zins,2,FALSE),2)</f>
        <v>276652.25</v>
      </c>
      <c r="AY349" s="166">
        <f>SUMIF($D$5:$D$319,"=kas",AY5:AY319)+SUMIF($D$5:$D$319,"=kam",AY5:AY319)+SUMIF($D$5:$D$319,"=kar",AY5:AY319)+SUMIF($D$5:$D$319,"=kaz",AY5:AY319)</f>
        <v>289600</v>
      </c>
      <c r="AZ349" s="166">
        <f>BA349-AS349+AU349+AY349/2</f>
        <v>7904350</v>
      </c>
      <c r="BA349" s="166">
        <f>SUMIF($D$5:$D$319,"=kas",BA5:BA319)+SUMIF($D$5:$D$319,"=kam",BA5:BA319)+SUMIF($D$5:$D$319,"=kar",BA5:BA319)+SUMIF($D$5:$D$319,"=kaz",BA5:BA319)</f>
        <v>7759550</v>
      </c>
      <c r="BB349" s="90">
        <f>SUM(BB350:BB352)</f>
        <v>1</v>
      </c>
      <c r="BC349" s="564" t="s">
        <v>379</v>
      </c>
      <c r="BE349" s="381"/>
      <c r="BF349" s="166">
        <f>SUMIF($D$5:$D$319,"=kas",BF5:BF319)+SUMIF($D$5:$D$319,"=kam",BF5:BF319)+SUMIF($D$5:$D$319,"=kar",BF5:BF319)+SUMIF($D$5:$D$319,"=kaz",BF5:BF319)</f>
        <v>0</v>
      </c>
      <c r="BH349" s="166">
        <f>SUMIF($D$5:$D$319,"=kas",BH5:BH319)+SUMIF($D$5:$D$319,"=kam",BH5:BH319)+SUMIF($D$5:$D$319,"=kar",BH5:BH319)+SUMIF($D$5:$D$319,"=kaz",BH5:BH319)</f>
        <v>0</v>
      </c>
      <c r="BJ349" s="90">
        <f>SUM(BJ350:BJ352)</f>
        <v>1</v>
      </c>
      <c r="BK349" s="166">
        <f>ROUND(BM349*HLOOKUP(BK322,Grund_zins,2,FALSE),2)</f>
        <v>266516.25</v>
      </c>
      <c r="BL349" s="166">
        <f>SUMIF($D$5:$D$319,"=kas",BL5:BL319)+SUMIF($D$5:$D$319,"=kam",BL5:BL319)+SUMIF($D$5:$D$319,"=kar",BL5:BL319)+SUMIF($D$5:$D$319,"=kaz",BL5:BL319)</f>
        <v>289600</v>
      </c>
      <c r="BM349" s="166">
        <f>BN349-BF349+BH349+BL349/2</f>
        <v>7614750</v>
      </c>
      <c r="BN349" s="166">
        <f>SUMIF($D$5:$D$319,"=kas",BN5:BN319)+SUMIF($D$5:$D$319,"=kam",BN5:BN319)+SUMIF($D$5:$D$319,"=kar",BN5:BN319)+SUMIF($D$5:$D$319,"=kaz",BN5:BN319)</f>
        <v>7469950</v>
      </c>
      <c r="BO349" s="90">
        <f>SUM(BO350:BO352)</f>
        <v>1</v>
      </c>
      <c r="BP349" s="564" t="s">
        <v>379</v>
      </c>
      <c r="BR349" s="381"/>
      <c r="BS349" s="166">
        <f>SUMIF($D$5:$D$319,"=kas",BS5:BS319)+SUMIF($D$5:$D$319,"=kam",BS5:BS319)+SUMIF($D$5:$D$319,"=kar",BS5:BS319)+SUMIF($D$5:$D$319,"=kaz",BS5:BS319)</f>
        <v>0</v>
      </c>
      <c r="BU349" s="166">
        <f>SUMIF($D$5:$D$319,"=kas",BU5:BU319)+SUMIF($D$5:$D$319,"=kam",BU5:BU319)+SUMIF($D$5:$D$319,"=kar",BU5:BU319)+SUMIF($D$5:$D$319,"=kaz",BU5:BU319)</f>
        <v>0</v>
      </c>
      <c r="BW349" s="90">
        <f>SUM(BW350:BW352)</f>
        <v>1</v>
      </c>
      <c r="BX349" s="166">
        <f>ROUND(BZ349*HLOOKUP(BX322,Grund_zins,2,FALSE),2)</f>
        <v>256380.25</v>
      </c>
      <c r="BY349" s="166">
        <f>SUMIF($D$5:$D$319,"=kas",BY5:BY319)+SUMIF($D$5:$D$319,"=kam",BY5:BY319)+SUMIF($D$5:$D$319,"=kar",BY5:BY319)+SUMIF($D$5:$D$319,"=kaz",BY5:BY319)</f>
        <v>289600</v>
      </c>
      <c r="BZ349" s="166">
        <f>CA349-BS349+BU349+BY349/2</f>
        <v>7325150</v>
      </c>
      <c r="CA349" s="166">
        <f>SUMIF($D$5:$D$319,"=kas",CA5:CA319)+SUMIF($D$5:$D$319,"=kam",CA5:CA319)+SUMIF($D$5:$D$319,"=kar",CA5:CA319)+SUMIF($D$5:$D$319,"=kaz",CA5:CA319)</f>
        <v>7180350</v>
      </c>
      <c r="CB349" s="90">
        <f>SUM(CB350:CB352)</f>
        <v>1</v>
      </c>
      <c r="CC349" s="564" t="s">
        <v>379</v>
      </c>
      <c r="CE349" s="381"/>
      <c r="CF349" s="166">
        <f>SUMIF($D$5:$D$319,"=kas",CF5:CF319)+SUMIF($D$5:$D$319,"=kam",CF5:CF319)+SUMIF($D$5:$D$319,"=kar",CF5:CF319)+SUMIF($D$5:$D$319,"=kaz",CF5:CF319)</f>
        <v>0</v>
      </c>
      <c r="CH349" s="166">
        <f>SUMIF($D$5:$D$319,"=kas",CH5:CH319)+SUMIF($D$5:$D$319,"=kam",CH5:CH319)+SUMIF($D$5:$D$319,"=kar",CH5:CH319)+SUMIF($D$5:$D$319,"=kaz",CH5:CH319)</f>
        <v>0</v>
      </c>
      <c r="CJ349" s="90">
        <f>SUM(CJ350:CJ352)</f>
        <v>1.000000047378433</v>
      </c>
      <c r="CK349" s="166">
        <f>ROUND(CM349*HLOOKUP(CK322,Grund_zins,2,FALSE),2)</f>
        <v>211066.5</v>
      </c>
      <c r="CL349" s="166">
        <f>SUMIF($D$5:$D$319,"=kas",CL5:CL319)+SUMIF($D$5:$D$319,"=kam",CL5:CL319)+SUMIF($D$5:$D$319,"=kar",CL5:CL319)+SUMIF($D$5:$D$319,"=kaz",CL5:CL319)</f>
        <v>289600</v>
      </c>
      <c r="CM349" s="166">
        <f>CN349-CF349+CH349+CL349/2</f>
        <v>7035550</v>
      </c>
      <c r="CN349" s="166">
        <f>SUMIF($D$5:$D$319,"=kas",CN5:CN319)+SUMIF($D$5:$D$319,"=kam",CN5:CN319)+SUMIF($D$5:$D$319,"=kar",CN5:CN319)+SUMIF($D$5:$D$319,"=kaz",CN5:CN319)</f>
        <v>6890750</v>
      </c>
      <c r="CO349" s="90">
        <f>SUM(CO350:CO352)</f>
        <v>1</v>
      </c>
      <c r="CP349" s="564" t="s">
        <v>379</v>
      </c>
      <c r="CR349" s="381"/>
      <c r="CS349" s="166">
        <f>SUMIF($D$5:$D$319,"=kas",CS5:CS319)+SUMIF($D$5:$D$319,"=kam",CS5:CS319)+SUMIF($D$5:$D$319,"=kar",CS5:CS319)+SUMIF($D$5:$D$319,"=kaz",CS5:CS319)</f>
        <v>0</v>
      </c>
      <c r="CU349" s="166">
        <f>SUMIF($D$5:$D$319,"=kas",CU5:CU319)+SUMIF($D$5:$D$319,"=kam",CU5:CU319)+SUMIF($D$5:$D$319,"=kar",CU5:CU319)+SUMIF($D$5:$D$319,"=kaz",CU5:CU319)</f>
        <v>0</v>
      </c>
      <c r="CW349" s="90">
        <f>SUM(CW350:CW352)</f>
        <v>1.0000000494123635</v>
      </c>
      <c r="CX349" s="166">
        <f>ROUND(CZ349*HLOOKUP(CX322,Grund_zins,2,FALSE),2)</f>
        <v>202378.5</v>
      </c>
      <c r="CY349" s="166">
        <f>SUMIF($D$5:$D$319,"=kas",CY5:CY319)+SUMIF($D$5:$D$319,"=kam",CY5:CY319)+SUMIF($D$5:$D$319,"=kar",CY5:CY319)+SUMIF($D$5:$D$319,"=kaz",CY5:CY319)</f>
        <v>289600</v>
      </c>
      <c r="CZ349" s="166">
        <f>DA349-CS349+CU349+CY349/2</f>
        <v>6745950</v>
      </c>
      <c r="DA349" s="166">
        <f>SUMIF($D$5:$D$319,"=kas",DA5:DA319)+SUMIF($D$5:$D$319,"=kam",DA5:DA319)+SUMIF($D$5:$D$319,"=kar",DA5:DA319)+SUMIF($D$5:$D$319,"=kaz",DA5:DA319)</f>
        <v>6601150</v>
      </c>
      <c r="DB349" s="90">
        <f>SUM(DB350:DB352)</f>
        <v>1</v>
      </c>
      <c r="DC349" s="564" t="s">
        <v>379</v>
      </c>
      <c r="DE349" s="381"/>
      <c r="DF349" s="166">
        <f>SUMIF($D$5:$D$319,"=kas",DF5:DF319)+SUMIF($D$5:$D$319,"=kam",DF5:DF319)+SUMIF($D$5:$D$319,"=kar",DF5:DF319)+SUMIF($D$5:$D$319,"=kaz",DF5:DF319)</f>
        <v>0</v>
      </c>
      <c r="DH349" s="166">
        <f>SUMIF($D$5:$D$319,"=kas",DH5:DH319)+SUMIF($D$5:$D$319,"=kam",DH5:DH319)+SUMIF($D$5:$D$319,"=kar",DH5:DH319)+SUMIF($D$5:$D$319,"=kaz",DH5:DH319)</f>
        <v>0</v>
      </c>
      <c r="DJ349" s="90">
        <f>SUM(DJ350:DJ352)</f>
        <v>1.0000000516287582</v>
      </c>
      <c r="DK349" s="166">
        <f>ROUND(DM349*HLOOKUP(DK322,Grund_zins,2,FALSE),2)</f>
        <v>193690.5</v>
      </c>
      <c r="DL349" s="166">
        <f>SUMIF($D$5:$D$319,"=kas",DL5:DL319)+SUMIF($D$5:$D$319,"=kam",DL5:DL319)+SUMIF($D$5:$D$319,"=kar",DL5:DL319)+SUMIF($D$5:$D$319,"=kaz",DL5:DL319)</f>
        <v>289600</v>
      </c>
      <c r="DM349" s="166">
        <f>DN349-DF349+DH349+DL349/2</f>
        <v>6456350</v>
      </c>
      <c r="DN349" s="166">
        <f>SUMIF($D$5:$D$319,"=kas",DN5:DN319)+SUMIF($D$5:$D$319,"=kam",DN5:DN319)+SUMIF($D$5:$D$319,"=kar",DN5:DN319)+SUMIF($D$5:$D$319,"=kaz",DN5:DN319)</f>
        <v>6311550</v>
      </c>
      <c r="DO349" s="90">
        <f>SUM(DO350:DO352)</f>
        <v>1</v>
      </c>
      <c r="DP349" s="564" t="s">
        <v>379</v>
      </c>
      <c r="DR349" s="381"/>
      <c r="DS349" s="166">
        <f>SUMIF($D$5:$D$319,"=kas",DS5:DS319)+SUMIF($D$5:$D$319,"=kam",DS5:DS319)+SUMIF($D$5:$D$319,"=kar",DS5:DS319)+SUMIF($D$5:$D$319,"=kaz",DS5:DS319)</f>
        <v>0</v>
      </c>
      <c r="DU349" s="166">
        <f>SUMIF($D$5:$D$319,"=kas",DU5:DU319)+SUMIF($D$5:$D$319,"=kam",DU5:DU319)+SUMIF($D$5:$D$319,"=kar",DU5:DU319)+SUMIF($D$5:$D$319,"=kaz",DU5:DU319)</f>
        <v>0</v>
      </c>
      <c r="DW349" s="90">
        <f>SUM(DW350:DW352)</f>
        <v>1.0000000540533236</v>
      </c>
      <c r="DX349" s="166">
        <f>ROUND(DZ349*HLOOKUP(DX322,Grund_zins,2,FALSE),2)</f>
        <v>185002.5</v>
      </c>
      <c r="DY349" s="166">
        <f>SUMIF($D$5:$D$319,"=kas",DY5:DY319)+SUMIF($D$5:$D$319,"=kam",DY5:DY319)+SUMIF($D$5:$D$319,"=kar",DY5:DY319)+SUMIF($D$5:$D$319,"=kaz",DY5:DY319)</f>
        <v>289600</v>
      </c>
      <c r="DZ349" s="166">
        <f>EA349-DS349+DU349+DY349/2</f>
        <v>6166750</v>
      </c>
      <c r="EA349" s="166">
        <f>SUMIF($D$5:$D$319,"=kas",EA5:EA319)+SUMIF($D$5:$D$319,"=kam",EA5:EA319)+SUMIF($D$5:$D$319,"=kar",EA5:EA319)+SUMIF($D$5:$D$319,"=kaz",EA5:EA319)</f>
        <v>6021950</v>
      </c>
      <c r="EB349" s="90">
        <f>SUM(EB350:EB352)</f>
        <v>1</v>
      </c>
      <c r="EC349" s="564" t="s">
        <v>379</v>
      </c>
    </row>
    <row r="350" spans="1:133" s="10" customFormat="1" ht="15" customHeight="1" x14ac:dyDescent="0.35">
      <c r="A350" s="565" t="s">
        <v>169</v>
      </c>
      <c r="Q350" s="225">
        <v>29</v>
      </c>
      <c r="R350" s="381"/>
      <c r="S350" s="166">
        <f>SUMIF($D$5:$D$319,"=kas",S5:S319)*HLOOKUP(X322,Verteil_sw,6,FALSE)+SUMIF($D$5:$D$319,"=kam",S5:S319)*HLOOKUP(X322,Verteil_sw,7,FALSE)+SUMIF($D$5:$D$319,"=kar",S5:S319)*HLOOKUP(X322,Verteil_sw,8,FALSE)+SUMIF($D$5:$D$319,"=kaz",S5:S319)*HLOOKUP(X322,Verteil_sw,9,FALSE)</f>
        <v>0</v>
      </c>
      <c r="U350" s="166">
        <f>SUMIF($D$5:$D$319,"=kas",U5:U319)*HLOOKUP(X322,Verteil_sw,6,FALSE)+SUMIF($D$5:$D$319,"=kam",U5:U319)*HLOOKUP(X322,Verteil_sw,7,FALSE)+SUMIF($D$5:$D$319,"=kar",U5:U319)*HLOOKUP(X322,Verteil_sw,8,FALSE)+SUMIF($D$5:$D$319,"=kaz",U5:U319)*HLOOKUP(X322,Verteil_sw,9,FALSE)</f>
        <v>0</v>
      </c>
      <c r="W350" s="90">
        <f>IF(X349&lt;&gt;0,X350/X349,0)</f>
        <v>0.56210845021920575</v>
      </c>
      <c r="X350" s="166">
        <f>ROUND(Z350*HLOOKUP(X322,Grund_zins,2,FALSE),2)</f>
        <v>166903.63</v>
      </c>
      <c r="Y350" s="166">
        <f>SUMIF($D$5:$D$319,"=kas",Y5:Y319)*HLOOKUP(X322,Verteil_sw,6,FALSE)+SUMIF($D$5:$D$319,"=kam",Y5:Y319)*HLOOKUP(X322,Verteil_sw,7,FALSE)+SUMIF($D$5:$D$319,"=kar",Y5:Y319)*HLOOKUP(X322,Verteil_sw,8,FALSE)+SUMIF($D$5:$D$319,"=kaz",Y5:Y319)*HLOOKUP(X322,Verteil_sw,9,FALSE)</f>
        <v>157000</v>
      </c>
      <c r="Z350" s="166">
        <f t="shared" ref="Z350:Z368" si="961">AA350-S350+U350+Y350/2</f>
        <v>4768675</v>
      </c>
      <c r="AA350" s="166">
        <f>SUMIF($D$5:$D$319,"=kas",AA5:AA319)*HLOOKUP(X322,Verteil_sw,6,FALSE)+SUMIF($D$5:$D$319,"=kam",AA5:AA319)*HLOOKUP(X322,Verteil_sw,7,FALSE)+SUMIF($D$5:$D$319,"=kar",AA5:AA319)*HLOOKUP(X322,Verteil_sw,8,FALSE)+SUMIF($D$5:$D$319,"=kaz",AA5:AA319)*HLOOKUP(X322,Verteil_sw,9,FALSE)</f>
        <v>4690175</v>
      </c>
      <c r="AB350" s="90">
        <f>IF(AA349&lt;&gt;0,AA350/AA349,0)</f>
        <v>0.56245540398740823</v>
      </c>
      <c r="AC350" s="565" t="s">
        <v>169</v>
      </c>
      <c r="AE350" s="381"/>
      <c r="AF350" s="166">
        <f>SUMIF($D$5:$D$319,"=kas",AF5:AF319)*HLOOKUP(AK322,Verteil_sw,6,FALSE)+SUMIF($D$5:$D$319,"=kam",AF5:AF319)*HLOOKUP(AK322,Verteil_sw,7,FALSE)+SUMIF($D$5:$D$319,"=kar",AF5:AF319)*HLOOKUP(AK322,Verteil_sw,8,FALSE)+SUMIF($D$5:$D$319,"=kaz",AF5:AF319)*HLOOKUP(AK322,Verteil_sw,9,FALSE)</f>
        <v>0</v>
      </c>
      <c r="AH350" s="166">
        <f>SUMIF($D$5:$D$319,"=kas",AH5:AH319)*HLOOKUP(AK322,Verteil_sw,6,FALSE)+SUMIF($D$5:$D$319,"=kam",AH5:AH319)*HLOOKUP(AK322,Verteil_sw,7,FALSE)+SUMIF($D$5:$D$319,"=kar",AH5:AH319)*HLOOKUP(AK322,Verteil_sw,8,FALSE)+SUMIF($D$5:$D$319,"=kaz",AH5:AH319)*HLOOKUP(AK322,Verteil_sw,9,FALSE)</f>
        <v>0</v>
      </c>
      <c r="AJ350" s="90">
        <f>IF(AK349&lt;&gt;0,AK350/AK349,0)</f>
        <v>0.56281465506344841</v>
      </c>
      <c r="AK350" s="166">
        <f>ROUND(AM350*HLOOKUP(AK322,Grund_zins,2,FALSE),2)</f>
        <v>161408.63</v>
      </c>
      <c r="AL350" s="166">
        <f>SUMIF($D$5:$D$319,"=kas",AL5:AL319)*HLOOKUP(AK322,Verteil_sw,6,FALSE)+SUMIF($D$5:$D$319,"=kam",AL5:AL319)*HLOOKUP(AK322,Verteil_sw,7,FALSE)+SUMIF($D$5:$D$319,"=kar",AL5:AL319)*HLOOKUP(AK322,Verteil_sw,8,FALSE)+SUMIF($D$5:$D$319,"=kaz",AL5:AL319)*HLOOKUP(AK322,Verteil_sw,9,FALSE)</f>
        <v>157000</v>
      </c>
      <c r="AM350" s="166">
        <f t="shared" ref="AM350:AM368" si="962">AN350-AF350+AH350+AL350/2</f>
        <v>4611675</v>
      </c>
      <c r="AN350" s="166">
        <f>SUMIF($D$5:$D$319,"=kas",AN5:AN319)*HLOOKUP(AK322,Verteil_sw,6,FALSE)+SUMIF($D$5:$D$319,"=kam",AN5:AN319)*HLOOKUP(AK322,Verteil_sw,7,FALSE)+SUMIF($D$5:$D$319,"=kar",AN5:AN319)*HLOOKUP(AK322,Verteil_sw,8,FALSE)+SUMIF($D$5:$D$319,"=kaz",AN5:AN319)*HLOOKUP(AK322,Verteil_sw,9,FALSE)</f>
        <v>4533175</v>
      </c>
      <c r="AO350" s="90">
        <f>IF(AN349&lt;&gt;0,AN350/AN349,0)</f>
        <v>0.5631867961213296</v>
      </c>
      <c r="AP350" s="565" t="s">
        <v>169</v>
      </c>
      <c r="AR350" s="381"/>
      <c r="AS350" s="166">
        <f>SUMIF($D$5:$D$319,"=kas",AS5:AS319)*HLOOKUP(AX322,Verteil_sw,6,FALSE)+SUMIF($D$5:$D$319,"=kam",AS5:AS319)*HLOOKUP(AX322,Verteil_sw,7,FALSE)+SUMIF($D$5:$D$319,"=kar",AS5:AS319)*HLOOKUP(AX322,Verteil_sw,8,FALSE)+SUMIF($D$5:$D$319,"=kaz",AS5:AS319)*HLOOKUP(AX322,Verteil_sw,9,FALSE)</f>
        <v>0</v>
      </c>
      <c r="AU350" s="166">
        <f>SUMIF($D$5:$D$319,"=kas",AU5:AU319)*HLOOKUP(AX322,Verteil_sw,6,FALSE)+SUMIF($D$5:$D$319,"=kam",AU5:AU319)*HLOOKUP(AX322,Verteil_sw,7,FALSE)+SUMIF($D$5:$D$319,"=kar",AU5:AU319)*HLOOKUP(AX322,Verteil_sw,8,FALSE)+SUMIF($D$5:$D$319,"=kaz",AU5:AU319)*HLOOKUP(AX322,Verteil_sw,9,FALSE)</f>
        <v>0</v>
      </c>
      <c r="AW350" s="90">
        <f>IF(AX349&lt;&gt;0,AX350/AX349,0)</f>
        <v>0.56357260784974639</v>
      </c>
      <c r="AX350" s="166">
        <f>ROUND(AZ350*HLOOKUP(AX322,Grund_zins,2,FALSE),2)</f>
        <v>155913.63</v>
      </c>
      <c r="AY350" s="166">
        <f>SUMIF($D$5:$D$319,"=kas",AY5:AY319)*HLOOKUP(AX322,Verteil_sw,6,FALSE)+SUMIF($D$5:$D$319,"=kam",AY5:AY319)*HLOOKUP(AX322,Verteil_sw,7,FALSE)+SUMIF($D$5:$D$319,"=kar",AY5:AY319)*HLOOKUP(AX322,Verteil_sw,8,FALSE)+SUMIF($D$5:$D$319,"=kaz",AY5:AY319)*HLOOKUP(AX322,Verteil_sw,9,FALSE)</f>
        <v>157000</v>
      </c>
      <c r="AZ350" s="166">
        <f t="shared" ref="AZ350:AZ368" si="963">BA350-AS350+AU350+AY350/2</f>
        <v>4454675</v>
      </c>
      <c r="BA350" s="166">
        <f>SUMIF($D$5:$D$319,"=kas",BA5:BA319)*HLOOKUP(AX322,Verteil_sw,6,FALSE)+SUMIF($D$5:$D$319,"=kam",BA5:BA319)*HLOOKUP(AX322,Verteil_sw,7,FALSE)+SUMIF($D$5:$D$319,"=kar",BA5:BA319)*HLOOKUP(AX322,Verteil_sw,8,FALSE)+SUMIF($D$5:$D$319,"=kaz",BA5:BA319)*HLOOKUP(AX322,Verteil_sw,9,FALSE)</f>
        <v>4376175</v>
      </c>
      <c r="BB350" s="90">
        <f>IF(BA349&lt;&gt;0,BA350/BA349,0)</f>
        <v>0.56397278192678701</v>
      </c>
      <c r="BC350" s="565" t="s">
        <v>169</v>
      </c>
      <c r="BE350" s="381"/>
      <c r="BF350" s="166">
        <f>SUMIF($D$5:$D$319,"=kas",BF5:BF319)*HLOOKUP(BK322,Verteil_sw,6,FALSE)+SUMIF($D$5:$D$319,"=kam",BF5:BF319)*HLOOKUP(BK322,Verteil_sw,7,FALSE)+SUMIF($D$5:$D$319,"=kar",BF5:BF319)*HLOOKUP(BK322,Verteil_sw,8,FALSE)+SUMIF($D$5:$D$319,"=kaz",BF5:BF319)*HLOOKUP(BK322,Verteil_sw,9,FALSE)</f>
        <v>0</v>
      </c>
      <c r="BH350" s="166">
        <f>SUMIF($D$5:$D$319,"=kas",BH5:BH319)*HLOOKUP(BK322,Verteil_sw,6,FALSE)+SUMIF($D$5:$D$319,"=kam",BH5:BH319)*HLOOKUP(BK322,Verteil_sw,7,FALSE)+SUMIF($D$5:$D$319,"=kar",BH5:BH319)*HLOOKUP(BK322,Verteil_sw,8,FALSE)+SUMIF($D$5:$D$319,"=kaz",BH5:BH319)*HLOOKUP(BK322,Verteil_sw,9,FALSE)</f>
        <v>0</v>
      </c>
      <c r="BJ350" s="90">
        <f>IF(BK349&lt;&gt;0,BK350/BK349,0)</f>
        <v>0.56438821272624096</v>
      </c>
      <c r="BK350" s="166">
        <f>ROUND(BM350*HLOOKUP(BK322,Grund_zins,2,FALSE),2)</f>
        <v>150418.63</v>
      </c>
      <c r="BL350" s="166">
        <f>SUMIF($D$5:$D$319,"=kas",BL5:BL319)*HLOOKUP(BK322,Verteil_sw,6,FALSE)+SUMIF($D$5:$D$319,"=kam",BL5:BL319)*HLOOKUP(BK322,Verteil_sw,7,FALSE)+SUMIF($D$5:$D$319,"=kar",BL5:BL319)*HLOOKUP(BK322,Verteil_sw,8,FALSE)+SUMIF($D$5:$D$319,"=kaz",BL5:BL319)*HLOOKUP(BK322,Verteil_sw,9,FALSE)</f>
        <v>157000</v>
      </c>
      <c r="BM350" s="166">
        <f t="shared" ref="BM350:BM368" si="964">BN350-BF350+BH350+BL350/2</f>
        <v>4297675</v>
      </c>
      <c r="BN350" s="166">
        <f>SUMIF($D$5:$D$319,"=kas",BN5:BN319)*HLOOKUP(BK322,Verteil_sw,6,FALSE)+SUMIF($D$5:$D$319,"=kam",BN5:BN319)*HLOOKUP(BK322,Verteil_sw,7,FALSE)+SUMIF($D$5:$D$319,"=kar",BN5:BN319)*HLOOKUP(BK322,Verteil_sw,8,FALSE)+SUMIF($D$5:$D$319,"=kaz",BN5:BN319)*HLOOKUP(BK322,Verteil_sw,9,FALSE)</f>
        <v>4219175</v>
      </c>
      <c r="BO350" s="90">
        <f>IF(BN349&lt;&gt;0,BN350/BN349,0)</f>
        <v>0.5648197109753077</v>
      </c>
      <c r="BP350" s="565" t="s">
        <v>169</v>
      </c>
      <c r="BR350" s="381"/>
      <c r="BS350" s="166">
        <f>SUMIF($D$5:$D$319,"=kas",BS5:BS319)*HLOOKUP(BX322,Verteil_sw,6,FALSE)+SUMIF($D$5:$D$319,"=kam",BS5:BS319)*HLOOKUP(BX322,Verteil_sw,7,FALSE)+SUMIF($D$5:$D$319,"=kar",BS5:BS319)*HLOOKUP(BX322,Verteil_sw,8,FALSE)+SUMIF($D$5:$D$319,"=kaz",BS5:BS319)*HLOOKUP(BX322,Verteil_sw,9,FALSE)</f>
        <v>0</v>
      </c>
      <c r="BU350" s="166">
        <f>SUMIF($D$5:$D$319,"=kas",BU5:BU319)*HLOOKUP(BX322,Verteil_sw,6,FALSE)+SUMIF($D$5:$D$319,"=kam",BU5:BU319)*HLOOKUP(BX322,Verteil_sw,7,FALSE)+SUMIF($D$5:$D$319,"=kar",BU5:BU319)*HLOOKUP(BX322,Verteil_sw,8,FALSE)+SUMIF($D$5:$D$319,"=kaz",BU5:BU319)*HLOOKUP(BX322,Verteil_sw,9,FALSE)</f>
        <v>0</v>
      </c>
      <c r="BW350" s="90">
        <f>IF(BX349&lt;&gt;0,BX350/BX349,0)</f>
        <v>0.56526830752368795</v>
      </c>
      <c r="BX350" s="166">
        <f>ROUND(BZ350*HLOOKUP(BX322,Grund_zins,2,FALSE),2)</f>
        <v>144923.63</v>
      </c>
      <c r="BY350" s="166">
        <f>SUMIF($D$5:$D$319,"=kas",BY5:BY319)*HLOOKUP(BX322,Verteil_sw,6,FALSE)+SUMIF($D$5:$D$319,"=kam",BY5:BY319)*HLOOKUP(BX322,Verteil_sw,7,FALSE)+SUMIF($D$5:$D$319,"=kar",BY5:BY319)*HLOOKUP(BX322,Verteil_sw,8,FALSE)+SUMIF($D$5:$D$319,"=kaz",BY5:BY319)*HLOOKUP(BX322,Verteil_sw,9,FALSE)</f>
        <v>157000</v>
      </c>
      <c r="BZ350" s="166">
        <f t="shared" ref="BZ350:BZ368" si="965">CA350-BS350+BU350+BY350/2</f>
        <v>4140675</v>
      </c>
      <c r="CA350" s="166">
        <f>SUMIF($D$5:$D$319,"=kas",CA5:CA319)*HLOOKUP(BX322,Verteil_sw,6,FALSE)+SUMIF($D$5:$D$319,"=kam",CA5:CA319)*HLOOKUP(BX322,Verteil_sw,7,FALSE)+SUMIF($D$5:$D$319,"=kar",CA5:CA319)*HLOOKUP(BX322,Verteil_sw,8,FALSE)+SUMIF($D$5:$D$319,"=kaz",CA5:CA319)*HLOOKUP(BX322,Verteil_sw,9,FALSE)</f>
        <v>4062175</v>
      </c>
      <c r="CB350" s="90">
        <f>IF(CA349&lt;&gt;0,CA350/CA349,0)</f>
        <v>0.56573495720960676</v>
      </c>
      <c r="CC350" s="565" t="s">
        <v>169</v>
      </c>
      <c r="CE350" s="381"/>
      <c r="CF350" s="166">
        <f>SUMIF($D$5:$D$319,"=kas",CF5:CF319)*HLOOKUP(CK322,Verteil_sw,6,FALSE)+SUMIF($D$5:$D$319,"=kam",CF5:CF319)*HLOOKUP(CK322,Verteil_sw,7,FALSE)+SUMIF($D$5:$D$319,"=kar",CF5:CF319)*HLOOKUP(CK322,Verteil_sw,8,FALSE)+SUMIF($D$5:$D$319,"=kaz",CF5:CF319)*HLOOKUP(CK322,Verteil_sw,9,FALSE)</f>
        <v>0</v>
      </c>
      <c r="CH350" s="166">
        <f>SUMIF($D$5:$D$319,"=kas",CH5:CH319)*HLOOKUP(CK322,Verteil_sw,6,FALSE)+SUMIF($D$5:$D$319,"=kam",CH5:CH319)*HLOOKUP(CK322,Verteil_sw,7,FALSE)+SUMIF($D$5:$D$319,"=kar",CH5:CH319)*HLOOKUP(CK322,Verteil_sw,8,FALSE)+SUMIF($D$5:$D$319,"=kaz",CH5:CH319)*HLOOKUP(CK322,Verteil_sw,9,FALSE)</f>
        <v>0</v>
      </c>
      <c r="CJ350" s="90">
        <f>IF(CK349&lt;&gt;0,CK350/CK349,0)</f>
        <v>0.5662208356134204</v>
      </c>
      <c r="CK350" s="166">
        <f>ROUND(CM350*HLOOKUP(CK322,Grund_zins,2,FALSE),2)</f>
        <v>119510.25</v>
      </c>
      <c r="CL350" s="166">
        <f>SUMIF($D$5:$D$319,"=kas",CL5:CL319)*HLOOKUP(CK322,Verteil_sw,6,FALSE)+SUMIF($D$5:$D$319,"=kam",CL5:CL319)*HLOOKUP(CK322,Verteil_sw,7,FALSE)+SUMIF($D$5:$D$319,"=kar",CL5:CL319)*HLOOKUP(CK322,Verteil_sw,8,FALSE)+SUMIF($D$5:$D$319,"=kaz",CL5:CL319)*HLOOKUP(CK322,Verteil_sw,9,FALSE)</f>
        <v>157000</v>
      </c>
      <c r="CM350" s="166">
        <f t="shared" ref="CM350:CM368" si="966">CN350-CF350+CH350+CL350/2</f>
        <v>3983675</v>
      </c>
      <c r="CN350" s="166">
        <f>SUMIF($D$5:$D$319,"=kas",CN5:CN319)*HLOOKUP(CK322,Verteil_sw,6,FALSE)+SUMIF($D$5:$D$319,"=kam",CN5:CN319)*HLOOKUP(CK322,Verteil_sw,7,FALSE)+SUMIF($D$5:$D$319,"=kar",CN5:CN319)*HLOOKUP(CK322,Verteil_sw,8,FALSE)+SUMIF($D$5:$D$319,"=kaz",CN5:CN319)*HLOOKUP(CK322,Verteil_sw,9,FALSE)</f>
        <v>3905175</v>
      </c>
      <c r="CO350" s="90">
        <f>IF(CN349&lt;&gt;0,CN350/CN349,0)</f>
        <v>0.56672713420164711</v>
      </c>
      <c r="CP350" s="565" t="s">
        <v>169</v>
      </c>
      <c r="CR350" s="381"/>
      <c r="CS350" s="166">
        <f>SUMIF($D$5:$D$319,"=kas",CS5:CS319)*HLOOKUP(CX322,Verteil_sw,6,FALSE)+SUMIF($D$5:$D$319,"=kam",CS5:CS319)*HLOOKUP(CX322,Verteil_sw,7,FALSE)+SUMIF($D$5:$D$319,"=kar",CS5:CS319)*HLOOKUP(CX322,Verteil_sw,8,FALSE)+SUMIF($D$5:$D$319,"=kaz",CS5:CS319)*HLOOKUP(CX322,Verteil_sw,9,FALSE)</f>
        <v>0</v>
      </c>
      <c r="CU350" s="166">
        <f>SUMIF($D$5:$D$319,"=kas",CU5:CU319)*HLOOKUP(CX322,Verteil_sw,6,FALSE)+SUMIF($D$5:$D$319,"=kam",CU5:CU319)*HLOOKUP(CX322,Verteil_sw,7,FALSE)+SUMIF($D$5:$D$319,"=kar",CU5:CU319)*HLOOKUP(CX322,Verteil_sw,8,FALSE)+SUMIF($D$5:$D$319,"=kaz",CU5:CU319)*HLOOKUP(CX322,Verteil_sw,9,FALSE)</f>
        <v>0</v>
      </c>
      <c r="CW350" s="90">
        <f>IF(CX349&lt;&gt;0,CX350/CX349,0)</f>
        <v>0.56725516791556418</v>
      </c>
      <c r="CX350" s="166">
        <f>ROUND(CZ350*HLOOKUP(CX322,Grund_zins,2,FALSE),2)</f>
        <v>114800.25</v>
      </c>
      <c r="CY350" s="166">
        <f>SUMIF($D$5:$D$319,"=kas",CY5:CY319)*HLOOKUP(CX322,Verteil_sw,6,FALSE)+SUMIF($D$5:$D$319,"=kam",CY5:CY319)*HLOOKUP(CX322,Verteil_sw,7,FALSE)+SUMIF($D$5:$D$319,"=kar",CY5:CY319)*HLOOKUP(CX322,Verteil_sw,8,FALSE)+SUMIF($D$5:$D$319,"=kaz",CY5:CY319)*HLOOKUP(CX322,Verteil_sw,9,FALSE)</f>
        <v>157000</v>
      </c>
      <c r="CZ350" s="166">
        <f t="shared" ref="CZ350:CZ368" si="967">DA350-CS350+CU350+CY350/2</f>
        <v>3826675</v>
      </c>
      <c r="DA350" s="166">
        <f>SUMIF($D$5:$D$319,"=kas",DA5:DA319)*HLOOKUP(CX322,Verteil_sw,6,FALSE)+SUMIF($D$5:$D$319,"=kam",DA5:DA319)*HLOOKUP(CX322,Verteil_sw,7,FALSE)+SUMIF($D$5:$D$319,"=kar",DA5:DA319)*HLOOKUP(CX322,Verteil_sw,8,FALSE)+SUMIF($D$5:$D$319,"=kaz",DA5:DA319)*HLOOKUP(CX322,Verteil_sw,9,FALSE)</f>
        <v>3748175</v>
      </c>
      <c r="DB350" s="90">
        <f>IF(DA349&lt;&gt;0,DA350/DA349,0)</f>
        <v>0.56780636707240406</v>
      </c>
      <c r="DC350" s="565" t="s">
        <v>169</v>
      </c>
      <c r="DE350" s="381"/>
      <c r="DF350" s="166">
        <f>SUMIF($D$5:$D$319,"=kas",DF5:DF319)*HLOOKUP(DK322,Verteil_sw,6,FALSE)+SUMIF($D$5:$D$319,"=kam",DF5:DF319)*HLOOKUP(DK322,Verteil_sw,7,FALSE)+SUMIF($D$5:$D$319,"=kar",DF5:DF319)*HLOOKUP(DK322,Verteil_sw,8,FALSE)+SUMIF($D$5:$D$319,"=kaz",DF5:DF319)*HLOOKUP(DK322,Verteil_sw,9,FALSE)</f>
        <v>0</v>
      </c>
      <c r="DH350" s="166">
        <f>SUMIF($D$5:$D$319,"=kas",DH5:DH319)*HLOOKUP(DK322,Verteil_sw,6,FALSE)+SUMIF($D$5:$D$319,"=kam",DH5:DH319)*HLOOKUP(DK322,Verteil_sw,7,FALSE)+SUMIF($D$5:$D$319,"=kar",DH5:DH319)*HLOOKUP(DK322,Verteil_sw,8,FALSE)+SUMIF($D$5:$D$319,"=kaz",DH5:DH319)*HLOOKUP(DK322,Verteil_sw,9,FALSE)</f>
        <v>0</v>
      </c>
      <c r="DJ350" s="90">
        <f>IF(DK349&lt;&gt;0,DK350/DK349,0)</f>
        <v>0.56838229030334475</v>
      </c>
      <c r="DK350" s="166">
        <f>ROUND(DM350*HLOOKUP(DK322,Grund_zins,2,FALSE),2)</f>
        <v>110090.25</v>
      </c>
      <c r="DL350" s="166">
        <f>SUMIF($D$5:$D$319,"=kas",DL5:DL319)*HLOOKUP(DK322,Verteil_sw,6,FALSE)+SUMIF($D$5:$D$319,"=kam",DL5:DL319)*HLOOKUP(DK322,Verteil_sw,7,FALSE)+SUMIF($D$5:$D$319,"=kar",DL5:DL319)*HLOOKUP(DK322,Verteil_sw,8,FALSE)+SUMIF($D$5:$D$319,"=kaz",DL5:DL319)*HLOOKUP(DK322,Verteil_sw,9,FALSE)</f>
        <v>157000</v>
      </c>
      <c r="DM350" s="166">
        <f t="shared" ref="DM350:DM368" si="968">DN350-DF350+DH350+DL350/2</f>
        <v>3669675</v>
      </c>
      <c r="DN350" s="166">
        <f>SUMIF($D$5:$D$319,"=kas",DN5:DN319)*HLOOKUP(DK322,Verteil_sw,6,FALSE)+SUMIF($D$5:$D$319,"=kam",DN5:DN319)*HLOOKUP(DK322,Verteil_sw,7,FALSE)+SUMIF($D$5:$D$319,"=kar",DN5:DN319)*HLOOKUP(DK322,Verteil_sw,8,FALSE)+SUMIF($D$5:$D$319,"=kaz",DN5:DN319)*HLOOKUP(DK322,Verteil_sw,9,FALSE)</f>
        <v>3591175</v>
      </c>
      <c r="DO350" s="90">
        <f>IF(DN349&lt;&gt;0,DN350/DN349,0)</f>
        <v>0.56898463927244491</v>
      </c>
      <c r="DP350" s="565" t="s">
        <v>169</v>
      </c>
      <c r="DR350" s="381"/>
      <c r="DS350" s="166">
        <f>SUMIF($D$5:$D$319,"=kas",DS5:DS319)*HLOOKUP(DX322,Verteil_sw,6,FALSE)+SUMIF($D$5:$D$319,"=kam",DS5:DS319)*HLOOKUP(DX322,Verteil_sw,7,FALSE)+SUMIF($D$5:$D$319,"=kar",DS5:DS319)*HLOOKUP(DX322,Verteil_sw,8,FALSE)+SUMIF($D$5:$D$319,"=kaz",DS5:DS319)*HLOOKUP(DX322,Verteil_sw,9,FALSE)</f>
        <v>0</v>
      </c>
      <c r="DU350" s="166">
        <f>SUMIF($D$5:$D$319,"=kas",DU5:DU319)*HLOOKUP(DX322,Verteil_sw,6,FALSE)+SUMIF($D$5:$D$319,"=kam",DU5:DU319)*HLOOKUP(DX322,Verteil_sw,7,FALSE)+SUMIF($D$5:$D$319,"=kar",DU5:DU319)*HLOOKUP(DX322,Verteil_sw,8,FALSE)+SUMIF($D$5:$D$319,"=kaz",DU5:DU319)*HLOOKUP(DX322,Verteil_sw,9,FALSE)</f>
        <v>0</v>
      </c>
      <c r="DW350" s="90">
        <f>IF(DX349&lt;&gt;0,DX350/DX349,0)</f>
        <v>0.56961527546925039</v>
      </c>
      <c r="DX350" s="166">
        <f>ROUND(DZ350*HLOOKUP(DX322,Grund_zins,2,FALSE),2)</f>
        <v>105380.25</v>
      </c>
      <c r="DY350" s="166">
        <f>SUMIF($D$5:$D$319,"=kas",DY5:DY319)*HLOOKUP(DX322,Verteil_sw,6,FALSE)+SUMIF($D$5:$D$319,"=kam",DY5:DY319)*HLOOKUP(DX322,Verteil_sw,7,FALSE)+SUMIF($D$5:$D$319,"=kar",DY5:DY319)*HLOOKUP(DX322,Verteil_sw,8,FALSE)+SUMIF($D$5:$D$319,"=kaz",DY5:DY319)*HLOOKUP(DX322,Verteil_sw,9,FALSE)</f>
        <v>157000</v>
      </c>
      <c r="DZ350" s="166">
        <f t="shared" ref="DZ350:DZ368" si="969">EA350-DS350+DU350+DY350/2</f>
        <v>3512675</v>
      </c>
      <c r="EA350" s="166">
        <f>SUMIF($D$5:$D$319,"=kas",EA5:EA319)*HLOOKUP(DX322,Verteil_sw,6,FALSE)+SUMIF($D$5:$D$319,"=kam",EA5:EA319)*HLOOKUP(DX322,Verteil_sw,7,FALSE)+SUMIF($D$5:$D$319,"=kar",EA5:EA319)*HLOOKUP(DX322,Verteil_sw,8,FALSE)+SUMIF($D$5:$D$319,"=kaz",EA5:EA319)*HLOOKUP(DX322,Verteil_sw,9,FALSE)</f>
        <v>3434175</v>
      </c>
      <c r="EB350" s="90">
        <f>IF(EA349&lt;&gt;0,EA350/EA349,0)</f>
        <v>0.57027623942410677</v>
      </c>
      <c r="EC350" s="565" t="s">
        <v>169</v>
      </c>
    </row>
    <row r="351" spans="1:133" s="10" customFormat="1" ht="15" customHeight="1" x14ac:dyDescent="0.35">
      <c r="A351" s="565" t="s">
        <v>178</v>
      </c>
      <c r="Q351" s="225">
        <v>30</v>
      </c>
      <c r="R351" s="381"/>
      <c r="S351" s="166">
        <f>SUMIF($D$5:$D$319,"=kas",S5:S319)*HLOOKUP(X322,Verteil_rwgr,5,FALSE)+SUMIF($D$5:$D$319,"=kam",S5:S319)*HLOOKUP(X322,Verteil_rwgr,6,FALSE)+SUMIF($D$5:$D$319,"=kar",S5:S319)*HLOOKUP(X322,Verteil_rwgr,7,FALSE)+SUMIF($D$5:$D$319,"=kaz",S5:S319)*HLOOKUP(X322,Verteil_rwgr,8,FALSE)</f>
        <v>0</v>
      </c>
      <c r="U351" s="166">
        <f>SUMIF($D$5:$D$319,"=kas",U5:U319)*HLOOKUP(X322,Verteil_rwgr,5,FALSE)+SUMIF($D$5:$D$319,"=kam",U5:U319)*HLOOKUP(X322,Verteil_rwgr,6,FALSE)+SUMIF($D$5:$D$319,"=kar",U5:U319)*HLOOKUP(X322,Verteil_rwgr,7,FALSE)+SUMIF($D$5:$D$319,"=kaz",U5:U319)*HLOOKUP(X322,Verteil_rwgr,8,FALSE)</f>
        <v>0</v>
      </c>
      <c r="W351" s="90">
        <f>IF(X349&lt;&gt;0,X351/X349,0)</f>
        <v>0.21894577489039713</v>
      </c>
      <c r="X351" s="166">
        <f>ROUND(Z351*HLOOKUP(X322,Grund_zins,2,FALSE),2)</f>
        <v>65010.31</v>
      </c>
      <c r="Y351" s="166">
        <f>SUMIF($D$5:$D$319,"=kas",Y5:Y319)*HLOOKUP(X322,Verteil_rwgr,5,FALSE)+SUMIF($D$5:$D$319,"=kam",Y5:Y319)*HLOOKUP(X322,Verteil_rwgr,6,FALSE)+SUMIF($D$5:$D$319,"=kar",Y5:Y319)*HLOOKUP(X322,Verteil_rwgr,7,FALSE)+SUMIF($D$5:$D$319,"=kaz",Y5:Y319)*HLOOKUP(X322,Verteil_rwgr,8,FALSE)</f>
        <v>66300</v>
      </c>
      <c r="Z351" s="166">
        <f t="shared" si="961"/>
        <v>1857437.5</v>
      </c>
      <c r="AA351" s="166">
        <f>SUMIF($D$5:$D$319,"=kas",AA5:AA319)*HLOOKUP(X322,Verteil_rwgr,5,FALSE)+SUMIF($D$5:$D$319,"=kam",AA5:AA319)*HLOOKUP(X322,Verteil_rwgr,6,FALSE)+SUMIF($D$5:$D$319,"=kar",AA5:AA319)*HLOOKUP(X322,Verteil_rwgr,7,FALSE)+SUMIF($D$5:$D$319,"=kaz",AA5:AA319)*HLOOKUP(X322,Verteil_rwgr,8,FALSE)</f>
        <v>1824287.5</v>
      </c>
      <c r="AB351" s="90">
        <f>IF(AA349&lt;&gt;0,AA351/AA349,0)</f>
        <v>0.21877229800629591</v>
      </c>
      <c r="AC351" s="565" t="s">
        <v>178</v>
      </c>
      <c r="AE351" s="381"/>
      <c r="AF351" s="166">
        <f>SUMIF($D$5:$D$319,"=kas",AF5:AF319)*HLOOKUP(AK322,Verteil_rwgr,5,FALSE)+SUMIF($D$5:$D$319,"=kam",AF5:AF319)*HLOOKUP(AK322,Verteil_rwgr,6,FALSE)+SUMIF($D$5:$D$319,"=kar",AF5:AF319)*HLOOKUP(AK322,Verteil_rwgr,7,FALSE)+SUMIF($D$5:$D$319,"=kaz",AF5:AF319)*HLOOKUP(AK322,Verteil_rwgr,8,FALSE)</f>
        <v>0</v>
      </c>
      <c r="AH351" s="166">
        <f>SUMIF($D$5:$D$319,"=kas",AH5:AH319)*HLOOKUP(AK322,Verteil_rwgr,5,FALSE)+SUMIF($D$5:$D$319,"=kam",AH5:AH319)*HLOOKUP(AK322,Verteil_rwgr,6,FALSE)+SUMIF($D$5:$D$319,"=kar",AH5:AH319)*HLOOKUP(AK322,Verteil_rwgr,7,FALSE)+SUMIF($D$5:$D$319,"=kaz",AH5:AH319)*HLOOKUP(AK322,Verteil_rwgr,8,FALSE)</f>
        <v>0</v>
      </c>
      <c r="AJ351" s="90">
        <f>IF(AK349&lt;&gt;0,AK351/AK349,0)</f>
        <v>0.21859267246827579</v>
      </c>
      <c r="AK351" s="166">
        <f>ROUND(AM351*HLOOKUP(AK322,Grund_zins,2,FALSE),2)</f>
        <v>62689.81</v>
      </c>
      <c r="AL351" s="166">
        <f>SUMIF($D$5:$D$319,"=kas",AL5:AL319)*HLOOKUP(AK322,Verteil_rwgr,5,FALSE)+SUMIF($D$5:$D$319,"=kam",AL5:AL319)*HLOOKUP(AK322,Verteil_rwgr,6,FALSE)+SUMIF($D$5:$D$319,"=kar",AL5:AL319)*HLOOKUP(AK322,Verteil_rwgr,7,FALSE)+SUMIF($D$5:$D$319,"=kaz",AL5:AL319)*HLOOKUP(AK322,Verteil_rwgr,8,FALSE)</f>
        <v>66300</v>
      </c>
      <c r="AM351" s="166">
        <f t="shared" si="962"/>
        <v>1791137.5</v>
      </c>
      <c r="AN351" s="166">
        <f>SUMIF($D$5:$D$319,"=kas",AN5:AN319)*HLOOKUP(AK322,Verteil_rwgr,5,FALSE)+SUMIF($D$5:$D$319,"=kam",AN5:AN319)*HLOOKUP(AK322,Verteil_rwgr,6,FALSE)+SUMIF($D$5:$D$319,"=kar",AN5:AN319)*HLOOKUP(AK322,Verteil_rwgr,7,FALSE)+SUMIF($D$5:$D$319,"=kaz",AN5:AN319)*HLOOKUP(AK322,Verteil_rwgr,8,FALSE)</f>
        <v>1757987.5</v>
      </c>
      <c r="AO351" s="90">
        <f>IF(AN349&lt;&gt;0,AN351/AN349,0)</f>
        <v>0.2184066019393352</v>
      </c>
      <c r="AP351" s="565" t="s">
        <v>178</v>
      </c>
      <c r="AR351" s="381"/>
      <c r="AS351" s="166">
        <f>SUMIF($D$5:$D$319,"=kas",AS5:AS319)*HLOOKUP(AX322,Verteil_rwgr,5,FALSE)+SUMIF($D$5:$D$319,"=kam",AS5:AS319)*HLOOKUP(AX322,Verteil_rwgr,6,FALSE)+SUMIF($D$5:$D$319,"=kar",AS5:AS319)*HLOOKUP(AX322,Verteil_rwgr,7,FALSE)+SUMIF($D$5:$D$319,"=kaz",AS5:AS319)*HLOOKUP(AX322,Verteil_rwgr,8,FALSE)</f>
        <v>0</v>
      </c>
      <c r="AU351" s="166">
        <f>SUMIF($D$5:$D$319,"=kas",AU5:AU319)*HLOOKUP(AX322,Verteil_rwgr,5,FALSE)+SUMIF($D$5:$D$319,"=kam",AU5:AU319)*HLOOKUP(AX322,Verteil_rwgr,6,FALSE)+SUMIF($D$5:$D$319,"=kar",AU5:AU319)*HLOOKUP(AX322,Verteil_rwgr,7,FALSE)+SUMIF($D$5:$D$319,"=kaz",AU5:AU319)*HLOOKUP(AX322,Verteil_rwgr,8,FALSE)</f>
        <v>0</v>
      </c>
      <c r="AW351" s="90">
        <f>IF(AX349&lt;&gt;0,AX351/AX349,0)</f>
        <v>0.21821369607512681</v>
      </c>
      <c r="AX351" s="166">
        <f>ROUND(AZ351*HLOOKUP(AX322,Grund_zins,2,FALSE),2)</f>
        <v>60369.31</v>
      </c>
      <c r="AY351" s="166">
        <f>SUMIF($D$5:$D$319,"=kas",AY5:AY319)*HLOOKUP(AX322,Verteil_rwgr,5,FALSE)+SUMIF($D$5:$D$319,"=kam",AY5:AY319)*HLOOKUP(AX322,Verteil_rwgr,6,FALSE)+SUMIF($D$5:$D$319,"=kar",AY5:AY319)*HLOOKUP(AX322,Verteil_rwgr,7,FALSE)+SUMIF($D$5:$D$319,"=kaz",AY5:AY319)*HLOOKUP(AX322,Verteil_rwgr,8,FALSE)</f>
        <v>66300</v>
      </c>
      <c r="AZ351" s="166">
        <f t="shared" si="963"/>
        <v>1724837.5</v>
      </c>
      <c r="BA351" s="166">
        <f>SUMIF($D$5:$D$319,"=kas",BA5:BA319)*HLOOKUP(AX322,Verteil_rwgr,5,FALSE)+SUMIF($D$5:$D$319,"=kam",BA5:BA319)*HLOOKUP(AX322,Verteil_rwgr,6,FALSE)+SUMIF($D$5:$D$319,"=kar",BA5:BA319)*HLOOKUP(AX322,Verteil_rwgr,7,FALSE)+SUMIF($D$5:$D$319,"=kaz",BA5:BA319)*HLOOKUP(AX322,Verteil_rwgr,8,FALSE)</f>
        <v>1691687.5</v>
      </c>
      <c r="BB351" s="90">
        <f>IF(BA349&lt;&gt;0,BA351/BA349,0)</f>
        <v>0.21801360903660649</v>
      </c>
      <c r="BC351" s="565" t="s">
        <v>178</v>
      </c>
      <c r="BE351" s="381"/>
      <c r="BF351" s="166">
        <f>SUMIF($D$5:$D$319,"=kas",BF5:BF319)*HLOOKUP(BK322,Verteil_rwgr,5,FALSE)+SUMIF($D$5:$D$319,"=kam",BF5:BF319)*HLOOKUP(BK322,Verteil_rwgr,6,FALSE)+SUMIF($D$5:$D$319,"=kar",BF5:BF319)*HLOOKUP(BK322,Verteil_rwgr,7,FALSE)+SUMIF($D$5:$D$319,"=kaz",BF5:BF319)*HLOOKUP(BK322,Verteil_rwgr,8,FALSE)</f>
        <v>0</v>
      </c>
      <c r="BH351" s="166">
        <f>SUMIF($D$5:$D$319,"=kas",BH5:BH319)*HLOOKUP(BK322,Verteil_rwgr,5,FALSE)+SUMIF($D$5:$D$319,"=kam",BH5:BH319)*HLOOKUP(BK322,Verteil_rwgr,6,FALSE)+SUMIF($D$5:$D$319,"=kar",BH5:BH319)*HLOOKUP(BK322,Verteil_rwgr,7,FALSE)+SUMIF($D$5:$D$319,"=kaz",BH5:BH319)*HLOOKUP(BK322,Verteil_rwgr,8,FALSE)</f>
        <v>0</v>
      </c>
      <c r="BJ351" s="90">
        <f>IF(BK349&lt;&gt;0,BK351/BK349,0)</f>
        <v>0.21780589363687955</v>
      </c>
      <c r="BK351" s="166">
        <f>ROUND(BM351*HLOOKUP(BK322,Grund_zins,2,FALSE),2)</f>
        <v>58048.81</v>
      </c>
      <c r="BL351" s="166">
        <f>SUMIF($D$5:$D$319,"=kas",BL5:BL319)*HLOOKUP(BK322,Verteil_rwgr,5,FALSE)+SUMIF($D$5:$D$319,"=kam",BL5:BL319)*HLOOKUP(BK322,Verteil_rwgr,6,FALSE)+SUMIF($D$5:$D$319,"=kar",BL5:BL319)*HLOOKUP(BK322,Verteil_rwgr,7,FALSE)+SUMIF($D$5:$D$319,"=kaz",BL5:BL319)*HLOOKUP(BK322,Verteil_rwgr,8,FALSE)</f>
        <v>66300</v>
      </c>
      <c r="BM351" s="166">
        <f t="shared" si="964"/>
        <v>1658537.5</v>
      </c>
      <c r="BN351" s="166">
        <f>SUMIF($D$5:$D$319,"=kas",BN5:BN319)*HLOOKUP(BK322,Verteil_rwgr,5,FALSE)+SUMIF($D$5:$D$319,"=kam",BN5:BN319)*HLOOKUP(BK322,Verteil_rwgr,6,FALSE)+SUMIF($D$5:$D$319,"=kar",BN5:BN319)*HLOOKUP(BK322,Verteil_rwgr,7,FALSE)+SUMIF($D$5:$D$319,"=kaz",BN5:BN319)*HLOOKUP(BK322,Verteil_rwgr,8,FALSE)</f>
        <v>1625387.5</v>
      </c>
      <c r="BO351" s="90">
        <f>IF(BN349&lt;&gt;0,BN351/BN349,0)</f>
        <v>0.21759014451234612</v>
      </c>
      <c r="BP351" s="565" t="s">
        <v>178</v>
      </c>
      <c r="BR351" s="381"/>
      <c r="BS351" s="166">
        <f>SUMIF($D$5:$D$319,"=kas",BS5:BS319)*HLOOKUP(BX322,Verteil_rwgr,5,FALSE)+SUMIF($D$5:$D$319,"=kam",BS5:BS319)*HLOOKUP(BX322,Verteil_rwgr,6,FALSE)+SUMIF($D$5:$D$319,"=kar",BS5:BS319)*HLOOKUP(BX322,Verteil_rwgr,7,FALSE)+SUMIF($D$5:$D$319,"=kaz",BS5:BS319)*HLOOKUP(BX322,Verteil_rwgr,8,FALSE)</f>
        <v>0</v>
      </c>
      <c r="BU351" s="166">
        <f>SUMIF($D$5:$D$319,"=kas",BU5:BU319)*HLOOKUP(BX322,Verteil_rwgr,5,FALSE)+SUMIF($D$5:$D$319,"=kam",BU5:BU319)*HLOOKUP(BX322,Verteil_rwgr,6,FALSE)+SUMIF($D$5:$D$319,"=kar",BU5:BU319)*HLOOKUP(BX322,Verteil_rwgr,7,FALSE)+SUMIF($D$5:$D$319,"=kaz",BU5:BU319)*HLOOKUP(BX322,Verteil_rwgr,8,FALSE)</f>
        <v>0</v>
      </c>
      <c r="BW351" s="90">
        <f>IF(BX349&lt;&gt;0,BX351/BX349,0)</f>
        <v>0.21736584623815602</v>
      </c>
      <c r="BX351" s="166">
        <f>ROUND(BZ351*HLOOKUP(BX322,Grund_zins,2,FALSE),2)</f>
        <v>55728.31</v>
      </c>
      <c r="BY351" s="166">
        <f>SUMIF($D$5:$D$319,"=kas",BY5:BY319)*HLOOKUP(BX322,Verteil_rwgr,5,FALSE)+SUMIF($D$5:$D$319,"=kam",BY5:BY319)*HLOOKUP(BX322,Verteil_rwgr,6,FALSE)+SUMIF($D$5:$D$319,"=kar",BY5:BY319)*HLOOKUP(BX322,Verteil_rwgr,7,FALSE)+SUMIF($D$5:$D$319,"=kaz",BY5:BY319)*HLOOKUP(BX322,Verteil_rwgr,8,FALSE)</f>
        <v>66300</v>
      </c>
      <c r="BZ351" s="166">
        <f t="shared" si="965"/>
        <v>1592237.5</v>
      </c>
      <c r="CA351" s="166">
        <f>SUMIF($D$5:$D$319,"=kas",CA5:CA319)*HLOOKUP(BX322,Verteil_rwgr,5,FALSE)+SUMIF($D$5:$D$319,"=kam",CA5:CA319)*HLOOKUP(BX322,Verteil_rwgr,6,FALSE)+SUMIF($D$5:$D$319,"=kar",CA5:CA319)*HLOOKUP(BX322,Verteil_rwgr,7,FALSE)+SUMIF($D$5:$D$319,"=kaz",CA5:CA319)*HLOOKUP(BX322,Verteil_rwgr,8,FALSE)</f>
        <v>1559087.5</v>
      </c>
      <c r="CB351" s="90">
        <f>IF(CA349&lt;&gt;0,CA351/CA349,0)</f>
        <v>0.21713252139519662</v>
      </c>
      <c r="CC351" s="565" t="s">
        <v>178</v>
      </c>
      <c r="CE351" s="381"/>
      <c r="CF351" s="166">
        <f>SUMIF($D$5:$D$319,"=kas",CF5:CF319)*HLOOKUP(CK322,Verteil_rwgr,5,FALSE)+SUMIF($D$5:$D$319,"=kam",CF5:CF319)*HLOOKUP(CK322,Verteil_rwgr,6,FALSE)+SUMIF($D$5:$D$319,"=kar",CF5:CF319)*HLOOKUP(CK322,Verteil_rwgr,7,FALSE)+SUMIF($D$5:$D$319,"=kaz",CF5:CF319)*HLOOKUP(CK322,Verteil_rwgr,8,FALSE)</f>
        <v>0</v>
      </c>
      <c r="CH351" s="166">
        <f>SUMIF($D$5:$D$319,"=kas",CH5:CH319)*HLOOKUP(CK322,Verteil_rwgr,5,FALSE)+SUMIF($D$5:$D$319,"=kam",CH5:CH319)*HLOOKUP(CK322,Verteil_rwgr,6,FALSE)+SUMIF($D$5:$D$319,"=kar",CH5:CH319)*HLOOKUP(CK322,Verteil_rwgr,7,FALSE)+SUMIF($D$5:$D$319,"=kaz",CH5:CH319)*HLOOKUP(CK322,Verteil_rwgr,8,FALSE)</f>
        <v>0</v>
      </c>
      <c r="CJ351" s="90">
        <f>IF(CK349&lt;&gt;0,CK351/CK349,0)</f>
        <v>0.21688960588250622</v>
      </c>
      <c r="CK351" s="166">
        <f>ROUND(CM351*HLOOKUP(CK322,Grund_zins,2,FALSE),2)</f>
        <v>45778.13</v>
      </c>
      <c r="CL351" s="166">
        <f>SUMIF($D$5:$D$319,"=kas",CL5:CL319)*HLOOKUP(CK322,Verteil_rwgr,5,FALSE)+SUMIF($D$5:$D$319,"=kam",CL5:CL319)*HLOOKUP(CK322,Verteil_rwgr,6,FALSE)+SUMIF($D$5:$D$319,"=kar",CL5:CL319)*HLOOKUP(CK322,Verteil_rwgr,7,FALSE)+SUMIF($D$5:$D$319,"=kaz",CL5:CL319)*HLOOKUP(CK322,Verteil_rwgr,8,FALSE)</f>
        <v>66300</v>
      </c>
      <c r="CM351" s="166">
        <f t="shared" si="966"/>
        <v>1525937.5</v>
      </c>
      <c r="CN351" s="166">
        <f>SUMIF($D$5:$D$319,"=kas",CN5:CN319)*HLOOKUP(CK322,Verteil_rwgr,5,FALSE)+SUMIF($D$5:$D$319,"=kam",CN5:CN319)*HLOOKUP(CK322,Verteil_rwgr,6,FALSE)+SUMIF($D$5:$D$319,"=kar",CN5:CN319)*HLOOKUP(CK322,Verteil_rwgr,7,FALSE)+SUMIF($D$5:$D$319,"=kaz",CN5:CN319)*HLOOKUP(CK322,Verteil_rwgr,8,FALSE)</f>
        <v>1492787.5</v>
      </c>
      <c r="CO351" s="90">
        <f>IF(CN349&lt;&gt;0,CN351/CN349,0)</f>
        <v>0.21663643289917645</v>
      </c>
      <c r="CP351" s="565" t="s">
        <v>178</v>
      </c>
      <c r="CR351" s="381"/>
      <c r="CS351" s="166">
        <f>SUMIF($D$5:$D$319,"=kas",CS5:CS319)*HLOOKUP(CX322,Verteil_rwgr,5,FALSE)+SUMIF($D$5:$D$319,"=kam",CS5:CS319)*HLOOKUP(CX322,Verteil_rwgr,6,FALSE)+SUMIF($D$5:$D$319,"=kar",CS5:CS319)*HLOOKUP(CX322,Verteil_rwgr,7,FALSE)+SUMIF($D$5:$D$319,"=kaz",CS5:CS319)*HLOOKUP(CX322,Verteil_rwgr,8,FALSE)</f>
        <v>0</v>
      </c>
      <c r="CU351" s="166">
        <f>SUMIF($D$5:$D$319,"=kas",CU5:CU319)*HLOOKUP(CX322,Verteil_rwgr,5,FALSE)+SUMIF($D$5:$D$319,"=kam",CU5:CU319)*HLOOKUP(CX322,Verteil_rwgr,6,FALSE)+SUMIF($D$5:$D$319,"=kar",CU5:CU319)*HLOOKUP(CX322,Verteil_rwgr,7,FALSE)+SUMIF($D$5:$D$319,"=kaz",CU5:CU319)*HLOOKUP(CX322,Verteil_rwgr,8,FALSE)</f>
        <v>0</v>
      </c>
      <c r="CW351" s="90">
        <f>IF(CX349&lt;&gt;0,CX351/CX349,0)</f>
        <v>0.21637244074839965</v>
      </c>
      <c r="CX351" s="166">
        <f>ROUND(CZ351*HLOOKUP(CX322,Grund_zins,2,FALSE),2)</f>
        <v>43789.13</v>
      </c>
      <c r="CY351" s="166">
        <f>SUMIF($D$5:$D$319,"=kas",CY5:CY319)*HLOOKUP(CX322,Verteil_rwgr,5,FALSE)+SUMIF($D$5:$D$319,"=kam",CY5:CY319)*HLOOKUP(CX322,Verteil_rwgr,6,FALSE)+SUMIF($D$5:$D$319,"=kar",CY5:CY319)*HLOOKUP(CX322,Verteil_rwgr,7,FALSE)+SUMIF($D$5:$D$319,"=kaz",CY5:CY319)*HLOOKUP(CX322,Verteil_rwgr,8,FALSE)</f>
        <v>66300</v>
      </c>
      <c r="CZ351" s="166">
        <f t="shared" si="967"/>
        <v>1459637.5</v>
      </c>
      <c r="DA351" s="166">
        <f>SUMIF($D$5:$D$319,"=kas",DA5:DA319)*HLOOKUP(CX322,Verteil_rwgr,5,FALSE)+SUMIF($D$5:$D$319,"=kam",DA5:DA319)*HLOOKUP(CX322,Verteil_rwgr,6,FALSE)+SUMIF($D$5:$D$319,"=kar",DA5:DA319)*HLOOKUP(CX322,Verteil_rwgr,7,FALSE)+SUMIF($D$5:$D$319,"=kaz",DA5:DA319)*HLOOKUP(CX322,Verteil_rwgr,8,FALSE)</f>
        <v>1426487.5</v>
      </c>
      <c r="DB351" s="90">
        <f>IF(DA349&lt;&gt;0,DA351/DA349,0)</f>
        <v>0.21609681646379797</v>
      </c>
      <c r="DC351" s="565" t="s">
        <v>178</v>
      </c>
      <c r="DE351" s="381"/>
      <c r="DF351" s="166">
        <f>SUMIF($D$5:$D$319,"=kas",DF5:DF319)*HLOOKUP(DK322,Verteil_rwgr,5,FALSE)+SUMIF($D$5:$D$319,"=kam",DF5:DF319)*HLOOKUP(DK322,Verteil_rwgr,6,FALSE)+SUMIF($D$5:$D$319,"=kar",DF5:DF319)*HLOOKUP(DK322,Verteil_rwgr,7,FALSE)+SUMIF($D$5:$D$319,"=kaz",DF5:DF319)*HLOOKUP(DK322,Verteil_rwgr,8,FALSE)</f>
        <v>0</v>
      </c>
      <c r="DH351" s="166">
        <f>SUMIF($D$5:$D$319,"=kas",DH5:DH319)*HLOOKUP(DK322,Verteil_rwgr,5,FALSE)+SUMIF($D$5:$D$319,"=kam",DH5:DH319)*HLOOKUP(DK322,Verteil_rwgr,6,FALSE)+SUMIF($D$5:$D$319,"=kar",DH5:DH319)*HLOOKUP(DK322,Verteil_rwgr,7,FALSE)+SUMIF($D$5:$D$319,"=kaz",DH5:DH319)*HLOOKUP(DK322,Verteil_rwgr,8,FALSE)</f>
        <v>0</v>
      </c>
      <c r="DJ351" s="90">
        <f>IF(DK349&lt;&gt;0,DK351/DK349,0)</f>
        <v>0.21580888066270673</v>
      </c>
      <c r="DK351" s="166">
        <f>ROUND(DM351*HLOOKUP(DK322,Grund_zins,2,FALSE),2)</f>
        <v>41800.129999999997</v>
      </c>
      <c r="DL351" s="166">
        <f>SUMIF($D$5:$D$319,"=kas",DL5:DL319)*HLOOKUP(DK322,Verteil_rwgr,5,FALSE)+SUMIF($D$5:$D$319,"=kam",DL5:DL319)*HLOOKUP(DK322,Verteil_rwgr,6,FALSE)+SUMIF($D$5:$D$319,"=kar",DL5:DL319)*HLOOKUP(DK322,Verteil_rwgr,7,FALSE)+SUMIF($D$5:$D$319,"=kaz",DL5:DL319)*HLOOKUP(DK322,Verteil_rwgr,8,FALSE)</f>
        <v>66300</v>
      </c>
      <c r="DM351" s="166">
        <f t="shared" si="968"/>
        <v>1393337.5</v>
      </c>
      <c r="DN351" s="166">
        <f>SUMIF($D$5:$D$319,"=kas",DN5:DN319)*HLOOKUP(DK322,Verteil_rwgr,5,FALSE)+SUMIF($D$5:$D$319,"=kam",DN5:DN319)*HLOOKUP(DK322,Verteil_rwgr,6,FALSE)+SUMIF($D$5:$D$319,"=kar",DN5:DN319)*HLOOKUP(DK322,Verteil_rwgr,7,FALSE)+SUMIF($D$5:$D$319,"=kaz",DN5:DN319)*HLOOKUP(DK322,Verteil_rwgr,8,FALSE)</f>
        <v>1360187.5</v>
      </c>
      <c r="DO351" s="90">
        <f>IF(DN349&lt;&gt;0,DN351/DN349,0)</f>
        <v>0.21550768036377752</v>
      </c>
      <c r="DP351" s="565" t="s">
        <v>178</v>
      </c>
      <c r="DR351" s="381"/>
      <c r="DS351" s="166">
        <f>SUMIF($D$5:$D$319,"=kas",DS5:DS319)*HLOOKUP(DX322,Verteil_rwgr,5,FALSE)+SUMIF($D$5:$D$319,"=kam",DS5:DS319)*HLOOKUP(DX322,Verteil_rwgr,6,FALSE)+SUMIF($D$5:$D$319,"=kar",DS5:DS319)*HLOOKUP(DX322,Verteil_rwgr,7,FALSE)+SUMIF($D$5:$D$319,"=kaz",DS5:DS319)*HLOOKUP(DX322,Verteil_rwgr,8,FALSE)</f>
        <v>0</v>
      </c>
      <c r="DU351" s="166">
        <f>SUMIF($D$5:$D$319,"=kas",DU5:DU319)*HLOOKUP(DX322,Verteil_rwgr,5,FALSE)+SUMIF($D$5:$D$319,"=kam",DU5:DU319)*HLOOKUP(DX322,Verteil_rwgr,6,FALSE)+SUMIF($D$5:$D$319,"=kar",DU5:DU319)*HLOOKUP(DX322,Verteil_rwgr,7,FALSE)+SUMIF($D$5:$D$319,"=kaz",DU5:DU319)*HLOOKUP(DX322,Verteil_rwgr,8,FALSE)</f>
        <v>0</v>
      </c>
      <c r="DW351" s="90">
        <f>IF(DX349&lt;&gt;0,DX351/DX349,0)</f>
        <v>0.21519238929203657</v>
      </c>
      <c r="DX351" s="166">
        <f>ROUND(DZ351*HLOOKUP(DX322,Grund_zins,2,FALSE),2)</f>
        <v>39811.129999999997</v>
      </c>
      <c r="DY351" s="166">
        <f>SUMIF($D$5:$D$319,"=kas",DY5:DY319)*HLOOKUP(DX322,Verteil_rwgr,5,FALSE)+SUMIF($D$5:$D$319,"=kam",DY5:DY319)*HLOOKUP(DX322,Verteil_rwgr,6,FALSE)+SUMIF($D$5:$D$319,"=kar",DY5:DY319)*HLOOKUP(DX322,Verteil_rwgr,7,FALSE)+SUMIF($D$5:$D$319,"=kaz",DY5:DY319)*HLOOKUP(DX322,Verteil_rwgr,8,FALSE)</f>
        <v>66300</v>
      </c>
      <c r="DZ351" s="166">
        <f t="shared" si="969"/>
        <v>1327037.5</v>
      </c>
      <c r="EA351" s="166">
        <f>SUMIF($D$5:$D$319,"=kas",EA5:EA319)*HLOOKUP(DX322,Verteil_rwgr,5,FALSE)+SUMIF($D$5:$D$319,"=kam",EA5:EA319)*HLOOKUP(DX322,Verteil_rwgr,6,FALSE)+SUMIF($D$5:$D$319,"=kar",EA5:EA319)*HLOOKUP(DX322,Verteil_rwgr,7,FALSE)+SUMIF($D$5:$D$319,"=kaz",EA5:EA319)*HLOOKUP(DX322,Verteil_rwgr,8,FALSE)</f>
        <v>1293887.5</v>
      </c>
      <c r="EB351" s="90">
        <f>IF(EA349&lt;&gt;0,EA351/EA349,0)</f>
        <v>0.21486188028794659</v>
      </c>
      <c r="EC351" s="565" t="s">
        <v>178</v>
      </c>
    </row>
    <row r="352" spans="1:133" s="10" customFormat="1" ht="15" customHeight="1" x14ac:dyDescent="0.35">
      <c r="A352" s="565" t="s">
        <v>179</v>
      </c>
      <c r="Q352" s="225">
        <v>31</v>
      </c>
      <c r="R352" s="381"/>
      <c r="S352" s="166">
        <f>SUMIF($D$5:$D$319,"=kas",S5:S319)*HLOOKUP(X322,Verteil_rwst,4,FALSE)+SUMIF($D$5:$D$319,"=kam",S5:S319)*HLOOKUP(X322,Verteil_rwst,5,FALSE)+SUMIF($D$5:$D$319,"=kar",S5:S319)*HLOOKUP(X322,Verteil_rwst,6,FALSE)+SUMIF($D$5:$D$319,"=kaz",S5:S319)*HLOOKUP(X322,Verteil_rwst,7,FALSE)</f>
        <v>0</v>
      </c>
      <c r="U352" s="166">
        <f>SUMIF($D$5:$D$319,"=kas",U5:U319)*HLOOKUP(X322,Verteil_rwst,4,FALSE)+SUMIF($D$5:$D$319,"=kam",U5:U319)*HLOOKUP(X322,Verteil_rwst,5,FALSE)+SUMIF($D$5:$D$319,"=kar",U5:U319)*HLOOKUP(X322,Verteil_rwst,6,FALSE)+SUMIF($D$5:$D$319,"=kaz",U5:U319)*HLOOKUP(X322,Verteil_rwst,7,FALSE)</f>
        <v>0</v>
      </c>
      <c r="W352" s="90">
        <f>IF(X349&lt;&gt;0,X352/X349,0)</f>
        <v>0.21894577489039713</v>
      </c>
      <c r="X352" s="166">
        <f>ROUND(Z352*HLOOKUP(X322,Grund_zins,2,FALSE),2)</f>
        <v>65010.31</v>
      </c>
      <c r="Y352" s="166">
        <f>SUMIF($D$5:$D$319,"=kas",Y5:Y319)*HLOOKUP(X322,Verteil_rwst,4,FALSE)+SUMIF($D$5:$D$319,"=kam",Y5:Y319)*HLOOKUP(X322,Verteil_rwst,5,FALSE)+SUMIF($D$5:$D$319,"=kar",Y5:Y319)*HLOOKUP(X322,Verteil_rwst,6,FALSE)+SUMIF($D$5:$D$319,"=kaz",Y5:Y319)*HLOOKUP(X322,Verteil_rwst,7,FALSE)</f>
        <v>66300</v>
      </c>
      <c r="Z352" s="166">
        <f t="shared" si="961"/>
        <v>1857437.5</v>
      </c>
      <c r="AA352" s="166">
        <f>SUMIF($D$5:$D$319,"=kas",AA5:AA319)*HLOOKUP(X322,Verteil_rwst,4,FALSE)+SUMIF($D$5:$D$319,"=kam",AA5:AA319)*HLOOKUP(X322,Verteil_rwst,5,FALSE)+SUMIF($D$5:$D$319,"=kar",AA5:AA319)*HLOOKUP(X322,Verteil_rwst,6,FALSE)+SUMIF($D$5:$D$319,"=kaz",AA5:AA319)*HLOOKUP(X322,Verteil_rwst,7,FALSE)</f>
        <v>1824287.5</v>
      </c>
      <c r="AB352" s="90">
        <f>IF(AA349&lt;&gt;0,AA352/AA349,0)</f>
        <v>0.21877229800629591</v>
      </c>
      <c r="AC352" s="565" t="s">
        <v>179</v>
      </c>
      <c r="AE352" s="381"/>
      <c r="AF352" s="166">
        <f>SUMIF($D$5:$D$319,"=kas",AF5:AF319)*HLOOKUP(AK322,Verteil_rwst,4,FALSE)+SUMIF($D$5:$D$319,"=kam",AF5:AF319)*HLOOKUP(AK322,Verteil_rwst,5,FALSE)+SUMIF($D$5:$D$319,"=kar",AF5:AF319)*HLOOKUP(AK322,Verteil_rwst,6,FALSE)+SUMIF($D$5:$D$319,"=kaz",AF5:AF319)*HLOOKUP(AK322,Verteil_rwst,7,FALSE)</f>
        <v>0</v>
      </c>
      <c r="AH352" s="166">
        <f>SUMIF($D$5:$D$319,"=kas",AH5:AH319)*HLOOKUP(AK322,Verteil_rwst,4,FALSE)+SUMIF($D$5:$D$319,"=kam",AH5:AH319)*HLOOKUP(AK322,Verteil_rwst,5,FALSE)+SUMIF($D$5:$D$319,"=kar",AH5:AH319)*HLOOKUP(AK322,Verteil_rwst,6,FALSE)+SUMIF($D$5:$D$319,"=kaz",AH5:AH319)*HLOOKUP(AK322,Verteil_rwst,7,FALSE)</f>
        <v>0</v>
      </c>
      <c r="AJ352" s="90">
        <f>IF(AK349&lt;&gt;0,AK352/AK349,0)</f>
        <v>0.21859267246827579</v>
      </c>
      <c r="AK352" s="166">
        <f>ROUND(AM352*HLOOKUP(AK322,Grund_zins,2,FALSE),2)</f>
        <v>62689.81</v>
      </c>
      <c r="AL352" s="166">
        <f>SUMIF($D$5:$D$319,"=kas",AL5:AL319)*HLOOKUP(AK322,Verteil_rwst,4,FALSE)+SUMIF($D$5:$D$319,"=kam",AL5:AL319)*HLOOKUP(AK322,Verteil_rwst,5,FALSE)+SUMIF($D$5:$D$319,"=kar",AL5:AL319)*HLOOKUP(AK322,Verteil_rwst,6,FALSE)+SUMIF($D$5:$D$319,"=kaz",AL5:AL319)*HLOOKUP(AK322,Verteil_rwst,7,FALSE)</f>
        <v>66300</v>
      </c>
      <c r="AM352" s="166">
        <f t="shared" si="962"/>
        <v>1791137.5</v>
      </c>
      <c r="AN352" s="166">
        <f>SUMIF($D$5:$D$319,"=kas",AN5:AN319)*HLOOKUP(AK322,Verteil_rwst,4,FALSE)+SUMIF($D$5:$D$319,"=kam",AN5:AN319)*HLOOKUP(AK322,Verteil_rwst,5,FALSE)+SUMIF($D$5:$D$319,"=kar",AN5:AN319)*HLOOKUP(AK322,Verteil_rwst,6,FALSE)+SUMIF($D$5:$D$319,"=kaz",AN5:AN319)*HLOOKUP(AK322,Verteil_rwst,7,FALSE)</f>
        <v>1757987.5</v>
      </c>
      <c r="AO352" s="90">
        <f>IF(AN349&lt;&gt;0,AN352/AN349,0)</f>
        <v>0.2184066019393352</v>
      </c>
      <c r="AP352" s="565" t="s">
        <v>179</v>
      </c>
      <c r="AR352" s="381"/>
      <c r="AS352" s="166">
        <f>SUMIF($D$5:$D$319,"=kas",AS5:AS319)*HLOOKUP(AX322,Verteil_rwst,4,FALSE)+SUMIF($D$5:$D$319,"=kam",AS5:AS319)*HLOOKUP(AX322,Verteil_rwst,5,FALSE)+SUMIF($D$5:$D$319,"=kar",AS5:AS319)*HLOOKUP(AX322,Verteil_rwst,6,FALSE)+SUMIF($D$5:$D$319,"=kaz",AS5:AS319)*HLOOKUP(AX322,Verteil_rwst,7,FALSE)</f>
        <v>0</v>
      </c>
      <c r="AU352" s="166">
        <f>SUMIF($D$5:$D$319,"=kas",AU5:AU319)*HLOOKUP(AX322,Verteil_rwst,4,FALSE)+SUMIF($D$5:$D$319,"=kam",AU5:AU319)*HLOOKUP(AX322,Verteil_rwst,5,FALSE)+SUMIF($D$5:$D$319,"=kar",AU5:AU319)*HLOOKUP(AX322,Verteil_rwst,6,FALSE)+SUMIF($D$5:$D$319,"=kaz",AU5:AU319)*HLOOKUP(AX322,Verteil_rwst,7,FALSE)</f>
        <v>0</v>
      </c>
      <c r="AW352" s="90">
        <f>IF(AX349&lt;&gt;0,AX352/AX349,0)</f>
        <v>0.21821369607512681</v>
      </c>
      <c r="AX352" s="166">
        <f>ROUND(AZ352*HLOOKUP(AX322,Grund_zins,2,FALSE),2)</f>
        <v>60369.31</v>
      </c>
      <c r="AY352" s="166">
        <f>SUMIF($D$5:$D$319,"=kas",AY5:AY319)*HLOOKUP(AX322,Verteil_rwst,4,FALSE)+SUMIF($D$5:$D$319,"=kam",AY5:AY319)*HLOOKUP(AX322,Verteil_rwst,5,FALSE)+SUMIF($D$5:$D$319,"=kar",AY5:AY319)*HLOOKUP(AX322,Verteil_rwst,6,FALSE)+SUMIF($D$5:$D$319,"=kaz",AY5:AY319)*HLOOKUP(AX322,Verteil_rwst,7,FALSE)</f>
        <v>66300</v>
      </c>
      <c r="AZ352" s="166">
        <f t="shared" si="963"/>
        <v>1724837.5</v>
      </c>
      <c r="BA352" s="166">
        <f>SUMIF($D$5:$D$319,"=kas",BA5:BA319)*HLOOKUP(AX322,Verteil_rwst,4,FALSE)+SUMIF($D$5:$D$319,"=kam",BA5:BA319)*HLOOKUP(AX322,Verteil_rwst,5,FALSE)+SUMIF($D$5:$D$319,"=kar",BA5:BA319)*HLOOKUP(AX322,Verteil_rwst,6,FALSE)+SUMIF($D$5:$D$319,"=kaz",BA5:BA319)*HLOOKUP(AX322,Verteil_rwst,7,FALSE)</f>
        <v>1691687.5</v>
      </c>
      <c r="BB352" s="90">
        <f>IF(BA349&lt;&gt;0,BA352/BA349,0)</f>
        <v>0.21801360903660649</v>
      </c>
      <c r="BC352" s="565" t="s">
        <v>179</v>
      </c>
      <c r="BE352" s="381"/>
      <c r="BF352" s="166">
        <f>SUMIF($D$5:$D$319,"=kas",BF5:BF319)*HLOOKUP(BK322,Verteil_rwst,4,FALSE)+SUMIF($D$5:$D$319,"=kam",BF5:BF319)*HLOOKUP(BK322,Verteil_rwst,5,FALSE)+SUMIF($D$5:$D$319,"=kar",BF5:BF319)*HLOOKUP(BK322,Verteil_rwst,6,FALSE)+SUMIF($D$5:$D$319,"=kaz",BF5:BF319)*HLOOKUP(BK322,Verteil_rwst,7,FALSE)</f>
        <v>0</v>
      </c>
      <c r="BH352" s="166">
        <f>SUMIF($D$5:$D$319,"=kas",BH5:BH319)*HLOOKUP(BK322,Verteil_rwst,4,FALSE)+SUMIF($D$5:$D$319,"=kam",BH5:BH319)*HLOOKUP(BK322,Verteil_rwst,5,FALSE)+SUMIF($D$5:$D$319,"=kar",BH5:BH319)*HLOOKUP(BK322,Verteil_rwst,6,FALSE)+SUMIF($D$5:$D$319,"=kaz",BH5:BH319)*HLOOKUP(BK322,Verteil_rwst,7,FALSE)</f>
        <v>0</v>
      </c>
      <c r="BJ352" s="90">
        <f>IF(BK349&lt;&gt;0,BK352/BK349,0)</f>
        <v>0.21780589363687955</v>
      </c>
      <c r="BK352" s="166">
        <f>ROUND(BM352*HLOOKUP(BK322,Grund_zins,2,FALSE),2)</f>
        <v>58048.81</v>
      </c>
      <c r="BL352" s="166">
        <f>SUMIF($D$5:$D$319,"=kas",BL5:BL319)*HLOOKUP(BK322,Verteil_rwst,4,FALSE)+SUMIF($D$5:$D$319,"=kam",BL5:BL319)*HLOOKUP(BK322,Verteil_rwst,5,FALSE)+SUMIF($D$5:$D$319,"=kar",BL5:BL319)*HLOOKUP(BK322,Verteil_rwst,6,FALSE)+SUMIF($D$5:$D$319,"=kaz",BL5:BL319)*HLOOKUP(BK322,Verteil_rwst,7,FALSE)</f>
        <v>66300</v>
      </c>
      <c r="BM352" s="166">
        <f t="shared" si="964"/>
        <v>1658537.5</v>
      </c>
      <c r="BN352" s="166">
        <f>SUMIF($D$5:$D$319,"=kas",BN5:BN319)*HLOOKUP(BK322,Verteil_rwst,4,FALSE)+SUMIF($D$5:$D$319,"=kam",BN5:BN319)*HLOOKUP(BK322,Verteil_rwst,5,FALSE)+SUMIF($D$5:$D$319,"=kar",BN5:BN319)*HLOOKUP(BK322,Verteil_rwst,6,FALSE)+SUMIF($D$5:$D$319,"=kaz",BN5:BN319)*HLOOKUP(BK322,Verteil_rwst,7,FALSE)</f>
        <v>1625387.5</v>
      </c>
      <c r="BO352" s="90">
        <f>IF(BN349&lt;&gt;0,BN352/BN349,0)</f>
        <v>0.21759014451234612</v>
      </c>
      <c r="BP352" s="565" t="s">
        <v>179</v>
      </c>
      <c r="BR352" s="381"/>
      <c r="BS352" s="166">
        <f>SUMIF($D$5:$D$319,"=kas",BS5:BS319)*HLOOKUP(BX322,Verteil_rwst,4,FALSE)+SUMIF($D$5:$D$319,"=kam",BS5:BS319)*HLOOKUP(BX322,Verteil_rwst,5,FALSE)+SUMIF($D$5:$D$319,"=kar",BS5:BS319)*HLOOKUP(BX322,Verteil_rwst,6,FALSE)+SUMIF($D$5:$D$319,"=kaz",BS5:BS319)*HLOOKUP(BX322,Verteil_rwst,7,FALSE)</f>
        <v>0</v>
      </c>
      <c r="BU352" s="166">
        <f>SUMIF($D$5:$D$319,"=kas",BU5:BU319)*HLOOKUP(BX322,Verteil_rwst,4,FALSE)+SUMIF($D$5:$D$319,"=kam",BU5:BU319)*HLOOKUP(BX322,Verteil_rwst,5,FALSE)+SUMIF($D$5:$D$319,"=kar",BU5:BU319)*HLOOKUP(BX322,Verteil_rwst,6,FALSE)+SUMIF($D$5:$D$319,"=kaz",BU5:BU319)*HLOOKUP(BX322,Verteil_rwst,7,FALSE)</f>
        <v>0</v>
      </c>
      <c r="BW352" s="90">
        <f>IF(BX349&lt;&gt;0,BX352/BX349,0)</f>
        <v>0.21736584623815602</v>
      </c>
      <c r="BX352" s="166">
        <f>ROUND(BZ352*HLOOKUP(BX322,Grund_zins,2,FALSE),2)</f>
        <v>55728.31</v>
      </c>
      <c r="BY352" s="166">
        <f>SUMIF($D$5:$D$319,"=kas",BY5:BY319)*HLOOKUP(BX322,Verteil_rwst,4,FALSE)+SUMIF($D$5:$D$319,"=kam",BY5:BY319)*HLOOKUP(BX322,Verteil_rwst,5,FALSE)+SUMIF($D$5:$D$319,"=kar",BY5:BY319)*HLOOKUP(BX322,Verteil_rwst,6,FALSE)+SUMIF($D$5:$D$319,"=kaz",BY5:BY319)*HLOOKUP(BX322,Verteil_rwst,7,FALSE)</f>
        <v>66300</v>
      </c>
      <c r="BZ352" s="166">
        <f t="shared" si="965"/>
        <v>1592237.5</v>
      </c>
      <c r="CA352" s="166">
        <f>SUMIF($D$5:$D$319,"=kas",CA5:CA319)*HLOOKUP(BX322,Verteil_rwst,4,FALSE)+SUMIF($D$5:$D$319,"=kam",CA5:CA319)*HLOOKUP(BX322,Verteil_rwst,5,FALSE)+SUMIF($D$5:$D$319,"=kar",CA5:CA319)*HLOOKUP(BX322,Verteil_rwst,6,FALSE)+SUMIF($D$5:$D$319,"=kaz",CA5:CA319)*HLOOKUP(BX322,Verteil_rwst,7,FALSE)</f>
        <v>1559087.5</v>
      </c>
      <c r="CB352" s="90">
        <f>IF(CA349&lt;&gt;0,CA352/CA349,0)</f>
        <v>0.21713252139519662</v>
      </c>
      <c r="CC352" s="565" t="s">
        <v>179</v>
      </c>
      <c r="CE352" s="381"/>
      <c r="CF352" s="166">
        <f>SUMIF($D$5:$D$319,"=kas",CF5:CF319)*HLOOKUP(CK322,Verteil_rwst,4,FALSE)+SUMIF($D$5:$D$319,"=kam",CF5:CF319)*HLOOKUP(CK322,Verteil_rwst,5,FALSE)+SUMIF($D$5:$D$319,"=kar",CF5:CF319)*HLOOKUP(CK322,Verteil_rwst,6,FALSE)+SUMIF($D$5:$D$319,"=kaz",CF5:CF319)*HLOOKUP(CK322,Verteil_rwst,7,FALSE)</f>
        <v>0</v>
      </c>
      <c r="CH352" s="166">
        <f>SUMIF($D$5:$D$319,"=kas",CH5:CH319)*HLOOKUP(CK322,Verteil_rwst,4,FALSE)+SUMIF($D$5:$D$319,"=kam",CH5:CH319)*HLOOKUP(CK322,Verteil_rwst,5,FALSE)+SUMIF($D$5:$D$319,"=kar",CH5:CH319)*HLOOKUP(CK322,Verteil_rwst,6,FALSE)+SUMIF($D$5:$D$319,"=kaz",CH5:CH319)*HLOOKUP(CK322,Verteil_rwst,7,FALSE)</f>
        <v>0</v>
      </c>
      <c r="CJ352" s="90">
        <f>IF(CK349&lt;&gt;0,CK352/CK349,0)</f>
        <v>0.21688960588250622</v>
      </c>
      <c r="CK352" s="166">
        <f>ROUND(CM352*HLOOKUP(CK322,Grund_zins,2,FALSE),2)</f>
        <v>45778.13</v>
      </c>
      <c r="CL352" s="166">
        <f>SUMIF($D$5:$D$319,"=kas",CL5:CL319)*HLOOKUP(CK322,Verteil_rwst,4,FALSE)+SUMIF($D$5:$D$319,"=kam",CL5:CL319)*HLOOKUP(CK322,Verteil_rwst,5,FALSE)+SUMIF($D$5:$D$319,"=kar",CL5:CL319)*HLOOKUP(CK322,Verteil_rwst,6,FALSE)+SUMIF($D$5:$D$319,"=kaz",CL5:CL319)*HLOOKUP(CK322,Verteil_rwst,7,FALSE)</f>
        <v>66300</v>
      </c>
      <c r="CM352" s="166">
        <f t="shared" si="966"/>
        <v>1525937.5</v>
      </c>
      <c r="CN352" s="166">
        <f>SUMIF($D$5:$D$319,"=kas",CN5:CN319)*HLOOKUP(CK322,Verteil_rwst,4,FALSE)+SUMIF($D$5:$D$319,"=kam",CN5:CN319)*HLOOKUP(CK322,Verteil_rwst,5,FALSE)+SUMIF($D$5:$D$319,"=kar",CN5:CN319)*HLOOKUP(CK322,Verteil_rwst,6,FALSE)+SUMIF($D$5:$D$319,"=kaz",CN5:CN319)*HLOOKUP(CK322,Verteil_rwst,7,FALSE)</f>
        <v>1492787.5</v>
      </c>
      <c r="CO352" s="90">
        <f>IF(CN349&lt;&gt;0,CN352/CN349,0)</f>
        <v>0.21663643289917645</v>
      </c>
      <c r="CP352" s="565" t="s">
        <v>179</v>
      </c>
      <c r="CR352" s="381"/>
      <c r="CS352" s="166">
        <f>SUMIF($D$5:$D$319,"=kas",CS5:CS319)*HLOOKUP(CX322,Verteil_rwst,4,FALSE)+SUMIF($D$5:$D$319,"=kam",CS5:CS319)*HLOOKUP(CX322,Verteil_rwst,5,FALSE)+SUMIF($D$5:$D$319,"=kar",CS5:CS319)*HLOOKUP(CX322,Verteil_rwst,6,FALSE)+SUMIF($D$5:$D$319,"=kaz",CS5:CS319)*HLOOKUP(CX322,Verteil_rwst,7,FALSE)</f>
        <v>0</v>
      </c>
      <c r="CU352" s="166">
        <f>SUMIF($D$5:$D$319,"=kas",CU5:CU319)*HLOOKUP(CX322,Verteil_rwst,4,FALSE)+SUMIF($D$5:$D$319,"=kam",CU5:CU319)*HLOOKUP(CX322,Verteil_rwst,5,FALSE)+SUMIF($D$5:$D$319,"=kar",CU5:CU319)*HLOOKUP(CX322,Verteil_rwst,6,FALSE)+SUMIF($D$5:$D$319,"=kaz",CU5:CU319)*HLOOKUP(CX322,Verteil_rwst,7,FALSE)</f>
        <v>0</v>
      </c>
      <c r="CW352" s="90">
        <f>IF(CX349&lt;&gt;0,CX352/CX349,0)</f>
        <v>0.21637244074839965</v>
      </c>
      <c r="CX352" s="166">
        <f>ROUND(CZ352*HLOOKUP(CX322,Grund_zins,2,FALSE),2)</f>
        <v>43789.13</v>
      </c>
      <c r="CY352" s="166">
        <f>SUMIF($D$5:$D$319,"=kas",CY5:CY319)*HLOOKUP(CX322,Verteil_rwst,4,FALSE)+SUMIF($D$5:$D$319,"=kam",CY5:CY319)*HLOOKUP(CX322,Verteil_rwst,5,FALSE)+SUMIF($D$5:$D$319,"=kar",CY5:CY319)*HLOOKUP(CX322,Verteil_rwst,6,FALSE)+SUMIF($D$5:$D$319,"=kaz",CY5:CY319)*HLOOKUP(CX322,Verteil_rwst,7,FALSE)</f>
        <v>66300</v>
      </c>
      <c r="CZ352" s="166">
        <f t="shared" si="967"/>
        <v>1459637.5</v>
      </c>
      <c r="DA352" s="166">
        <f>SUMIF($D$5:$D$319,"=kas",DA5:DA319)*HLOOKUP(CX322,Verteil_rwst,4,FALSE)+SUMIF($D$5:$D$319,"=kam",DA5:DA319)*HLOOKUP(CX322,Verteil_rwst,5,FALSE)+SUMIF($D$5:$D$319,"=kar",DA5:DA319)*HLOOKUP(CX322,Verteil_rwst,6,FALSE)+SUMIF($D$5:$D$319,"=kaz",DA5:DA319)*HLOOKUP(CX322,Verteil_rwst,7,FALSE)</f>
        <v>1426487.5</v>
      </c>
      <c r="DB352" s="90">
        <f>IF(DA349&lt;&gt;0,DA352/DA349,0)</f>
        <v>0.21609681646379797</v>
      </c>
      <c r="DC352" s="565" t="s">
        <v>179</v>
      </c>
      <c r="DE352" s="381"/>
      <c r="DF352" s="166">
        <f>SUMIF($D$5:$D$319,"=kas",DF5:DF319)*HLOOKUP(DK322,Verteil_rwst,4,FALSE)+SUMIF($D$5:$D$319,"=kam",DF5:DF319)*HLOOKUP(DK322,Verteil_rwst,5,FALSE)+SUMIF($D$5:$D$319,"=kar",DF5:DF319)*HLOOKUP(DK322,Verteil_rwst,6,FALSE)+SUMIF($D$5:$D$319,"=kaz",DF5:DF319)*HLOOKUP(DK322,Verteil_rwst,7,FALSE)</f>
        <v>0</v>
      </c>
      <c r="DH352" s="166">
        <f>SUMIF($D$5:$D$319,"=kas",DH5:DH319)*HLOOKUP(DK322,Verteil_rwst,4,FALSE)+SUMIF($D$5:$D$319,"=kam",DH5:DH319)*HLOOKUP(DK322,Verteil_rwst,5,FALSE)+SUMIF($D$5:$D$319,"=kar",DH5:DH319)*HLOOKUP(DK322,Verteil_rwst,6,FALSE)+SUMIF($D$5:$D$319,"=kaz",DH5:DH319)*HLOOKUP(DK322,Verteil_rwst,7,FALSE)</f>
        <v>0</v>
      </c>
      <c r="DJ352" s="90">
        <f>IF(DK349&lt;&gt;0,DK352/DK349,0)</f>
        <v>0.21580888066270673</v>
      </c>
      <c r="DK352" s="166">
        <f>ROUND(DM352*HLOOKUP(DK322,Grund_zins,2,FALSE),2)</f>
        <v>41800.129999999997</v>
      </c>
      <c r="DL352" s="166">
        <f>SUMIF($D$5:$D$319,"=kas",DL5:DL319)*HLOOKUP(DK322,Verteil_rwst,4,FALSE)+SUMIF($D$5:$D$319,"=kam",DL5:DL319)*HLOOKUP(DK322,Verteil_rwst,5,FALSE)+SUMIF($D$5:$D$319,"=kar",DL5:DL319)*HLOOKUP(DK322,Verteil_rwst,6,FALSE)+SUMIF($D$5:$D$319,"=kaz",DL5:DL319)*HLOOKUP(DK322,Verteil_rwst,7,FALSE)</f>
        <v>66300</v>
      </c>
      <c r="DM352" s="166">
        <f t="shared" si="968"/>
        <v>1393337.5</v>
      </c>
      <c r="DN352" s="166">
        <f>SUMIF($D$5:$D$319,"=kas",DN5:DN319)*HLOOKUP(DK322,Verteil_rwst,4,FALSE)+SUMIF($D$5:$D$319,"=kam",DN5:DN319)*HLOOKUP(DK322,Verteil_rwst,5,FALSE)+SUMIF($D$5:$D$319,"=kar",DN5:DN319)*HLOOKUP(DK322,Verteil_rwst,6,FALSE)+SUMIF($D$5:$D$319,"=kaz",DN5:DN319)*HLOOKUP(DK322,Verteil_rwst,7,FALSE)</f>
        <v>1360187.5</v>
      </c>
      <c r="DO352" s="90">
        <f>IF(DN349&lt;&gt;0,DN352/DN349,0)</f>
        <v>0.21550768036377752</v>
      </c>
      <c r="DP352" s="565" t="s">
        <v>179</v>
      </c>
      <c r="DR352" s="381"/>
      <c r="DS352" s="166">
        <f>SUMIF($D$5:$D$319,"=kas",DS5:DS319)*HLOOKUP(DX322,Verteil_rwst,4,FALSE)+SUMIF($D$5:$D$319,"=kam",DS5:DS319)*HLOOKUP(DX322,Verteil_rwst,5,FALSE)+SUMIF($D$5:$D$319,"=kar",DS5:DS319)*HLOOKUP(DX322,Verteil_rwst,6,FALSE)+SUMIF($D$5:$D$319,"=kaz",DS5:DS319)*HLOOKUP(DX322,Verteil_rwst,7,FALSE)</f>
        <v>0</v>
      </c>
      <c r="DU352" s="166">
        <f>SUMIF($D$5:$D$319,"=kas",DU5:DU319)*HLOOKUP(DX322,Verteil_rwst,4,FALSE)+SUMIF($D$5:$D$319,"=kam",DU5:DU319)*HLOOKUP(DX322,Verteil_rwst,5,FALSE)+SUMIF($D$5:$D$319,"=kar",DU5:DU319)*HLOOKUP(DX322,Verteil_rwst,6,FALSE)+SUMIF($D$5:$D$319,"=kaz",DU5:DU319)*HLOOKUP(DX322,Verteil_rwst,7,FALSE)</f>
        <v>0</v>
      </c>
      <c r="DW352" s="90">
        <f>IF(DX349&lt;&gt;0,DX352/DX349,0)</f>
        <v>0.21519238929203657</v>
      </c>
      <c r="DX352" s="166">
        <f>ROUND(DZ352*HLOOKUP(DX322,Grund_zins,2,FALSE),2)</f>
        <v>39811.129999999997</v>
      </c>
      <c r="DY352" s="166">
        <f>SUMIF($D$5:$D$319,"=kas",DY5:DY319)*HLOOKUP(DX322,Verteil_rwst,4,FALSE)+SUMIF($D$5:$D$319,"=kam",DY5:DY319)*HLOOKUP(DX322,Verteil_rwst,5,FALSE)+SUMIF($D$5:$D$319,"=kar",DY5:DY319)*HLOOKUP(DX322,Verteil_rwst,6,FALSE)+SUMIF($D$5:$D$319,"=kaz",DY5:DY319)*HLOOKUP(DX322,Verteil_rwst,7,FALSE)</f>
        <v>66300</v>
      </c>
      <c r="DZ352" s="166">
        <f t="shared" si="969"/>
        <v>1327037.5</v>
      </c>
      <c r="EA352" s="166">
        <f>SUMIF($D$5:$D$319,"=kas",EA5:EA319)*HLOOKUP(DX322,Verteil_rwst,4,FALSE)+SUMIF($D$5:$D$319,"=kam",EA5:EA319)*HLOOKUP(DX322,Verteil_rwst,5,FALSE)+SUMIF($D$5:$D$319,"=kar",EA5:EA319)*HLOOKUP(DX322,Verteil_rwst,6,FALSE)+SUMIF($D$5:$D$319,"=kaz",EA5:EA319)*HLOOKUP(DX322,Verteil_rwst,7,FALSE)</f>
        <v>1293887.5</v>
      </c>
      <c r="EB352" s="90">
        <f>IF(EA349&lt;&gt;0,EA352/EA349,0)</f>
        <v>0.21486188028794659</v>
      </c>
      <c r="EC352" s="565" t="s">
        <v>179</v>
      </c>
    </row>
    <row r="353" spans="1:133" s="10" customFormat="1" ht="15" customHeight="1" x14ac:dyDescent="0.35">
      <c r="A353" s="564" t="s">
        <v>380</v>
      </c>
      <c r="Q353" s="225">
        <v>32</v>
      </c>
      <c r="R353" s="381"/>
      <c r="S353" s="166">
        <f>SUMIF($D$5:$D$319,"=klm",S5:S319)+SUMIF($D$5:$D$319,"=kls",S5:S319)+SUMIF($D$5:$D$319,"=klr",S5:S319)+SUMIF($D$5:$D$319,"=klk",S5:S319)+SUMIF($D$5:$D$319,"=klz",S5:S319)</f>
        <v>0</v>
      </c>
      <c r="U353" s="166">
        <f>SUMIF($D$5:$D$319,"=klm",U5:U319)+SUMIF($D$5:$D$319,"=kls",U5:U319)+SUMIF($D$5:$D$319,"=klr",U5:U319)+SUMIF($D$5:$D$319,"=klk",U5:U319)+SUMIF($D$5:$D$319,"=klz",U5:U319)</f>
        <v>0</v>
      </c>
      <c r="W353" s="90">
        <f t="shared" ref="W353" si="970">SUM(W354:W356)</f>
        <v>0.99999999999999989</v>
      </c>
      <c r="X353" s="166">
        <f>ROUND(Z353*HLOOKUP(X322,Grund_zins,2,FALSE),2)</f>
        <v>305772.08</v>
      </c>
      <c r="Y353" s="166">
        <f>SUMIF($D$5:$D$319,"=klm",Y5:Y319)+SUMIF($D$5:$D$319,"=kls",Y5:Y319)+SUMIF($D$5:$D$319,"=klr",Y5:Y319)+SUMIF($D$5:$D$319,"=klk",Y5:Y319)+SUMIF($D$5:$D$319,"=klz",Y5:Y319)</f>
        <v>463830</v>
      </c>
      <c r="Z353" s="166">
        <f t="shared" si="961"/>
        <v>8736345</v>
      </c>
      <c r="AA353" s="166">
        <f>SUMIF($D$5:$D$319,"=klm",AA5:AA319)+SUMIF($D$5:$D$319,"=kls",AA5:AA319)+SUMIF($D$5:$D$319,"=klr",AA5:AA319)+SUMIF($D$5:$D$319,"=klk",AA5:AA319)+SUMIF($D$5:$D$319,"=klz",AA5:AA319)</f>
        <v>8504430</v>
      </c>
      <c r="AB353" s="90">
        <f t="shared" ref="AB353" si="971">SUM(AB354:AB356)</f>
        <v>1</v>
      </c>
      <c r="AC353" s="564" t="s">
        <v>380</v>
      </c>
      <c r="AE353" s="381"/>
      <c r="AF353" s="166">
        <f>SUMIF($D$5:$D$319,"=klm",AF5:AF319)+SUMIF($D$5:$D$319,"=kls",AF5:AF319)+SUMIF($D$5:$D$319,"=klr",AF5:AF319)+SUMIF($D$5:$D$319,"=klk",AF5:AF319)+SUMIF($D$5:$D$319,"=klz",AF5:AF319)</f>
        <v>0</v>
      </c>
      <c r="AH353" s="166">
        <f>SUMIF($D$5:$D$319,"=klm",AH5:AH319)+SUMIF($D$5:$D$319,"=kls",AH5:AH319)+SUMIF($D$5:$D$319,"=klr",AH5:AH319)+SUMIF($D$5:$D$319,"=klk",AH5:AH319)+SUMIF($D$5:$D$319,"=klz",AH5:AH319)</f>
        <v>0</v>
      </c>
      <c r="AJ353" s="90">
        <f t="shared" ref="AJ353" si="972">SUM(AJ354:AJ356)</f>
        <v>1.0000000345331339</v>
      </c>
      <c r="AK353" s="166">
        <f>ROUND(AM353*HLOOKUP(AK322,Grund_zins,2,FALSE),2)</f>
        <v>289576.96000000002</v>
      </c>
      <c r="AL353" s="166">
        <f>SUMIF($D$5:$D$319,"=klm",AL5:AL319)+SUMIF($D$5:$D$319,"=kls",AL5:AL319)+SUMIF($D$5:$D$319,"=klr",AL5:AL319)+SUMIF($D$5:$D$319,"=klk",AL5:AL319)+SUMIF($D$5:$D$319,"=klz",AL5:AL319)</f>
        <v>461605</v>
      </c>
      <c r="AM353" s="166">
        <f t="shared" si="962"/>
        <v>8273627.5</v>
      </c>
      <c r="AN353" s="166">
        <f>SUMIF($D$5:$D$319,"=klm",AN5:AN319)+SUMIF($D$5:$D$319,"=kls",AN5:AN319)+SUMIF($D$5:$D$319,"=klr",AN5:AN319)+SUMIF($D$5:$D$319,"=klk",AN5:AN319)+SUMIF($D$5:$D$319,"=klz",AN5:AN319)</f>
        <v>8042825</v>
      </c>
      <c r="AO353" s="90">
        <f t="shared" ref="AO353" si="973">SUM(AO354:AO356)</f>
        <v>1</v>
      </c>
      <c r="AP353" s="564" t="s">
        <v>380</v>
      </c>
      <c r="AR353" s="381"/>
      <c r="AS353" s="166">
        <f>SUMIF($D$5:$D$319,"=klm",AS5:AS319)+SUMIF($D$5:$D$319,"=kls",AS5:AS319)+SUMIF($D$5:$D$319,"=klr",AS5:AS319)+SUMIF($D$5:$D$319,"=klk",AS5:AS319)+SUMIF($D$5:$D$319,"=klz",AS5:AS319)</f>
        <v>0</v>
      </c>
      <c r="AU353" s="166">
        <f>SUMIF($D$5:$D$319,"=klm",AU5:AU319)+SUMIF($D$5:$D$319,"=kls",AU5:AU319)+SUMIF($D$5:$D$319,"=klr",AU5:AU319)+SUMIF($D$5:$D$319,"=klk",AU5:AU319)+SUMIF($D$5:$D$319,"=klz",AU5:AU319)</f>
        <v>0</v>
      </c>
      <c r="AW353" s="90">
        <f t="shared" ref="AW353" si="974">SUM(AW354:AW356)</f>
        <v>1.0000000000000002</v>
      </c>
      <c r="AX353" s="166">
        <f>ROUND(AZ353*HLOOKUP(AX322,Grund_zins,2,FALSE),2)</f>
        <v>273447.03999999998</v>
      </c>
      <c r="AY353" s="166">
        <f>SUMIF($D$5:$D$319,"=klm",AY5:AY319)+SUMIF($D$5:$D$319,"=kls",AY5:AY319)+SUMIF($D$5:$D$319,"=klr",AY5:AY319)+SUMIF($D$5:$D$319,"=klk",AY5:AY319)+SUMIF($D$5:$D$319,"=klz",AY5:AY319)</f>
        <v>460105</v>
      </c>
      <c r="AZ353" s="166">
        <f t="shared" si="963"/>
        <v>7812772.5</v>
      </c>
      <c r="BA353" s="166">
        <f>SUMIF($D$5:$D$319,"=klm",BA5:BA319)+SUMIF($D$5:$D$319,"=kls",BA5:BA319)+SUMIF($D$5:$D$319,"=klr",BA5:BA319)+SUMIF($D$5:$D$319,"=klk",BA5:BA319)+SUMIF($D$5:$D$319,"=klz",BA5:BA319)</f>
        <v>7582720</v>
      </c>
      <c r="BB353" s="90">
        <f t="shared" ref="BB353" si="975">SUM(BB354:BB356)</f>
        <v>1</v>
      </c>
      <c r="BC353" s="564" t="s">
        <v>380</v>
      </c>
      <c r="BE353" s="381"/>
      <c r="BF353" s="166">
        <f>SUMIF($D$5:$D$319,"=klm",BF5:BF319)+SUMIF($D$5:$D$319,"=kls",BF5:BF319)+SUMIF($D$5:$D$319,"=klr",BF5:BF319)+SUMIF($D$5:$D$319,"=klk",BF5:BF319)+SUMIF($D$5:$D$319,"=klz",BF5:BF319)</f>
        <v>0</v>
      </c>
      <c r="BH353" s="166">
        <f>SUMIF($D$5:$D$319,"=klm",BH5:BH319)+SUMIF($D$5:$D$319,"=kls",BH5:BH319)+SUMIF($D$5:$D$319,"=klr",BH5:BH319)+SUMIF($D$5:$D$319,"=klk",BH5:BH319)+SUMIF($D$5:$D$319,"=klz",BH5:BH319)</f>
        <v>0</v>
      </c>
      <c r="BJ353" s="90">
        <f t="shared" ref="BJ353" si="976">SUM(BJ354:BJ356)</f>
        <v>0.99999996114438339</v>
      </c>
      <c r="BK353" s="166">
        <f>ROUND(BM353*HLOOKUP(BK322,Grund_zins,2,FALSE),2)</f>
        <v>257363.05</v>
      </c>
      <c r="BL353" s="166">
        <f>SUMIF($D$5:$D$319,"=klm",BL5:BL319)+SUMIF($D$5:$D$319,"=kls",BL5:BL319)+SUMIF($D$5:$D$319,"=klr",BL5:BL319)+SUMIF($D$5:$D$319,"=klk",BL5:BL319)+SUMIF($D$5:$D$319,"=klz",BL5:BL319)</f>
        <v>458980</v>
      </c>
      <c r="BM353" s="166">
        <f t="shared" si="964"/>
        <v>7353230</v>
      </c>
      <c r="BN353" s="166">
        <f>SUMIF($D$5:$D$319,"=klm",BN5:BN319)+SUMIF($D$5:$D$319,"=kls",BN5:BN319)+SUMIF($D$5:$D$319,"=klr",BN5:BN319)+SUMIF($D$5:$D$319,"=klk",BN5:BN319)+SUMIF($D$5:$D$319,"=klz",BN5:BN319)</f>
        <v>7123740</v>
      </c>
      <c r="BO353" s="90">
        <f t="shared" ref="BO353" si="977">SUM(BO354:BO356)</f>
        <v>0.99999999999999989</v>
      </c>
      <c r="BP353" s="564" t="s">
        <v>380</v>
      </c>
      <c r="BR353" s="381"/>
      <c r="BS353" s="166">
        <f>SUMIF($D$5:$D$319,"=klm",BS5:BS319)+SUMIF($D$5:$D$319,"=kls",BS5:BS319)+SUMIF($D$5:$D$319,"=klr",BS5:BS319)+SUMIF($D$5:$D$319,"=klk",BS5:BS319)+SUMIF($D$5:$D$319,"=klz",BS5:BS319)</f>
        <v>0</v>
      </c>
      <c r="BU353" s="166">
        <f>SUMIF($D$5:$D$319,"=klm",BU5:BU319)+SUMIF($D$5:$D$319,"=kls",BU5:BU319)+SUMIF($D$5:$D$319,"=klr",BU5:BU319)+SUMIF($D$5:$D$319,"=klk",BU5:BU319)+SUMIF($D$5:$D$319,"=klz",BU5:BU319)</f>
        <v>0</v>
      </c>
      <c r="BW353" s="90">
        <f t="shared" ref="BW353" si="978">SUM(BW354:BW356)</f>
        <v>1</v>
      </c>
      <c r="BX353" s="166">
        <f>ROUND(BZ353*HLOOKUP(BX322,Grund_zins,2,FALSE),2)</f>
        <v>241472</v>
      </c>
      <c r="BY353" s="166">
        <f>SUMIF($D$5:$D$319,"=klm",BY5:BY319)+SUMIF($D$5:$D$319,"=kls",BY5:BY319)+SUMIF($D$5:$D$319,"=klr",BY5:BY319)+SUMIF($D$5:$D$319,"=klk",BY5:BY319)+SUMIF($D$5:$D$319,"=klz",BY5:BY319)</f>
        <v>449080</v>
      </c>
      <c r="BZ353" s="166">
        <f t="shared" si="965"/>
        <v>6899200</v>
      </c>
      <c r="CA353" s="166">
        <f>SUMIF($D$5:$D$319,"=klm",CA5:CA319)+SUMIF($D$5:$D$319,"=kls",CA5:CA319)+SUMIF($D$5:$D$319,"=klr",CA5:CA319)+SUMIF($D$5:$D$319,"=klk",CA5:CA319)+SUMIF($D$5:$D$319,"=klz",CA5:CA319)</f>
        <v>6674660</v>
      </c>
      <c r="CB353" s="90">
        <f t="shared" ref="CB353" si="979">SUM(CB354:CB356)</f>
        <v>0.99999999999999989</v>
      </c>
      <c r="CC353" s="564" t="s">
        <v>380</v>
      </c>
      <c r="CE353" s="381"/>
      <c r="CF353" s="166">
        <f>SUMIF($D$5:$D$319,"=klm",CF5:CF319)+SUMIF($D$5:$D$319,"=kls",CF5:CF319)+SUMIF($D$5:$D$319,"=klr",CF5:CF319)+SUMIF($D$5:$D$319,"=klk",CF5:CF319)+SUMIF($D$5:$D$319,"=klz",CF5:CF319)</f>
        <v>0</v>
      </c>
      <c r="CH353" s="166">
        <f>SUMIF($D$5:$D$319,"=klm",CH5:CH319)+SUMIF($D$5:$D$319,"=kls",CH5:CH319)+SUMIF($D$5:$D$319,"=klr",CH5:CH319)+SUMIF($D$5:$D$319,"=klk",CH5:CH319)+SUMIF($D$5:$D$319,"=klz",CH5:CH319)</f>
        <v>0</v>
      </c>
      <c r="CJ353" s="90">
        <f t="shared" ref="CJ353" si="980">SUM(CJ354:CJ356)</f>
        <v>1.000000051638996</v>
      </c>
      <c r="CK353" s="166">
        <f>ROUND(CM353*HLOOKUP(CK322,Grund_zins,2,FALSE),2)</f>
        <v>193652.1</v>
      </c>
      <c r="CL353" s="166">
        <f>SUMIF($D$5:$D$319,"=klm",CL5:CL319)+SUMIF($D$5:$D$319,"=kls",CL5:CL319)+SUMIF($D$5:$D$319,"=klr",CL5:CL319)+SUMIF($D$5:$D$319,"=klk",CL5:CL319)+SUMIF($D$5:$D$319,"=klz",CL5:CL319)</f>
        <v>439180</v>
      </c>
      <c r="CM353" s="166">
        <f t="shared" si="966"/>
        <v>6455070</v>
      </c>
      <c r="CN353" s="166">
        <f>SUMIF($D$5:$D$319,"=klm",CN5:CN319)+SUMIF($D$5:$D$319,"=kls",CN5:CN319)+SUMIF($D$5:$D$319,"=klr",CN5:CN319)+SUMIF($D$5:$D$319,"=klk",CN5:CN319)+SUMIF($D$5:$D$319,"=klz",CN5:CN319)</f>
        <v>6235480</v>
      </c>
      <c r="CO353" s="90">
        <f t="shared" ref="CO353" si="981">SUM(CO354:CO356)</f>
        <v>0.99999999999999989</v>
      </c>
      <c r="CP353" s="564" t="s">
        <v>380</v>
      </c>
      <c r="CR353" s="381"/>
      <c r="CS353" s="166">
        <f>SUMIF($D$5:$D$319,"=klm",CS5:CS319)+SUMIF($D$5:$D$319,"=kls",CS5:CS319)+SUMIF($D$5:$D$319,"=klr",CS5:CS319)+SUMIF($D$5:$D$319,"=klk",CS5:CS319)+SUMIF($D$5:$D$319,"=klz",CS5:CS319)</f>
        <v>0</v>
      </c>
      <c r="CU353" s="166">
        <f>SUMIF($D$5:$D$319,"=klm",CU5:CU319)+SUMIF($D$5:$D$319,"=kls",CU5:CU319)+SUMIF($D$5:$D$319,"=klr",CU5:CU319)+SUMIF($D$5:$D$319,"=klk",CU5:CU319)+SUMIF($D$5:$D$319,"=klz",CU5:CU319)</f>
        <v>0</v>
      </c>
      <c r="CW353" s="90">
        <f t="shared" ref="CW353" si="982">SUM(CW354:CW356)</f>
        <v>1.0000000553939898</v>
      </c>
      <c r="CX353" s="166">
        <f>ROUND(CZ353*HLOOKUP(CX322,Grund_zins,2,FALSE),2)</f>
        <v>180525</v>
      </c>
      <c r="CY353" s="166">
        <f>SUMIF($D$5:$D$319,"=klm",CY5:CY319)+SUMIF($D$5:$D$319,"=kls",CY5:CY319)+SUMIF($D$5:$D$319,"=klr",CY5:CY319)+SUMIF($D$5:$D$319,"=klk",CY5:CY319)+SUMIF($D$5:$D$319,"=klz",CY5:CY319)</f>
        <v>435960</v>
      </c>
      <c r="CZ353" s="166">
        <f t="shared" si="967"/>
        <v>6017500</v>
      </c>
      <c r="DA353" s="166">
        <f>SUMIF($D$5:$D$319,"=klm",DA5:DA319)+SUMIF($D$5:$D$319,"=kls",DA5:DA319)+SUMIF($D$5:$D$319,"=klr",DA5:DA319)+SUMIF($D$5:$D$319,"=klk",DA5:DA319)+SUMIF($D$5:$D$319,"=klz",DA5:DA319)</f>
        <v>5799520</v>
      </c>
      <c r="DB353" s="90">
        <f t="shared" ref="DB353" si="983">SUM(DB354:DB356)</f>
        <v>1</v>
      </c>
      <c r="DC353" s="564" t="s">
        <v>380</v>
      </c>
      <c r="DE353" s="381"/>
      <c r="DF353" s="166">
        <f>SUMIF($D$5:$D$319,"=klm",DF5:DF319)+SUMIF($D$5:$D$319,"=kls",DF5:DF319)+SUMIF($D$5:$D$319,"=klr",DF5:DF319)+SUMIF($D$5:$D$319,"=klk",DF5:DF319)+SUMIF($D$5:$D$319,"=klz",DF5:DF319)</f>
        <v>0</v>
      </c>
      <c r="DH353" s="166">
        <f>SUMIF($D$5:$D$319,"=klm",DH5:DH319)+SUMIF($D$5:$D$319,"=kls",DH5:DH319)+SUMIF($D$5:$D$319,"=klr",DH5:DH319)+SUMIF($D$5:$D$319,"=klk",DH5:DH319)+SUMIF($D$5:$D$319,"=klz",DH5:DH319)</f>
        <v>0</v>
      </c>
      <c r="DJ353" s="90">
        <f t="shared" ref="DJ353" si="984">SUM(DJ354:DJ356)</f>
        <v>1</v>
      </c>
      <c r="DK353" s="166">
        <f>ROUND(DM353*HLOOKUP(DK322,Grund_zins,2,FALSE),2)</f>
        <v>170625.3</v>
      </c>
      <c r="DL353" s="166">
        <f>SUMIF($D$5:$D$319,"=klm",DL5:DL319)+SUMIF($D$5:$D$319,"=kls",DL5:DL319)+SUMIF($D$5:$D$319,"=klr",DL5:DL319)+SUMIF($D$5:$D$319,"=klk",DL5:DL319)+SUMIF($D$5:$D$319,"=klz",DL5:DL319)</f>
        <v>224020</v>
      </c>
      <c r="DM353" s="166">
        <f t="shared" si="968"/>
        <v>5687510</v>
      </c>
      <c r="DN353" s="166">
        <f>SUMIF($D$5:$D$319,"=klm",DN5:DN319)+SUMIF($D$5:$D$319,"=kls",DN5:DN319)+SUMIF($D$5:$D$319,"=klr",DN5:DN319)+SUMIF($D$5:$D$319,"=klk",DN5:DN319)+SUMIF($D$5:$D$319,"=klz",DN5:DN319)</f>
        <v>5575500</v>
      </c>
      <c r="DO353" s="90">
        <f t="shared" ref="DO353" si="985">SUM(DO354:DO356)</f>
        <v>1</v>
      </c>
      <c r="DP353" s="564" t="s">
        <v>380</v>
      </c>
      <c r="DR353" s="381"/>
      <c r="DS353" s="166">
        <f>SUMIF($D$5:$D$319,"=klm",DS5:DS319)+SUMIF($D$5:$D$319,"=kls",DS5:DS319)+SUMIF($D$5:$D$319,"=klr",DS5:DS319)+SUMIF($D$5:$D$319,"=klk",DS5:DS319)+SUMIF($D$5:$D$319,"=klz",DS5:DS319)</f>
        <v>0</v>
      </c>
      <c r="DU353" s="166">
        <f>SUMIF($D$5:$D$319,"=klm",DU5:DU319)+SUMIF($D$5:$D$319,"=kls",DU5:DU319)+SUMIF($D$5:$D$319,"=klr",DU5:DU319)+SUMIF($D$5:$D$319,"=klk",DU5:DU319)+SUMIF($D$5:$D$319,"=klz",DU5:DU319)</f>
        <v>0</v>
      </c>
      <c r="DW353" s="90">
        <f t="shared" ref="DW353" si="986">SUM(DW354:DW356)</f>
        <v>1</v>
      </c>
      <c r="DX353" s="166">
        <f>ROUND(DZ353*HLOOKUP(DX322,Grund_zins,2,FALSE),2)</f>
        <v>164182.20000000001</v>
      </c>
      <c r="DY353" s="166">
        <f>SUMIF($D$5:$D$319,"=klm",DY5:DY319)+SUMIF($D$5:$D$319,"=kls",DY5:DY319)+SUMIF($D$5:$D$319,"=klr",DY5:DY319)+SUMIF($D$5:$D$319,"=klk",DY5:DY319)+SUMIF($D$5:$D$319,"=klz",DY5:DY319)</f>
        <v>205520</v>
      </c>
      <c r="DZ353" s="166">
        <f t="shared" si="969"/>
        <v>5472740</v>
      </c>
      <c r="EA353" s="166">
        <f>SUMIF($D$5:$D$319,"=klm",EA5:EA319)+SUMIF($D$5:$D$319,"=kls",EA5:EA319)+SUMIF($D$5:$D$319,"=klr",EA5:EA319)+SUMIF($D$5:$D$319,"=klk",EA5:EA319)+SUMIF($D$5:$D$319,"=klz",EA5:EA319)</f>
        <v>5369980</v>
      </c>
      <c r="EB353" s="90">
        <f t="shared" ref="EB353" si="987">SUM(EB354:EB356)</f>
        <v>1</v>
      </c>
      <c r="EC353" s="564" t="s">
        <v>380</v>
      </c>
    </row>
    <row r="354" spans="1:133" s="10" customFormat="1" ht="15" customHeight="1" x14ac:dyDescent="0.35">
      <c r="A354" s="565" t="s">
        <v>169</v>
      </c>
      <c r="Q354" s="225">
        <v>33</v>
      </c>
      <c r="R354" s="381"/>
      <c r="S354" s="166">
        <f>SUMIF($D$5:$D$319,"=kls",S5:S319)*HLOOKUP(X322,Verteil_sw,11,FALSE)+SUMIF($D$5:$D$319,"=klm",S5:S319)*HLOOKUP(X322,Verteil_sw,12,FALSE)+SUMIF($D$5:$D$319,"=klr",S5:S319)*HLOOKUP(X322,Verteil_sw,13,FALSE)+SUMIF($D$5:$D$319,"=klk",S5:S319)*HLOOKUP(X322,Verteil_sw,14,FALSE)+SUMIF($D$5:$D$319,"=klz",S5:S319)*HLOOKUP(X322,Verteil_sw,15,FALSE)</f>
        <v>0</v>
      </c>
      <c r="U354" s="166">
        <f>SUMIF($D$5:$D$319,"=kls",U5:U319)*HLOOKUP(X322,Verteil_sw,11,FALSE)+SUMIF($D$5:$D$319,"=klm",U5:U319)*HLOOKUP(X322,Verteil_sw,12,FALSE)+SUMIF($D$5:$D$319,"=klr",U5:U319)*HLOOKUP(X322,Verteil_sw,13,FALSE)+SUMIF($D$5:$D$319,"=klk",U5:U319)*HLOOKUP(X322,Verteil_sw,14,FALSE)+SUMIF($D$5:$D$319,"=klz",U5:U319)*HLOOKUP(X322,Verteil_sw,15,FALSE)</f>
        <v>0</v>
      </c>
      <c r="W354" s="90">
        <f t="shared" ref="W354" si="988">IF(X353&lt;&gt;0,X354/X353,0)</f>
        <v>0.92203434662837747</v>
      </c>
      <c r="X354" s="166">
        <f>ROUND(Z354*HLOOKUP(X322,Grund_zins,2,FALSE),2)</f>
        <v>281932.36</v>
      </c>
      <c r="Y354" s="166">
        <f>SUMIF($D$5:$D$319,"=kls",Y5:Y319)*HLOOKUP(X322,Verteil_sw,11,FALSE)+SUMIF($D$5:$D$319,"=klm",Y5:Y319)*HLOOKUP(X322,Verteil_sw,12,FALSE)+SUMIF($D$5:$D$319,"=klr",Y5:Y319)*HLOOKUP(X322,Verteil_sw,13,FALSE)+SUMIF($D$5:$D$319,"=klk",Y5:Y319)*HLOOKUP(X322,Verteil_sw,14,FALSE)+SUMIF($D$5:$D$319,"=klz",Y5:Y319)*HLOOKUP(X322,Verteil_sw,15,FALSE)</f>
        <v>426792.15399999998</v>
      </c>
      <c r="Z354" s="166">
        <f t="shared" si="961"/>
        <v>8055210.1438999996</v>
      </c>
      <c r="AA354" s="166">
        <f>SUMIF($D$5:$D$319,"=kls",AA5:AA319)*HLOOKUP(X322,Verteil_sw,11,FALSE)+SUMIF($D$5:$D$319,"=klm",AA5:AA319)*HLOOKUP(X322,Verteil_sw,12,FALSE)+SUMIF($D$5:$D$319,"=klr",AA5:AA319)*HLOOKUP(X322,Verteil_sw,13,FALSE)+SUMIF($D$5:$D$319,"=klk",AA5:AA319)*HLOOKUP(X322,Verteil_sw,14,FALSE)+SUMIF($D$5:$D$319,"=klz",AA5:AA319)*HLOOKUP(X322,Verteil_sw,15,FALSE)</f>
        <v>7841814.0669</v>
      </c>
      <c r="AB354" s="90">
        <f t="shared" ref="AB354" si="989">IF(AA353&lt;&gt;0,AA354/AA353,0)</f>
        <v>0.92208579139342672</v>
      </c>
      <c r="AC354" s="565" t="s">
        <v>169</v>
      </c>
      <c r="AE354" s="381"/>
      <c r="AF354" s="166">
        <f>SUMIF($D$5:$D$319,"=kls",AF5:AF319)*HLOOKUP(AK322,Verteil_sw,11,FALSE)+SUMIF($D$5:$D$319,"=klm",AF5:AF319)*HLOOKUP(AK322,Verteil_sw,12,FALSE)+SUMIF($D$5:$D$319,"=klr",AF5:AF319)*HLOOKUP(AK322,Verteil_sw,13,FALSE)+SUMIF($D$5:$D$319,"=klk",AF5:AF319)*HLOOKUP(AK322,Verteil_sw,14,FALSE)+SUMIF($D$5:$D$319,"=klz",AF5:AF319)*HLOOKUP(AK322,Verteil_sw,15,FALSE)</f>
        <v>0</v>
      </c>
      <c r="AH354" s="166">
        <f>SUMIF($D$5:$D$319,"=kls",AH5:AH319)*HLOOKUP(AK322,Verteil_sw,11,FALSE)+SUMIF($D$5:$D$319,"=klm",AH5:AH319)*HLOOKUP(AK322,Verteil_sw,12,FALSE)+SUMIF($D$5:$D$319,"=klr",AH5:AH319)*HLOOKUP(AK322,Verteil_sw,13,FALSE)+SUMIF($D$5:$D$319,"=klk",AH5:AH319)*HLOOKUP(AK322,Verteil_sw,14,FALSE)+SUMIF($D$5:$D$319,"=klz",AH5:AH319)*HLOOKUP(AK322,Verteil_sw,15,FALSE)</f>
        <v>0</v>
      </c>
      <c r="AJ354" s="90">
        <f t="shared" ref="AJ354" si="990">IF(AK353&lt;&gt;0,AK354/AK353,0)</f>
        <v>0.92213196105104478</v>
      </c>
      <c r="AK354" s="166">
        <f>ROUND(AM354*HLOOKUP(AK322,Grund_zins,2,FALSE),2)</f>
        <v>267028.17</v>
      </c>
      <c r="AL354" s="166">
        <f>SUMIF($D$5:$D$319,"=kls",AL5:AL319)*HLOOKUP(AK322,Verteil_sw,11,FALSE)+SUMIF($D$5:$D$319,"=klm",AL5:AL319)*HLOOKUP(AK322,Verteil_sw,12,FALSE)+SUMIF($D$5:$D$319,"=klr",AL5:AL319)*HLOOKUP(AK322,Verteil_sw,13,FALSE)+SUMIF($D$5:$D$319,"=klk",AL5:AL319)*HLOOKUP(AK322,Verteil_sw,14,FALSE)+SUMIF($D$5:$D$319,"=klz",AL5:AL319)*HLOOKUP(AK322,Verteil_sw,15,FALSE)</f>
        <v>424875.49450000003</v>
      </c>
      <c r="AM354" s="166">
        <f t="shared" si="962"/>
        <v>7629376.31965</v>
      </c>
      <c r="AN354" s="166">
        <f>SUMIF($D$5:$D$319,"=kls",AN5:AN319)*HLOOKUP(AK322,Verteil_sw,11,FALSE)+SUMIF($D$5:$D$319,"=klm",AN5:AN319)*HLOOKUP(AK322,Verteil_sw,12,FALSE)+SUMIF($D$5:$D$319,"=klr",AN5:AN319)*HLOOKUP(AK322,Verteil_sw,13,FALSE)+SUMIF($D$5:$D$319,"=klk",AN5:AN319)*HLOOKUP(AK322,Verteil_sw,14,FALSE)+SUMIF($D$5:$D$319,"=klz",AN5:AN319)*HLOOKUP(AK322,Verteil_sw,15,FALSE)</f>
        <v>7416938.5723999999</v>
      </c>
      <c r="AO354" s="90">
        <f t="shared" ref="AO354" si="991">IF(AN353&lt;&gt;0,AN354/AN353,0)</f>
        <v>0.92218077260166664</v>
      </c>
      <c r="AP354" s="565" t="s">
        <v>169</v>
      </c>
      <c r="AR354" s="381"/>
      <c r="AS354" s="166">
        <f>SUMIF($D$5:$D$319,"=kls",AS5:AS319)*HLOOKUP(AX322,Verteil_sw,11,FALSE)+SUMIF($D$5:$D$319,"=klm",AS5:AS319)*HLOOKUP(AX322,Verteil_sw,12,FALSE)+SUMIF($D$5:$D$319,"=klr",AS5:AS319)*HLOOKUP(AX322,Verteil_sw,13,FALSE)+SUMIF($D$5:$D$319,"=klk",AS5:AS319)*HLOOKUP(AX322,Verteil_sw,14,FALSE)+SUMIF($D$5:$D$319,"=klz",AS5:AS319)*HLOOKUP(AX322,Verteil_sw,15,FALSE)</f>
        <v>0</v>
      </c>
      <c r="AU354" s="166">
        <f>SUMIF($D$5:$D$319,"=kls",AU5:AU319)*HLOOKUP(AX322,Verteil_sw,11,FALSE)+SUMIF($D$5:$D$319,"=klm",AU5:AU319)*HLOOKUP(AX322,Verteil_sw,12,FALSE)+SUMIF($D$5:$D$319,"=klr",AU5:AU319)*HLOOKUP(AX322,Verteil_sw,13,FALSE)+SUMIF($D$5:$D$319,"=klk",AU5:AU319)*HLOOKUP(AX322,Verteil_sw,14,FALSE)+SUMIF($D$5:$D$319,"=klz",AU5:AU319)*HLOOKUP(AX322,Verteil_sw,15,FALSE)</f>
        <v>0</v>
      </c>
      <c r="AW354" s="90">
        <f t="shared" ref="AW354" si="992">IF(AX353&lt;&gt;0,AX354/AX353,0)</f>
        <v>0.9222266220179236</v>
      </c>
      <c r="AX354" s="166">
        <f>ROUND(AZ354*HLOOKUP(AX322,Grund_zins,2,FALSE),2)</f>
        <v>252180.14</v>
      </c>
      <c r="AY354" s="166">
        <f>SUMIF($D$5:$D$319,"=kls",AY5:AY319)*HLOOKUP(AX322,Verteil_sw,11,FALSE)+SUMIF($D$5:$D$319,"=klm",AY5:AY319)*HLOOKUP(AX322,Verteil_sw,12,FALSE)+SUMIF($D$5:$D$319,"=klr",AY5:AY319)*HLOOKUP(AX322,Verteil_sw,13,FALSE)+SUMIF($D$5:$D$319,"=klk",AY5:AY319)*HLOOKUP(AX322,Verteil_sw,14,FALSE)+SUMIF($D$5:$D$319,"=klz",AY5:AY319)*HLOOKUP(AX322,Verteil_sw,15,FALSE)</f>
        <v>423583.36450000003</v>
      </c>
      <c r="AZ354" s="166">
        <f t="shared" si="963"/>
        <v>7205146.8901499994</v>
      </c>
      <c r="BA354" s="166">
        <f>SUMIF($D$5:$D$319,"=kls",BA5:BA319)*HLOOKUP(AX322,Verteil_sw,11,FALSE)+SUMIF($D$5:$D$319,"=klm",BA5:BA319)*HLOOKUP(AX322,Verteil_sw,12,FALSE)+SUMIF($D$5:$D$319,"=klr",BA5:BA319)*HLOOKUP(AX322,Verteil_sw,13,FALSE)+SUMIF($D$5:$D$319,"=klk",BA5:BA319)*HLOOKUP(AX322,Verteil_sw,14,FALSE)+SUMIF($D$5:$D$319,"=klz",BA5:BA319)*HLOOKUP(AX322,Verteil_sw,15,FALSE)</f>
        <v>6993355.2078999998</v>
      </c>
      <c r="BB354" s="90">
        <f t="shared" ref="BB354" si="993">IF(BA353&lt;&gt;0,BA354/BA353,0)</f>
        <v>0.9222752795698641</v>
      </c>
      <c r="BC354" s="565" t="s">
        <v>169</v>
      </c>
      <c r="BE354" s="381"/>
      <c r="BF354" s="166">
        <f>SUMIF($D$5:$D$319,"=kls",BF5:BF319)*HLOOKUP(BK322,Verteil_sw,11,FALSE)+SUMIF($D$5:$D$319,"=klm",BF5:BF319)*HLOOKUP(BK322,Verteil_sw,12,FALSE)+SUMIF($D$5:$D$319,"=klr",BF5:BF319)*HLOOKUP(BK322,Verteil_sw,13,FALSE)+SUMIF($D$5:$D$319,"=klk",BF5:BF319)*HLOOKUP(BK322,Verteil_sw,14,FALSE)+SUMIF($D$5:$D$319,"=klz",BF5:BF319)*HLOOKUP(BK322,Verteil_sw,15,FALSE)</f>
        <v>0</v>
      </c>
      <c r="BH354" s="166">
        <f>SUMIF($D$5:$D$319,"=kls",BH5:BH319)*HLOOKUP(BK322,Verteil_sw,11,FALSE)+SUMIF($D$5:$D$319,"=klm",BH5:BH319)*HLOOKUP(BK322,Verteil_sw,12,FALSE)+SUMIF($D$5:$D$319,"=klr",BH5:BH319)*HLOOKUP(BK322,Verteil_sw,13,FALSE)+SUMIF($D$5:$D$319,"=klk",BH5:BH319)*HLOOKUP(BK322,Verteil_sw,14,FALSE)+SUMIF($D$5:$D$319,"=klz",BH5:BH319)*HLOOKUP(BK322,Verteil_sw,15,FALSE)</f>
        <v>0</v>
      </c>
      <c r="BJ354" s="90">
        <f t="shared" ref="BJ354" si="994">IF(BK353&lt;&gt;0,BK354/BK353,0)</f>
        <v>0.92232229918008823</v>
      </c>
      <c r="BK354" s="166">
        <f>ROUND(BM354*HLOOKUP(BK322,Grund_zins,2,FALSE),2)</f>
        <v>237371.68</v>
      </c>
      <c r="BL354" s="166">
        <f>SUMIF($D$5:$D$319,"=kls",BL5:BL319)*HLOOKUP(BK322,Verteil_sw,11,FALSE)+SUMIF($D$5:$D$319,"=klm",BL5:BL319)*HLOOKUP(BK322,Verteil_sw,12,FALSE)+SUMIF($D$5:$D$319,"=klr",BL5:BL319)*HLOOKUP(BK322,Verteil_sw,13,FALSE)+SUMIF($D$5:$D$319,"=klk",BL5:BL319)*HLOOKUP(BK322,Verteil_sw,14,FALSE)+SUMIF($D$5:$D$319,"=klz",BL5:BL319)*HLOOKUP(BK322,Verteil_sw,15,FALSE)</f>
        <v>422614.26699999999</v>
      </c>
      <c r="BM354" s="166">
        <f t="shared" si="964"/>
        <v>6782048.0744000003</v>
      </c>
      <c r="BN354" s="166">
        <f>SUMIF($D$5:$D$319,"=kls",BN5:BN319)*HLOOKUP(BK322,Verteil_sw,11,FALSE)+SUMIF($D$5:$D$319,"=klm",BN5:BN319)*HLOOKUP(BK322,Verteil_sw,12,FALSE)+SUMIF($D$5:$D$319,"=klr",BN5:BN319)*HLOOKUP(BK322,Verteil_sw,13,FALSE)+SUMIF($D$5:$D$319,"=klk",BN5:BN319)*HLOOKUP(BK322,Verteil_sw,14,FALSE)+SUMIF($D$5:$D$319,"=klz",BN5:BN319)*HLOOKUP(BK322,Verteil_sw,15,FALSE)</f>
        <v>6570740.9408999998</v>
      </c>
      <c r="BO354" s="90">
        <f t="shared" ref="BO354" si="995">IF(BN353&lt;&gt;0,BN354/BN353,0)</f>
        <v>0.92237236913475218</v>
      </c>
      <c r="BP354" s="565" t="s">
        <v>169</v>
      </c>
      <c r="BR354" s="381"/>
      <c r="BS354" s="166">
        <f>SUMIF($D$5:$D$319,"=kls",BS5:BS319)*HLOOKUP(BX322,Verteil_sw,11,FALSE)+SUMIF($D$5:$D$319,"=klm",BS5:BS319)*HLOOKUP(BX322,Verteil_sw,12,FALSE)+SUMIF($D$5:$D$319,"=klr",BS5:BS319)*HLOOKUP(BX322,Verteil_sw,13,FALSE)+SUMIF($D$5:$D$319,"=klk",BS5:BS319)*HLOOKUP(BX322,Verteil_sw,14,FALSE)+SUMIF($D$5:$D$319,"=klz",BS5:BS319)*HLOOKUP(BX322,Verteil_sw,15,FALSE)</f>
        <v>0</v>
      </c>
      <c r="BU354" s="166">
        <f>SUMIF($D$5:$D$319,"=kls",BU5:BU319)*HLOOKUP(BX322,Verteil_sw,11,FALSE)+SUMIF($D$5:$D$319,"=klm",BU5:BU319)*HLOOKUP(BX322,Verteil_sw,12,FALSE)+SUMIF($D$5:$D$319,"=klr",BU5:BU319)*HLOOKUP(BX322,Verteil_sw,13,FALSE)+SUMIF($D$5:$D$319,"=klk",BU5:BU319)*HLOOKUP(BX322,Verteil_sw,14,FALSE)+SUMIF($D$5:$D$319,"=klz",BU5:BU319)*HLOOKUP(BX322,Verteil_sw,15,FALSE)</f>
        <v>0</v>
      </c>
      <c r="BW354" s="90">
        <f t="shared" ref="BW354" si="996">IF(BX353&lt;&gt;0,BX354/BX353,0)</f>
        <v>0.92246736681685659</v>
      </c>
      <c r="BX354" s="166">
        <f>ROUND(BZ354*HLOOKUP(BX322,Grund_zins,2,FALSE),2)</f>
        <v>222750.04</v>
      </c>
      <c r="BY354" s="166">
        <f>SUMIF($D$5:$D$319,"=kls",BY5:BY319)*HLOOKUP(BX322,Verteil_sw,11,FALSE)+SUMIF($D$5:$D$319,"=klm",BY5:BY319)*HLOOKUP(BX322,Verteil_sw,12,FALSE)+SUMIF($D$5:$D$319,"=klr",BY5:BY319)*HLOOKUP(BX322,Verteil_sw,13,FALSE)+SUMIF($D$5:$D$319,"=klk",BY5:BY319)*HLOOKUP(BX322,Verteil_sw,14,FALSE)+SUMIF($D$5:$D$319,"=klz",BY5:BY319)*HLOOKUP(BX322,Verteil_sw,15,FALSE)</f>
        <v>412908.27899999998</v>
      </c>
      <c r="BZ354" s="166">
        <f t="shared" si="965"/>
        <v>6364286.8013999993</v>
      </c>
      <c r="CA354" s="166">
        <f>SUMIF($D$5:$D$319,"=kls",CA5:CA319)*HLOOKUP(BX322,Verteil_sw,11,FALSE)+SUMIF($D$5:$D$319,"=klm",CA5:CA319)*HLOOKUP(BX322,Verteil_sw,12,FALSE)+SUMIF($D$5:$D$319,"=klr",CA5:CA319)*HLOOKUP(BX322,Verteil_sw,13,FALSE)+SUMIF($D$5:$D$319,"=klk",CA5:CA319)*HLOOKUP(BX322,Verteil_sw,14,FALSE)+SUMIF($D$5:$D$319,"=klz",CA5:CA319)*HLOOKUP(BX322,Verteil_sw,15,FALSE)</f>
        <v>6157832.6618999997</v>
      </c>
      <c r="CB354" s="90">
        <f t="shared" ref="CB354" si="997">IF(CA353&lt;&gt;0,CA354/CA353,0)</f>
        <v>0.92256873936649952</v>
      </c>
      <c r="CC354" s="565" t="s">
        <v>169</v>
      </c>
      <c r="CE354" s="381"/>
      <c r="CF354" s="166">
        <f>SUMIF($D$5:$D$319,"=kls",CF5:CF319)*HLOOKUP(CK322,Verteil_sw,11,FALSE)+SUMIF($D$5:$D$319,"=klm",CF5:CF319)*HLOOKUP(CK322,Verteil_sw,12,FALSE)+SUMIF($D$5:$D$319,"=klr",CF5:CF319)*HLOOKUP(CK322,Verteil_sw,13,FALSE)+SUMIF($D$5:$D$319,"=klk",CF5:CF319)*HLOOKUP(CK322,Verteil_sw,14,FALSE)+SUMIF($D$5:$D$319,"=klz",CF5:CF319)*HLOOKUP(CK322,Verteil_sw,15,FALSE)</f>
        <v>0</v>
      </c>
      <c r="CH354" s="166">
        <f>SUMIF($D$5:$D$319,"=kls",CH5:CH319)*HLOOKUP(CK322,Verteil_sw,11,FALSE)+SUMIF($D$5:$D$319,"=klm",CH5:CH319)*HLOOKUP(CK322,Verteil_sw,12,FALSE)+SUMIF($D$5:$D$319,"=klr",CH5:CH319)*HLOOKUP(CK322,Verteil_sw,13,FALSE)+SUMIF($D$5:$D$319,"=klk",CH5:CH319)*HLOOKUP(CK322,Verteil_sw,14,FALSE)+SUMIF($D$5:$D$319,"=klz",CH5:CH319)*HLOOKUP(CK322,Verteil_sw,15,FALSE)</f>
        <v>0</v>
      </c>
      <c r="CJ354" s="90">
        <f t="shared" ref="CJ354" si="998">IF(CK353&lt;&gt;0,CK354/CK353,0)</f>
        <v>0.92272146803468702</v>
      </c>
      <c r="CK354" s="166">
        <f>ROUND(CM354*HLOOKUP(CK322,Grund_zins,2,FALSE),2)</f>
        <v>178686.95</v>
      </c>
      <c r="CL354" s="166">
        <f>SUMIF($D$5:$D$319,"=kls",CL5:CL319)*HLOOKUP(CK322,Verteil_sw,11,FALSE)+SUMIF($D$5:$D$319,"=klm",CL5:CL319)*HLOOKUP(CK322,Verteil_sw,12,FALSE)+SUMIF($D$5:$D$319,"=klr",CL5:CL319)*HLOOKUP(CK322,Verteil_sw,13,FALSE)+SUMIF($D$5:$D$319,"=klk",CL5:CL319)*HLOOKUP(CK322,Verteil_sw,14,FALSE)+SUMIF($D$5:$D$319,"=klz",CL5:CL319)*HLOOKUP(CK322,Verteil_sw,15,FALSE)</f>
        <v>403202.29099999997</v>
      </c>
      <c r="CM354" s="166">
        <f t="shared" si="966"/>
        <v>5956231.5163999991</v>
      </c>
      <c r="CN354" s="166">
        <f>SUMIF($D$5:$D$319,"=kls",CN5:CN319)*HLOOKUP(CK322,Verteil_sw,11,FALSE)+SUMIF($D$5:$D$319,"=klm",CN5:CN319)*HLOOKUP(CK322,Verteil_sw,12,FALSE)+SUMIF($D$5:$D$319,"=klr",CN5:CN319)*HLOOKUP(CK322,Verteil_sw,13,FALSE)+SUMIF($D$5:$D$319,"=klk",CN5:CN319)*HLOOKUP(CK322,Verteil_sw,14,FALSE)+SUMIF($D$5:$D$319,"=klz",CN5:CN319)*HLOOKUP(CK322,Verteil_sw,15,FALSE)</f>
        <v>5754630.3708999995</v>
      </c>
      <c r="CO354" s="90">
        <f t="shared" ref="CO354" si="999">IF(CN353&lt;&gt;0,CN354/CN353,0)</f>
        <v>0.92288490555658897</v>
      </c>
      <c r="CP354" s="565" t="s">
        <v>169</v>
      </c>
      <c r="CR354" s="381"/>
      <c r="CS354" s="166">
        <f>SUMIF($D$5:$D$319,"=kls",CS5:CS319)*HLOOKUP(CX322,Verteil_sw,11,FALSE)+SUMIF($D$5:$D$319,"=klm",CS5:CS319)*HLOOKUP(CX322,Verteil_sw,12,FALSE)+SUMIF($D$5:$D$319,"=klr",CS5:CS319)*HLOOKUP(CX322,Verteil_sw,13,FALSE)+SUMIF($D$5:$D$319,"=klk",CS5:CS319)*HLOOKUP(CX322,Verteil_sw,14,FALSE)+SUMIF($D$5:$D$319,"=klz",CS5:CS319)*HLOOKUP(CX322,Verteil_sw,15,FALSE)</f>
        <v>0</v>
      </c>
      <c r="CU354" s="166">
        <f>SUMIF($D$5:$D$319,"=kls",CU5:CU319)*HLOOKUP(CX322,Verteil_sw,11,FALSE)+SUMIF($D$5:$D$319,"=klm",CU5:CU319)*HLOOKUP(CX322,Verteil_sw,12,FALSE)+SUMIF($D$5:$D$319,"=klr",CU5:CU319)*HLOOKUP(CX322,Verteil_sw,13,FALSE)+SUMIF($D$5:$D$319,"=klk",CU5:CU319)*HLOOKUP(CX322,Verteil_sw,14,FALSE)+SUMIF($D$5:$D$319,"=klz",CU5:CU319)*HLOOKUP(CX322,Verteil_sw,15,FALSE)</f>
        <v>0</v>
      </c>
      <c r="CW354" s="90">
        <f t="shared" ref="CW354" si="1000">IF(CX353&lt;&gt;0,CX354/CX353,0)</f>
        <v>0.92297714997922731</v>
      </c>
      <c r="CX354" s="166">
        <f>ROUND(CZ354*HLOOKUP(CX322,Grund_zins,2,FALSE),2)</f>
        <v>166620.45000000001</v>
      </c>
      <c r="CY354" s="166">
        <f>SUMIF($D$5:$D$319,"=kls",CY5:CY319)*HLOOKUP(CX322,Verteil_sw,11,FALSE)+SUMIF($D$5:$D$319,"=klm",CY5:CY319)*HLOOKUP(CX322,Verteil_sw,12,FALSE)+SUMIF($D$5:$D$319,"=klr",CY5:CY319)*HLOOKUP(CX322,Verteil_sw,13,FALSE)+SUMIF($D$5:$D$319,"=klk",CY5:CY319)*HLOOKUP(CX322,Verteil_sw,14,FALSE)+SUMIF($D$5:$D$319,"=klz",CY5:CY319)*HLOOKUP(CX322,Verteil_sw,15,FALSE)</f>
        <v>401230.87099999998</v>
      </c>
      <c r="CZ354" s="166">
        <f t="shared" si="967"/>
        <v>5554014.9353999998</v>
      </c>
      <c r="DA354" s="166">
        <f>SUMIF($D$5:$D$319,"=kls",DA5:DA319)*HLOOKUP(CX322,Verteil_sw,11,FALSE)+SUMIF($D$5:$D$319,"=klm",DA5:DA319)*HLOOKUP(CX322,Verteil_sw,12,FALSE)+SUMIF($D$5:$D$319,"=klr",DA5:DA319)*HLOOKUP(CX322,Verteil_sw,13,FALSE)+SUMIF($D$5:$D$319,"=klk",DA5:DA319)*HLOOKUP(CX322,Verteil_sw,14,FALSE)+SUMIF($D$5:$D$319,"=klz",DA5:DA319)*HLOOKUP(CX322,Verteil_sw,15,FALSE)</f>
        <v>5353399.4999000002</v>
      </c>
      <c r="DB354" s="90">
        <f t="shared" ref="DB354" si="1001">IF(DA353&lt;&gt;0,DA354/DA353,0)</f>
        <v>0.92307630629776261</v>
      </c>
      <c r="DC354" s="565" t="s">
        <v>169</v>
      </c>
      <c r="DE354" s="381"/>
      <c r="DF354" s="166">
        <f>SUMIF($D$5:$D$319,"=kls",DF5:DF319)*HLOOKUP(DK322,Verteil_sw,11,FALSE)+SUMIF($D$5:$D$319,"=klm",DF5:DF319)*HLOOKUP(DK322,Verteil_sw,12,FALSE)+SUMIF($D$5:$D$319,"=klr",DF5:DF319)*HLOOKUP(DK322,Verteil_sw,13,FALSE)+SUMIF($D$5:$D$319,"=klk",DF5:DF319)*HLOOKUP(DK322,Verteil_sw,14,FALSE)+SUMIF($D$5:$D$319,"=klz",DF5:DF319)*HLOOKUP(DK322,Verteil_sw,15,FALSE)</f>
        <v>0</v>
      </c>
      <c r="DH354" s="166">
        <f>SUMIF($D$5:$D$319,"=kls",DH5:DH319)*HLOOKUP(DK322,Verteil_sw,11,FALSE)+SUMIF($D$5:$D$319,"=klm",DH5:DH319)*HLOOKUP(DK322,Verteil_sw,12,FALSE)+SUMIF($D$5:$D$319,"=klr",DH5:DH319)*HLOOKUP(DK322,Verteil_sw,13,FALSE)+SUMIF($D$5:$D$319,"=klk",DH5:DH319)*HLOOKUP(DK322,Verteil_sw,14,FALSE)+SUMIF($D$5:$D$319,"=klz",DH5:DH319)*HLOOKUP(DK322,Verteil_sw,15,FALSE)</f>
        <v>0</v>
      </c>
      <c r="DJ354" s="90">
        <f t="shared" ref="DJ354" si="1002">IF(DK353&lt;&gt;0,DK354/DK353,0)</f>
        <v>0.92389510816977327</v>
      </c>
      <c r="DK354" s="166">
        <f>ROUND(DM354*HLOOKUP(DK322,Grund_zins,2,FALSE),2)</f>
        <v>157639.88</v>
      </c>
      <c r="DL354" s="166">
        <f>SUMIF($D$5:$D$319,"=kls",DL5:DL319)*HLOOKUP(DK322,Verteil_sw,11,FALSE)+SUMIF($D$5:$D$319,"=klm",DL5:DL319)*HLOOKUP(DK322,Verteil_sw,12,FALSE)+SUMIF($D$5:$D$319,"=klr",DL5:DL319)*HLOOKUP(DK322,Verteil_sw,13,FALSE)+SUMIF($D$5:$D$319,"=klk",DL5:DL319)*HLOOKUP(DK322,Verteil_sw,14,FALSE)+SUMIF($D$5:$D$319,"=klz",DL5:DL319)*HLOOKUP(DK322,Verteil_sw,15,FALSE)</f>
        <v>197473.891</v>
      </c>
      <c r="DM354" s="166">
        <f t="shared" si="968"/>
        <v>5254662.5544000007</v>
      </c>
      <c r="DN354" s="166">
        <f>SUMIF($D$5:$D$319,"=kls",DN5:DN319)*HLOOKUP(DK322,Verteil_sw,11,FALSE)+SUMIF($D$5:$D$319,"=klm",DN5:DN319)*HLOOKUP(DK322,Verteil_sw,12,FALSE)+SUMIF($D$5:$D$319,"=klr",DN5:DN319)*HLOOKUP(DK322,Verteil_sw,13,FALSE)+SUMIF($D$5:$D$319,"=klk",DN5:DN319)*HLOOKUP(DK322,Verteil_sw,14,FALSE)+SUMIF($D$5:$D$319,"=klz",DN5:DN319)*HLOOKUP(DK322,Verteil_sw,15,FALSE)</f>
        <v>5155925.6089000003</v>
      </c>
      <c r="DO354" s="90">
        <f t="shared" ref="DO354" si="1003">IF(DN353&lt;&gt;0,DN354/DN353,0)</f>
        <v>0.92474676870235861</v>
      </c>
      <c r="DP354" s="565" t="s">
        <v>169</v>
      </c>
      <c r="DR354" s="381"/>
      <c r="DS354" s="166">
        <f>SUMIF($D$5:$D$319,"=kls",DS5:DS319)*HLOOKUP(DX322,Verteil_sw,11,FALSE)+SUMIF($D$5:$D$319,"=klm",DS5:DS319)*HLOOKUP(DX322,Verteil_sw,12,FALSE)+SUMIF($D$5:$D$319,"=klr",DS5:DS319)*HLOOKUP(DX322,Verteil_sw,13,FALSE)+SUMIF($D$5:$D$319,"=klk",DS5:DS319)*HLOOKUP(DX322,Verteil_sw,14,FALSE)+SUMIF($D$5:$D$319,"=klz",DS5:DS319)*HLOOKUP(DX322,Verteil_sw,15,FALSE)</f>
        <v>0</v>
      </c>
      <c r="DU354" s="166">
        <f>SUMIF($D$5:$D$319,"=kls",DU5:DU319)*HLOOKUP(DX322,Verteil_sw,11,FALSE)+SUMIF($D$5:$D$319,"=klm",DU5:DU319)*HLOOKUP(DX322,Verteil_sw,12,FALSE)+SUMIF($D$5:$D$319,"=klr",DU5:DU319)*HLOOKUP(DX322,Verteil_sw,13,FALSE)+SUMIF($D$5:$D$319,"=klk",DU5:DU319)*HLOOKUP(DX322,Verteil_sw,14,FALSE)+SUMIF($D$5:$D$319,"=klz",DU5:DU319)*HLOOKUP(DX322,Verteil_sw,15,FALSE)</f>
        <v>0</v>
      </c>
      <c r="DW354" s="90">
        <f t="shared" ref="DW354" si="1004">IF(DX353&lt;&gt;0,DX354/DX353,0)</f>
        <v>0.92552481328670222</v>
      </c>
      <c r="DX354" s="166">
        <f>ROUND(DZ354*HLOOKUP(DX322,Grund_zins,2,FALSE),2)</f>
        <v>151954.70000000001</v>
      </c>
      <c r="DY354" s="166">
        <f>SUMIF($D$5:$D$319,"=kls",DY5:DY319)*HLOOKUP(DX322,Verteil_sw,11,FALSE)+SUMIF($D$5:$D$319,"=klm",DY5:DY319)*HLOOKUP(DX322,Verteil_sw,12,FALSE)+SUMIF($D$5:$D$319,"=klr",DY5:DY319)*HLOOKUP(DX322,Verteil_sw,13,FALSE)+SUMIF($D$5:$D$319,"=klk",DY5:DY319)*HLOOKUP(DX322,Verteil_sw,14,FALSE)+SUMIF($D$5:$D$319,"=klz",DY5:DY319)*HLOOKUP(DX322,Verteil_sw,15,FALSE)</f>
        <v>181537.62099999998</v>
      </c>
      <c r="DZ354" s="166">
        <f t="shared" si="969"/>
        <v>5065156.7983999997</v>
      </c>
      <c r="EA354" s="166">
        <f>SUMIF($D$5:$D$319,"=kls",EA5:EA319)*HLOOKUP(DX322,Verteil_sw,11,FALSE)+SUMIF($D$5:$D$319,"=klm",EA5:EA319)*HLOOKUP(DX322,Verteil_sw,12,FALSE)+SUMIF($D$5:$D$319,"=klr",EA5:EA319)*HLOOKUP(DX322,Verteil_sw,13,FALSE)+SUMIF($D$5:$D$319,"=klk",EA5:EA319)*HLOOKUP(DX322,Verteil_sw,14,FALSE)+SUMIF($D$5:$D$319,"=klz",EA5:EA319)*HLOOKUP(DX322,Verteil_sw,15,FALSE)</f>
        <v>4974387.9879000001</v>
      </c>
      <c r="EB354" s="90">
        <f t="shared" ref="EB354" si="1005">IF(EA353&lt;&gt;0,EA354/EA353,0)</f>
        <v>0.92633268427442939</v>
      </c>
      <c r="EC354" s="565" t="s">
        <v>169</v>
      </c>
    </row>
    <row r="355" spans="1:133" s="10" customFormat="1" ht="15" customHeight="1" x14ac:dyDescent="0.35">
      <c r="A355" s="565" t="s">
        <v>178</v>
      </c>
      <c r="Q355" s="225">
        <v>34</v>
      </c>
      <c r="R355" s="381"/>
      <c r="S355" s="166">
        <f>SUMIF($D$5:$D$319,"=kls",S5:S319)*HLOOKUP(X322,Verteil_rwgr,10,FALSE)+SUMIF($D$5:$D$319,"=klm",S5:S319)*HLOOKUP(X322,Verteil_rwgr,11,FALSE)+SUMIF($D$5:$D$319,"=klr",S5:S319)*HLOOKUP(X322,Verteil_rwgr,12,FALSE)+SUMIF($D$5:$D$319,"=klk",S5:S319)*HLOOKUP(X322,Verteil_rwgr,13,FALSE)+SUMIF($D$5:$D$319,"=klz",S5:S319)*HLOOKUP(X322,Verteil_rwgr,14,FALSE)</f>
        <v>0</v>
      </c>
      <c r="U355" s="166">
        <f>SUMIF($D$5:$D$319,"=kls",U5:U319)*HLOOKUP(X322,Verteil_rwgr,10,FALSE)+SUMIF($D$5:$D$319,"=klm",U5:U319)*HLOOKUP(X322,Verteil_rwgr,11,FALSE)+SUMIF($D$5:$D$319,"=klr",U5:U319)*HLOOKUP(X322,Verteil_rwgr,12,FALSE)+SUMIF($D$5:$D$319,"=klk",U5:U319)*HLOOKUP(X322,Verteil_rwgr,13,FALSE)+SUMIF($D$5:$D$319,"=klz",U5:U319)*HLOOKUP(X322,Verteil_rwgr,14,FALSE)</f>
        <v>0</v>
      </c>
      <c r="W355" s="90">
        <f t="shared" ref="W355" si="1006">IF(X353&lt;&gt;0,X355/X353,0)</f>
        <v>3.8982826685811212E-2</v>
      </c>
      <c r="X355" s="166">
        <f>ROUND(Z355*HLOOKUP(X322,Grund_zins,2,FALSE),2)</f>
        <v>11919.86</v>
      </c>
      <c r="Y355" s="166">
        <f>SUMIF($D$5:$D$319,"=kls",Y5:Y319)*HLOOKUP(X322,Verteil_rwgr,10,FALSE)+SUMIF($D$5:$D$319,"=klm",Y5:Y319)*HLOOKUP(X322,Verteil_rwgr,11,FALSE)+SUMIF($D$5:$D$319,"=klr",Y5:Y319)*HLOOKUP(X322,Verteil_rwgr,12,FALSE)+SUMIF($D$5:$D$319,"=klk",Y5:Y319)*HLOOKUP(X322,Verteil_rwgr,13,FALSE)+SUMIF($D$5:$D$319,"=klz",Y5:Y319)*HLOOKUP(X322,Verteil_rwgr,14,FALSE)</f>
        <v>18518.923000000003</v>
      </c>
      <c r="Z355" s="166">
        <f t="shared" si="961"/>
        <v>340567.42804999999</v>
      </c>
      <c r="AA355" s="166">
        <f>SUMIF($D$5:$D$319,"=kls",AA5:AA319)*HLOOKUP(X322,Verteil_rwgr,10,FALSE)+SUMIF($D$5:$D$319,"=klm",AA5:AA319)*HLOOKUP(X322,Verteil_rwgr,11,FALSE)+SUMIF($D$5:$D$319,"=klr",AA5:AA319)*HLOOKUP(X322,Verteil_rwgr,12,FALSE)+SUMIF($D$5:$D$319,"=klk",AA5:AA319)*HLOOKUP(X322,Verteil_rwgr,13,FALSE)+SUMIF($D$5:$D$319,"=klz",AA5:AA319)*HLOOKUP(X322,Verteil_rwgr,14,FALSE)</f>
        <v>331307.96655000001</v>
      </c>
      <c r="AB355" s="90">
        <f t="shared" ref="AB355" si="1007">IF(AA353&lt;&gt;0,AA355/AA353,0)</f>
        <v>3.8957104303286638E-2</v>
      </c>
      <c r="AC355" s="565" t="s">
        <v>178</v>
      </c>
      <c r="AE355" s="381"/>
      <c r="AF355" s="166">
        <f>SUMIF($D$5:$D$319,"=kls",AF5:AF319)*HLOOKUP(AK322,Verteil_rwgr,10,FALSE)+SUMIF($D$5:$D$319,"=klm",AF5:AF319)*HLOOKUP(AK322,Verteil_rwgr,11,FALSE)+SUMIF($D$5:$D$319,"=klr",AF5:AF319)*HLOOKUP(AK322,Verteil_rwgr,12,FALSE)+SUMIF($D$5:$D$319,"=klk",AF5:AF319)*HLOOKUP(AK322,Verteil_rwgr,13,FALSE)+SUMIF($D$5:$D$319,"=klz",AF5:AF319)*HLOOKUP(AK322,Verteil_rwgr,14,FALSE)</f>
        <v>0</v>
      </c>
      <c r="AH355" s="166">
        <f>SUMIF($D$5:$D$319,"=kls",AH5:AH319)*HLOOKUP(AK322,Verteil_rwgr,10,FALSE)+SUMIF($D$5:$D$319,"=klm",AH5:AH319)*HLOOKUP(AK322,Verteil_rwgr,11,FALSE)+SUMIF($D$5:$D$319,"=klr",AH5:AH319)*HLOOKUP(AK322,Verteil_rwgr,12,FALSE)+SUMIF($D$5:$D$319,"=klk",AH5:AH319)*HLOOKUP(AK322,Verteil_rwgr,13,FALSE)+SUMIF($D$5:$D$319,"=klz",AH5:AH319)*HLOOKUP(AK322,Verteil_rwgr,14,FALSE)</f>
        <v>0</v>
      </c>
      <c r="AJ355" s="90">
        <f t="shared" ref="AJ355" si="1008">IF(AK353&lt;&gt;0,AK355/AK353,0)</f>
        <v>3.8934036741044585E-2</v>
      </c>
      <c r="AK355" s="166">
        <f>ROUND(AM355*HLOOKUP(AK322,Grund_zins,2,FALSE),2)</f>
        <v>11274.4</v>
      </c>
      <c r="AL355" s="166">
        <f>SUMIF($D$5:$D$319,"=kls",AL5:AL319)*HLOOKUP(AK322,Verteil_rwgr,10,FALSE)+SUMIF($D$5:$D$319,"=klm",AL5:AL319)*HLOOKUP(AK322,Verteil_rwgr,11,FALSE)+SUMIF($D$5:$D$319,"=klr",AL5:AL319)*HLOOKUP(AK322,Verteil_rwgr,12,FALSE)+SUMIF($D$5:$D$319,"=klk",AL5:AL319)*HLOOKUP(AK322,Verteil_rwgr,13,FALSE)+SUMIF($D$5:$D$319,"=klz",AL5:AL319)*HLOOKUP(AK322,Verteil_rwgr,14,FALSE)</f>
        <v>18364.75275</v>
      </c>
      <c r="AM355" s="166">
        <f t="shared" si="962"/>
        <v>322125.59017500002</v>
      </c>
      <c r="AN355" s="166">
        <f>SUMIF($D$5:$D$319,"=kls",AN5:AN319)*HLOOKUP(AK322,Verteil_rwgr,10,FALSE)+SUMIF($D$5:$D$319,"=klm",AN5:AN319)*HLOOKUP(AK322,Verteil_rwgr,11,FALSE)+SUMIF($D$5:$D$319,"=klr",AN5:AN319)*HLOOKUP(AK322,Verteil_rwgr,12,FALSE)+SUMIF($D$5:$D$319,"=klk",AN5:AN319)*HLOOKUP(AK322,Verteil_rwgr,13,FALSE)+SUMIF($D$5:$D$319,"=klz",AN5:AN319)*HLOOKUP(AK322,Verteil_rwgr,14,FALSE)</f>
        <v>312943.21380000003</v>
      </c>
      <c r="AO355" s="90">
        <f t="shared" ref="AO355" si="1009">IF(AN353&lt;&gt;0,AN355/AN353,0)</f>
        <v>3.8909613699166651E-2</v>
      </c>
      <c r="AP355" s="565" t="s">
        <v>178</v>
      </c>
      <c r="AR355" s="381"/>
      <c r="AS355" s="166">
        <f>SUMIF($D$5:$D$319,"=kls",AS5:AS319)*HLOOKUP(AX322,Verteil_rwgr,10,FALSE)+SUMIF($D$5:$D$319,"=klm",AS5:AS319)*HLOOKUP(AX322,Verteil_rwgr,11,FALSE)+SUMIF($D$5:$D$319,"=klr",AS5:AS319)*HLOOKUP(AX322,Verteil_rwgr,12,FALSE)+SUMIF($D$5:$D$319,"=klk",AS5:AS319)*HLOOKUP(AX322,Verteil_rwgr,13,FALSE)+SUMIF($D$5:$D$319,"=klz",AS5:AS319)*HLOOKUP(AX322,Verteil_rwgr,14,FALSE)</f>
        <v>0</v>
      </c>
      <c r="AU355" s="166">
        <f>SUMIF($D$5:$D$319,"=kls",AU5:AU319)*HLOOKUP(AX322,Verteil_rwgr,10,FALSE)+SUMIF($D$5:$D$319,"=klm",AU5:AU319)*HLOOKUP(AX322,Verteil_rwgr,11,FALSE)+SUMIF($D$5:$D$319,"=klr",AU5:AU319)*HLOOKUP(AX322,Verteil_rwgr,12,FALSE)+SUMIF($D$5:$D$319,"=klk",AU5:AU319)*HLOOKUP(AX322,Verteil_rwgr,13,FALSE)+SUMIF($D$5:$D$319,"=klz",AU5:AU319)*HLOOKUP(AX322,Verteil_rwgr,14,FALSE)</f>
        <v>0</v>
      </c>
      <c r="AW355" s="90">
        <f t="shared" ref="AW355" si="1010">IF(AX353&lt;&gt;0,AX355/AX353,0)</f>
        <v>3.8886688991038268E-2</v>
      </c>
      <c r="AX355" s="166">
        <f>ROUND(AZ355*HLOOKUP(AX322,Grund_zins,2,FALSE),2)</f>
        <v>10633.45</v>
      </c>
      <c r="AY355" s="166">
        <f>SUMIF($D$5:$D$319,"=kls",AY5:AY319)*HLOOKUP(AX322,Verteil_rwgr,10,FALSE)+SUMIF($D$5:$D$319,"=klm",AY5:AY319)*HLOOKUP(AX322,Verteil_rwgr,11,FALSE)+SUMIF($D$5:$D$319,"=klr",AY5:AY319)*HLOOKUP(AX322,Verteil_rwgr,12,FALSE)+SUMIF($D$5:$D$319,"=klk",AY5:AY319)*HLOOKUP(AX322,Verteil_rwgr,13,FALSE)+SUMIF($D$5:$D$319,"=klz",AY5:AY319)*HLOOKUP(AX322,Verteil_rwgr,14,FALSE)</f>
        <v>18260.817750000002</v>
      </c>
      <c r="AZ355" s="166">
        <f t="shared" si="963"/>
        <v>303812.804925</v>
      </c>
      <c r="BA355" s="166">
        <f>SUMIF($D$5:$D$319,"=kls",BA5:BA319)*HLOOKUP(AX322,Verteil_rwgr,10,FALSE)+SUMIF($D$5:$D$319,"=klm",BA5:BA319)*HLOOKUP(AX322,Verteil_rwgr,11,FALSE)+SUMIF($D$5:$D$319,"=klr",BA5:BA319)*HLOOKUP(AX322,Verteil_rwgr,12,FALSE)+SUMIF($D$5:$D$319,"=klk",BA5:BA319)*HLOOKUP(AX322,Verteil_rwgr,13,FALSE)+SUMIF($D$5:$D$319,"=klz",BA5:BA319)*HLOOKUP(AX322,Verteil_rwgr,14,FALSE)</f>
        <v>294682.39604999998</v>
      </c>
      <c r="BB355" s="90">
        <f t="shared" ref="BB355" si="1011">IF(BA353&lt;&gt;0,BA355/BA353,0)</f>
        <v>3.8862360215067941E-2</v>
      </c>
      <c r="BC355" s="565" t="s">
        <v>178</v>
      </c>
      <c r="BE355" s="381"/>
      <c r="BF355" s="166">
        <f>SUMIF($D$5:$D$319,"=kls",BF5:BF319)*HLOOKUP(BK322,Verteil_rwgr,10,FALSE)+SUMIF($D$5:$D$319,"=klm",BF5:BF319)*HLOOKUP(BK322,Verteil_rwgr,11,FALSE)+SUMIF($D$5:$D$319,"=klr",BF5:BF319)*HLOOKUP(BK322,Verteil_rwgr,12,FALSE)+SUMIF($D$5:$D$319,"=klk",BF5:BF319)*HLOOKUP(BK322,Verteil_rwgr,13,FALSE)+SUMIF($D$5:$D$319,"=klz",BF5:BF319)*HLOOKUP(BK322,Verteil_rwgr,14,FALSE)</f>
        <v>0</v>
      </c>
      <c r="BH355" s="166">
        <f>SUMIF($D$5:$D$319,"=kls",BH5:BH319)*HLOOKUP(BK322,Verteil_rwgr,10,FALSE)+SUMIF($D$5:$D$319,"=klm",BH5:BH319)*HLOOKUP(BK322,Verteil_rwgr,11,FALSE)+SUMIF($D$5:$D$319,"=klr",BH5:BH319)*HLOOKUP(BK322,Verteil_rwgr,12,FALSE)+SUMIF($D$5:$D$319,"=klk",BH5:BH319)*HLOOKUP(BK322,Verteil_rwgr,13,FALSE)+SUMIF($D$5:$D$319,"=klz",BH5:BH319)*HLOOKUP(BK322,Verteil_rwgr,14,FALSE)</f>
        <v>0</v>
      </c>
      <c r="BJ355" s="90">
        <f t="shared" ref="BJ355" si="1012">IF(BK353&lt;&gt;0,BK355/BK353,0)</f>
        <v>3.8838830982147597E-2</v>
      </c>
      <c r="BK355" s="166">
        <f>ROUND(BM355*HLOOKUP(BK322,Grund_zins,2,FALSE),2)</f>
        <v>9995.68</v>
      </c>
      <c r="BL355" s="166">
        <f>SUMIF($D$5:$D$319,"=kls",BL5:BL319)*HLOOKUP(BK322,Verteil_rwgr,10,FALSE)+SUMIF($D$5:$D$319,"=klm",BL5:BL319)*HLOOKUP(BK322,Verteil_rwgr,11,FALSE)+SUMIF($D$5:$D$319,"=klr",BL5:BL319)*HLOOKUP(BK322,Verteil_rwgr,12,FALSE)+SUMIF($D$5:$D$319,"=klk",BL5:BL319)*HLOOKUP(BK322,Verteil_rwgr,13,FALSE)+SUMIF($D$5:$D$319,"=klz",BL5:BL319)*HLOOKUP(BK322,Verteil_rwgr,14,FALSE)</f>
        <v>18182.8665</v>
      </c>
      <c r="BM355" s="166">
        <f t="shared" si="964"/>
        <v>285590.96279999998</v>
      </c>
      <c r="BN355" s="166">
        <f>SUMIF($D$5:$D$319,"=kls",BN5:BN319)*HLOOKUP(BK322,Verteil_rwgr,10,FALSE)+SUMIF($D$5:$D$319,"=klm",BN5:BN319)*HLOOKUP(BK322,Verteil_rwgr,11,FALSE)+SUMIF($D$5:$D$319,"=klr",BN5:BN319)*HLOOKUP(BK322,Verteil_rwgr,12,FALSE)+SUMIF($D$5:$D$319,"=klk",BN5:BN319)*HLOOKUP(BK322,Verteil_rwgr,13,FALSE)+SUMIF($D$5:$D$319,"=klz",BN5:BN319)*HLOOKUP(BK322,Verteil_rwgr,14,FALSE)</f>
        <v>276499.52954999998</v>
      </c>
      <c r="BO355" s="90">
        <f t="shared" ref="BO355" si="1013">IF(BN353&lt;&gt;0,BN355/BN353,0)</f>
        <v>3.8813815432623869E-2</v>
      </c>
      <c r="BP355" s="565" t="s">
        <v>178</v>
      </c>
      <c r="BR355" s="381"/>
      <c r="BS355" s="166">
        <f>SUMIF($D$5:$D$319,"=kls",BS5:BS319)*HLOOKUP(BX322,Verteil_rwgr,10,FALSE)+SUMIF($D$5:$D$319,"=klm",BS5:BS319)*HLOOKUP(BX322,Verteil_rwgr,11,FALSE)+SUMIF($D$5:$D$319,"=klr",BS5:BS319)*HLOOKUP(BX322,Verteil_rwgr,12,FALSE)+SUMIF($D$5:$D$319,"=klk",BS5:BS319)*HLOOKUP(BX322,Verteil_rwgr,13,FALSE)+SUMIF($D$5:$D$319,"=klz",BS5:BS319)*HLOOKUP(BX322,Verteil_rwgr,14,FALSE)</f>
        <v>0</v>
      </c>
      <c r="BU355" s="166">
        <f>SUMIF($D$5:$D$319,"=kls",BU5:BU319)*HLOOKUP(BX322,Verteil_rwgr,10,FALSE)+SUMIF($D$5:$D$319,"=klm",BU5:BU319)*HLOOKUP(BX322,Verteil_rwgr,11,FALSE)+SUMIF($D$5:$D$319,"=klr",BU5:BU319)*HLOOKUP(BX322,Verteil_rwgr,12,FALSE)+SUMIF($D$5:$D$319,"=klk",BU5:BU319)*HLOOKUP(BX322,Verteil_rwgr,13,FALSE)+SUMIF($D$5:$D$319,"=klz",BU5:BU319)*HLOOKUP(BX322,Verteil_rwgr,14,FALSE)</f>
        <v>0</v>
      </c>
      <c r="BW355" s="90">
        <f t="shared" ref="BW355" si="1014">IF(BX353&lt;&gt;0,BX355/BX353,0)</f>
        <v>3.876631659157169E-2</v>
      </c>
      <c r="BX355" s="166">
        <f>ROUND(BZ355*HLOOKUP(BX322,Grund_zins,2,FALSE),2)</f>
        <v>9360.98</v>
      </c>
      <c r="BY355" s="166">
        <f>SUMIF($D$5:$D$319,"=kls",BY5:BY319)*HLOOKUP(BX322,Verteil_rwgr,10,FALSE)+SUMIF($D$5:$D$319,"=klm",BY5:BY319)*HLOOKUP(BX322,Verteil_rwgr,11,FALSE)+SUMIF($D$5:$D$319,"=klr",BY5:BY319)*HLOOKUP(BX322,Verteil_rwgr,12,FALSE)+SUMIF($D$5:$D$319,"=klk",BY5:BY319)*HLOOKUP(BX322,Verteil_rwgr,13,FALSE)+SUMIF($D$5:$D$319,"=klz",BY5:BY319)*HLOOKUP(BX322,Verteil_rwgr,14,FALSE)</f>
        <v>18085.860500000003</v>
      </c>
      <c r="BZ355" s="166">
        <f t="shared" si="965"/>
        <v>267456.5993</v>
      </c>
      <c r="CA355" s="166">
        <f>SUMIF($D$5:$D$319,"=kls",CA5:CA319)*HLOOKUP(BX322,Verteil_rwgr,10,FALSE)+SUMIF($D$5:$D$319,"=klm",CA5:CA319)*HLOOKUP(BX322,Verteil_rwgr,11,FALSE)+SUMIF($D$5:$D$319,"=klr",CA5:CA319)*HLOOKUP(BX322,Verteil_rwgr,12,FALSE)+SUMIF($D$5:$D$319,"=klk",CA5:CA319)*HLOOKUP(BX322,Verteil_rwgr,13,FALSE)+SUMIF($D$5:$D$319,"=klz",CA5:CA319)*HLOOKUP(BX322,Verteil_rwgr,14,FALSE)</f>
        <v>258413.66905000003</v>
      </c>
      <c r="CB355" s="90">
        <f t="shared" ref="CB355" si="1015">IF(CA353&lt;&gt;0,CA355/CA353,0)</f>
        <v>3.8715630316750217E-2</v>
      </c>
      <c r="CC355" s="565" t="s">
        <v>178</v>
      </c>
      <c r="CE355" s="381"/>
      <c r="CF355" s="166">
        <f>SUMIF($D$5:$D$319,"=kls",CF5:CF319)*HLOOKUP(CK322,Verteil_rwgr,10,FALSE)+SUMIF($D$5:$D$319,"=klm",CF5:CF319)*HLOOKUP(CK322,Verteil_rwgr,11,FALSE)+SUMIF($D$5:$D$319,"=klr",CF5:CF319)*HLOOKUP(CK322,Verteil_rwgr,12,FALSE)+SUMIF($D$5:$D$319,"=klk",CF5:CF319)*HLOOKUP(CK322,Verteil_rwgr,13,FALSE)+SUMIF($D$5:$D$319,"=klz",CF5:CF319)*HLOOKUP(CK322,Verteil_rwgr,14,FALSE)</f>
        <v>0</v>
      </c>
      <c r="CH355" s="166">
        <f>SUMIF($D$5:$D$319,"=kls",CH5:CH319)*HLOOKUP(CK322,Verteil_rwgr,10,FALSE)+SUMIF($D$5:$D$319,"=klm",CH5:CH319)*HLOOKUP(CK322,Verteil_rwgr,11,FALSE)+SUMIF($D$5:$D$319,"=klr",CH5:CH319)*HLOOKUP(CK322,Verteil_rwgr,12,FALSE)+SUMIF($D$5:$D$319,"=klk",CH5:CH319)*HLOOKUP(CK322,Verteil_rwgr,13,FALSE)+SUMIF($D$5:$D$319,"=klz",CH5:CH319)*HLOOKUP(CK322,Verteil_rwgr,14,FALSE)</f>
        <v>0</v>
      </c>
      <c r="CJ355" s="90">
        <f t="shared" ref="CJ355" si="1016">IF(CK353&lt;&gt;0,CK355/CK353,0)</f>
        <v>3.8639291802154481E-2</v>
      </c>
      <c r="CK355" s="166">
        <f>ROUND(CM355*HLOOKUP(CK322,Grund_zins,2,FALSE),2)</f>
        <v>7482.58</v>
      </c>
      <c r="CL355" s="166">
        <f>SUMIF($D$5:$D$319,"=kls",CL5:CL319)*HLOOKUP(CK322,Verteil_rwgr,10,FALSE)+SUMIF($D$5:$D$319,"=klm",CL5:CL319)*HLOOKUP(CK322,Verteil_rwgr,11,FALSE)+SUMIF($D$5:$D$319,"=klr",CL5:CL319)*HLOOKUP(CK322,Verteil_rwgr,12,FALSE)+SUMIF($D$5:$D$319,"=klk",CL5:CL319)*HLOOKUP(CK322,Verteil_rwgr,13,FALSE)+SUMIF($D$5:$D$319,"=klz",CL5:CL319)*HLOOKUP(CK322,Verteil_rwgr,14,FALSE)</f>
        <v>17988.854500000001</v>
      </c>
      <c r="CM355" s="166">
        <f t="shared" si="966"/>
        <v>249419.24180000002</v>
      </c>
      <c r="CN355" s="166">
        <f>SUMIF($D$5:$D$319,"=kls",CN5:CN319)*HLOOKUP(CK322,Verteil_rwgr,10,FALSE)+SUMIF($D$5:$D$319,"=klm",CN5:CN319)*HLOOKUP(CK322,Verteil_rwgr,11,FALSE)+SUMIF($D$5:$D$319,"=klr",CN5:CN319)*HLOOKUP(CK322,Verteil_rwgr,12,FALSE)+SUMIF($D$5:$D$319,"=klk",CN5:CN319)*HLOOKUP(CK322,Verteil_rwgr,13,FALSE)+SUMIF($D$5:$D$319,"=klz",CN5:CN319)*HLOOKUP(CK322,Verteil_rwgr,14,FALSE)</f>
        <v>240424.81455000001</v>
      </c>
      <c r="CO355" s="90">
        <f t="shared" ref="CO355" si="1017">IF(CN353&lt;&gt;0,CN355/CN353,0)</f>
        <v>3.8557547221705471E-2</v>
      </c>
      <c r="CP355" s="565" t="s">
        <v>178</v>
      </c>
      <c r="CR355" s="381"/>
      <c r="CS355" s="166">
        <f>SUMIF($D$5:$D$319,"=kls",CS5:CS319)*HLOOKUP(CX322,Verteil_rwgr,10,FALSE)+SUMIF($D$5:$D$319,"=klm",CS5:CS319)*HLOOKUP(CX322,Verteil_rwgr,11,FALSE)+SUMIF($D$5:$D$319,"=klr",CS5:CS319)*HLOOKUP(CX322,Verteil_rwgr,12,FALSE)+SUMIF($D$5:$D$319,"=klk",CS5:CS319)*HLOOKUP(CX322,Verteil_rwgr,13,FALSE)+SUMIF($D$5:$D$319,"=klz",CS5:CS319)*HLOOKUP(CX322,Verteil_rwgr,14,FALSE)</f>
        <v>0</v>
      </c>
      <c r="CU355" s="166">
        <f>SUMIF($D$5:$D$319,"=kls",CU5:CU319)*HLOOKUP(CX322,Verteil_rwgr,10,FALSE)+SUMIF($D$5:$D$319,"=klm",CU5:CU319)*HLOOKUP(CX322,Verteil_rwgr,11,FALSE)+SUMIF($D$5:$D$319,"=klr",CU5:CU319)*HLOOKUP(CX322,Verteil_rwgr,12,FALSE)+SUMIF($D$5:$D$319,"=klk",CU5:CU319)*HLOOKUP(CX322,Verteil_rwgr,13,FALSE)+SUMIF($D$5:$D$319,"=klz",CU5:CU319)*HLOOKUP(CX322,Verteil_rwgr,14,FALSE)</f>
        <v>0</v>
      </c>
      <c r="CW355" s="90">
        <f t="shared" ref="CW355" si="1018">IF(CX353&lt;&gt;0,CX355/CX353,0)</f>
        <v>3.8511452707381245E-2</v>
      </c>
      <c r="CX355" s="166">
        <f>ROUND(CZ355*HLOOKUP(CX322,Grund_zins,2,FALSE),2)</f>
        <v>6952.28</v>
      </c>
      <c r="CY355" s="166">
        <f>SUMIF($D$5:$D$319,"=kls",CY5:CY319)*HLOOKUP(CX322,Verteil_rwgr,10,FALSE)+SUMIF($D$5:$D$319,"=klm",CY5:CY319)*HLOOKUP(CX322,Verteil_rwgr,11,FALSE)+SUMIF($D$5:$D$319,"=klr",CY5:CY319)*HLOOKUP(CX322,Verteil_rwgr,12,FALSE)+SUMIF($D$5:$D$319,"=klk",CY5:CY319)*HLOOKUP(CX322,Verteil_rwgr,13,FALSE)+SUMIF($D$5:$D$319,"=klz",CY5:CY319)*HLOOKUP(CX322,Verteil_rwgr,14,FALSE)</f>
        <v>17364.5645</v>
      </c>
      <c r="CZ355" s="166">
        <f t="shared" si="967"/>
        <v>231742.53229999999</v>
      </c>
      <c r="DA355" s="166">
        <f>SUMIF($D$5:$D$319,"=kls",DA5:DA319)*HLOOKUP(CX322,Verteil_rwgr,10,FALSE)+SUMIF($D$5:$D$319,"=klm",DA5:DA319)*HLOOKUP(CX322,Verteil_rwgr,11,FALSE)+SUMIF($D$5:$D$319,"=klr",DA5:DA319)*HLOOKUP(CX322,Verteil_rwgr,12,FALSE)+SUMIF($D$5:$D$319,"=klk",DA5:DA319)*HLOOKUP(CX322,Verteil_rwgr,13,FALSE)+SUMIF($D$5:$D$319,"=klz",DA5:DA319)*HLOOKUP(CX322,Verteil_rwgr,14,FALSE)</f>
        <v>223060.25005</v>
      </c>
      <c r="DB355" s="90">
        <f t="shared" ref="DB355" si="1019">IF(DA353&lt;&gt;0,DA355/DA353,0)</f>
        <v>3.8461846851118711E-2</v>
      </c>
      <c r="DC355" s="565" t="s">
        <v>178</v>
      </c>
      <c r="DE355" s="381"/>
      <c r="DF355" s="166">
        <f>SUMIF($D$5:$D$319,"=kls",DF5:DF319)*HLOOKUP(DK322,Verteil_rwgr,10,FALSE)+SUMIF($D$5:$D$319,"=klm",DF5:DF319)*HLOOKUP(DK322,Verteil_rwgr,11,FALSE)+SUMIF($D$5:$D$319,"=klr",DF5:DF319)*HLOOKUP(DK322,Verteil_rwgr,12,FALSE)+SUMIF($D$5:$D$319,"=klk",DF5:DF319)*HLOOKUP(DK322,Verteil_rwgr,13,FALSE)+SUMIF($D$5:$D$319,"=klz",DF5:DF319)*HLOOKUP(DK322,Verteil_rwgr,14,FALSE)</f>
        <v>0</v>
      </c>
      <c r="DH355" s="166">
        <f>SUMIF($D$5:$D$319,"=kls",DH5:DH319)*HLOOKUP(DK322,Verteil_rwgr,10,FALSE)+SUMIF($D$5:$D$319,"=klm",DH5:DH319)*HLOOKUP(DK322,Verteil_rwgr,11,FALSE)+SUMIF($D$5:$D$319,"=klr",DH5:DH319)*HLOOKUP(DK322,Verteil_rwgr,12,FALSE)+SUMIF($D$5:$D$319,"=klk",DH5:DH319)*HLOOKUP(DK322,Verteil_rwgr,13,FALSE)+SUMIF($D$5:$D$319,"=klz",DH5:DH319)*HLOOKUP(DK322,Verteil_rwgr,14,FALSE)</f>
        <v>0</v>
      </c>
      <c r="DJ355" s="90">
        <f t="shared" ref="DJ355" si="1020">IF(DK353&lt;&gt;0,DK355/DK353,0)</f>
        <v>3.8052445915113413E-2</v>
      </c>
      <c r="DK355" s="166">
        <f>ROUND(DM355*HLOOKUP(DK322,Grund_zins,2,FALSE),2)</f>
        <v>6492.71</v>
      </c>
      <c r="DL355" s="166">
        <f>SUMIF($D$5:$D$319,"=kls",DL5:DL319)*HLOOKUP(DK322,Verteil_rwgr,10,FALSE)+SUMIF($D$5:$D$319,"=klm",DL5:DL319)*HLOOKUP(DK322,Verteil_rwgr,11,FALSE)+SUMIF($D$5:$D$319,"=klr",DL5:DL319)*HLOOKUP(DK322,Verteil_rwgr,12,FALSE)+SUMIF($D$5:$D$319,"=klk",DL5:DL319)*HLOOKUP(DK322,Verteil_rwgr,13,FALSE)+SUMIF($D$5:$D$319,"=klz",DL5:DL319)*HLOOKUP(DK322,Verteil_rwgr,14,FALSE)</f>
        <v>13273.0545</v>
      </c>
      <c r="DM355" s="166">
        <f t="shared" si="968"/>
        <v>216423.72280000002</v>
      </c>
      <c r="DN355" s="166">
        <f>SUMIF($D$5:$D$319,"=kls",DN5:DN319)*HLOOKUP(DK322,Verteil_rwgr,10,FALSE)+SUMIF($D$5:$D$319,"=klm",DN5:DN319)*HLOOKUP(DK322,Verteil_rwgr,11,FALSE)+SUMIF($D$5:$D$319,"=klr",DN5:DN319)*HLOOKUP(DK322,Verteil_rwgr,12,FALSE)+SUMIF($D$5:$D$319,"=klk",DN5:DN319)*HLOOKUP(DK322,Verteil_rwgr,13,FALSE)+SUMIF($D$5:$D$319,"=klz",DN5:DN319)*HLOOKUP(DK322,Verteil_rwgr,14,FALSE)</f>
        <v>209787.19555</v>
      </c>
      <c r="DO355" s="90">
        <f t="shared" ref="DO355" si="1021">IF(DN353&lt;&gt;0,DN355/DN353,0)</f>
        <v>3.7626615648820735E-2</v>
      </c>
      <c r="DP355" s="565" t="s">
        <v>178</v>
      </c>
      <c r="DR355" s="381"/>
      <c r="DS355" s="166">
        <f>SUMIF($D$5:$D$319,"=kls",DS5:DS319)*HLOOKUP(DX322,Verteil_rwgr,10,FALSE)+SUMIF($D$5:$D$319,"=klm",DS5:DS319)*HLOOKUP(DX322,Verteil_rwgr,11,FALSE)+SUMIF($D$5:$D$319,"=klr",DS5:DS319)*HLOOKUP(DX322,Verteil_rwgr,12,FALSE)+SUMIF($D$5:$D$319,"=klk",DS5:DS319)*HLOOKUP(DX322,Verteil_rwgr,13,FALSE)+SUMIF($D$5:$D$319,"=klz",DS5:DS319)*HLOOKUP(DX322,Verteil_rwgr,14,FALSE)</f>
        <v>0</v>
      </c>
      <c r="DU355" s="166">
        <f>SUMIF($D$5:$D$319,"=kls",DU5:DU319)*HLOOKUP(DX322,Verteil_rwgr,10,FALSE)+SUMIF($D$5:$D$319,"=klm",DU5:DU319)*HLOOKUP(DX322,Verteil_rwgr,11,FALSE)+SUMIF($D$5:$D$319,"=klr",DU5:DU319)*HLOOKUP(DX322,Verteil_rwgr,12,FALSE)+SUMIF($D$5:$D$319,"=klk",DU5:DU319)*HLOOKUP(DX322,Verteil_rwgr,13,FALSE)+SUMIF($D$5:$D$319,"=klz",DU5:DU319)*HLOOKUP(DX322,Verteil_rwgr,14,FALSE)</f>
        <v>0</v>
      </c>
      <c r="DW355" s="90">
        <f t="shared" ref="DW355" si="1022">IF(DX353&lt;&gt;0,DX355/DX353,0)</f>
        <v>3.723759335664889E-2</v>
      </c>
      <c r="DX355" s="166">
        <f>ROUND(DZ355*HLOOKUP(DX322,Grund_zins,2,FALSE),2)</f>
        <v>6113.75</v>
      </c>
      <c r="DY355" s="166">
        <f>SUMIF($D$5:$D$319,"=kls",DY5:DY319)*HLOOKUP(DX322,Verteil_rwgr,10,FALSE)+SUMIF($D$5:$D$319,"=klm",DY5:DY319)*HLOOKUP(DX322,Verteil_rwgr,11,FALSE)+SUMIF($D$5:$D$319,"=klr",DY5:DY319)*HLOOKUP(DX322,Verteil_rwgr,12,FALSE)+SUMIF($D$5:$D$319,"=klk",DY5:DY319)*HLOOKUP(DX322,Verteil_rwgr,13,FALSE)+SUMIF($D$5:$D$319,"=klz",DY5:DY319)*HLOOKUP(DX322,Verteil_rwgr,14,FALSE)</f>
        <v>11991.1895</v>
      </c>
      <c r="DZ355" s="166">
        <f t="shared" si="969"/>
        <v>203791.60080000001</v>
      </c>
      <c r="EA355" s="166">
        <f>SUMIF($D$5:$D$319,"=kls",EA5:EA319)*HLOOKUP(DX322,Verteil_rwgr,10,FALSE)+SUMIF($D$5:$D$319,"=klm",EA5:EA319)*HLOOKUP(DX322,Verteil_rwgr,11,FALSE)+SUMIF($D$5:$D$319,"=klr",EA5:EA319)*HLOOKUP(DX322,Verteil_rwgr,12,FALSE)+SUMIF($D$5:$D$319,"=klk",EA5:EA319)*HLOOKUP(DX322,Verteil_rwgr,13,FALSE)+SUMIF($D$5:$D$319,"=klz",EA5:EA319)*HLOOKUP(DX322,Verteil_rwgr,14,FALSE)</f>
        <v>197796.00605000003</v>
      </c>
      <c r="EB355" s="90">
        <f t="shared" ref="EB355" si="1023">IF(EA353&lt;&gt;0,EA355/EA353,0)</f>
        <v>3.6833657862785342E-2</v>
      </c>
      <c r="EC355" s="565" t="s">
        <v>178</v>
      </c>
    </row>
    <row r="356" spans="1:133" s="10" customFormat="1" ht="15" customHeight="1" x14ac:dyDescent="0.35">
      <c r="A356" s="565" t="s">
        <v>179</v>
      </c>
      <c r="Q356" s="225">
        <v>35</v>
      </c>
      <c r="R356" s="381"/>
      <c r="S356" s="166">
        <f>SUMIF($D$5:$D$319,"=kls",S5:S319)*HLOOKUP(X322,Verteil_rwst,9,FALSE)+SUMIF($D$5:$D$319,"=klm",S5:S319)*HLOOKUP(X322,Verteil_rwst,10,FALSE)+SUMIF($D$5:$D$319,"=klr",S5:S319)*HLOOKUP(X322,Verteil_rwst,11,FALSE)+SUMIF($D$5:$D$319,"=klk",S5:S319)*HLOOKUP(X322,Verteil_rwst,12,FALSE)+SUMIF($D$5:$D$319,"=klz",S5:S319)*HLOOKUP(X322,Verteil_rwst,13,FALSE)</f>
        <v>0</v>
      </c>
      <c r="U356" s="166">
        <f>SUMIF($D$5:$D$319,"=kls",U5:U319)*HLOOKUP(X322,Verteil_rwst,9,FALSE)+SUMIF($D$5:$D$319,"=klm",U5:U319)*HLOOKUP(X322,Verteil_rwst,10,FALSE)+SUMIF($D$5:$D$319,"=klr",U5:U319)*HLOOKUP(X322,Verteil_rwst,11,FALSE)+SUMIF($D$5:$D$319,"=klk",U5:U319)*HLOOKUP(X322,Verteil_rwst,12,FALSE)+SUMIF($D$5:$D$319,"=klz",U5:U319)*HLOOKUP(X322,Verteil_rwst,13,FALSE)</f>
        <v>0</v>
      </c>
      <c r="W356" s="90">
        <f t="shared" ref="W356" si="1024">IF(X353&lt;&gt;0,X356/X353,0)</f>
        <v>3.8982826685811212E-2</v>
      </c>
      <c r="X356" s="166">
        <f>ROUND(Z356*HLOOKUP(X322,Grund_zins,2,FALSE),2)</f>
        <v>11919.86</v>
      </c>
      <c r="Y356" s="166">
        <f>SUMIF($D$5:$D$319,"=kls",Y5:Y319)*HLOOKUP(X322,Verteil_rwst,9,FALSE)+SUMIF($D$5:$D$319,"=klm",Y5:Y319)*HLOOKUP(X322,Verteil_rwst,10,FALSE)+SUMIF($D$5:$D$319,"=klr",Y5:Y319)*HLOOKUP(X322,Verteil_rwst,11,FALSE)+SUMIF($D$5:$D$319,"=klk",Y5:Y319)*HLOOKUP(X322,Verteil_rwst,12,FALSE)+SUMIF($D$5:$D$319,"=klz",Y5:Y319)*HLOOKUP(X322,Verteil_rwst,13,FALSE)</f>
        <v>18518.923000000003</v>
      </c>
      <c r="Z356" s="166">
        <f t="shared" si="961"/>
        <v>340567.42804999999</v>
      </c>
      <c r="AA356" s="166">
        <f>SUMIF($D$5:$D$319,"=kls",AA5:AA319)*HLOOKUP(X322,Verteil_rwst,9,FALSE)+SUMIF($D$5:$D$319,"=klm",AA5:AA319)*HLOOKUP(X322,Verteil_rwst,10,FALSE)+SUMIF($D$5:$D$319,"=klr",AA5:AA319)*HLOOKUP(X322,Verteil_rwst,11,FALSE)+SUMIF($D$5:$D$319,"=klk",AA5:AA319)*HLOOKUP(X322,Verteil_rwst,12,FALSE)+SUMIF($D$5:$D$319,"=klz",AA5:AA319)*HLOOKUP(X322,Verteil_rwst,13,FALSE)</f>
        <v>331307.96655000001</v>
      </c>
      <c r="AB356" s="90">
        <f t="shared" ref="AB356" si="1025">IF(AA353&lt;&gt;0,AA356/AA353,0)</f>
        <v>3.8957104303286638E-2</v>
      </c>
      <c r="AC356" s="565" t="s">
        <v>179</v>
      </c>
      <c r="AE356" s="381"/>
      <c r="AF356" s="166">
        <f>SUMIF($D$5:$D$319,"=kls",AF5:AF319)*HLOOKUP(AK322,Verteil_rwst,9,FALSE)+SUMIF($D$5:$D$319,"=klm",AF5:AF319)*HLOOKUP(AK322,Verteil_rwst,10,FALSE)+SUMIF($D$5:$D$319,"=klr",AF5:AF319)*HLOOKUP(AK322,Verteil_rwst,11,FALSE)+SUMIF($D$5:$D$319,"=klk",AF5:AF319)*HLOOKUP(AK322,Verteil_rwst,12,FALSE)+SUMIF($D$5:$D$319,"=klz",AF5:AF319)*HLOOKUP(AK322,Verteil_rwst,13,FALSE)</f>
        <v>0</v>
      </c>
      <c r="AH356" s="166">
        <f>SUMIF($D$5:$D$319,"=kls",AH5:AH319)*HLOOKUP(AK322,Verteil_rwst,9,FALSE)+SUMIF($D$5:$D$319,"=klm",AH5:AH319)*HLOOKUP(AK322,Verteil_rwst,10,FALSE)+SUMIF($D$5:$D$319,"=klr",AH5:AH319)*HLOOKUP(AK322,Verteil_rwst,11,FALSE)+SUMIF($D$5:$D$319,"=klk",AH5:AH319)*HLOOKUP(AK322,Verteil_rwst,12,FALSE)+SUMIF($D$5:$D$319,"=klz",AH5:AH319)*HLOOKUP(AK322,Verteil_rwst,13,FALSE)</f>
        <v>0</v>
      </c>
      <c r="AJ356" s="90">
        <f t="shared" ref="AJ356" si="1026">IF(AK353&lt;&gt;0,AK356/AK353,0)</f>
        <v>3.8934036741044585E-2</v>
      </c>
      <c r="AK356" s="166">
        <f>ROUND(AM356*HLOOKUP(AK322,Grund_zins,2,FALSE),2)</f>
        <v>11274.4</v>
      </c>
      <c r="AL356" s="166">
        <f>SUMIF($D$5:$D$319,"=kls",AL5:AL319)*HLOOKUP(AK322,Verteil_rwst,9,FALSE)+SUMIF($D$5:$D$319,"=klm",AL5:AL319)*HLOOKUP(AK322,Verteil_rwst,10,FALSE)+SUMIF($D$5:$D$319,"=klr",AL5:AL319)*HLOOKUP(AK322,Verteil_rwst,11,FALSE)+SUMIF($D$5:$D$319,"=klk",AL5:AL319)*HLOOKUP(AK322,Verteil_rwst,12,FALSE)+SUMIF($D$5:$D$319,"=klz",AL5:AL319)*HLOOKUP(AK322,Verteil_rwst,13,FALSE)</f>
        <v>18364.75275</v>
      </c>
      <c r="AM356" s="166">
        <f t="shared" si="962"/>
        <v>322125.59017500002</v>
      </c>
      <c r="AN356" s="166">
        <f>SUMIF($D$5:$D$319,"=kls",AN5:AN319)*HLOOKUP(AK322,Verteil_rwst,9,FALSE)+SUMIF($D$5:$D$319,"=klm",AN5:AN319)*HLOOKUP(AK322,Verteil_rwst,10,FALSE)+SUMIF($D$5:$D$319,"=klr",AN5:AN319)*HLOOKUP(AK322,Verteil_rwst,11,FALSE)+SUMIF($D$5:$D$319,"=klk",AN5:AN319)*HLOOKUP(AK322,Verteil_rwst,12,FALSE)+SUMIF($D$5:$D$319,"=klz",AN5:AN319)*HLOOKUP(AK322,Verteil_rwst,13,FALSE)</f>
        <v>312943.21380000003</v>
      </c>
      <c r="AO356" s="90">
        <f t="shared" ref="AO356" si="1027">IF(AN353&lt;&gt;0,AN356/AN353,0)</f>
        <v>3.8909613699166651E-2</v>
      </c>
      <c r="AP356" s="565" t="s">
        <v>179</v>
      </c>
      <c r="AR356" s="381"/>
      <c r="AS356" s="166">
        <f>SUMIF($D$5:$D$319,"=kls",AS5:AS319)*HLOOKUP(AX322,Verteil_rwst,9,FALSE)+SUMIF($D$5:$D$319,"=klm",AS5:AS319)*HLOOKUP(AX322,Verteil_rwst,10,FALSE)+SUMIF($D$5:$D$319,"=klr",AS5:AS319)*HLOOKUP(AX322,Verteil_rwst,11,FALSE)+SUMIF($D$5:$D$319,"=klk",AS5:AS319)*HLOOKUP(AX322,Verteil_rwst,12,FALSE)+SUMIF($D$5:$D$319,"=klz",AS5:AS319)*HLOOKUP(AX322,Verteil_rwst,13,FALSE)</f>
        <v>0</v>
      </c>
      <c r="AU356" s="166">
        <f>SUMIF($D$5:$D$319,"=kls",AU5:AU319)*HLOOKUP(AX322,Verteil_rwst,9,FALSE)+SUMIF($D$5:$D$319,"=klm",AU5:AU319)*HLOOKUP(AX322,Verteil_rwst,10,FALSE)+SUMIF($D$5:$D$319,"=klr",AU5:AU319)*HLOOKUP(AX322,Verteil_rwst,11,FALSE)+SUMIF($D$5:$D$319,"=klk",AU5:AU319)*HLOOKUP(AX322,Verteil_rwst,12,FALSE)+SUMIF($D$5:$D$319,"=klz",AU5:AU319)*HLOOKUP(AX322,Verteil_rwst,13,FALSE)</f>
        <v>0</v>
      </c>
      <c r="AW356" s="90">
        <f t="shared" ref="AW356" si="1028">IF(AX353&lt;&gt;0,AX356/AX353,0)</f>
        <v>3.8886688991038268E-2</v>
      </c>
      <c r="AX356" s="166">
        <f>ROUND(AZ356*HLOOKUP(AX322,Grund_zins,2,FALSE),2)</f>
        <v>10633.45</v>
      </c>
      <c r="AY356" s="166">
        <f>SUMIF($D$5:$D$319,"=kls",AY5:AY319)*HLOOKUP(AX322,Verteil_rwst,9,FALSE)+SUMIF($D$5:$D$319,"=klm",AY5:AY319)*HLOOKUP(AX322,Verteil_rwst,10,FALSE)+SUMIF($D$5:$D$319,"=klr",AY5:AY319)*HLOOKUP(AX322,Verteil_rwst,11,FALSE)+SUMIF($D$5:$D$319,"=klk",AY5:AY319)*HLOOKUP(AX322,Verteil_rwst,12,FALSE)+SUMIF($D$5:$D$319,"=klz",AY5:AY319)*HLOOKUP(AX322,Verteil_rwst,13,FALSE)</f>
        <v>18260.817750000002</v>
      </c>
      <c r="AZ356" s="166">
        <f t="shared" si="963"/>
        <v>303812.804925</v>
      </c>
      <c r="BA356" s="166">
        <f>SUMIF($D$5:$D$319,"=kls",BA5:BA319)*HLOOKUP(AX322,Verteil_rwst,9,FALSE)+SUMIF($D$5:$D$319,"=klm",BA5:BA319)*HLOOKUP(AX322,Verteil_rwst,10,FALSE)+SUMIF($D$5:$D$319,"=klr",BA5:BA319)*HLOOKUP(AX322,Verteil_rwst,11,FALSE)+SUMIF($D$5:$D$319,"=klk",BA5:BA319)*HLOOKUP(AX322,Verteil_rwst,12,FALSE)+SUMIF($D$5:$D$319,"=klz",BA5:BA319)*HLOOKUP(AX322,Verteil_rwst,13,FALSE)</f>
        <v>294682.39604999998</v>
      </c>
      <c r="BB356" s="90">
        <f t="shared" ref="BB356" si="1029">IF(BA353&lt;&gt;0,BA356/BA353,0)</f>
        <v>3.8862360215067941E-2</v>
      </c>
      <c r="BC356" s="565" t="s">
        <v>179</v>
      </c>
      <c r="BE356" s="381"/>
      <c r="BF356" s="166">
        <f>SUMIF($D$5:$D$319,"=kls",BF5:BF319)*HLOOKUP(BK322,Verteil_rwst,9,FALSE)+SUMIF($D$5:$D$319,"=klm",BF5:BF319)*HLOOKUP(BK322,Verteil_rwst,10,FALSE)+SUMIF($D$5:$D$319,"=klr",BF5:BF319)*HLOOKUP(BK322,Verteil_rwst,11,FALSE)+SUMIF($D$5:$D$319,"=klk",BF5:BF319)*HLOOKUP(BK322,Verteil_rwst,12,FALSE)+SUMIF($D$5:$D$319,"=klz",BF5:BF319)*HLOOKUP(BK322,Verteil_rwst,13,FALSE)</f>
        <v>0</v>
      </c>
      <c r="BH356" s="166">
        <f>SUMIF($D$5:$D$319,"=kls",BH5:BH319)*HLOOKUP(BK322,Verteil_rwst,9,FALSE)+SUMIF($D$5:$D$319,"=klm",BH5:BH319)*HLOOKUP(BK322,Verteil_rwst,10,FALSE)+SUMIF($D$5:$D$319,"=klr",BH5:BH319)*HLOOKUP(BK322,Verteil_rwst,11,FALSE)+SUMIF($D$5:$D$319,"=klk",BH5:BH319)*HLOOKUP(BK322,Verteil_rwst,12,FALSE)+SUMIF($D$5:$D$319,"=klz",BH5:BH319)*HLOOKUP(BK322,Verteil_rwst,13,FALSE)</f>
        <v>0</v>
      </c>
      <c r="BJ356" s="90">
        <f t="shared" ref="BJ356" si="1030">IF(BK353&lt;&gt;0,BK356/BK353,0)</f>
        <v>3.8838830982147597E-2</v>
      </c>
      <c r="BK356" s="166">
        <f>ROUND(BM356*HLOOKUP(BK322,Grund_zins,2,FALSE),2)</f>
        <v>9995.68</v>
      </c>
      <c r="BL356" s="166">
        <f>SUMIF($D$5:$D$319,"=kls",BL5:BL319)*HLOOKUP(BK322,Verteil_rwst,9,FALSE)+SUMIF($D$5:$D$319,"=klm",BL5:BL319)*HLOOKUP(BK322,Verteil_rwst,10,FALSE)+SUMIF($D$5:$D$319,"=klr",BL5:BL319)*HLOOKUP(BK322,Verteil_rwst,11,FALSE)+SUMIF($D$5:$D$319,"=klk",BL5:BL319)*HLOOKUP(BK322,Verteil_rwst,12,FALSE)+SUMIF($D$5:$D$319,"=klz",BL5:BL319)*HLOOKUP(BK322,Verteil_rwst,13,FALSE)</f>
        <v>18182.8665</v>
      </c>
      <c r="BM356" s="166">
        <f t="shared" si="964"/>
        <v>285590.96279999998</v>
      </c>
      <c r="BN356" s="166">
        <f>SUMIF($D$5:$D$319,"=kls",BN5:BN319)*HLOOKUP(BK322,Verteil_rwst,9,FALSE)+SUMIF($D$5:$D$319,"=klm",BN5:BN319)*HLOOKUP(BK322,Verteil_rwst,10,FALSE)+SUMIF($D$5:$D$319,"=klr",BN5:BN319)*HLOOKUP(BK322,Verteil_rwst,11,FALSE)+SUMIF($D$5:$D$319,"=klk",BN5:BN319)*HLOOKUP(BK322,Verteil_rwst,12,FALSE)+SUMIF($D$5:$D$319,"=klz",BN5:BN319)*HLOOKUP(BK322,Verteil_rwst,13,FALSE)</f>
        <v>276499.52954999998</v>
      </c>
      <c r="BO356" s="90">
        <f t="shared" ref="BO356" si="1031">IF(BN353&lt;&gt;0,BN356/BN353,0)</f>
        <v>3.8813815432623869E-2</v>
      </c>
      <c r="BP356" s="565" t="s">
        <v>179</v>
      </c>
      <c r="BR356" s="381"/>
      <c r="BS356" s="166">
        <f>SUMIF($D$5:$D$319,"=kls",BS5:BS319)*HLOOKUP(BX322,Verteil_rwst,9,FALSE)+SUMIF($D$5:$D$319,"=klm",BS5:BS319)*HLOOKUP(BX322,Verteil_rwst,10,FALSE)+SUMIF($D$5:$D$319,"=klr",BS5:BS319)*HLOOKUP(BX322,Verteil_rwst,11,FALSE)+SUMIF($D$5:$D$319,"=klk",BS5:BS319)*HLOOKUP(BX322,Verteil_rwst,12,FALSE)+SUMIF($D$5:$D$319,"=klz",BS5:BS319)*HLOOKUP(BX322,Verteil_rwst,13,FALSE)</f>
        <v>0</v>
      </c>
      <c r="BU356" s="166">
        <f>SUMIF($D$5:$D$319,"=kls",BU5:BU319)*HLOOKUP(BX322,Verteil_rwst,9,FALSE)+SUMIF($D$5:$D$319,"=klm",BU5:BU319)*HLOOKUP(BX322,Verteil_rwst,10,FALSE)+SUMIF($D$5:$D$319,"=klr",BU5:BU319)*HLOOKUP(BX322,Verteil_rwst,11,FALSE)+SUMIF($D$5:$D$319,"=klk",BU5:BU319)*HLOOKUP(BX322,Verteil_rwst,12,FALSE)+SUMIF($D$5:$D$319,"=klz",BU5:BU319)*HLOOKUP(BX322,Verteil_rwst,13,FALSE)</f>
        <v>0</v>
      </c>
      <c r="BW356" s="90">
        <f t="shared" ref="BW356" si="1032">IF(BX353&lt;&gt;0,BX356/BX353,0)</f>
        <v>3.876631659157169E-2</v>
      </c>
      <c r="BX356" s="166">
        <f>ROUND(BZ356*HLOOKUP(BX322,Grund_zins,2,FALSE),2)</f>
        <v>9360.98</v>
      </c>
      <c r="BY356" s="166">
        <f>SUMIF($D$5:$D$319,"=kls",BY5:BY319)*HLOOKUP(BX322,Verteil_rwst,9,FALSE)+SUMIF($D$5:$D$319,"=klm",BY5:BY319)*HLOOKUP(BX322,Verteil_rwst,10,FALSE)+SUMIF($D$5:$D$319,"=klr",BY5:BY319)*HLOOKUP(BX322,Verteil_rwst,11,FALSE)+SUMIF($D$5:$D$319,"=klk",BY5:BY319)*HLOOKUP(BX322,Verteil_rwst,12,FALSE)+SUMIF($D$5:$D$319,"=klz",BY5:BY319)*HLOOKUP(BX322,Verteil_rwst,13,FALSE)</f>
        <v>18085.860500000003</v>
      </c>
      <c r="BZ356" s="166">
        <f t="shared" si="965"/>
        <v>267456.5993</v>
      </c>
      <c r="CA356" s="166">
        <f>SUMIF($D$5:$D$319,"=kls",CA5:CA319)*HLOOKUP(BX322,Verteil_rwst,9,FALSE)+SUMIF($D$5:$D$319,"=klm",CA5:CA319)*HLOOKUP(BX322,Verteil_rwst,10,FALSE)+SUMIF($D$5:$D$319,"=klr",CA5:CA319)*HLOOKUP(BX322,Verteil_rwst,11,FALSE)+SUMIF($D$5:$D$319,"=klk",CA5:CA319)*HLOOKUP(BX322,Verteil_rwst,12,FALSE)+SUMIF($D$5:$D$319,"=klz",CA5:CA319)*HLOOKUP(BX322,Verteil_rwst,13,FALSE)</f>
        <v>258413.66905000003</v>
      </c>
      <c r="CB356" s="90">
        <f t="shared" ref="CB356" si="1033">IF(CA353&lt;&gt;0,CA356/CA353,0)</f>
        <v>3.8715630316750217E-2</v>
      </c>
      <c r="CC356" s="565" t="s">
        <v>179</v>
      </c>
      <c r="CE356" s="381"/>
      <c r="CF356" s="166">
        <f>SUMIF($D$5:$D$319,"=kls",CF5:CF319)*HLOOKUP(CK322,Verteil_rwst,9,FALSE)+SUMIF($D$5:$D$319,"=klm",CF5:CF319)*HLOOKUP(CK322,Verteil_rwst,10,FALSE)+SUMIF($D$5:$D$319,"=klr",CF5:CF319)*HLOOKUP(CK322,Verteil_rwst,11,FALSE)+SUMIF($D$5:$D$319,"=klk",CF5:CF319)*HLOOKUP(CK322,Verteil_rwst,12,FALSE)+SUMIF($D$5:$D$319,"=klz",CF5:CF319)*HLOOKUP(CK322,Verteil_rwst,13,FALSE)</f>
        <v>0</v>
      </c>
      <c r="CH356" s="166">
        <f>SUMIF($D$5:$D$319,"=kls",CH5:CH319)*HLOOKUP(CK322,Verteil_rwst,9,FALSE)+SUMIF($D$5:$D$319,"=klm",CH5:CH319)*HLOOKUP(CK322,Verteil_rwst,10,FALSE)+SUMIF($D$5:$D$319,"=klr",CH5:CH319)*HLOOKUP(CK322,Verteil_rwst,11,FALSE)+SUMIF($D$5:$D$319,"=klk",CH5:CH319)*HLOOKUP(CK322,Verteil_rwst,12,FALSE)+SUMIF($D$5:$D$319,"=klz",CH5:CH319)*HLOOKUP(CK322,Verteil_rwst,13,FALSE)</f>
        <v>0</v>
      </c>
      <c r="CJ356" s="90">
        <f t="shared" ref="CJ356" si="1034">IF(CK353&lt;&gt;0,CK356/CK353,0)</f>
        <v>3.8639291802154481E-2</v>
      </c>
      <c r="CK356" s="166">
        <f>ROUND(CM356*HLOOKUP(CK322,Grund_zins,2,FALSE),2)</f>
        <v>7482.58</v>
      </c>
      <c r="CL356" s="166">
        <f>SUMIF($D$5:$D$319,"=kls",CL5:CL319)*HLOOKUP(CK322,Verteil_rwst,9,FALSE)+SUMIF($D$5:$D$319,"=klm",CL5:CL319)*HLOOKUP(CK322,Verteil_rwst,10,FALSE)+SUMIF($D$5:$D$319,"=klr",CL5:CL319)*HLOOKUP(CK322,Verteil_rwst,11,FALSE)+SUMIF($D$5:$D$319,"=klk",CL5:CL319)*HLOOKUP(CK322,Verteil_rwst,12,FALSE)+SUMIF($D$5:$D$319,"=klz",CL5:CL319)*HLOOKUP(CK322,Verteil_rwst,13,FALSE)</f>
        <v>17988.854500000001</v>
      </c>
      <c r="CM356" s="166">
        <f t="shared" si="966"/>
        <v>249419.24180000002</v>
      </c>
      <c r="CN356" s="166">
        <f>SUMIF($D$5:$D$319,"=kls",CN5:CN319)*HLOOKUP(CK322,Verteil_rwst,9,FALSE)+SUMIF($D$5:$D$319,"=klm",CN5:CN319)*HLOOKUP(CK322,Verteil_rwst,10,FALSE)+SUMIF($D$5:$D$319,"=klr",CN5:CN319)*HLOOKUP(CK322,Verteil_rwst,11,FALSE)+SUMIF($D$5:$D$319,"=klk",CN5:CN319)*HLOOKUP(CK322,Verteil_rwst,12,FALSE)+SUMIF($D$5:$D$319,"=klz",CN5:CN319)*HLOOKUP(CK322,Verteil_rwst,13,FALSE)</f>
        <v>240424.81455000001</v>
      </c>
      <c r="CO356" s="90">
        <f t="shared" ref="CO356" si="1035">IF(CN353&lt;&gt;0,CN356/CN353,0)</f>
        <v>3.8557547221705471E-2</v>
      </c>
      <c r="CP356" s="565" t="s">
        <v>179</v>
      </c>
      <c r="CR356" s="381"/>
      <c r="CS356" s="166">
        <f>SUMIF($D$5:$D$319,"=kls",CS5:CS319)*HLOOKUP(CX322,Verteil_rwst,9,FALSE)+SUMIF($D$5:$D$319,"=klm",CS5:CS319)*HLOOKUP(CX322,Verteil_rwst,10,FALSE)+SUMIF($D$5:$D$319,"=klr",CS5:CS319)*HLOOKUP(CX322,Verteil_rwst,11,FALSE)+SUMIF($D$5:$D$319,"=klk",CS5:CS319)*HLOOKUP(CX322,Verteil_rwst,12,FALSE)+SUMIF($D$5:$D$319,"=klz",CS5:CS319)*HLOOKUP(CX322,Verteil_rwst,13,FALSE)</f>
        <v>0</v>
      </c>
      <c r="CU356" s="166">
        <f>SUMIF($D$5:$D$319,"=kls",CU5:CU319)*HLOOKUP(CX322,Verteil_rwst,9,FALSE)+SUMIF($D$5:$D$319,"=klm",CU5:CU319)*HLOOKUP(CX322,Verteil_rwst,10,FALSE)+SUMIF($D$5:$D$319,"=klr",CU5:CU319)*HLOOKUP(CX322,Verteil_rwst,11,FALSE)+SUMIF($D$5:$D$319,"=klk",CU5:CU319)*HLOOKUP(CX322,Verteil_rwst,12,FALSE)+SUMIF($D$5:$D$319,"=klz",CU5:CU319)*HLOOKUP(CX322,Verteil_rwst,13,FALSE)</f>
        <v>0</v>
      </c>
      <c r="CW356" s="90">
        <f t="shared" ref="CW356" si="1036">IF(CX353&lt;&gt;0,CX356/CX353,0)</f>
        <v>3.8511452707381245E-2</v>
      </c>
      <c r="CX356" s="166">
        <f>ROUND(CZ356*HLOOKUP(CX322,Grund_zins,2,FALSE),2)</f>
        <v>6952.28</v>
      </c>
      <c r="CY356" s="166">
        <f>SUMIF($D$5:$D$319,"=kls",CY5:CY319)*HLOOKUP(CX322,Verteil_rwst,9,FALSE)+SUMIF($D$5:$D$319,"=klm",CY5:CY319)*HLOOKUP(CX322,Verteil_rwst,10,FALSE)+SUMIF($D$5:$D$319,"=klr",CY5:CY319)*HLOOKUP(CX322,Verteil_rwst,11,FALSE)+SUMIF($D$5:$D$319,"=klk",CY5:CY319)*HLOOKUP(CX322,Verteil_rwst,12,FALSE)+SUMIF($D$5:$D$319,"=klz",CY5:CY319)*HLOOKUP(CX322,Verteil_rwst,13,FALSE)</f>
        <v>17364.5645</v>
      </c>
      <c r="CZ356" s="166">
        <f t="shared" si="967"/>
        <v>231742.53229999999</v>
      </c>
      <c r="DA356" s="166">
        <f>SUMIF($D$5:$D$319,"=kls",DA5:DA319)*HLOOKUP(CX322,Verteil_rwst,9,FALSE)+SUMIF($D$5:$D$319,"=klm",DA5:DA319)*HLOOKUP(CX322,Verteil_rwst,10,FALSE)+SUMIF($D$5:$D$319,"=klr",DA5:DA319)*HLOOKUP(CX322,Verteil_rwst,11,FALSE)+SUMIF($D$5:$D$319,"=klk",DA5:DA319)*HLOOKUP(CX322,Verteil_rwst,12,FALSE)+SUMIF($D$5:$D$319,"=klz",DA5:DA319)*HLOOKUP(CX322,Verteil_rwst,13,FALSE)</f>
        <v>223060.25005</v>
      </c>
      <c r="DB356" s="90">
        <f t="shared" ref="DB356" si="1037">IF(DA353&lt;&gt;0,DA356/DA353,0)</f>
        <v>3.8461846851118711E-2</v>
      </c>
      <c r="DC356" s="565" t="s">
        <v>179</v>
      </c>
      <c r="DE356" s="381"/>
      <c r="DF356" s="166">
        <f>SUMIF($D$5:$D$319,"=kls",DF5:DF319)*HLOOKUP(DK322,Verteil_rwst,9,FALSE)+SUMIF($D$5:$D$319,"=klm",DF5:DF319)*HLOOKUP(DK322,Verteil_rwst,10,FALSE)+SUMIF($D$5:$D$319,"=klr",DF5:DF319)*HLOOKUP(DK322,Verteil_rwst,11,FALSE)+SUMIF($D$5:$D$319,"=klk",DF5:DF319)*HLOOKUP(DK322,Verteil_rwst,12,FALSE)+SUMIF($D$5:$D$319,"=klz",DF5:DF319)*HLOOKUP(DK322,Verteil_rwst,13,FALSE)</f>
        <v>0</v>
      </c>
      <c r="DH356" s="166">
        <f>SUMIF($D$5:$D$319,"=kls",DH5:DH319)*HLOOKUP(DK322,Verteil_rwst,9,FALSE)+SUMIF($D$5:$D$319,"=klm",DH5:DH319)*HLOOKUP(DK322,Verteil_rwst,10,FALSE)+SUMIF($D$5:$D$319,"=klr",DH5:DH319)*HLOOKUP(DK322,Verteil_rwst,11,FALSE)+SUMIF($D$5:$D$319,"=klk",DH5:DH319)*HLOOKUP(DK322,Verteil_rwst,12,FALSE)+SUMIF($D$5:$D$319,"=klz",DH5:DH319)*HLOOKUP(DK322,Verteil_rwst,13,FALSE)</f>
        <v>0</v>
      </c>
      <c r="DJ356" s="90">
        <f t="shared" ref="DJ356" si="1038">IF(DK353&lt;&gt;0,DK356/DK353,0)</f>
        <v>3.8052445915113413E-2</v>
      </c>
      <c r="DK356" s="166">
        <f>ROUND(DM356*HLOOKUP(DK322,Grund_zins,2,FALSE),2)</f>
        <v>6492.71</v>
      </c>
      <c r="DL356" s="166">
        <f>SUMIF($D$5:$D$319,"=kls",DL5:DL319)*HLOOKUP(DK322,Verteil_rwst,9,FALSE)+SUMIF($D$5:$D$319,"=klm",DL5:DL319)*HLOOKUP(DK322,Verteil_rwst,10,FALSE)+SUMIF($D$5:$D$319,"=klr",DL5:DL319)*HLOOKUP(DK322,Verteil_rwst,11,FALSE)+SUMIF($D$5:$D$319,"=klk",DL5:DL319)*HLOOKUP(DK322,Verteil_rwst,12,FALSE)+SUMIF($D$5:$D$319,"=klz",DL5:DL319)*HLOOKUP(DK322,Verteil_rwst,13,FALSE)</f>
        <v>13273.0545</v>
      </c>
      <c r="DM356" s="166">
        <f t="shared" si="968"/>
        <v>216423.72280000002</v>
      </c>
      <c r="DN356" s="166">
        <f>SUMIF($D$5:$D$319,"=kls",DN5:DN319)*HLOOKUP(DK322,Verteil_rwst,9,FALSE)+SUMIF($D$5:$D$319,"=klm",DN5:DN319)*HLOOKUP(DK322,Verteil_rwst,10,FALSE)+SUMIF($D$5:$D$319,"=klr",DN5:DN319)*HLOOKUP(DK322,Verteil_rwst,11,FALSE)+SUMIF($D$5:$D$319,"=klk",DN5:DN319)*HLOOKUP(DK322,Verteil_rwst,12,FALSE)+SUMIF($D$5:$D$319,"=klz",DN5:DN319)*HLOOKUP(DK322,Verteil_rwst,13,FALSE)</f>
        <v>209787.19555</v>
      </c>
      <c r="DO356" s="90">
        <f t="shared" ref="DO356" si="1039">IF(DN353&lt;&gt;0,DN356/DN353,0)</f>
        <v>3.7626615648820735E-2</v>
      </c>
      <c r="DP356" s="565" t="s">
        <v>179</v>
      </c>
      <c r="DR356" s="381"/>
      <c r="DS356" s="166">
        <f>SUMIF($D$5:$D$319,"=kls",DS5:DS319)*HLOOKUP(DX322,Verteil_rwst,9,FALSE)+SUMIF($D$5:$D$319,"=klm",DS5:DS319)*HLOOKUP(DX322,Verteil_rwst,10,FALSE)+SUMIF($D$5:$D$319,"=klr",DS5:DS319)*HLOOKUP(DX322,Verteil_rwst,11,FALSE)+SUMIF($D$5:$D$319,"=klk",DS5:DS319)*HLOOKUP(DX322,Verteil_rwst,12,FALSE)+SUMIF($D$5:$D$319,"=klz",DS5:DS319)*HLOOKUP(DX322,Verteil_rwst,13,FALSE)</f>
        <v>0</v>
      </c>
      <c r="DU356" s="166">
        <f>SUMIF($D$5:$D$319,"=kls",DU5:DU319)*HLOOKUP(DX322,Verteil_rwst,9,FALSE)+SUMIF($D$5:$D$319,"=klm",DU5:DU319)*HLOOKUP(DX322,Verteil_rwst,10,FALSE)+SUMIF($D$5:$D$319,"=klr",DU5:DU319)*HLOOKUP(DX322,Verteil_rwst,11,FALSE)+SUMIF($D$5:$D$319,"=klk",DU5:DU319)*HLOOKUP(DX322,Verteil_rwst,12,FALSE)+SUMIF($D$5:$D$319,"=klz",DU5:DU319)*HLOOKUP(DX322,Verteil_rwst,13,FALSE)</f>
        <v>0</v>
      </c>
      <c r="DW356" s="90">
        <f t="shared" ref="DW356" si="1040">IF(DX353&lt;&gt;0,DX356/DX353,0)</f>
        <v>3.723759335664889E-2</v>
      </c>
      <c r="DX356" s="166">
        <f>ROUND(DZ356*HLOOKUP(DX322,Grund_zins,2,FALSE),2)</f>
        <v>6113.75</v>
      </c>
      <c r="DY356" s="166">
        <f>SUMIF($D$5:$D$319,"=kls",DY5:DY319)*HLOOKUP(DX322,Verteil_rwst,9,FALSE)+SUMIF($D$5:$D$319,"=klm",DY5:DY319)*HLOOKUP(DX322,Verteil_rwst,10,FALSE)+SUMIF($D$5:$D$319,"=klr",DY5:DY319)*HLOOKUP(DX322,Verteil_rwst,11,FALSE)+SUMIF($D$5:$D$319,"=klk",DY5:DY319)*HLOOKUP(DX322,Verteil_rwst,12,FALSE)+SUMIF($D$5:$D$319,"=klz",DY5:DY319)*HLOOKUP(DX322,Verteil_rwst,13,FALSE)</f>
        <v>11991.1895</v>
      </c>
      <c r="DZ356" s="166">
        <f t="shared" si="969"/>
        <v>203791.60080000001</v>
      </c>
      <c r="EA356" s="166">
        <f>SUMIF($D$5:$D$319,"=kls",EA5:EA319)*HLOOKUP(DX322,Verteil_rwst,9,FALSE)+SUMIF($D$5:$D$319,"=klm",EA5:EA319)*HLOOKUP(DX322,Verteil_rwst,10,FALSE)+SUMIF($D$5:$D$319,"=klr",EA5:EA319)*HLOOKUP(DX322,Verteil_rwst,11,FALSE)+SUMIF($D$5:$D$319,"=klk",EA5:EA319)*HLOOKUP(DX322,Verteil_rwst,12,FALSE)+SUMIF($D$5:$D$319,"=klz",EA5:EA319)*HLOOKUP(DX322,Verteil_rwst,13,FALSE)</f>
        <v>197796.00605000003</v>
      </c>
      <c r="EB356" s="90">
        <f t="shared" ref="EB356" si="1041">IF(EA353&lt;&gt;0,EA356/EA353,0)</f>
        <v>3.6833657862785342E-2</v>
      </c>
      <c r="EC356" s="565" t="s">
        <v>179</v>
      </c>
    </row>
    <row r="357" spans="1:133" s="10" customFormat="1" ht="15" customHeight="1" x14ac:dyDescent="0.35">
      <c r="A357" s="564" t="s">
        <v>381</v>
      </c>
      <c r="Q357" s="225">
        <v>36</v>
      </c>
      <c r="R357" s="381"/>
      <c r="S357" s="166">
        <f>SUMIF($D$5:$D$319,"=sos",S5:S319)+SUMIF($D$5:$D$319,"=som",S5:S319)+SUMIF($D$5:$D$319,"=sor",S5:S319)+SUMIF($D$5:$D$319,"=soz",S5:S319)</f>
        <v>0</v>
      </c>
      <c r="U357" s="166">
        <f>SUMIF($D$5:$D$319,"=sos",U5:U319)+SUMIF($D$5:$D$319,"=som",U5:U319)+SUMIF($D$5:$D$319,"=sor",U5:U319)+SUMIF($D$5:$D$319,"=soz",U5:U319)</f>
        <v>0</v>
      </c>
      <c r="W357" s="90">
        <f t="shared" ref="W357" si="1042">SUM(W358:W360)</f>
        <v>0.99999999999999989</v>
      </c>
      <c r="X357" s="166">
        <f>ROUND(Z357*HLOOKUP(X322,Grund_zins,2,FALSE),2)</f>
        <v>44220.75</v>
      </c>
      <c r="Y357" s="166">
        <f>SUMIF($D$5:$D$319,"=sos",Y5:Y319)+SUMIF($D$5:$D$319,"=som",Y5:Y319)+SUMIF($D$5:$D$319,"=sor",Y5:Y319)+SUMIF($D$5:$D$319,"=soz",Y5:Y319)</f>
        <v>73500</v>
      </c>
      <c r="Z357" s="166">
        <f t="shared" si="961"/>
        <v>1263450</v>
      </c>
      <c r="AA357" s="166">
        <f>SUMIF($D$5:$D$319,"=sos",AA5:AA319)+SUMIF($D$5:$D$319,"=som",AA5:AA319)+SUMIF($D$5:$D$319,"=sor",AA5:AA319)+SUMIF($D$5:$D$319,"=soz",AA5:AA319)</f>
        <v>1226700</v>
      </c>
      <c r="AB357" s="90">
        <f t="shared" ref="AB357" si="1043">SUM(AB358:AB360)</f>
        <v>0.99999999999999989</v>
      </c>
      <c r="AC357" s="564" t="s">
        <v>381</v>
      </c>
      <c r="AE357" s="381"/>
      <c r="AF357" s="166">
        <f>SUMIF($D$5:$D$319,"=sos",AF5:AF319)+SUMIF($D$5:$D$319,"=som",AF5:AF319)+SUMIF($D$5:$D$319,"=sor",AF5:AF319)+SUMIF($D$5:$D$319,"=soz",AF5:AF319)</f>
        <v>0</v>
      </c>
      <c r="AH357" s="166">
        <f>SUMIF($D$5:$D$319,"=sos",AH5:AH319)+SUMIF($D$5:$D$319,"=som",AH5:AH319)+SUMIF($D$5:$D$319,"=sor",AH5:AH319)+SUMIF($D$5:$D$319,"=soz",AH5:AH319)</f>
        <v>0</v>
      </c>
      <c r="AJ357" s="90">
        <f t="shared" ref="AJ357" si="1044">SUM(AJ358:AJ360)</f>
        <v>1.000000240106127</v>
      </c>
      <c r="AK357" s="166">
        <f>ROUND(AM357*HLOOKUP(AK322,Grund_zins,2,FALSE),2)</f>
        <v>41648.25</v>
      </c>
      <c r="AL357" s="166">
        <f>SUMIF($D$5:$D$319,"=sos",AL5:AL319)+SUMIF($D$5:$D$319,"=som",AL5:AL319)+SUMIF($D$5:$D$319,"=sor",AL5:AL319)+SUMIF($D$5:$D$319,"=soz",AL5:AL319)</f>
        <v>73500</v>
      </c>
      <c r="AM357" s="166">
        <f t="shared" si="962"/>
        <v>1189950</v>
      </c>
      <c r="AN357" s="166">
        <f>SUMIF($D$5:$D$319,"=sos",AN5:AN319)+SUMIF($D$5:$D$319,"=som",AN5:AN319)+SUMIF($D$5:$D$319,"=sor",AN5:AN319)+SUMIF($D$5:$D$319,"=soz",AN5:AN319)</f>
        <v>1153200</v>
      </c>
      <c r="AO357" s="90">
        <f t="shared" ref="AO357" si="1045">SUM(AO358:AO360)</f>
        <v>1</v>
      </c>
      <c r="AP357" s="564" t="s">
        <v>381</v>
      </c>
      <c r="AR357" s="381"/>
      <c r="AS357" s="166">
        <f>SUMIF($D$5:$D$319,"=sos",AS5:AS319)+SUMIF($D$5:$D$319,"=som",AS5:AS319)+SUMIF($D$5:$D$319,"=sor",AS5:AS319)+SUMIF($D$5:$D$319,"=soz",AS5:AS319)</f>
        <v>0</v>
      </c>
      <c r="AU357" s="166">
        <f>SUMIF($D$5:$D$319,"=sos",AU5:AU319)+SUMIF($D$5:$D$319,"=som",AU5:AU319)+SUMIF($D$5:$D$319,"=sor",AU5:AU319)+SUMIF($D$5:$D$319,"=soz",AU5:AU319)</f>
        <v>0</v>
      </c>
      <c r="AW357" s="90">
        <f t="shared" ref="AW357" si="1046">SUM(AW358:AW360)</f>
        <v>0.99999974438732053</v>
      </c>
      <c r="AX357" s="166">
        <f>ROUND(AZ357*HLOOKUP(AX322,Grund_zins,2,FALSE),2)</f>
        <v>39121.69</v>
      </c>
      <c r="AY357" s="166">
        <f>SUMIF($D$5:$D$319,"=sos",AY5:AY319)+SUMIF($D$5:$D$319,"=som",AY5:AY319)+SUMIF($D$5:$D$319,"=sor",AY5:AY319)+SUMIF($D$5:$D$319,"=soz",AY5:AY319)</f>
        <v>70875</v>
      </c>
      <c r="AZ357" s="166">
        <f t="shared" si="963"/>
        <v>1117762.5</v>
      </c>
      <c r="BA357" s="166">
        <f>SUMIF($D$5:$D$319,"=sos",BA5:BA319)+SUMIF($D$5:$D$319,"=som",BA5:BA319)+SUMIF($D$5:$D$319,"=sor",BA5:BA319)+SUMIF($D$5:$D$319,"=soz",BA5:BA319)</f>
        <v>1082325</v>
      </c>
      <c r="BB357" s="90">
        <f t="shared" ref="BB357" si="1047">SUM(BB358:BB360)</f>
        <v>1</v>
      </c>
      <c r="BC357" s="564" t="s">
        <v>381</v>
      </c>
      <c r="BE357" s="381"/>
      <c r="BF357" s="166">
        <f>SUMIF($D$5:$D$319,"=sos",BF5:BF319)+SUMIF($D$5:$D$319,"=som",BF5:BF319)+SUMIF($D$5:$D$319,"=sor",BF5:BF319)+SUMIF($D$5:$D$319,"=soz",BF5:BF319)</f>
        <v>0</v>
      </c>
      <c r="BH357" s="166">
        <f>SUMIF($D$5:$D$319,"=sos",BH5:BH319)+SUMIF($D$5:$D$319,"=som",BH5:BH319)+SUMIF($D$5:$D$319,"=sor",BH5:BH319)+SUMIF($D$5:$D$319,"=soz",BH5:BH319)</f>
        <v>0</v>
      </c>
      <c r="BJ357" s="90">
        <f t="shared" ref="BJ357" si="1048">SUM(BJ358:BJ360)</f>
        <v>1.000000272576117</v>
      </c>
      <c r="BK357" s="166">
        <f>ROUND(BM357*HLOOKUP(BK322,Grund_zins,2,FALSE),2)</f>
        <v>36687</v>
      </c>
      <c r="BL357" s="166">
        <f>SUMIF($D$5:$D$319,"=sos",BL5:BL319)+SUMIF($D$5:$D$319,"=som",BL5:BL319)+SUMIF($D$5:$D$319,"=sor",BL5:BL319)+SUMIF($D$5:$D$319,"=soz",BL5:BL319)</f>
        <v>68250</v>
      </c>
      <c r="BM357" s="166">
        <f t="shared" si="964"/>
        <v>1048200</v>
      </c>
      <c r="BN357" s="166">
        <f>SUMIF($D$5:$D$319,"=sos",BN5:BN319)+SUMIF($D$5:$D$319,"=som",BN5:BN319)+SUMIF($D$5:$D$319,"=sor",BN5:BN319)+SUMIF($D$5:$D$319,"=soz",BN5:BN319)</f>
        <v>1014075</v>
      </c>
      <c r="BO357" s="90">
        <f t="shared" ref="BO357" si="1049">SUM(BO358:BO360)</f>
        <v>1</v>
      </c>
      <c r="BP357" s="564" t="s">
        <v>381</v>
      </c>
      <c r="BR357" s="381"/>
      <c r="BS357" s="166">
        <f>SUMIF($D$5:$D$319,"=sos",BS5:BS319)+SUMIF($D$5:$D$319,"=som",BS5:BS319)+SUMIF($D$5:$D$319,"=sor",BS5:BS319)+SUMIF($D$5:$D$319,"=soz",BS5:BS319)</f>
        <v>0</v>
      </c>
      <c r="BU357" s="166">
        <f>SUMIF($D$5:$D$319,"=sos",BU5:BU319)+SUMIF($D$5:$D$319,"=som",BU5:BU319)+SUMIF($D$5:$D$319,"=sor",BU5:BU319)+SUMIF($D$5:$D$319,"=soz",BU5:BU319)</f>
        <v>0</v>
      </c>
      <c r="BW357" s="90">
        <f t="shared" ref="BW357" si="1050">SUM(BW358:BW360)</f>
        <v>1</v>
      </c>
      <c r="BX357" s="166">
        <f>ROUND(BZ357*HLOOKUP(BX322,Grund_zins,2,FALSE),2)</f>
        <v>34347.69</v>
      </c>
      <c r="BY357" s="166">
        <f>SUMIF($D$5:$D$319,"=sos",BY5:BY319)+SUMIF($D$5:$D$319,"=som",BY5:BY319)+SUMIF($D$5:$D$319,"=sor",BY5:BY319)+SUMIF($D$5:$D$319,"=soz",BY5:BY319)</f>
        <v>65425</v>
      </c>
      <c r="BZ357" s="166">
        <f t="shared" si="965"/>
        <v>981362.5</v>
      </c>
      <c r="CA357" s="166">
        <f>SUMIF($D$5:$D$319,"=sos",CA5:CA319)+SUMIF($D$5:$D$319,"=som",CA5:CA319)+SUMIF($D$5:$D$319,"=sor",CA5:CA319)+SUMIF($D$5:$D$319,"=soz",CA5:CA319)</f>
        <v>948650</v>
      </c>
      <c r="CB357" s="90">
        <f t="shared" ref="CB357" si="1051">SUM(CB358:CB360)</f>
        <v>1</v>
      </c>
      <c r="CC357" s="564" t="s">
        <v>381</v>
      </c>
      <c r="CE357" s="381"/>
      <c r="CF357" s="166">
        <f>SUMIF($D$5:$D$319,"=sos",CF5:CF319)+SUMIF($D$5:$D$319,"=som",CF5:CF319)+SUMIF($D$5:$D$319,"=sor",CF5:CF319)+SUMIF($D$5:$D$319,"=soz",CF5:CF319)</f>
        <v>0</v>
      </c>
      <c r="CH357" s="166">
        <f>SUMIF($D$5:$D$319,"=sos",CH5:CH319)+SUMIF($D$5:$D$319,"=som",CH5:CH319)+SUMIF($D$5:$D$319,"=sor",CH5:CH319)+SUMIF($D$5:$D$319,"=soz",CH5:CH319)</f>
        <v>0</v>
      </c>
      <c r="CJ357" s="90">
        <f t="shared" ref="CJ357" si="1052">SUM(CJ358:CJ360)</f>
        <v>0.99999999999999989</v>
      </c>
      <c r="CK357" s="166">
        <f>ROUND(CM357*HLOOKUP(CK322,Grund_zins,2,FALSE),2)</f>
        <v>27546.75</v>
      </c>
      <c r="CL357" s="166">
        <f>SUMIF($D$5:$D$319,"=sos",CL5:CL319)+SUMIF($D$5:$D$319,"=som",CL5:CL319)+SUMIF($D$5:$D$319,"=sor",CL5:CL319)+SUMIF($D$5:$D$319,"=soz",CL5:CL319)</f>
        <v>60850</v>
      </c>
      <c r="CM357" s="166">
        <f t="shared" si="966"/>
        <v>918225</v>
      </c>
      <c r="CN357" s="166">
        <f>SUMIF($D$5:$D$319,"=sos",CN5:CN319)+SUMIF($D$5:$D$319,"=som",CN5:CN319)+SUMIF($D$5:$D$319,"=sor",CN5:CN319)+SUMIF($D$5:$D$319,"=soz",CN5:CN319)</f>
        <v>887800</v>
      </c>
      <c r="CO357" s="90">
        <f t="shared" ref="CO357" si="1053">SUM(CO358:CO360)</f>
        <v>1</v>
      </c>
      <c r="CP357" s="564" t="s">
        <v>381</v>
      </c>
      <c r="CR357" s="381"/>
      <c r="CS357" s="166">
        <f>SUMIF($D$5:$D$319,"=sos",CS5:CS319)+SUMIF($D$5:$D$319,"=som",CS5:CS319)+SUMIF($D$5:$D$319,"=sor",CS5:CS319)+SUMIF($D$5:$D$319,"=soz",CS5:CS319)</f>
        <v>0</v>
      </c>
      <c r="CU357" s="166">
        <f>SUMIF($D$5:$D$319,"=sos",CU5:CU319)+SUMIF($D$5:$D$319,"=som",CU5:CU319)+SUMIF($D$5:$D$319,"=sor",CU5:CU319)+SUMIF($D$5:$D$319,"=soz",CU5:CU319)</f>
        <v>0</v>
      </c>
      <c r="CW357" s="90">
        <f t="shared" ref="CW357" si="1054">SUM(CW358:CW360)</f>
        <v>1.0000003883872219</v>
      </c>
      <c r="CX357" s="166">
        <f>ROUND(CZ357*HLOOKUP(CX322,Grund_zins,2,FALSE),2)</f>
        <v>25747.5</v>
      </c>
      <c r="CY357" s="166">
        <f>SUMIF($D$5:$D$319,"=sos",CY5:CY319)+SUMIF($D$5:$D$319,"=som",CY5:CY319)+SUMIF($D$5:$D$319,"=sor",CY5:CY319)+SUMIF($D$5:$D$319,"=soz",CY5:CY319)</f>
        <v>59100</v>
      </c>
      <c r="CZ357" s="166">
        <f t="shared" si="967"/>
        <v>858250</v>
      </c>
      <c r="DA357" s="166">
        <f>SUMIF($D$5:$D$319,"=sos",DA5:DA319)+SUMIF($D$5:$D$319,"=som",DA5:DA319)+SUMIF($D$5:$D$319,"=sor",DA5:DA319)+SUMIF($D$5:$D$319,"=soz",DA5:DA319)</f>
        <v>828700</v>
      </c>
      <c r="DB357" s="90">
        <f t="shared" ref="DB357" si="1055">SUM(DB358:DB360)</f>
        <v>1</v>
      </c>
      <c r="DC357" s="564" t="s">
        <v>381</v>
      </c>
      <c r="DE357" s="381"/>
      <c r="DF357" s="166">
        <f>SUMIF($D$5:$D$319,"=sos",DF5:DF319)+SUMIF($D$5:$D$319,"=som",DF5:DF319)+SUMIF($D$5:$D$319,"=sor",DF5:DF319)+SUMIF($D$5:$D$319,"=soz",DF5:DF319)</f>
        <v>0</v>
      </c>
      <c r="DH357" s="166">
        <f>SUMIF($D$5:$D$319,"=sos",DH5:DH319)+SUMIF($D$5:$D$319,"=som",DH5:DH319)+SUMIF($D$5:$D$319,"=sor",DH5:DH319)+SUMIF($D$5:$D$319,"=soz",DH5:DH319)</f>
        <v>0</v>
      </c>
      <c r="DJ357" s="90">
        <f t="shared" ref="DJ357" si="1056">SUM(DJ358:DJ360)</f>
        <v>1</v>
      </c>
      <c r="DK357" s="166">
        <f>ROUND(DM357*HLOOKUP(DK322,Grund_zins,2,FALSE),2)</f>
        <v>23974.5</v>
      </c>
      <c r="DL357" s="166">
        <f>SUMIF($D$5:$D$319,"=sos",DL5:DL319)+SUMIF($D$5:$D$319,"=som",DL5:DL319)+SUMIF($D$5:$D$319,"=sor",DL5:DL319)+SUMIF($D$5:$D$319,"=soz",DL5:DL319)</f>
        <v>59100</v>
      </c>
      <c r="DM357" s="166">
        <f t="shared" si="968"/>
        <v>799150</v>
      </c>
      <c r="DN357" s="166">
        <f>SUMIF($D$5:$D$319,"=sos",DN5:DN319)+SUMIF($D$5:$D$319,"=som",DN5:DN319)+SUMIF($D$5:$D$319,"=sor",DN5:DN319)+SUMIF($D$5:$D$319,"=soz",DN5:DN319)</f>
        <v>769600</v>
      </c>
      <c r="DO357" s="90">
        <f t="shared" ref="DO357" si="1057">SUM(DO358:DO360)</f>
        <v>1</v>
      </c>
      <c r="DP357" s="564" t="s">
        <v>381</v>
      </c>
      <c r="DR357" s="381"/>
      <c r="DS357" s="166">
        <f>SUMIF($D$5:$D$319,"=sos",DS5:DS319)+SUMIF($D$5:$D$319,"=som",DS5:DS319)+SUMIF($D$5:$D$319,"=sor",DS5:DS319)+SUMIF($D$5:$D$319,"=soz",DS5:DS319)</f>
        <v>0</v>
      </c>
      <c r="DU357" s="166">
        <f>SUMIF($D$5:$D$319,"=sos",DU5:DU319)+SUMIF($D$5:$D$319,"=som",DU5:DU319)+SUMIF($D$5:$D$319,"=sor",DU5:DU319)+SUMIF($D$5:$D$319,"=soz",DU5:DU319)</f>
        <v>0</v>
      </c>
      <c r="DW357" s="90">
        <f t="shared" ref="DW357" si="1058">SUM(DW358:DW360)</f>
        <v>1.0000004504200166</v>
      </c>
      <c r="DX357" s="166">
        <f>ROUND(DZ357*HLOOKUP(DX322,Grund_zins,2,FALSE),2)</f>
        <v>22201.5</v>
      </c>
      <c r="DY357" s="166">
        <f>SUMIF($D$5:$D$319,"=sos",DY5:DY319)+SUMIF($D$5:$D$319,"=som",DY5:DY319)+SUMIF($D$5:$D$319,"=sor",DY5:DY319)+SUMIF($D$5:$D$319,"=soz",DY5:DY319)</f>
        <v>59100</v>
      </c>
      <c r="DZ357" s="166">
        <f t="shared" si="969"/>
        <v>740050</v>
      </c>
      <c r="EA357" s="166">
        <f>SUMIF($D$5:$D$319,"=sos",EA5:EA319)+SUMIF($D$5:$D$319,"=som",EA5:EA319)+SUMIF($D$5:$D$319,"=sor",EA5:EA319)+SUMIF($D$5:$D$319,"=soz",EA5:EA319)</f>
        <v>710500</v>
      </c>
      <c r="EB357" s="90">
        <f t="shared" ref="EB357" si="1059">SUM(EB358:EB360)</f>
        <v>1</v>
      </c>
      <c r="EC357" s="564" t="s">
        <v>381</v>
      </c>
    </row>
    <row r="358" spans="1:133" s="10" customFormat="1" ht="15" customHeight="1" x14ac:dyDescent="0.35">
      <c r="A358" s="565" t="s">
        <v>169</v>
      </c>
      <c r="Q358" s="225">
        <v>37</v>
      </c>
      <c r="R358" s="381"/>
      <c r="S358" s="166">
        <f>SUMIF($D$5:$D$319,"=sos",S5:S319)*HLOOKUP(X322,Verteil_sw,17,FALSE)+SUMIF($D$5:$D$319,"=som",S5:S319)*HLOOKUP(X322,Verteil_sw,18,FALSE)+SUMIF($D$5:$D$319,"=sor",S5:S319)*HLOOKUP(X322,Verteil_sw,19,FALSE)+SUMIF($D$5:$D$319,"=soz",S5:S319)*HLOOKUP(X322,Verteil_sw,20,FALSE)</f>
        <v>0</v>
      </c>
      <c r="U358" s="166">
        <f>SUMIF($D$5:$D$319,"=sos",U5:U319)*HLOOKUP(X322,Verteil_sw,17,FALSE)+SUMIF($D$5:$D$319,"=som",U5:U319)*HLOOKUP(X322,Verteil_sw,18,FALSE)+SUMIF($D$5:$D$319,"=sor",U5:U319)*HLOOKUP(X322,Verteil_sw,19,FALSE)+SUMIF($D$5:$D$319,"=soz",U5:U319)*HLOOKUP(X322,Verteil_sw,20,FALSE)</f>
        <v>0</v>
      </c>
      <c r="W358" s="90">
        <f t="shared" ref="W358" si="1060">IF(X357&lt;&gt;0,X358/X357,0)</f>
        <v>0.56502049377271979</v>
      </c>
      <c r="X358" s="166">
        <f>ROUND(Z358*HLOOKUP(X322,Grund_zins,2,FALSE),2)</f>
        <v>24985.63</v>
      </c>
      <c r="Y358" s="166">
        <f>SUMIF($D$5:$D$319,"=sos",Y5:Y319)*HLOOKUP(X322,Verteil_sw,17,FALSE)+SUMIF($D$5:$D$319,"=som",Y5:Y319)*HLOOKUP(X322,Verteil_sw,18,FALSE)+SUMIF($D$5:$D$319,"=sor",Y5:Y319)*HLOOKUP(X322,Verteil_sw,19,FALSE)+SUMIF($D$5:$D$319,"=soz",Y5:Y319)*HLOOKUP(X322,Verteil_sw,20,FALSE)</f>
        <v>40775</v>
      </c>
      <c r="Z358" s="166">
        <f t="shared" si="961"/>
        <v>713875</v>
      </c>
      <c r="AA358" s="166">
        <f>SUMIF($D$5:$D$319,"=sos",AA5:AA319)*HLOOKUP(X322,Verteil_sw,17,FALSE)+SUMIF($D$5:$D$319,"=som",AA5:AA319)*HLOOKUP(X322,Verteil_sw,18,FALSE)+SUMIF($D$5:$D$319,"=sor",AA5:AA319)*HLOOKUP(X322,Verteil_sw,19,FALSE)+SUMIF($D$5:$D$319,"=soz",AA5:AA319)*HLOOKUP(X322,Verteil_sw,20,FALSE)</f>
        <v>693487.5</v>
      </c>
      <c r="AB358" s="90">
        <f t="shared" ref="AB358" si="1061">IF(AA357&lt;&gt;0,AA358/AA357,0)</f>
        <v>0.56532770848618241</v>
      </c>
      <c r="AC358" s="565" t="s">
        <v>169</v>
      </c>
      <c r="AE358" s="381"/>
      <c r="AF358" s="166">
        <f>SUMIF($D$5:$D$319,"=sos",AF5:AF319)*HLOOKUP(AK322,Verteil_sw,17,FALSE)+SUMIF($D$5:$D$319,"=som",AF5:AF319)*HLOOKUP(AK322,Verteil_sw,18,FALSE)+SUMIF($D$5:$D$319,"=sor",AF5:AF319)*HLOOKUP(AK322,Verteil_sw,19,FALSE)+SUMIF($D$5:$D$319,"=soz",AF5:AF319)*HLOOKUP(AK322,Verteil_sw,20,FALSE)</f>
        <v>0</v>
      </c>
      <c r="AH358" s="166">
        <f>SUMIF($D$5:$D$319,"=sos",AH5:AH319)*HLOOKUP(AK322,Verteil_sw,17,FALSE)+SUMIF($D$5:$D$319,"=som",AH5:AH319)*HLOOKUP(AK322,Verteil_sw,18,FALSE)+SUMIF($D$5:$D$319,"=sor",AH5:AH319)*HLOOKUP(AK322,Verteil_sw,19,FALSE)+SUMIF($D$5:$D$319,"=soz",AH5:AH319)*HLOOKUP(AK322,Verteil_sw,20,FALSE)</f>
        <v>0</v>
      </c>
      <c r="AJ358" s="90">
        <f t="shared" ref="AJ358" si="1062">IF(AK357&lt;&gt;0,AK358/AK357,0)</f>
        <v>0.56565401907643176</v>
      </c>
      <c r="AK358" s="166">
        <f>ROUND(AM358*HLOOKUP(AK322,Grund_zins,2,FALSE),2)</f>
        <v>23558.5</v>
      </c>
      <c r="AL358" s="166">
        <f>SUMIF($D$5:$D$319,"=sos",AL5:AL319)*HLOOKUP(AK322,Verteil_sw,17,FALSE)+SUMIF($D$5:$D$319,"=som",AL5:AL319)*HLOOKUP(AK322,Verteil_sw,18,FALSE)+SUMIF($D$5:$D$319,"=sor",AL5:AL319)*HLOOKUP(AK322,Verteil_sw,19,FALSE)+SUMIF($D$5:$D$319,"=soz",AL5:AL319)*HLOOKUP(AK322,Verteil_sw,20,FALSE)</f>
        <v>40775</v>
      </c>
      <c r="AM358" s="166">
        <f t="shared" si="962"/>
        <v>673100</v>
      </c>
      <c r="AN358" s="166">
        <f>SUMIF($D$5:$D$319,"=sos",AN5:AN319)*HLOOKUP(AK322,Verteil_sw,17,FALSE)+SUMIF($D$5:$D$319,"=som",AN5:AN319)*HLOOKUP(AK322,Verteil_sw,18,FALSE)+SUMIF($D$5:$D$319,"=sor",AN5:AN319)*HLOOKUP(AK322,Verteil_sw,19,FALSE)+SUMIF($D$5:$D$319,"=soz",AN5:AN319)*HLOOKUP(AK322,Verteil_sw,20,FALSE)</f>
        <v>652712.5</v>
      </c>
      <c r="AO358" s="90">
        <f t="shared" ref="AO358" si="1063">IF(AN357&lt;&gt;0,AN358/AN357,0)</f>
        <v>0.56600112729795349</v>
      </c>
      <c r="AP358" s="565" t="s">
        <v>169</v>
      </c>
      <c r="AR358" s="381"/>
      <c r="AS358" s="166">
        <f>SUMIF($D$5:$D$319,"=sos",AS5:AS319)*HLOOKUP(AX322,Verteil_sw,17,FALSE)+SUMIF($D$5:$D$319,"=som",AS5:AS319)*HLOOKUP(AX322,Verteil_sw,18,FALSE)+SUMIF($D$5:$D$319,"=sor",AS5:AS319)*HLOOKUP(AX322,Verteil_sw,19,FALSE)+SUMIF($D$5:$D$319,"=soz",AS5:AS319)*HLOOKUP(AX322,Verteil_sw,20,FALSE)</f>
        <v>0</v>
      </c>
      <c r="AU358" s="166">
        <f>SUMIF($D$5:$D$319,"=sos",AU5:AU319)*HLOOKUP(AX322,Verteil_sw,17,FALSE)+SUMIF($D$5:$D$319,"=som",AU5:AU319)*HLOOKUP(AX322,Verteil_sw,18,FALSE)+SUMIF($D$5:$D$319,"=sor",AU5:AU319)*HLOOKUP(AX322,Verteil_sw,19,FALSE)+SUMIF($D$5:$D$319,"=soz",AU5:AU319)*HLOOKUP(AX322,Verteil_sw,20,FALSE)</f>
        <v>0</v>
      </c>
      <c r="AW358" s="90">
        <f t="shared" ref="AW358" si="1064">IF(AX357&lt;&gt;0,AX358/AX357,0)</f>
        <v>0.56629302057247521</v>
      </c>
      <c r="AX358" s="166">
        <f>ROUND(AZ358*HLOOKUP(AX322,Grund_zins,2,FALSE),2)</f>
        <v>22154.34</v>
      </c>
      <c r="AY358" s="166">
        <f>SUMIF($D$5:$D$319,"=sos",AY5:AY319)*HLOOKUP(AX322,Verteil_sw,17,FALSE)+SUMIF($D$5:$D$319,"=som",AY5:AY319)*HLOOKUP(AX322,Verteil_sw,18,FALSE)+SUMIF($D$5:$D$319,"=sor",AY5:AY319)*HLOOKUP(AX322,Verteil_sw,19,FALSE)+SUMIF($D$5:$D$319,"=soz",AY5:AY319)*HLOOKUP(AX322,Verteil_sw,20,FALSE)</f>
        <v>39462.5</v>
      </c>
      <c r="AZ358" s="166">
        <f t="shared" si="963"/>
        <v>632981.25</v>
      </c>
      <c r="BA358" s="166">
        <f>SUMIF($D$5:$D$319,"=sos",BA5:BA319)*HLOOKUP(AX322,Verteil_sw,17,FALSE)+SUMIF($D$5:$D$319,"=som",BA5:BA319)*HLOOKUP(AX322,Verteil_sw,18,FALSE)+SUMIF($D$5:$D$319,"=sor",BA5:BA319)*HLOOKUP(AX322,Verteil_sw,19,FALSE)+SUMIF($D$5:$D$319,"=soz",BA5:BA319)*HLOOKUP(AX322,Verteil_sw,20,FALSE)</f>
        <v>613250</v>
      </c>
      <c r="BB358" s="90">
        <f t="shared" ref="BB358" si="1065">IF(BA357&lt;&gt;0,BA358/BA357,0)</f>
        <v>0.5666043009262467</v>
      </c>
      <c r="BC358" s="565" t="s">
        <v>169</v>
      </c>
      <c r="BE358" s="381"/>
      <c r="BF358" s="166">
        <f>SUMIF($D$5:$D$319,"=sos",BF5:BF319)*HLOOKUP(BK322,Verteil_sw,17,FALSE)+SUMIF($D$5:$D$319,"=som",BF5:BF319)*HLOOKUP(BK322,Verteil_sw,18,FALSE)+SUMIF($D$5:$D$319,"=sor",BF5:BF319)*HLOOKUP(BK322,Verteil_sw,19,FALSE)+SUMIF($D$5:$D$319,"=soz",BF5:BF319)*HLOOKUP(BK322,Verteil_sw,20,FALSE)</f>
        <v>0</v>
      </c>
      <c r="BH358" s="166">
        <f>SUMIF($D$5:$D$319,"=sos",BH5:BH319)*HLOOKUP(BK322,Verteil_sw,17,FALSE)+SUMIF($D$5:$D$319,"=som",BH5:BH319)*HLOOKUP(BK322,Verteil_sw,18,FALSE)+SUMIF($D$5:$D$319,"=sor",BH5:BH319)*HLOOKUP(BK322,Verteil_sw,19,FALSE)+SUMIF($D$5:$D$319,"=soz",BH5:BH319)*HLOOKUP(BK322,Verteil_sw,20,FALSE)</f>
        <v>0</v>
      </c>
      <c r="BJ358" s="90">
        <f t="shared" ref="BJ358" si="1066">IF(BK357&lt;&gt;0,BK358/BK357,0)</f>
        <v>0.56685283615449622</v>
      </c>
      <c r="BK358" s="166">
        <f>ROUND(BM358*HLOOKUP(BK322,Grund_zins,2,FALSE),2)</f>
        <v>20796.13</v>
      </c>
      <c r="BL358" s="166">
        <f>SUMIF($D$5:$D$319,"=sos",BL5:BL319)*HLOOKUP(BK322,Verteil_sw,17,FALSE)+SUMIF($D$5:$D$319,"=som",BL5:BL319)*HLOOKUP(BK322,Verteil_sw,18,FALSE)+SUMIF($D$5:$D$319,"=sor",BL5:BL319)*HLOOKUP(BK322,Verteil_sw,19,FALSE)+SUMIF($D$5:$D$319,"=soz",BL5:BL319)*HLOOKUP(BK322,Verteil_sw,20,FALSE)</f>
        <v>38150</v>
      </c>
      <c r="BM358" s="166">
        <f t="shared" si="964"/>
        <v>594175</v>
      </c>
      <c r="BN358" s="166">
        <f>SUMIF($D$5:$D$319,"=sos",BN5:BN319)*HLOOKUP(BK322,Verteil_sw,17,FALSE)+SUMIF($D$5:$D$319,"=som",BN5:BN319)*HLOOKUP(BK322,Verteil_sw,18,FALSE)+SUMIF($D$5:$D$319,"=sor",BN5:BN319)*HLOOKUP(BK322,Verteil_sw,19,FALSE)+SUMIF($D$5:$D$319,"=soz",BN5:BN319)*HLOOKUP(BK322,Verteil_sw,20,FALSE)</f>
        <v>575100</v>
      </c>
      <c r="BO358" s="90">
        <f t="shared" ref="BO358" si="1067">IF(BN357&lt;&gt;0,BN358/BN357,0)</f>
        <v>0.56711781672953188</v>
      </c>
      <c r="BP358" s="565" t="s">
        <v>169</v>
      </c>
      <c r="BR358" s="381"/>
      <c r="BS358" s="166">
        <f>SUMIF($D$5:$D$319,"=sos",BS5:BS319)*HLOOKUP(BX322,Verteil_sw,17,FALSE)+SUMIF($D$5:$D$319,"=som",BS5:BS319)*HLOOKUP(BX322,Verteil_sw,18,FALSE)+SUMIF($D$5:$D$319,"=sor",BS5:BS319)*HLOOKUP(BX322,Verteil_sw,19,FALSE)+SUMIF($D$5:$D$319,"=soz",BS5:BS319)*HLOOKUP(BX322,Verteil_sw,20,FALSE)</f>
        <v>0</v>
      </c>
      <c r="BU358" s="166">
        <f>SUMIF($D$5:$D$319,"=sos",BU5:BU319)*HLOOKUP(BX322,Verteil_sw,17,FALSE)+SUMIF($D$5:$D$319,"=som",BU5:BU319)*HLOOKUP(BX322,Verteil_sw,18,FALSE)+SUMIF($D$5:$D$319,"=sor",BU5:BU319)*HLOOKUP(BX322,Verteil_sw,19,FALSE)+SUMIF($D$5:$D$319,"=soz",BU5:BU319)*HLOOKUP(BX322,Verteil_sw,20,FALSE)</f>
        <v>0</v>
      </c>
      <c r="BW358" s="90">
        <f t="shared" ref="BW358" si="1068">IF(BX357&lt;&gt;0,BX358/BX357,0)</f>
        <v>0.56730423501551341</v>
      </c>
      <c r="BX358" s="166">
        <f>ROUND(BZ358*HLOOKUP(BX322,Grund_zins,2,FALSE),2)</f>
        <v>19485.59</v>
      </c>
      <c r="BY358" s="166">
        <f>SUMIF($D$5:$D$319,"=sos",BY5:BY319)*HLOOKUP(BX322,Verteil_sw,17,FALSE)+SUMIF($D$5:$D$319,"=som",BY5:BY319)*HLOOKUP(BX322,Verteil_sw,18,FALSE)+SUMIF($D$5:$D$319,"=sor",BY5:BY319)*HLOOKUP(BX322,Verteil_sw,19,FALSE)+SUMIF($D$5:$D$319,"=soz",BY5:BY319)*HLOOKUP(BX322,Verteil_sw,20,FALSE)</f>
        <v>36737.5</v>
      </c>
      <c r="BZ358" s="166">
        <f t="shared" si="965"/>
        <v>556731.25</v>
      </c>
      <c r="CA358" s="166">
        <f>SUMIF($D$5:$D$319,"=sos",CA5:CA319)*HLOOKUP(BX322,Verteil_sw,17,FALSE)+SUMIF($D$5:$D$319,"=som",CA5:CA319)*HLOOKUP(BX322,Verteil_sw,18,FALSE)+SUMIF($D$5:$D$319,"=sor",CA5:CA319)*HLOOKUP(BX322,Verteil_sw,19,FALSE)+SUMIF($D$5:$D$319,"=soz",CA5:CA319)*HLOOKUP(BX322,Verteil_sw,20,FALSE)</f>
        <v>538362.5</v>
      </c>
      <c r="CB358" s="90">
        <f t="shared" ref="CB358" si="1069">IF(CA357&lt;&gt;0,CA358/CA357,0)</f>
        <v>0.56750382121962795</v>
      </c>
      <c r="CC358" s="565" t="s">
        <v>169</v>
      </c>
      <c r="CE358" s="381"/>
      <c r="CF358" s="166">
        <f>SUMIF($D$5:$D$319,"=sos",CF5:CF319)*HLOOKUP(CK322,Verteil_sw,17,FALSE)+SUMIF($D$5:$D$319,"=som",CF5:CF319)*HLOOKUP(CK322,Verteil_sw,18,FALSE)+SUMIF($D$5:$D$319,"=sor",CF5:CF319)*HLOOKUP(CK322,Verteil_sw,19,FALSE)+SUMIF($D$5:$D$319,"=soz",CF5:CF319)*HLOOKUP(CK322,Verteil_sw,20,FALSE)</f>
        <v>0</v>
      </c>
      <c r="CH358" s="166">
        <f>SUMIF($D$5:$D$319,"=sos",CH5:CH319)*HLOOKUP(CK322,Verteil_sw,17,FALSE)+SUMIF($D$5:$D$319,"=som",CH5:CH319)*HLOOKUP(CK322,Verteil_sw,18,FALSE)+SUMIF($D$5:$D$319,"=sor",CH5:CH319)*HLOOKUP(CK322,Verteil_sw,19,FALSE)+SUMIF($D$5:$D$319,"=soz",CH5:CH319)*HLOOKUP(CK322,Verteil_sw,20,FALSE)</f>
        <v>0</v>
      </c>
      <c r="CJ358" s="90">
        <f t="shared" ref="CJ358" si="1070">IF(CK357&lt;&gt;0,CK358/CK357,0)</f>
        <v>0.56754898490747541</v>
      </c>
      <c r="CK358" s="166">
        <f>ROUND(CM358*HLOOKUP(CK322,Grund_zins,2,FALSE),2)</f>
        <v>15634.13</v>
      </c>
      <c r="CL358" s="166">
        <f>SUMIF($D$5:$D$319,"=sos",CL5:CL319)*HLOOKUP(CK322,Verteil_sw,17,FALSE)+SUMIF($D$5:$D$319,"=som",CL5:CL319)*HLOOKUP(CK322,Verteil_sw,18,FALSE)+SUMIF($D$5:$D$319,"=sor",CL5:CL319)*HLOOKUP(CK322,Verteil_sw,19,FALSE)+SUMIF($D$5:$D$319,"=soz",CL5:CL319)*HLOOKUP(CK322,Verteil_sw,20,FALSE)</f>
        <v>34450</v>
      </c>
      <c r="CM358" s="166">
        <f t="shared" si="966"/>
        <v>521137.5</v>
      </c>
      <c r="CN358" s="166">
        <f>SUMIF($D$5:$D$319,"=sos",CN5:CN319)*HLOOKUP(CK322,Verteil_sw,17,FALSE)+SUMIF($D$5:$D$319,"=som",CN5:CN319)*HLOOKUP(CK322,Verteil_sw,18,FALSE)+SUMIF($D$5:$D$319,"=sor",CN5:CN319)*HLOOKUP(CK322,Verteil_sw,19,FALSE)+SUMIF($D$5:$D$319,"=soz",CN5:CN319)*HLOOKUP(CK322,Verteil_sw,20,FALSE)</f>
        <v>503912.5</v>
      </c>
      <c r="CO358" s="90">
        <f t="shared" ref="CO358" si="1071">IF(CN357&lt;&gt;0,CN358/CN357,0)</f>
        <v>0.56759686866411352</v>
      </c>
      <c r="CP358" s="565" t="s">
        <v>169</v>
      </c>
      <c r="CR358" s="381"/>
      <c r="CS358" s="166">
        <f>SUMIF($D$5:$D$319,"=sos",CS5:CS319)*HLOOKUP(CX322,Verteil_sw,17,FALSE)+SUMIF($D$5:$D$319,"=som",CS5:CS319)*HLOOKUP(CX322,Verteil_sw,18,FALSE)+SUMIF($D$5:$D$319,"=sor",CS5:CS319)*HLOOKUP(CX322,Verteil_sw,19,FALSE)+SUMIF($D$5:$D$319,"=soz",CS5:CS319)*HLOOKUP(CX322,Verteil_sw,20,FALSE)</f>
        <v>0</v>
      </c>
      <c r="CU358" s="166">
        <f>SUMIF($D$5:$D$319,"=sos",CU5:CU319)*HLOOKUP(CX322,Verteil_sw,17,FALSE)+SUMIF($D$5:$D$319,"=som",CU5:CU319)*HLOOKUP(CX322,Verteil_sw,18,FALSE)+SUMIF($D$5:$D$319,"=sor",CU5:CU319)*HLOOKUP(CX322,Verteil_sw,19,FALSE)+SUMIF($D$5:$D$319,"=soz",CU5:CU319)*HLOOKUP(CX322,Verteil_sw,20,FALSE)</f>
        <v>0</v>
      </c>
      <c r="CW358" s="90">
        <f t="shared" ref="CW358" si="1072">IF(CX357&lt;&gt;0,CX358/CX357,0)</f>
        <v>0.56757937663850855</v>
      </c>
      <c r="CX358" s="166">
        <f>ROUND(CZ358*HLOOKUP(CX322,Grund_zins,2,FALSE),2)</f>
        <v>14613.75</v>
      </c>
      <c r="CY358" s="166">
        <f>SUMIF($D$5:$D$319,"=sos",CY5:CY319)*HLOOKUP(CX322,Verteil_sw,17,FALSE)+SUMIF($D$5:$D$319,"=som",CY5:CY319)*HLOOKUP(CX322,Verteil_sw,18,FALSE)+SUMIF($D$5:$D$319,"=sor",CY5:CY319)*HLOOKUP(CX322,Verteil_sw,19,FALSE)+SUMIF($D$5:$D$319,"=soz",CY5:CY319)*HLOOKUP(CX322,Verteil_sw,20,FALSE)</f>
        <v>33575</v>
      </c>
      <c r="CZ358" s="166">
        <f t="shared" si="967"/>
        <v>487125</v>
      </c>
      <c r="DA358" s="166">
        <f>SUMIF($D$5:$D$319,"=sos",DA5:DA319)*HLOOKUP(CX322,Verteil_sw,17,FALSE)+SUMIF($D$5:$D$319,"=som",DA5:DA319)*HLOOKUP(CX322,Verteil_sw,18,FALSE)+SUMIF($D$5:$D$319,"=sor",DA5:DA319)*HLOOKUP(CX322,Verteil_sw,19,FALSE)+SUMIF($D$5:$D$319,"=soz",DA5:DA319)*HLOOKUP(CX322,Verteil_sw,20,FALSE)</f>
        <v>470337.5</v>
      </c>
      <c r="DB358" s="90">
        <f t="shared" ref="DB358" si="1073">IF(DA357&lt;&gt;0,DA358/DA357,0)</f>
        <v>0.56756063714251237</v>
      </c>
      <c r="DC358" s="565" t="s">
        <v>169</v>
      </c>
      <c r="DE358" s="381"/>
      <c r="DF358" s="166">
        <f>SUMIF($D$5:$D$319,"=sos",DF5:DF319)*HLOOKUP(DK322,Verteil_sw,17,FALSE)+SUMIF($D$5:$D$319,"=som",DF5:DF319)*HLOOKUP(DK322,Verteil_sw,18,FALSE)+SUMIF($D$5:$D$319,"=sor",DF5:DF319)*HLOOKUP(DK322,Verteil_sw,19,FALSE)+SUMIF($D$5:$D$319,"=soz",DF5:DF319)*HLOOKUP(DK322,Verteil_sw,20,FALSE)</f>
        <v>0</v>
      </c>
      <c r="DH358" s="166">
        <f>SUMIF($D$5:$D$319,"=sos",DH5:DH319)*HLOOKUP(DK322,Verteil_sw,17,FALSE)+SUMIF($D$5:$D$319,"=som",DH5:DH319)*HLOOKUP(DK322,Verteil_sw,18,FALSE)+SUMIF($D$5:$D$319,"=sor",DH5:DH319)*HLOOKUP(DK322,Verteil_sw,19,FALSE)+SUMIF($D$5:$D$319,"=soz",DH5:DH319)*HLOOKUP(DK322,Verteil_sw,20,FALSE)</f>
        <v>0</v>
      </c>
      <c r="DJ358" s="90">
        <f t="shared" ref="DJ358" si="1074">IF(DK357&lt;&gt;0,DK358/DK357,0)</f>
        <v>0.56754051179378084</v>
      </c>
      <c r="DK358" s="166">
        <f>ROUND(DM358*HLOOKUP(DK322,Grund_zins,2,FALSE),2)</f>
        <v>13606.5</v>
      </c>
      <c r="DL358" s="166">
        <f>SUMIF($D$5:$D$319,"=sos",DL5:DL319)*HLOOKUP(DK322,Verteil_sw,17,FALSE)+SUMIF($D$5:$D$319,"=som",DL5:DL319)*HLOOKUP(DK322,Verteil_sw,18,FALSE)+SUMIF($D$5:$D$319,"=sor",DL5:DL319)*HLOOKUP(DK322,Verteil_sw,19,FALSE)+SUMIF($D$5:$D$319,"=soz",DL5:DL319)*HLOOKUP(DK322,Verteil_sw,20,FALSE)</f>
        <v>33575</v>
      </c>
      <c r="DM358" s="166">
        <f t="shared" si="968"/>
        <v>453550</v>
      </c>
      <c r="DN358" s="166">
        <f>SUMIF($D$5:$D$319,"=sos",DN5:DN319)*HLOOKUP(DK322,Verteil_sw,17,FALSE)+SUMIF($D$5:$D$319,"=som",DN5:DN319)*HLOOKUP(DK322,Verteil_sw,18,FALSE)+SUMIF($D$5:$D$319,"=sor",DN5:DN319)*HLOOKUP(DK322,Verteil_sw,19,FALSE)+SUMIF($D$5:$D$319,"=soz",DN5:DN319)*HLOOKUP(DK322,Verteil_sw,20,FALSE)</f>
        <v>436762.5</v>
      </c>
      <c r="DO358" s="90">
        <f t="shared" ref="DO358" si="1075">IF(DN357&lt;&gt;0,DN358/DN357,0)</f>
        <v>0.56751884095634098</v>
      </c>
      <c r="DP358" s="565" t="s">
        <v>169</v>
      </c>
      <c r="DR358" s="381"/>
      <c r="DS358" s="166">
        <f>SUMIF($D$5:$D$319,"=sos",DS5:DS319)*HLOOKUP(DX322,Verteil_sw,17,FALSE)+SUMIF($D$5:$D$319,"=som",DS5:DS319)*HLOOKUP(DX322,Verteil_sw,18,FALSE)+SUMIF($D$5:$D$319,"=sor",DS5:DS319)*HLOOKUP(DX322,Verteil_sw,19,FALSE)+SUMIF($D$5:$D$319,"=soz",DS5:DS319)*HLOOKUP(DX322,Verteil_sw,20,FALSE)</f>
        <v>0</v>
      </c>
      <c r="DU358" s="166">
        <f>SUMIF($D$5:$D$319,"=sos",DU5:DU319)*HLOOKUP(DX322,Verteil_sw,17,FALSE)+SUMIF($D$5:$D$319,"=som",DU5:DU319)*HLOOKUP(DX322,Verteil_sw,18,FALSE)+SUMIF($D$5:$D$319,"=sor",DU5:DU319)*HLOOKUP(DX322,Verteil_sw,19,FALSE)+SUMIF($D$5:$D$319,"=soz",DU5:DU319)*HLOOKUP(DX322,Verteil_sw,20,FALSE)</f>
        <v>0</v>
      </c>
      <c r="DW358" s="90">
        <f t="shared" ref="DW358" si="1076">IF(DX357&lt;&gt;0,DX358/DX357,0)</f>
        <v>0.56749543949733128</v>
      </c>
      <c r="DX358" s="166">
        <f>ROUND(DZ358*HLOOKUP(DX322,Grund_zins,2,FALSE),2)</f>
        <v>12599.25</v>
      </c>
      <c r="DY358" s="166">
        <f>SUMIF($D$5:$D$319,"=sos",DY5:DY319)*HLOOKUP(DX322,Verteil_sw,17,FALSE)+SUMIF($D$5:$D$319,"=som",DY5:DY319)*HLOOKUP(DX322,Verteil_sw,18,FALSE)+SUMIF($D$5:$D$319,"=sor",DY5:DY319)*HLOOKUP(DX322,Verteil_sw,19,FALSE)+SUMIF($D$5:$D$319,"=soz",DY5:DY319)*HLOOKUP(DX322,Verteil_sw,20,FALSE)</f>
        <v>33575</v>
      </c>
      <c r="DZ358" s="166">
        <f t="shared" si="969"/>
        <v>419975</v>
      </c>
      <c r="EA358" s="166">
        <f>SUMIF($D$5:$D$319,"=sos",EA5:EA319)*HLOOKUP(DX322,Verteil_sw,17,FALSE)+SUMIF($D$5:$D$319,"=som",EA5:EA319)*HLOOKUP(DX322,Verteil_sw,18,FALSE)+SUMIF($D$5:$D$319,"=sor",EA5:EA319)*HLOOKUP(DX322,Verteil_sw,19,FALSE)+SUMIF($D$5:$D$319,"=soz",EA5:EA319)*HLOOKUP(DX322,Verteil_sw,20,FALSE)</f>
        <v>403187.5</v>
      </c>
      <c r="EB358" s="90">
        <f t="shared" ref="EB358" si="1077">IF(EA357&lt;&gt;0,EA358/EA357,0)</f>
        <v>0.56747009148486982</v>
      </c>
      <c r="EC358" s="565" t="s">
        <v>169</v>
      </c>
    </row>
    <row r="359" spans="1:133" s="10" customFormat="1" ht="15" customHeight="1" x14ac:dyDescent="0.35">
      <c r="A359" s="565" t="s">
        <v>178</v>
      </c>
      <c r="Q359" s="225">
        <v>38</v>
      </c>
      <c r="R359" s="381"/>
      <c r="S359" s="166">
        <f>SUMIF($D$5:$D$319,"=sos",S5:S319)*HLOOKUP(X322,Verteil_rwgr,16,FALSE)+SUMIF($D$5:$D$319,"=som",S5:S319)*HLOOKUP(X322,Verteil_rwgr,17,FALSE)+SUMIF($D$5:$D$319,"=sor",S5:S319)*HLOOKUP(X322,Verteil_rwgr,18,FALSE)+SUMIF($D$5:$D$319,"=soz",S5:S319)*HLOOKUP(X322,Verteil_rwgr,19,FALSE)</f>
        <v>0</v>
      </c>
      <c r="U359" s="166">
        <f>SUMIF($D$5:$D$319,"=sos",U5:U319)*HLOOKUP(X322,Verteil_rwgr,16,FALSE)+SUMIF($D$5:$D$319,"=som",U5:U319)*HLOOKUP(X322,Verteil_rwgr,17,FALSE)+SUMIF($D$5:$D$319,"=sor",U5:U319)*HLOOKUP(X322,Verteil_rwgr,18,FALSE)+SUMIF($D$5:$D$319,"=soz",U5:U319)*HLOOKUP(X322,Verteil_rwgr,19,FALSE)</f>
        <v>0</v>
      </c>
      <c r="W359" s="90">
        <f t="shared" ref="W359" si="1078">IF(X357&lt;&gt;0,X359/X357,0)</f>
        <v>0.21748975311364008</v>
      </c>
      <c r="X359" s="166">
        <f>ROUND(Z359*HLOOKUP(X322,Grund_zins,2,FALSE),2)</f>
        <v>9617.56</v>
      </c>
      <c r="Y359" s="166">
        <f>SUMIF($D$5:$D$319,"=sos",Y5:Y319)*HLOOKUP(X322,Verteil_rwgr,16,FALSE)+SUMIF($D$5:$D$319,"=som",Y5:Y319)*HLOOKUP(X322,Verteil_rwgr,17,FALSE)+SUMIF($D$5:$D$319,"=sor",Y5:Y319)*HLOOKUP(X322,Verteil_rwgr,18,FALSE)+SUMIF($D$5:$D$319,"=soz",Y5:Y319)*HLOOKUP(X322,Verteil_rwgr,19,FALSE)</f>
        <v>16362.5</v>
      </c>
      <c r="Z359" s="166">
        <f t="shared" si="961"/>
        <v>274787.5</v>
      </c>
      <c r="AA359" s="166">
        <f>SUMIF($D$5:$D$319,"=sos",AA5:AA319)*HLOOKUP(X322,Verteil_rwgr,16,FALSE)+SUMIF($D$5:$D$319,"=som",AA5:AA319)*HLOOKUP(X322,Verteil_rwgr,17,FALSE)+SUMIF($D$5:$D$319,"=sor",AA5:AA319)*HLOOKUP(X322,Verteil_rwgr,18,FALSE)+SUMIF($D$5:$D$319,"=soz",AA5:AA319)*HLOOKUP(X322,Verteil_rwgr,19,FALSE)</f>
        <v>266606.25</v>
      </c>
      <c r="AB359" s="90">
        <f t="shared" ref="AB359" si="1079">IF(AA357&lt;&gt;0,AA359/AA357,0)</f>
        <v>0.21733614575690877</v>
      </c>
      <c r="AC359" s="565" t="s">
        <v>178</v>
      </c>
      <c r="AE359" s="381"/>
      <c r="AF359" s="166">
        <f>SUMIF($D$5:$D$319,"=sos",AF5:AF319)*HLOOKUP(AK322,Verteil_rwgr,16,FALSE)+SUMIF($D$5:$D$319,"=som",AF5:AF319)*HLOOKUP(AK322,Verteil_rwgr,17,FALSE)+SUMIF($D$5:$D$319,"=sor",AF5:AF319)*HLOOKUP(AK322,Verteil_rwgr,18,FALSE)+SUMIF($D$5:$D$319,"=soz",AF5:AF319)*HLOOKUP(AK322,Verteil_rwgr,19,FALSE)</f>
        <v>0</v>
      </c>
      <c r="AH359" s="166">
        <f>SUMIF($D$5:$D$319,"=sos",AH5:AH319)*HLOOKUP(AK322,Verteil_rwgr,16,FALSE)+SUMIF($D$5:$D$319,"=som",AH5:AH319)*HLOOKUP(AK322,Verteil_rwgr,17,FALSE)+SUMIF($D$5:$D$319,"=sor",AH5:AH319)*HLOOKUP(AK322,Verteil_rwgr,18,FALSE)+SUMIF($D$5:$D$319,"=soz",AH5:AH319)*HLOOKUP(AK322,Verteil_rwgr,19,FALSE)</f>
        <v>0</v>
      </c>
      <c r="AJ359" s="90">
        <f t="shared" ref="AJ359" si="1080">IF(AK357&lt;&gt;0,AK359/AK357,0)</f>
        <v>0.21717311051484756</v>
      </c>
      <c r="AK359" s="166">
        <f>ROUND(AM359*HLOOKUP(AK322,Grund_zins,2,FALSE),2)</f>
        <v>9044.8799999999992</v>
      </c>
      <c r="AL359" s="166">
        <f>SUMIF($D$5:$D$319,"=sos",AL5:AL319)*HLOOKUP(AK322,Verteil_rwgr,16,FALSE)+SUMIF($D$5:$D$319,"=som",AL5:AL319)*HLOOKUP(AK322,Verteil_rwgr,17,FALSE)+SUMIF($D$5:$D$319,"=sor",AL5:AL319)*HLOOKUP(AK322,Verteil_rwgr,18,FALSE)+SUMIF($D$5:$D$319,"=soz",AL5:AL319)*HLOOKUP(AK322,Verteil_rwgr,19,FALSE)</f>
        <v>16362.5</v>
      </c>
      <c r="AM359" s="166">
        <f t="shared" si="962"/>
        <v>258425</v>
      </c>
      <c r="AN359" s="166">
        <f>SUMIF($D$5:$D$319,"=sos",AN5:AN319)*HLOOKUP(AK322,Verteil_rwgr,16,FALSE)+SUMIF($D$5:$D$319,"=som",AN5:AN319)*HLOOKUP(AK322,Verteil_rwgr,17,FALSE)+SUMIF($D$5:$D$319,"=sor",AN5:AN319)*HLOOKUP(AK322,Verteil_rwgr,18,FALSE)+SUMIF($D$5:$D$319,"=soz",AN5:AN319)*HLOOKUP(AK322,Verteil_rwgr,19,FALSE)</f>
        <v>250243.75</v>
      </c>
      <c r="AO359" s="90">
        <f t="shared" ref="AO359" si="1081">IF(AN357&lt;&gt;0,AN359/AN357,0)</f>
        <v>0.21699943635102323</v>
      </c>
      <c r="AP359" s="565" t="s">
        <v>178</v>
      </c>
      <c r="AR359" s="381"/>
      <c r="AS359" s="166">
        <f>SUMIF($D$5:$D$319,"=sos",AS5:AS319)*HLOOKUP(AX322,Verteil_rwgr,16,FALSE)+SUMIF($D$5:$D$319,"=som",AS5:AS319)*HLOOKUP(AX322,Verteil_rwgr,17,FALSE)+SUMIF($D$5:$D$319,"=sor",AS5:AS319)*HLOOKUP(AX322,Verteil_rwgr,18,FALSE)+SUMIF($D$5:$D$319,"=soz",AS5:AS319)*HLOOKUP(AX322,Verteil_rwgr,19,FALSE)</f>
        <v>0</v>
      </c>
      <c r="AU359" s="166">
        <f>SUMIF($D$5:$D$319,"=sos",AU5:AU319)*HLOOKUP(AX322,Verteil_rwgr,16,FALSE)+SUMIF($D$5:$D$319,"=som",AU5:AU319)*HLOOKUP(AX322,Verteil_rwgr,17,FALSE)+SUMIF($D$5:$D$319,"=sor",AU5:AU319)*HLOOKUP(AX322,Verteil_rwgr,18,FALSE)+SUMIF($D$5:$D$319,"=soz",AU5:AU319)*HLOOKUP(AX322,Verteil_rwgr,19,FALSE)</f>
        <v>0</v>
      </c>
      <c r="AW359" s="90">
        <f t="shared" ref="AW359" si="1082">IF(AX357&lt;&gt;0,AX359/AX357,0)</f>
        <v>0.21685336190742269</v>
      </c>
      <c r="AX359" s="166">
        <f>ROUND(AZ359*HLOOKUP(AX322,Grund_zins,2,FALSE),2)</f>
        <v>8483.67</v>
      </c>
      <c r="AY359" s="166">
        <f>SUMIF($D$5:$D$319,"=sos",AY5:AY319)*HLOOKUP(AX322,Verteil_rwgr,16,FALSE)+SUMIF($D$5:$D$319,"=som",AY5:AY319)*HLOOKUP(AX322,Verteil_rwgr,17,FALSE)+SUMIF($D$5:$D$319,"=sor",AY5:AY319)*HLOOKUP(AX322,Verteil_rwgr,18,FALSE)+SUMIF($D$5:$D$319,"=soz",AY5:AY319)*HLOOKUP(AX322,Verteil_rwgr,19,FALSE)</f>
        <v>15706.25</v>
      </c>
      <c r="AZ359" s="166">
        <f t="shared" si="963"/>
        <v>242390.625</v>
      </c>
      <c r="BA359" s="166">
        <f>SUMIF($D$5:$D$319,"=sos",BA5:BA319)*HLOOKUP(AX322,Verteil_rwgr,16,FALSE)+SUMIF($D$5:$D$319,"=som",BA5:BA319)*HLOOKUP(AX322,Verteil_rwgr,17,FALSE)+SUMIF($D$5:$D$319,"=sor",BA5:BA319)*HLOOKUP(AX322,Verteil_rwgr,18,FALSE)+SUMIF($D$5:$D$319,"=soz",BA5:BA319)*HLOOKUP(AX322,Verteil_rwgr,19,FALSE)</f>
        <v>234537.5</v>
      </c>
      <c r="BB359" s="90">
        <f t="shared" ref="BB359" si="1083">IF(BA357&lt;&gt;0,BA359/BA357,0)</f>
        <v>0.21669784953687662</v>
      </c>
      <c r="BC359" s="565" t="s">
        <v>178</v>
      </c>
      <c r="BE359" s="381"/>
      <c r="BF359" s="166">
        <f>SUMIF($D$5:$D$319,"=sos",BF5:BF319)*HLOOKUP(BK322,Verteil_rwgr,16,FALSE)+SUMIF($D$5:$D$319,"=som",BF5:BF319)*HLOOKUP(BK322,Verteil_rwgr,17,FALSE)+SUMIF($D$5:$D$319,"=sor",BF5:BF319)*HLOOKUP(BK322,Verteil_rwgr,18,FALSE)+SUMIF($D$5:$D$319,"=soz",BF5:BF319)*HLOOKUP(BK322,Verteil_rwgr,19,FALSE)</f>
        <v>0</v>
      </c>
      <c r="BH359" s="166">
        <f>SUMIF($D$5:$D$319,"=sos",BH5:BH319)*HLOOKUP(BK322,Verteil_rwgr,16,FALSE)+SUMIF($D$5:$D$319,"=som",BH5:BH319)*HLOOKUP(BK322,Verteil_rwgr,17,FALSE)+SUMIF($D$5:$D$319,"=sor",BH5:BH319)*HLOOKUP(BK322,Verteil_rwgr,18,FALSE)+SUMIF($D$5:$D$319,"=soz",BH5:BH319)*HLOOKUP(BK322,Verteil_rwgr,19,FALSE)</f>
        <v>0</v>
      </c>
      <c r="BJ359" s="90">
        <f t="shared" ref="BJ359" si="1084">IF(BK357&lt;&gt;0,BK359/BK357,0)</f>
        <v>0.21657371821081037</v>
      </c>
      <c r="BK359" s="166">
        <f>ROUND(BM359*HLOOKUP(BK322,Grund_zins,2,FALSE),2)</f>
        <v>7945.44</v>
      </c>
      <c r="BL359" s="166">
        <f>SUMIF($D$5:$D$319,"=sos",BL5:BL319)*HLOOKUP(BK322,Verteil_rwgr,16,FALSE)+SUMIF($D$5:$D$319,"=som",BL5:BL319)*HLOOKUP(BK322,Verteil_rwgr,17,FALSE)+SUMIF($D$5:$D$319,"=sor",BL5:BL319)*HLOOKUP(BK322,Verteil_rwgr,18,FALSE)+SUMIF($D$5:$D$319,"=soz",BL5:BL319)*HLOOKUP(BK322,Verteil_rwgr,19,FALSE)</f>
        <v>15050</v>
      </c>
      <c r="BM359" s="166">
        <f t="shared" si="964"/>
        <v>227012.5</v>
      </c>
      <c r="BN359" s="166">
        <f>SUMIF($D$5:$D$319,"=sos",BN5:BN319)*HLOOKUP(BK322,Verteil_rwgr,16,FALSE)+SUMIF($D$5:$D$319,"=som",BN5:BN319)*HLOOKUP(BK322,Verteil_rwgr,17,FALSE)+SUMIF($D$5:$D$319,"=sor",BN5:BN319)*HLOOKUP(BK322,Verteil_rwgr,18,FALSE)+SUMIF($D$5:$D$319,"=soz",BN5:BN319)*HLOOKUP(BK322,Verteil_rwgr,19,FALSE)</f>
        <v>219487.5</v>
      </c>
      <c r="BO359" s="90">
        <f t="shared" ref="BO359" si="1085">IF(BN357&lt;&gt;0,BN359/BN357,0)</f>
        <v>0.21644109163523409</v>
      </c>
      <c r="BP359" s="565" t="s">
        <v>178</v>
      </c>
      <c r="BR359" s="381"/>
      <c r="BS359" s="166">
        <f>SUMIF($D$5:$D$319,"=sos",BS5:BS319)*HLOOKUP(BX322,Verteil_rwgr,16,FALSE)+SUMIF($D$5:$D$319,"=som",BS5:BS319)*HLOOKUP(BX322,Verteil_rwgr,17,FALSE)+SUMIF($D$5:$D$319,"=sor",BS5:BS319)*HLOOKUP(BX322,Verteil_rwgr,18,FALSE)+SUMIF($D$5:$D$319,"=soz",BS5:BS319)*HLOOKUP(BX322,Verteil_rwgr,19,FALSE)</f>
        <v>0</v>
      </c>
      <c r="BU359" s="166">
        <f>SUMIF($D$5:$D$319,"=sos",BU5:BU319)*HLOOKUP(BX322,Verteil_rwgr,16,FALSE)+SUMIF($D$5:$D$319,"=som",BU5:BU319)*HLOOKUP(BX322,Verteil_rwgr,17,FALSE)+SUMIF($D$5:$D$319,"=sor",BU5:BU319)*HLOOKUP(BX322,Verteil_rwgr,18,FALSE)+SUMIF($D$5:$D$319,"=soz",BU5:BU319)*HLOOKUP(BX322,Verteil_rwgr,19,FALSE)</f>
        <v>0</v>
      </c>
      <c r="BW359" s="90">
        <f t="shared" ref="BW359" si="1086">IF(BX357&lt;&gt;0,BX359/BX357,0)</f>
        <v>0.21634788249224329</v>
      </c>
      <c r="BX359" s="166">
        <f>ROUND(BZ359*HLOOKUP(BX322,Grund_zins,2,FALSE),2)</f>
        <v>7431.05</v>
      </c>
      <c r="BY359" s="166">
        <f>SUMIF($D$5:$D$319,"=sos",BY5:BY319)*HLOOKUP(BX322,Verteil_rwgr,16,FALSE)+SUMIF($D$5:$D$319,"=som",BY5:BY319)*HLOOKUP(BX322,Verteil_rwgr,17,FALSE)+SUMIF($D$5:$D$319,"=sor",BY5:BY319)*HLOOKUP(BX322,Verteil_rwgr,18,FALSE)+SUMIF($D$5:$D$319,"=soz",BY5:BY319)*HLOOKUP(BX322,Verteil_rwgr,19,FALSE)</f>
        <v>14343.75</v>
      </c>
      <c r="BZ359" s="166">
        <f t="shared" si="965"/>
        <v>212315.625</v>
      </c>
      <c r="CA359" s="166">
        <f>SUMIF($D$5:$D$319,"=sos",CA5:CA319)*HLOOKUP(BX322,Verteil_rwgr,16,FALSE)+SUMIF($D$5:$D$319,"=som",CA5:CA319)*HLOOKUP(BX322,Verteil_rwgr,17,FALSE)+SUMIF($D$5:$D$319,"=sor",CA5:CA319)*HLOOKUP(BX322,Verteil_rwgr,18,FALSE)+SUMIF($D$5:$D$319,"=soz",CA5:CA319)*HLOOKUP(BX322,Verteil_rwgr,19,FALSE)</f>
        <v>205143.75</v>
      </c>
      <c r="CB359" s="90">
        <f t="shared" ref="CB359" si="1087">IF(CA357&lt;&gt;0,CA359/CA357,0)</f>
        <v>0.21624808939018605</v>
      </c>
      <c r="CC359" s="565" t="s">
        <v>178</v>
      </c>
      <c r="CE359" s="381"/>
      <c r="CF359" s="166">
        <f>SUMIF($D$5:$D$319,"=sos",CF5:CF319)*HLOOKUP(CK322,Verteil_rwgr,16,FALSE)+SUMIF($D$5:$D$319,"=som",CF5:CF319)*HLOOKUP(CK322,Verteil_rwgr,17,FALSE)+SUMIF($D$5:$D$319,"=sor",CF5:CF319)*HLOOKUP(CK322,Verteil_rwgr,18,FALSE)+SUMIF($D$5:$D$319,"=soz",CF5:CF319)*HLOOKUP(CK322,Verteil_rwgr,19,FALSE)</f>
        <v>0</v>
      </c>
      <c r="CH359" s="166">
        <f>SUMIF($D$5:$D$319,"=sos",CH5:CH319)*HLOOKUP(CK322,Verteil_rwgr,16,FALSE)+SUMIF($D$5:$D$319,"=som",CH5:CH319)*HLOOKUP(CK322,Verteil_rwgr,17,FALSE)+SUMIF($D$5:$D$319,"=sor",CH5:CH319)*HLOOKUP(CK322,Verteil_rwgr,18,FALSE)+SUMIF($D$5:$D$319,"=soz",CH5:CH319)*HLOOKUP(CK322,Verteil_rwgr,19,FALSE)</f>
        <v>0</v>
      </c>
      <c r="CJ359" s="90">
        <f t="shared" ref="CJ359" si="1088">IF(CK357&lt;&gt;0,CK359/CK357,0)</f>
        <v>0.21622550754626227</v>
      </c>
      <c r="CK359" s="166">
        <f>ROUND(CM359*HLOOKUP(CK322,Grund_zins,2,FALSE),2)</f>
        <v>5956.31</v>
      </c>
      <c r="CL359" s="166">
        <f>SUMIF($D$5:$D$319,"=sos",CL5:CL319)*HLOOKUP(CK322,Verteil_rwgr,16,FALSE)+SUMIF($D$5:$D$319,"=som",CL5:CL319)*HLOOKUP(CK322,Verteil_rwgr,17,FALSE)+SUMIF($D$5:$D$319,"=sor",CL5:CL319)*HLOOKUP(CK322,Verteil_rwgr,18,FALSE)+SUMIF($D$5:$D$319,"=soz",CL5:CL319)*HLOOKUP(CK322,Verteil_rwgr,19,FALSE)</f>
        <v>13200</v>
      </c>
      <c r="CM359" s="166">
        <f t="shared" si="966"/>
        <v>198543.75</v>
      </c>
      <c r="CN359" s="166">
        <f>SUMIF($D$5:$D$319,"=sos",CN5:CN319)*HLOOKUP(CK322,Verteil_rwgr,16,FALSE)+SUMIF($D$5:$D$319,"=som",CN5:CN319)*HLOOKUP(CK322,Verteil_rwgr,17,FALSE)+SUMIF($D$5:$D$319,"=sor",CN5:CN319)*HLOOKUP(CK322,Verteil_rwgr,18,FALSE)+SUMIF($D$5:$D$319,"=soz",CN5:CN319)*HLOOKUP(CK322,Verteil_rwgr,19,FALSE)</f>
        <v>191943.75</v>
      </c>
      <c r="CO359" s="90">
        <f t="shared" ref="CO359" si="1089">IF(CN357&lt;&gt;0,CN359/CN357,0)</f>
        <v>0.21620156566794324</v>
      </c>
      <c r="CP359" s="565" t="s">
        <v>178</v>
      </c>
      <c r="CR359" s="381"/>
      <c r="CS359" s="166">
        <f>SUMIF($D$5:$D$319,"=sos",CS5:CS319)*HLOOKUP(CX322,Verteil_rwgr,16,FALSE)+SUMIF($D$5:$D$319,"=som",CS5:CS319)*HLOOKUP(CX322,Verteil_rwgr,17,FALSE)+SUMIF($D$5:$D$319,"=sor",CS5:CS319)*HLOOKUP(CX322,Verteil_rwgr,18,FALSE)+SUMIF($D$5:$D$319,"=soz",CS5:CS319)*HLOOKUP(CX322,Verteil_rwgr,19,FALSE)</f>
        <v>0</v>
      </c>
      <c r="CU359" s="166">
        <f>SUMIF($D$5:$D$319,"=sos",CU5:CU319)*HLOOKUP(CX322,Verteil_rwgr,16,FALSE)+SUMIF($D$5:$D$319,"=som",CU5:CU319)*HLOOKUP(CX322,Verteil_rwgr,17,FALSE)+SUMIF($D$5:$D$319,"=sor",CU5:CU319)*HLOOKUP(CX322,Verteil_rwgr,18,FALSE)+SUMIF($D$5:$D$319,"=soz",CU5:CU319)*HLOOKUP(CX322,Verteil_rwgr,19,FALSE)</f>
        <v>0</v>
      </c>
      <c r="CW359" s="90">
        <f t="shared" ref="CW359" si="1090">IF(CX357&lt;&gt;0,CX359/CX357,0)</f>
        <v>0.21621050587435675</v>
      </c>
      <c r="CX359" s="166">
        <f>ROUND(CZ359*HLOOKUP(CX322,Grund_zins,2,FALSE),2)</f>
        <v>5566.88</v>
      </c>
      <c r="CY359" s="166">
        <f>SUMIF($D$5:$D$319,"=sos",CY5:CY319)*HLOOKUP(CX322,Verteil_rwgr,16,FALSE)+SUMIF($D$5:$D$319,"=som",CY5:CY319)*HLOOKUP(CX322,Verteil_rwgr,17,FALSE)+SUMIF($D$5:$D$319,"=sor",CY5:CY319)*HLOOKUP(CX322,Verteil_rwgr,18,FALSE)+SUMIF($D$5:$D$319,"=soz",CY5:CY319)*HLOOKUP(CX322,Verteil_rwgr,19,FALSE)</f>
        <v>12762.5</v>
      </c>
      <c r="CZ359" s="166">
        <f t="shared" si="967"/>
        <v>185562.5</v>
      </c>
      <c r="DA359" s="166">
        <f>SUMIF($D$5:$D$319,"=sos",DA5:DA319)*HLOOKUP(CX322,Verteil_rwgr,16,FALSE)+SUMIF($D$5:$D$319,"=som",DA5:DA319)*HLOOKUP(CX322,Verteil_rwgr,17,FALSE)+SUMIF($D$5:$D$319,"=sor",DA5:DA319)*HLOOKUP(CX322,Verteil_rwgr,18,FALSE)+SUMIF($D$5:$D$319,"=soz",DA5:DA319)*HLOOKUP(CX322,Verteil_rwgr,19,FALSE)</f>
        <v>179181.25</v>
      </c>
      <c r="DB359" s="90">
        <f t="shared" ref="DB359" si="1091">IF(DA357&lt;&gt;0,DA359/DA357,0)</f>
        <v>0.21621968142874382</v>
      </c>
      <c r="DC359" s="565" t="s">
        <v>178</v>
      </c>
      <c r="DE359" s="381"/>
      <c r="DF359" s="166">
        <f>SUMIF($D$5:$D$319,"=sos",DF5:DF319)*HLOOKUP(DK322,Verteil_rwgr,16,FALSE)+SUMIF($D$5:$D$319,"=som",DF5:DF319)*HLOOKUP(DK322,Verteil_rwgr,17,FALSE)+SUMIF($D$5:$D$319,"=sor",DF5:DF319)*HLOOKUP(DK322,Verteil_rwgr,18,FALSE)+SUMIF($D$5:$D$319,"=soz",DF5:DF319)*HLOOKUP(DK322,Verteil_rwgr,19,FALSE)</f>
        <v>0</v>
      </c>
      <c r="DH359" s="166">
        <f>SUMIF($D$5:$D$319,"=sos",DH5:DH319)*HLOOKUP(DK322,Verteil_rwgr,16,FALSE)+SUMIF($D$5:$D$319,"=som",DH5:DH319)*HLOOKUP(DK322,Verteil_rwgr,17,FALSE)+SUMIF($D$5:$D$319,"=sor",DH5:DH319)*HLOOKUP(DK322,Verteil_rwgr,18,FALSE)+SUMIF($D$5:$D$319,"=soz",DH5:DH319)*HLOOKUP(DK322,Verteil_rwgr,19,FALSE)</f>
        <v>0</v>
      </c>
      <c r="DJ359" s="90">
        <f t="shared" ref="DJ359" si="1092">IF(DK357&lt;&gt;0,DK359/DK357,0)</f>
        <v>0.21622974410310955</v>
      </c>
      <c r="DK359" s="166">
        <f>ROUND(DM359*HLOOKUP(DK322,Grund_zins,2,FALSE),2)</f>
        <v>5184</v>
      </c>
      <c r="DL359" s="166">
        <f>SUMIF($D$5:$D$319,"=sos",DL5:DL319)*HLOOKUP(DK322,Verteil_rwgr,16,FALSE)+SUMIF($D$5:$D$319,"=som",DL5:DL319)*HLOOKUP(DK322,Verteil_rwgr,17,FALSE)+SUMIF($D$5:$D$319,"=sor",DL5:DL319)*HLOOKUP(DK322,Verteil_rwgr,18,FALSE)+SUMIF($D$5:$D$319,"=soz",DL5:DL319)*HLOOKUP(DK322,Verteil_rwgr,19,FALSE)</f>
        <v>12762.5</v>
      </c>
      <c r="DM359" s="166">
        <f t="shared" si="968"/>
        <v>172800</v>
      </c>
      <c r="DN359" s="166">
        <f>SUMIF($D$5:$D$319,"=sos",DN5:DN319)*HLOOKUP(DK322,Verteil_rwgr,16,FALSE)+SUMIF($D$5:$D$319,"=som",DN5:DN319)*HLOOKUP(DK322,Verteil_rwgr,17,FALSE)+SUMIF($D$5:$D$319,"=sor",DN5:DN319)*HLOOKUP(DK322,Verteil_rwgr,18,FALSE)+SUMIF($D$5:$D$319,"=soz",DN5:DN319)*HLOOKUP(DK322,Verteil_rwgr,19,FALSE)</f>
        <v>166418.75</v>
      </c>
      <c r="DO359" s="90">
        <f t="shared" ref="DO359" si="1093">IF(DN357&lt;&gt;0,DN359/DN357,0)</f>
        <v>0.21624057952182951</v>
      </c>
      <c r="DP359" s="565" t="s">
        <v>178</v>
      </c>
      <c r="DR359" s="381"/>
      <c r="DS359" s="166">
        <f>SUMIF($D$5:$D$319,"=sos",DS5:DS319)*HLOOKUP(DX322,Verteil_rwgr,16,FALSE)+SUMIF($D$5:$D$319,"=som",DS5:DS319)*HLOOKUP(DX322,Verteil_rwgr,17,FALSE)+SUMIF($D$5:$D$319,"=sor",DS5:DS319)*HLOOKUP(DX322,Verteil_rwgr,18,FALSE)+SUMIF($D$5:$D$319,"=soz",DS5:DS319)*HLOOKUP(DX322,Verteil_rwgr,19,FALSE)</f>
        <v>0</v>
      </c>
      <c r="DU359" s="166">
        <f>SUMIF($D$5:$D$319,"=sos",DU5:DU319)*HLOOKUP(DX322,Verteil_rwgr,16,FALSE)+SUMIF($D$5:$D$319,"=som",DU5:DU319)*HLOOKUP(DX322,Verteil_rwgr,17,FALSE)+SUMIF($D$5:$D$319,"=sor",DU5:DU319)*HLOOKUP(DX322,Verteil_rwgr,18,FALSE)+SUMIF($D$5:$D$319,"=soz",DU5:DU319)*HLOOKUP(DX322,Verteil_rwgr,19,FALSE)</f>
        <v>0</v>
      </c>
      <c r="DW359" s="90">
        <f t="shared" ref="DW359" si="1094">IF(DX357&lt;&gt;0,DX359/DX357,0)</f>
        <v>0.2162525054613427</v>
      </c>
      <c r="DX359" s="166">
        <f>ROUND(DZ359*HLOOKUP(DX322,Grund_zins,2,FALSE),2)</f>
        <v>4801.13</v>
      </c>
      <c r="DY359" s="166">
        <f>SUMIF($D$5:$D$319,"=sos",DY5:DY319)*HLOOKUP(DX322,Verteil_rwgr,16,FALSE)+SUMIF($D$5:$D$319,"=som",DY5:DY319)*HLOOKUP(DX322,Verteil_rwgr,17,FALSE)+SUMIF($D$5:$D$319,"=sor",DY5:DY319)*HLOOKUP(DX322,Verteil_rwgr,18,FALSE)+SUMIF($D$5:$D$319,"=soz",DY5:DY319)*HLOOKUP(DX322,Verteil_rwgr,19,FALSE)</f>
        <v>12762.5</v>
      </c>
      <c r="DZ359" s="166">
        <f t="shared" si="969"/>
        <v>160037.5</v>
      </c>
      <c r="EA359" s="166">
        <f>SUMIF($D$5:$D$319,"=sos",EA5:EA319)*HLOOKUP(DX322,Verteil_rwgr,16,FALSE)+SUMIF($D$5:$D$319,"=som",EA5:EA319)*HLOOKUP(DX322,Verteil_rwgr,17,FALSE)+SUMIF($D$5:$D$319,"=sor",EA5:EA319)*HLOOKUP(DX322,Verteil_rwgr,18,FALSE)+SUMIF($D$5:$D$319,"=soz",EA5:EA319)*HLOOKUP(DX322,Verteil_rwgr,19,FALSE)</f>
        <v>153656.25</v>
      </c>
      <c r="EB359" s="90">
        <f t="shared" ref="EB359" si="1095">IF(EA357&lt;&gt;0,EA359/EA357,0)</f>
        <v>0.21626495425756509</v>
      </c>
      <c r="EC359" s="565" t="s">
        <v>178</v>
      </c>
    </row>
    <row r="360" spans="1:133" s="10" customFormat="1" ht="15" customHeight="1" x14ac:dyDescent="0.35">
      <c r="A360" s="565" t="s">
        <v>179</v>
      </c>
      <c r="Q360" s="225">
        <v>39</v>
      </c>
      <c r="R360" s="381"/>
      <c r="S360" s="166">
        <f>SUMIF($D$5:$D$319,"=sos",S5:S319)*HLOOKUP(X322,Verteil_rwst,15,FALSE)+SUMIF($D$5:$D$319,"=som",S5:S319)*HLOOKUP(X322,Verteil_rwst,16,FALSE)+SUMIF($D$5:$D$319,"=sor",S5:S319)*HLOOKUP(X322,Verteil_rwst,17,FALSE)+SUMIF($D$5:$D$319,"=soz",S5:S319)*HLOOKUP(X322,Verteil_rwst,18,FALSE)</f>
        <v>0</v>
      </c>
      <c r="U360" s="166">
        <f>SUMIF($D$5:$D$319,"=sos",U5:U319)*HLOOKUP(X322,Verteil_rwst,15,FALSE)+SUMIF($D$5:$D$319,"=som",U5:U319)*HLOOKUP(X322,Verteil_rwst,16,FALSE)+SUMIF($D$5:$D$319,"=sor",U5:U319)*HLOOKUP(X322,Verteil_rwst,17,FALSE)+SUMIF($D$5:$D$319,"=soz",U5:U319)*HLOOKUP(X322,Verteil_rwst,18,FALSE)</f>
        <v>0</v>
      </c>
      <c r="W360" s="90">
        <f t="shared" ref="W360" si="1096">IF(X357&lt;&gt;0,X360/X357,0)</f>
        <v>0.21748975311364008</v>
      </c>
      <c r="X360" s="166">
        <f>ROUND(Z360*HLOOKUP(X322,Grund_zins,2,FALSE),2)</f>
        <v>9617.56</v>
      </c>
      <c r="Y360" s="166">
        <f>SUMIF($D$5:$D$319,"=sos",Y5:Y319)*HLOOKUP(X322,Verteil_rwst,15,FALSE)+SUMIF($D$5:$D$319,"=som",Y5:Y319)*HLOOKUP(X322,Verteil_rwst,16,FALSE)+SUMIF($D$5:$D$319,"=sor",Y5:Y319)*HLOOKUP(X322,Verteil_rwst,17,FALSE)+SUMIF($D$5:$D$319,"=soz",Y5:Y319)*HLOOKUP(X322,Verteil_rwst,18,FALSE)</f>
        <v>16362.5</v>
      </c>
      <c r="Z360" s="166">
        <f t="shared" si="961"/>
        <v>274787.5</v>
      </c>
      <c r="AA360" s="166">
        <f>SUMIF($D$5:$D$319,"=sos",AA5:AA319)*HLOOKUP(X322,Verteil_rwst,15,FALSE)+SUMIF($D$5:$D$319,"=som",AA5:AA319)*HLOOKUP(X322,Verteil_rwst,16,FALSE)+SUMIF($D$5:$D$319,"=sor",AA5:AA319)*HLOOKUP(X322,Verteil_rwst,17,FALSE)+SUMIF($D$5:$D$319,"=soz",AA5:AA319)*HLOOKUP(X322,Verteil_rwst,18,FALSE)</f>
        <v>266606.25</v>
      </c>
      <c r="AB360" s="90">
        <f t="shared" ref="AB360" si="1097">IF(AA357&lt;&gt;0,AA360/AA357,0)</f>
        <v>0.21733614575690877</v>
      </c>
      <c r="AC360" s="565" t="s">
        <v>179</v>
      </c>
      <c r="AE360" s="381"/>
      <c r="AF360" s="166">
        <f>SUMIF($D$5:$D$319,"=sos",AF5:AF319)*HLOOKUP(AK322,Verteil_rwst,15,FALSE)+SUMIF($D$5:$D$319,"=som",AF5:AF319)*HLOOKUP(AK322,Verteil_rwst,16,FALSE)+SUMIF($D$5:$D$319,"=sor",AF5:AF319)*HLOOKUP(AK322,Verteil_rwst,17,FALSE)+SUMIF($D$5:$D$319,"=soz",AF5:AF319)*HLOOKUP(AK322,Verteil_rwst,18,FALSE)</f>
        <v>0</v>
      </c>
      <c r="AH360" s="166">
        <f>SUMIF($D$5:$D$319,"=sos",AH5:AH319)*HLOOKUP(AK322,Verteil_rwst,15,FALSE)+SUMIF($D$5:$D$319,"=som",AH5:AH319)*HLOOKUP(AK322,Verteil_rwst,16,FALSE)+SUMIF($D$5:$D$319,"=sor",AH5:AH319)*HLOOKUP(AK322,Verteil_rwst,17,FALSE)+SUMIF($D$5:$D$319,"=soz",AH5:AH319)*HLOOKUP(AK322,Verteil_rwst,18,FALSE)</f>
        <v>0</v>
      </c>
      <c r="AJ360" s="90">
        <f t="shared" ref="AJ360" si="1098">IF(AK357&lt;&gt;0,AK360/AK357,0)</f>
        <v>0.21717311051484756</v>
      </c>
      <c r="AK360" s="166">
        <f>ROUND(AM360*HLOOKUP(AK322,Grund_zins,2,FALSE),2)</f>
        <v>9044.8799999999992</v>
      </c>
      <c r="AL360" s="166">
        <f>SUMIF($D$5:$D$319,"=sos",AL5:AL319)*HLOOKUP(AK322,Verteil_rwst,15,FALSE)+SUMIF($D$5:$D$319,"=som",AL5:AL319)*HLOOKUP(AK322,Verteil_rwst,16,FALSE)+SUMIF($D$5:$D$319,"=sor",AL5:AL319)*HLOOKUP(AK322,Verteil_rwst,17,FALSE)+SUMIF($D$5:$D$319,"=soz",AL5:AL319)*HLOOKUP(AK322,Verteil_rwst,18,FALSE)</f>
        <v>16362.5</v>
      </c>
      <c r="AM360" s="166">
        <f t="shared" si="962"/>
        <v>258425</v>
      </c>
      <c r="AN360" s="166">
        <f>SUMIF($D$5:$D$319,"=sos",AN5:AN319)*HLOOKUP(AK322,Verteil_rwst,15,FALSE)+SUMIF($D$5:$D$319,"=som",AN5:AN319)*HLOOKUP(AK322,Verteil_rwst,16,FALSE)+SUMIF($D$5:$D$319,"=sor",AN5:AN319)*HLOOKUP(AK322,Verteil_rwst,17,FALSE)+SUMIF($D$5:$D$319,"=soz",AN5:AN319)*HLOOKUP(AK322,Verteil_rwst,18,FALSE)</f>
        <v>250243.75</v>
      </c>
      <c r="AO360" s="90">
        <f t="shared" ref="AO360" si="1099">IF(AN357&lt;&gt;0,AN360/AN357,0)</f>
        <v>0.21699943635102323</v>
      </c>
      <c r="AP360" s="565" t="s">
        <v>179</v>
      </c>
      <c r="AR360" s="381"/>
      <c r="AS360" s="166">
        <f>SUMIF($D$5:$D$319,"=sos",AS5:AS319)*HLOOKUP(AX322,Verteil_rwst,15,FALSE)+SUMIF($D$5:$D$319,"=som",AS5:AS319)*HLOOKUP(AX322,Verteil_rwst,16,FALSE)+SUMIF($D$5:$D$319,"=sor",AS5:AS319)*HLOOKUP(AX322,Verteil_rwst,17,FALSE)+SUMIF($D$5:$D$319,"=soz",AS5:AS319)*HLOOKUP(AX322,Verteil_rwst,18,FALSE)</f>
        <v>0</v>
      </c>
      <c r="AU360" s="166">
        <f>SUMIF($D$5:$D$319,"=sos",AU5:AU319)*HLOOKUP(AX322,Verteil_rwst,15,FALSE)+SUMIF($D$5:$D$319,"=som",AU5:AU319)*HLOOKUP(AX322,Verteil_rwst,16,FALSE)+SUMIF($D$5:$D$319,"=sor",AU5:AU319)*HLOOKUP(AX322,Verteil_rwst,17,FALSE)+SUMIF($D$5:$D$319,"=soz",AU5:AU319)*HLOOKUP(AX322,Verteil_rwst,18,FALSE)</f>
        <v>0</v>
      </c>
      <c r="AW360" s="90">
        <f t="shared" ref="AW360" si="1100">IF(AX357&lt;&gt;0,AX360/AX357,0)</f>
        <v>0.21685336190742269</v>
      </c>
      <c r="AX360" s="166">
        <f>ROUND(AZ360*HLOOKUP(AX322,Grund_zins,2,FALSE),2)</f>
        <v>8483.67</v>
      </c>
      <c r="AY360" s="166">
        <f>SUMIF($D$5:$D$319,"=sos",AY5:AY319)*HLOOKUP(AX322,Verteil_rwst,15,FALSE)+SUMIF($D$5:$D$319,"=som",AY5:AY319)*HLOOKUP(AX322,Verteil_rwst,16,FALSE)+SUMIF($D$5:$D$319,"=sor",AY5:AY319)*HLOOKUP(AX322,Verteil_rwst,17,FALSE)+SUMIF($D$5:$D$319,"=soz",AY5:AY319)*HLOOKUP(AX322,Verteil_rwst,18,FALSE)</f>
        <v>15706.25</v>
      </c>
      <c r="AZ360" s="166">
        <f t="shared" si="963"/>
        <v>242390.625</v>
      </c>
      <c r="BA360" s="166">
        <f>SUMIF($D$5:$D$319,"=sos",BA5:BA319)*HLOOKUP(AX322,Verteil_rwst,15,FALSE)+SUMIF($D$5:$D$319,"=som",BA5:BA319)*HLOOKUP(AX322,Verteil_rwst,16,FALSE)+SUMIF($D$5:$D$319,"=sor",BA5:BA319)*HLOOKUP(AX322,Verteil_rwst,17,FALSE)+SUMIF($D$5:$D$319,"=soz",BA5:BA319)*HLOOKUP(AX322,Verteil_rwst,18,FALSE)</f>
        <v>234537.5</v>
      </c>
      <c r="BB360" s="90">
        <f t="shared" ref="BB360" si="1101">IF(BA357&lt;&gt;0,BA360/BA357,0)</f>
        <v>0.21669784953687662</v>
      </c>
      <c r="BC360" s="565" t="s">
        <v>179</v>
      </c>
      <c r="BE360" s="381"/>
      <c r="BF360" s="166">
        <f>SUMIF($D$5:$D$319,"=sos",BF5:BF319)*HLOOKUP(BK322,Verteil_rwst,15,FALSE)+SUMIF($D$5:$D$319,"=som",BF5:BF319)*HLOOKUP(BK322,Verteil_rwst,16,FALSE)+SUMIF($D$5:$D$319,"=sor",BF5:BF319)*HLOOKUP(BK322,Verteil_rwst,17,FALSE)+SUMIF($D$5:$D$319,"=soz",BF5:BF319)*HLOOKUP(BK322,Verteil_rwst,18,FALSE)</f>
        <v>0</v>
      </c>
      <c r="BH360" s="166">
        <f>SUMIF($D$5:$D$319,"=sos",BH5:BH319)*HLOOKUP(BK322,Verteil_rwst,15,FALSE)+SUMIF($D$5:$D$319,"=som",BH5:BH319)*HLOOKUP(BK322,Verteil_rwst,16,FALSE)+SUMIF($D$5:$D$319,"=sor",BH5:BH319)*HLOOKUP(BK322,Verteil_rwst,17,FALSE)+SUMIF($D$5:$D$319,"=soz",BH5:BH319)*HLOOKUP(BK322,Verteil_rwst,18,FALSE)</f>
        <v>0</v>
      </c>
      <c r="BJ360" s="90">
        <f t="shared" ref="BJ360" si="1102">IF(BK357&lt;&gt;0,BK360/BK357,0)</f>
        <v>0.21657371821081037</v>
      </c>
      <c r="BK360" s="166">
        <f>ROUND(BM360*HLOOKUP(BK322,Grund_zins,2,FALSE),2)</f>
        <v>7945.44</v>
      </c>
      <c r="BL360" s="166">
        <f>SUMIF($D$5:$D$319,"=sos",BL5:BL319)*HLOOKUP(BK322,Verteil_rwst,15,FALSE)+SUMIF($D$5:$D$319,"=som",BL5:BL319)*HLOOKUP(BK322,Verteil_rwst,16,FALSE)+SUMIF($D$5:$D$319,"=sor",BL5:BL319)*HLOOKUP(BK322,Verteil_rwst,17,FALSE)+SUMIF($D$5:$D$319,"=soz",BL5:BL319)*HLOOKUP(BK322,Verteil_rwst,18,FALSE)</f>
        <v>15050</v>
      </c>
      <c r="BM360" s="166">
        <f t="shared" si="964"/>
        <v>227012.5</v>
      </c>
      <c r="BN360" s="166">
        <f>SUMIF($D$5:$D$319,"=sos",BN5:BN319)*HLOOKUP(BK322,Verteil_rwst,15,FALSE)+SUMIF($D$5:$D$319,"=som",BN5:BN319)*HLOOKUP(BK322,Verteil_rwst,16,FALSE)+SUMIF($D$5:$D$319,"=sor",BN5:BN319)*HLOOKUP(BK322,Verteil_rwst,17,FALSE)+SUMIF($D$5:$D$319,"=soz",BN5:BN319)*HLOOKUP(BK322,Verteil_rwst,18,FALSE)</f>
        <v>219487.5</v>
      </c>
      <c r="BO360" s="90">
        <f t="shared" ref="BO360" si="1103">IF(BN357&lt;&gt;0,BN360/BN357,0)</f>
        <v>0.21644109163523409</v>
      </c>
      <c r="BP360" s="565" t="s">
        <v>179</v>
      </c>
      <c r="BR360" s="381"/>
      <c r="BS360" s="166">
        <f>SUMIF($D$5:$D$319,"=sos",BS5:BS319)*HLOOKUP(BX322,Verteil_rwst,15,FALSE)+SUMIF($D$5:$D$319,"=som",BS5:BS319)*HLOOKUP(BX322,Verteil_rwst,16,FALSE)+SUMIF($D$5:$D$319,"=sor",BS5:BS319)*HLOOKUP(BX322,Verteil_rwst,17,FALSE)+SUMIF($D$5:$D$319,"=soz",BS5:BS319)*HLOOKUP(BX322,Verteil_rwst,18,FALSE)</f>
        <v>0</v>
      </c>
      <c r="BU360" s="166">
        <f>SUMIF($D$5:$D$319,"=sos",BU5:BU319)*HLOOKUP(BX322,Verteil_rwst,15,FALSE)+SUMIF($D$5:$D$319,"=som",BU5:BU319)*HLOOKUP(BX322,Verteil_rwst,16,FALSE)+SUMIF($D$5:$D$319,"=sor",BU5:BU319)*HLOOKUP(BX322,Verteil_rwst,17,FALSE)+SUMIF($D$5:$D$319,"=soz",BU5:BU319)*HLOOKUP(BX322,Verteil_rwst,18,FALSE)</f>
        <v>0</v>
      </c>
      <c r="BW360" s="90">
        <f t="shared" ref="BW360" si="1104">IF(BX357&lt;&gt;0,BX360/BX357,0)</f>
        <v>0.21634788249224329</v>
      </c>
      <c r="BX360" s="166">
        <f>ROUND(BZ360*HLOOKUP(BX322,Grund_zins,2,FALSE),2)</f>
        <v>7431.05</v>
      </c>
      <c r="BY360" s="166">
        <f>SUMIF($D$5:$D$319,"=sos",BY5:BY319)*HLOOKUP(BX322,Verteil_rwst,15,FALSE)+SUMIF($D$5:$D$319,"=som",BY5:BY319)*HLOOKUP(BX322,Verteil_rwst,16,FALSE)+SUMIF($D$5:$D$319,"=sor",BY5:BY319)*HLOOKUP(BX322,Verteil_rwst,17,FALSE)+SUMIF($D$5:$D$319,"=soz",BY5:BY319)*HLOOKUP(BX322,Verteil_rwst,18,FALSE)</f>
        <v>14343.75</v>
      </c>
      <c r="BZ360" s="166">
        <f t="shared" si="965"/>
        <v>212315.625</v>
      </c>
      <c r="CA360" s="166">
        <f>SUMIF($D$5:$D$319,"=sos",CA5:CA319)*HLOOKUP(BX322,Verteil_rwst,15,FALSE)+SUMIF($D$5:$D$319,"=som",CA5:CA319)*HLOOKUP(BX322,Verteil_rwst,16,FALSE)+SUMIF($D$5:$D$319,"=sor",CA5:CA319)*HLOOKUP(BX322,Verteil_rwst,17,FALSE)+SUMIF($D$5:$D$319,"=soz",CA5:CA319)*HLOOKUP(BX322,Verteil_rwst,18,FALSE)</f>
        <v>205143.75</v>
      </c>
      <c r="CB360" s="90">
        <f t="shared" ref="CB360" si="1105">IF(CA357&lt;&gt;0,CA360/CA357,0)</f>
        <v>0.21624808939018605</v>
      </c>
      <c r="CC360" s="565" t="s">
        <v>179</v>
      </c>
      <c r="CE360" s="381"/>
      <c r="CF360" s="166">
        <f>SUMIF($D$5:$D$319,"=sos",CF5:CF319)*HLOOKUP(CK322,Verteil_rwst,15,FALSE)+SUMIF($D$5:$D$319,"=som",CF5:CF319)*HLOOKUP(CK322,Verteil_rwst,16,FALSE)+SUMIF($D$5:$D$319,"=sor",CF5:CF319)*HLOOKUP(CK322,Verteil_rwst,17,FALSE)+SUMIF($D$5:$D$319,"=soz",CF5:CF319)*HLOOKUP(CK322,Verteil_rwst,18,FALSE)</f>
        <v>0</v>
      </c>
      <c r="CH360" s="166">
        <f>SUMIF($D$5:$D$319,"=sos",CH5:CH319)*HLOOKUP(CK322,Verteil_rwst,15,FALSE)+SUMIF($D$5:$D$319,"=som",CH5:CH319)*HLOOKUP(CK322,Verteil_rwst,16,FALSE)+SUMIF($D$5:$D$319,"=sor",CH5:CH319)*HLOOKUP(CK322,Verteil_rwst,17,FALSE)+SUMIF($D$5:$D$319,"=soz",CH5:CH319)*HLOOKUP(CK322,Verteil_rwst,18,FALSE)</f>
        <v>0</v>
      </c>
      <c r="CJ360" s="90">
        <f t="shared" ref="CJ360" si="1106">IF(CK357&lt;&gt;0,CK360/CK357,0)</f>
        <v>0.21622550754626227</v>
      </c>
      <c r="CK360" s="166">
        <f>ROUND(CM360*HLOOKUP(CK322,Grund_zins,2,FALSE),2)</f>
        <v>5956.31</v>
      </c>
      <c r="CL360" s="166">
        <f>SUMIF($D$5:$D$319,"=sos",CL5:CL319)*HLOOKUP(CK322,Verteil_rwst,15,FALSE)+SUMIF($D$5:$D$319,"=som",CL5:CL319)*HLOOKUP(CK322,Verteil_rwst,16,FALSE)+SUMIF($D$5:$D$319,"=sor",CL5:CL319)*HLOOKUP(CK322,Verteil_rwst,17,FALSE)+SUMIF($D$5:$D$319,"=soz",CL5:CL319)*HLOOKUP(CK322,Verteil_rwst,18,FALSE)</f>
        <v>13200</v>
      </c>
      <c r="CM360" s="166">
        <f t="shared" si="966"/>
        <v>198543.75</v>
      </c>
      <c r="CN360" s="166">
        <f>SUMIF($D$5:$D$319,"=sos",CN5:CN319)*HLOOKUP(CK322,Verteil_rwst,15,FALSE)+SUMIF($D$5:$D$319,"=som",CN5:CN319)*HLOOKUP(CK322,Verteil_rwst,16,FALSE)+SUMIF($D$5:$D$319,"=sor",CN5:CN319)*HLOOKUP(CK322,Verteil_rwst,17,FALSE)+SUMIF($D$5:$D$319,"=soz",CN5:CN319)*HLOOKUP(CK322,Verteil_rwst,18,FALSE)</f>
        <v>191943.75</v>
      </c>
      <c r="CO360" s="90">
        <f t="shared" ref="CO360" si="1107">IF(CN357&lt;&gt;0,CN360/CN357,0)</f>
        <v>0.21620156566794324</v>
      </c>
      <c r="CP360" s="565" t="s">
        <v>179</v>
      </c>
      <c r="CR360" s="381"/>
      <c r="CS360" s="166">
        <f>SUMIF($D$5:$D$319,"=sos",CS5:CS319)*HLOOKUP(CX322,Verteil_rwst,15,FALSE)+SUMIF($D$5:$D$319,"=som",CS5:CS319)*HLOOKUP(CX322,Verteil_rwst,16,FALSE)+SUMIF($D$5:$D$319,"=sor",CS5:CS319)*HLOOKUP(CX322,Verteil_rwst,17,FALSE)+SUMIF($D$5:$D$319,"=soz",CS5:CS319)*HLOOKUP(CX322,Verteil_rwst,18,FALSE)</f>
        <v>0</v>
      </c>
      <c r="CU360" s="166">
        <f>SUMIF($D$5:$D$319,"=sos",CU5:CU319)*HLOOKUP(CX322,Verteil_rwst,15,FALSE)+SUMIF($D$5:$D$319,"=som",CU5:CU319)*HLOOKUP(CX322,Verteil_rwst,16,FALSE)+SUMIF($D$5:$D$319,"=sor",CU5:CU319)*HLOOKUP(CX322,Verteil_rwst,17,FALSE)+SUMIF($D$5:$D$319,"=soz",CU5:CU319)*HLOOKUP(CX322,Verteil_rwst,18,FALSE)</f>
        <v>0</v>
      </c>
      <c r="CW360" s="90">
        <f t="shared" ref="CW360" si="1108">IF(CX357&lt;&gt;0,CX360/CX357,0)</f>
        <v>0.21621050587435675</v>
      </c>
      <c r="CX360" s="166">
        <f>ROUND(CZ360*HLOOKUP(CX322,Grund_zins,2,FALSE),2)</f>
        <v>5566.88</v>
      </c>
      <c r="CY360" s="166">
        <f>SUMIF($D$5:$D$319,"=sos",CY5:CY319)*HLOOKUP(CX322,Verteil_rwst,15,FALSE)+SUMIF($D$5:$D$319,"=som",CY5:CY319)*HLOOKUP(CX322,Verteil_rwst,16,FALSE)+SUMIF($D$5:$D$319,"=sor",CY5:CY319)*HLOOKUP(CX322,Verteil_rwst,17,FALSE)+SUMIF($D$5:$D$319,"=soz",CY5:CY319)*HLOOKUP(CX322,Verteil_rwst,18,FALSE)</f>
        <v>12762.5</v>
      </c>
      <c r="CZ360" s="166">
        <f t="shared" si="967"/>
        <v>185562.5</v>
      </c>
      <c r="DA360" s="166">
        <f>SUMIF($D$5:$D$319,"=sos",DA5:DA319)*HLOOKUP(CX322,Verteil_rwst,15,FALSE)+SUMIF($D$5:$D$319,"=som",DA5:DA319)*HLOOKUP(CX322,Verteil_rwst,16,FALSE)+SUMIF($D$5:$D$319,"=sor",DA5:DA319)*HLOOKUP(CX322,Verteil_rwst,17,FALSE)+SUMIF($D$5:$D$319,"=soz",DA5:DA319)*HLOOKUP(CX322,Verteil_rwst,18,FALSE)</f>
        <v>179181.25</v>
      </c>
      <c r="DB360" s="90">
        <f t="shared" ref="DB360" si="1109">IF(DA357&lt;&gt;0,DA360/DA357,0)</f>
        <v>0.21621968142874382</v>
      </c>
      <c r="DC360" s="565" t="s">
        <v>179</v>
      </c>
      <c r="DE360" s="381"/>
      <c r="DF360" s="166">
        <f>SUMIF($D$5:$D$319,"=sos",DF5:DF319)*HLOOKUP(DK322,Verteil_rwst,15,FALSE)+SUMIF($D$5:$D$319,"=som",DF5:DF319)*HLOOKUP(DK322,Verteil_rwst,16,FALSE)+SUMIF($D$5:$D$319,"=sor",DF5:DF319)*HLOOKUP(DK322,Verteil_rwst,17,FALSE)+SUMIF($D$5:$D$319,"=soz",DF5:DF319)*HLOOKUP(DK322,Verteil_rwst,18,FALSE)</f>
        <v>0</v>
      </c>
      <c r="DH360" s="166">
        <f>SUMIF($D$5:$D$319,"=sos",DH5:DH319)*HLOOKUP(DK322,Verteil_rwst,15,FALSE)+SUMIF($D$5:$D$319,"=som",DH5:DH319)*HLOOKUP(DK322,Verteil_rwst,16,FALSE)+SUMIF($D$5:$D$319,"=sor",DH5:DH319)*HLOOKUP(DK322,Verteil_rwst,17,FALSE)+SUMIF($D$5:$D$319,"=soz",DH5:DH319)*HLOOKUP(DK322,Verteil_rwst,18,FALSE)</f>
        <v>0</v>
      </c>
      <c r="DJ360" s="90">
        <f t="shared" ref="DJ360" si="1110">IF(DK357&lt;&gt;0,DK360/DK357,0)</f>
        <v>0.21622974410310955</v>
      </c>
      <c r="DK360" s="166">
        <f>ROUND(DM360*HLOOKUP(DK322,Grund_zins,2,FALSE),2)</f>
        <v>5184</v>
      </c>
      <c r="DL360" s="166">
        <f>SUMIF($D$5:$D$319,"=sos",DL5:DL319)*HLOOKUP(DK322,Verteil_rwst,15,FALSE)+SUMIF($D$5:$D$319,"=som",DL5:DL319)*HLOOKUP(DK322,Verteil_rwst,16,FALSE)+SUMIF($D$5:$D$319,"=sor",DL5:DL319)*HLOOKUP(DK322,Verteil_rwst,17,FALSE)+SUMIF($D$5:$D$319,"=soz",DL5:DL319)*HLOOKUP(DK322,Verteil_rwst,18,FALSE)</f>
        <v>12762.5</v>
      </c>
      <c r="DM360" s="166">
        <f t="shared" si="968"/>
        <v>172800</v>
      </c>
      <c r="DN360" s="166">
        <f>SUMIF($D$5:$D$319,"=sos",DN5:DN319)*HLOOKUP(DK322,Verteil_rwst,15,FALSE)+SUMIF($D$5:$D$319,"=som",DN5:DN319)*HLOOKUP(DK322,Verteil_rwst,16,FALSE)+SUMIF($D$5:$D$319,"=sor",DN5:DN319)*HLOOKUP(DK322,Verteil_rwst,17,FALSE)+SUMIF($D$5:$D$319,"=soz",DN5:DN319)*HLOOKUP(DK322,Verteil_rwst,18,FALSE)</f>
        <v>166418.75</v>
      </c>
      <c r="DO360" s="90">
        <f t="shared" ref="DO360" si="1111">IF(DN357&lt;&gt;0,DN360/DN357,0)</f>
        <v>0.21624057952182951</v>
      </c>
      <c r="DP360" s="565" t="s">
        <v>179</v>
      </c>
      <c r="DR360" s="381"/>
      <c r="DS360" s="166">
        <f>SUMIF($D$5:$D$319,"=sos",DS5:DS319)*HLOOKUP(DX322,Verteil_rwst,15,FALSE)+SUMIF($D$5:$D$319,"=som",DS5:DS319)*HLOOKUP(DX322,Verteil_rwst,16,FALSE)+SUMIF($D$5:$D$319,"=sor",DS5:DS319)*HLOOKUP(DX322,Verteil_rwst,17,FALSE)+SUMIF($D$5:$D$319,"=soz",DS5:DS319)*HLOOKUP(DX322,Verteil_rwst,18,FALSE)</f>
        <v>0</v>
      </c>
      <c r="DU360" s="166">
        <f>SUMIF($D$5:$D$319,"=sos",DU5:DU319)*HLOOKUP(DX322,Verteil_rwst,15,FALSE)+SUMIF($D$5:$D$319,"=som",DU5:DU319)*HLOOKUP(DX322,Verteil_rwst,16,FALSE)+SUMIF($D$5:$D$319,"=sor",DU5:DU319)*HLOOKUP(DX322,Verteil_rwst,17,FALSE)+SUMIF($D$5:$D$319,"=soz",DU5:DU319)*HLOOKUP(DX322,Verteil_rwst,18,FALSE)</f>
        <v>0</v>
      </c>
      <c r="DW360" s="90">
        <f t="shared" ref="DW360" si="1112">IF(DX357&lt;&gt;0,DX360/DX357,0)</f>
        <v>0.2162525054613427</v>
      </c>
      <c r="DX360" s="166">
        <f>ROUND(DZ360*HLOOKUP(DX322,Grund_zins,2,FALSE),2)</f>
        <v>4801.13</v>
      </c>
      <c r="DY360" s="166">
        <f>SUMIF($D$5:$D$319,"=sos",DY5:DY319)*HLOOKUP(DX322,Verteil_rwst,15,FALSE)+SUMIF($D$5:$D$319,"=som",DY5:DY319)*HLOOKUP(DX322,Verteil_rwst,16,FALSE)+SUMIF($D$5:$D$319,"=sor",DY5:DY319)*HLOOKUP(DX322,Verteil_rwst,17,FALSE)+SUMIF($D$5:$D$319,"=soz",DY5:DY319)*HLOOKUP(DX322,Verteil_rwst,18,FALSE)</f>
        <v>12762.5</v>
      </c>
      <c r="DZ360" s="166">
        <f t="shared" si="969"/>
        <v>160037.5</v>
      </c>
      <c r="EA360" s="166">
        <f>SUMIF($D$5:$D$319,"=sos",EA5:EA319)*HLOOKUP(DX322,Verteil_rwst,15,FALSE)+SUMIF($D$5:$D$319,"=som",EA5:EA319)*HLOOKUP(DX322,Verteil_rwst,16,FALSE)+SUMIF($D$5:$D$319,"=sor",EA5:EA319)*HLOOKUP(DX322,Verteil_rwst,17,FALSE)+SUMIF($D$5:$D$319,"=soz",EA5:EA319)*HLOOKUP(DX322,Verteil_rwst,18,FALSE)</f>
        <v>153656.25</v>
      </c>
      <c r="EB360" s="90">
        <f t="shared" ref="EB360" si="1113">IF(EA357&lt;&gt;0,EA360/EA357,0)</f>
        <v>0.21626495425756509</v>
      </c>
      <c r="EC360" s="565" t="s">
        <v>179</v>
      </c>
    </row>
    <row r="361" spans="1:133" s="10" customFormat="1" ht="15" customHeight="1" x14ac:dyDescent="0.35">
      <c r="A361" s="564" t="s">
        <v>382</v>
      </c>
      <c r="Q361" s="225">
        <v>40</v>
      </c>
      <c r="R361" s="381"/>
      <c r="S361" s="166">
        <f>SUMIF($D$5:$D$319,"=has",S5:S319)+SUMIF($D$5:$D$319,"=ham",S5:S319)+SUMIF($D$5:$D$319,"=har",S5:S319)+SUMIF($D$5:$D$319,"=haz",S5:S319)</f>
        <v>0</v>
      </c>
      <c r="U361" s="166">
        <f>SUMIF($D$5:$D$319,"=has",U5:U319)+SUMIF($D$5:$D$319,"=ham",U5:U319)+SUMIF($D$5:$D$319,"=har",U5:U319)+SUMIF($D$5:$D$319,"=haz",U5:U319)</f>
        <v>0</v>
      </c>
      <c r="W361" s="90">
        <f t="shared" ref="W361" si="1114">SUM(W362:W364)</f>
        <v>1</v>
      </c>
      <c r="X361" s="166">
        <f>ROUND(Z361*HLOOKUP(X322,Grund_zins,2,FALSE),2)</f>
        <v>32438.7</v>
      </c>
      <c r="Y361" s="166">
        <f>SUMIF($D$5:$D$319,"=has",Y5:Y319)+SUMIF($D$5:$D$319,"=ham",Y5:Y319)+SUMIF($D$5:$D$319,"=har",Y5:Y319)+SUMIF($D$5:$D$319,"=haz",Y5:Y319)</f>
        <v>24540</v>
      </c>
      <c r="Z361" s="166">
        <f t="shared" si="961"/>
        <v>926820</v>
      </c>
      <c r="AA361" s="166">
        <f>SUMIF($D$5:$D$319,"=has",AA5:AA319)+SUMIF($D$5:$D$319,"=ham",AA5:AA319)+SUMIF($D$5:$D$319,"=har",AA5:AA319)+SUMIF($D$5:$D$319,"=haz",AA5:AA319)</f>
        <v>914550</v>
      </c>
      <c r="AB361" s="90">
        <f t="shared" ref="AB361" si="1115">SUM(AB362:AB364)</f>
        <v>1</v>
      </c>
      <c r="AC361" s="564" t="s">
        <v>382</v>
      </c>
      <c r="AE361" s="381"/>
      <c r="AF361" s="166">
        <f>SUMIF($D$5:$D$319,"=has",AF5:AF319)+SUMIF($D$5:$D$319,"=ham",AF5:AF319)+SUMIF($D$5:$D$319,"=har",AF5:AF319)+SUMIF($D$5:$D$319,"=haz",AF5:AF319)</f>
        <v>0</v>
      </c>
      <c r="AH361" s="166">
        <f>SUMIF($D$5:$D$319,"=has",AH5:AH319)+SUMIF($D$5:$D$319,"=ham",AH5:AH319)+SUMIF($D$5:$D$319,"=har",AH5:AH319)+SUMIF($D$5:$D$319,"=haz",AH5:AH319)</f>
        <v>0</v>
      </c>
      <c r="AJ361" s="90">
        <f t="shared" ref="AJ361" si="1116">SUM(AJ362:AJ364)</f>
        <v>1</v>
      </c>
      <c r="AK361" s="166">
        <f>ROUND(AM361*HLOOKUP(AK322,Grund_zins,2,FALSE),2)</f>
        <v>31579.8</v>
      </c>
      <c r="AL361" s="166">
        <f>SUMIF($D$5:$D$319,"=has",AL5:AL319)+SUMIF($D$5:$D$319,"=ham",AL5:AL319)+SUMIF($D$5:$D$319,"=har",AL5:AL319)+SUMIF($D$5:$D$319,"=haz",AL5:AL319)</f>
        <v>24540</v>
      </c>
      <c r="AM361" s="166">
        <f t="shared" si="962"/>
        <v>902280</v>
      </c>
      <c r="AN361" s="166">
        <f>SUMIF($D$5:$D$319,"=has",AN5:AN319)+SUMIF($D$5:$D$319,"=ham",AN5:AN319)+SUMIF($D$5:$D$319,"=har",AN5:AN319)+SUMIF($D$5:$D$319,"=haz",AN5:AN319)</f>
        <v>890010</v>
      </c>
      <c r="AO361" s="90">
        <f t="shared" ref="AO361" si="1117">SUM(AO362:AO364)</f>
        <v>1</v>
      </c>
      <c r="AP361" s="564" t="s">
        <v>382</v>
      </c>
      <c r="AR361" s="381"/>
      <c r="AS361" s="166">
        <f>SUMIF($D$5:$D$319,"=has",AS5:AS319)+SUMIF($D$5:$D$319,"=ham",AS5:AS319)+SUMIF($D$5:$D$319,"=har",AS5:AS319)+SUMIF($D$5:$D$319,"=haz",AS5:AS319)</f>
        <v>0</v>
      </c>
      <c r="AU361" s="166">
        <f>SUMIF($D$5:$D$319,"=has",AU5:AU319)+SUMIF($D$5:$D$319,"=ham",AU5:AU319)+SUMIF($D$5:$D$319,"=har",AU5:AU319)+SUMIF($D$5:$D$319,"=haz",AU5:AU319)</f>
        <v>0</v>
      </c>
      <c r="AW361" s="90">
        <f t="shared" ref="AW361" si="1118">SUM(AW362:AW364)</f>
        <v>1</v>
      </c>
      <c r="AX361" s="166">
        <f>ROUND(AZ361*HLOOKUP(AX322,Grund_zins,2,FALSE),2)</f>
        <v>30720.9</v>
      </c>
      <c r="AY361" s="166">
        <f>SUMIF($D$5:$D$319,"=has",AY5:AY319)+SUMIF($D$5:$D$319,"=ham",AY5:AY319)+SUMIF($D$5:$D$319,"=har",AY5:AY319)+SUMIF($D$5:$D$319,"=haz",AY5:AY319)</f>
        <v>24540</v>
      </c>
      <c r="AZ361" s="166">
        <f t="shared" si="963"/>
        <v>877740</v>
      </c>
      <c r="BA361" s="166">
        <f>SUMIF($D$5:$D$319,"=has",BA5:BA319)+SUMIF($D$5:$D$319,"=ham",BA5:BA319)+SUMIF($D$5:$D$319,"=har",BA5:BA319)+SUMIF($D$5:$D$319,"=haz",BA5:BA319)</f>
        <v>865470</v>
      </c>
      <c r="BB361" s="90">
        <f t="shared" ref="BB361" si="1119">SUM(BB362:BB364)</f>
        <v>1</v>
      </c>
      <c r="BC361" s="564" t="s">
        <v>382</v>
      </c>
      <c r="BE361" s="381"/>
      <c r="BF361" s="166">
        <f>SUMIF($D$5:$D$319,"=has",BF5:BF319)+SUMIF($D$5:$D$319,"=ham",BF5:BF319)+SUMIF($D$5:$D$319,"=har",BF5:BF319)+SUMIF($D$5:$D$319,"=haz",BF5:BF319)</f>
        <v>0</v>
      </c>
      <c r="BH361" s="166">
        <f>SUMIF($D$5:$D$319,"=has",BH5:BH319)+SUMIF($D$5:$D$319,"=ham",BH5:BH319)+SUMIF($D$5:$D$319,"=har",BH5:BH319)+SUMIF($D$5:$D$319,"=haz",BH5:BH319)</f>
        <v>0</v>
      </c>
      <c r="BJ361" s="90">
        <f t="shared" ref="BJ361" si="1120">SUM(BJ362:BJ364)</f>
        <v>1</v>
      </c>
      <c r="BK361" s="166">
        <f>ROUND(BM361*HLOOKUP(BK322,Grund_zins,2,FALSE),2)</f>
        <v>29862</v>
      </c>
      <c r="BL361" s="166">
        <f>SUMIF($D$5:$D$319,"=has",BL5:BL319)+SUMIF($D$5:$D$319,"=ham",BL5:BL319)+SUMIF($D$5:$D$319,"=har",BL5:BL319)+SUMIF($D$5:$D$319,"=haz",BL5:BL319)</f>
        <v>24540</v>
      </c>
      <c r="BM361" s="166">
        <f t="shared" si="964"/>
        <v>853200</v>
      </c>
      <c r="BN361" s="166">
        <f>SUMIF($D$5:$D$319,"=has",BN5:BN319)+SUMIF($D$5:$D$319,"=ham",BN5:BN319)+SUMIF($D$5:$D$319,"=har",BN5:BN319)+SUMIF($D$5:$D$319,"=haz",BN5:BN319)</f>
        <v>840930</v>
      </c>
      <c r="BO361" s="90">
        <f t="shared" ref="BO361" si="1121">SUM(BO362:BO364)</f>
        <v>1</v>
      </c>
      <c r="BP361" s="564" t="s">
        <v>382</v>
      </c>
      <c r="BR361" s="381"/>
      <c r="BS361" s="166">
        <f>SUMIF($D$5:$D$319,"=has",BS5:BS319)+SUMIF($D$5:$D$319,"=ham",BS5:BS319)+SUMIF($D$5:$D$319,"=har",BS5:BS319)+SUMIF($D$5:$D$319,"=haz",BS5:BS319)</f>
        <v>0</v>
      </c>
      <c r="BU361" s="166">
        <f>SUMIF($D$5:$D$319,"=has",BU5:BU319)+SUMIF($D$5:$D$319,"=ham",BU5:BU319)+SUMIF($D$5:$D$319,"=har",BU5:BU319)+SUMIF($D$5:$D$319,"=haz",BU5:BU319)</f>
        <v>0</v>
      </c>
      <c r="BW361" s="90">
        <f t="shared" ref="BW361" si="1122">SUM(BW362:BW364)</f>
        <v>1</v>
      </c>
      <c r="BX361" s="166">
        <f>ROUND(BZ361*HLOOKUP(BX322,Grund_zins,2,FALSE),2)</f>
        <v>29003.1</v>
      </c>
      <c r="BY361" s="166">
        <f>SUMIF($D$5:$D$319,"=has",BY5:BY319)+SUMIF($D$5:$D$319,"=ham",BY5:BY319)+SUMIF($D$5:$D$319,"=har",BY5:BY319)+SUMIF($D$5:$D$319,"=haz",BY5:BY319)</f>
        <v>24540</v>
      </c>
      <c r="BZ361" s="166">
        <f t="shared" si="965"/>
        <v>828660</v>
      </c>
      <c r="CA361" s="166">
        <f>SUMIF($D$5:$D$319,"=has",CA5:CA319)+SUMIF($D$5:$D$319,"=ham",CA5:CA319)+SUMIF($D$5:$D$319,"=har",CA5:CA319)+SUMIF($D$5:$D$319,"=haz",CA5:CA319)</f>
        <v>816390</v>
      </c>
      <c r="CB361" s="90">
        <f t="shared" ref="CB361" si="1123">SUM(CB362:CB364)</f>
        <v>1</v>
      </c>
      <c r="CC361" s="564" t="s">
        <v>382</v>
      </c>
      <c r="CE361" s="381"/>
      <c r="CF361" s="166">
        <f>SUMIF($D$5:$D$319,"=has",CF5:CF319)+SUMIF($D$5:$D$319,"=ham",CF5:CF319)+SUMIF($D$5:$D$319,"=har",CF5:CF319)+SUMIF($D$5:$D$319,"=haz",CF5:CF319)</f>
        <v>0</v>
      </c>
      <c r="CH361" s="166">
        <f>SUMIF($D$5:$D$319,"=has",CH5:CH319)+SUMIF($D$5:$D$319,"=ham",CH5:CH319)+SUMIF($D$5:$D$319,"=har",CH5:CH319)+SUMIF($D$5:$D$319,"=haz",CH5:CH319)</f>
        <v>0</v>
      </c>
      <c r="CJ361" s="90">
        <f t="shared" ref="CJ361" si="1124">SUM(CJ362:CJ364)</f>
        <v>1</v>
      </c>
      <c r="CK361" s="166">
        <f>ROUND(CM361*HLOOKUP(CK322,Grund_zins,2,FALSE),2)</f>
        <v>24123.599999999999</v>
      </c>
      <c r="CL361" s="166">
        <f>SUMIF($D$5:$D$319,"=has",CL5:CL319)+SUMIF($D$5:$D$319,"=ham",CL5:CL319)+SUMIF($D$5:$D$319,"=har",CL5:CL319)+SUMIF($D$5:$D$319,"=haz",CL5:CL319)</f>
        <v>24540</v>
      </c>
      <c r="CM361" s="166">
        <f t="shared" si="966"/>
        <v>804120</v>
      </c>
      <c r="CN361" s="166">
        <f>SUMIF($D$5:$D$319,"=has",CN5:CN319)+SUMIF($D$5:$D$319,"=ham",CN5:CN319)+SUMIF($D$5:$D$319,"=har",CN5:CN319)+SUMIF($D$5:$D$319,"=haz",CN5:CN319)</f>
        <v>791850</v>
      </c>
      <c r="CO361" s="90">
        <f t="shared" ref="CO361" si="1125">SUM(CO362:CO364)</f>
        <v>1</v>
      </c>
      <c r="CP361" s="564" t="s">
        <v>382</v>
      </c>
      <c r="CR361" s="381"/>
      <c r="CS361" s="166">
        <f>SUMIF($D$5:$D$319,"=has",CS5:CS319)+SUMIF($D$5:$D$319,"=ham",CS5:CS319)+SUMIF($D$5:$D$319,"=har",CS5:CS319)+SUMIF($D$5:$D$319,"=haz",CS5:CS319)</f>
        <v>0</v>
      </c>
      <c r="CU361" s="166">
        <f>SUMIF($D$5:$D$319,"=has",CU5:CU319)+SUMIF($D$5:$D$319,"=ham",CU5:CU319)+SUMIF($D$5:$D$319,"=har",CU5:CU319)+SUMIF($D$5:$D$319,"=haz",CU5:CU319)</f>
        <v>0</v>
      </c>
      <c r="CW361" s="90">
        <f t="shared" ref="CW361" si="1126">SUM(CW362:CW364)</f>
        <v>0.99999999999999989</v>
      </c>
      <c r="CX361" s="166">
        <f>ROUND(CZ361*HLOOKUP(CX322,Grund_zins,2,FALSE),2)</f>
        <v>23387.4</v>
      </c>
      <c r="CY361" s="166">
        <f>SUMIF($D$5:$D$319,"=has",CY5:CY319)+SUMIF($D$5:$D$319,"=ham",CY5:CY319)+SUMIF($D$5:$D$319,"=har",CY5:CY319)+SUMIF($D$5:$D$319,"=haz",CY5:CY319)</f>
        <v>24540</v>
      </c>
      <c r="CZ361" s="166">
        <f t="shared" si="967"/>
        <v>779580</v>
      </c>
      <c r="DA361" s="166">
        <f>SUMIF($D$5:$D$319,"=has",DA5:DA319)+SUMIF($D$5:$D$319,"=ham",DA5:DA319)+SUMIF($D$5:$D$319,"=har",DA5:DA319)+SUMIF($D$5:$D$319,"=haz",DA5:DA319)</f>
        <v>767310</v>
      </c>
      <c r="DB361" s="90">
        <f t="shared" ref="DB361" si="1127">SUM(DB362:DB364)</f>
        <v>1</v>
      </c>
      <c r="DC361" s="564" t="s">
        <v>382</v>
      </c>
      <c r="DE361" s="381"/>
      <c r="DF361" s="166">
        <f>SUMIF($D$5:$D$319,"=has",DF5:DF319)+SUMIF($D$5:$D$319,"=ham",DF5:DF319)+SUMIF($D$5:$D$319,"=har",DF5:DF319)+SUMIF($D$5:$D$319,"=haz",DF5:DF319)</f>
        <v>0</v>
      </c>
      <c r="DH361" s="166">
        <f>SUMIF($D$5:$D$319,"=has",DH5:DH319)+SUMIF($D$5:$D$319,"=ham",DH5:DH319)+SUMIF($D$5:$D$319,"=har",DH5:DH319)+SUMIF($D$5:$D$319,"=haz",DH5:DH319)</f>
        <v>0</v>
      </c>
      <c r="DJ361" s="90">
        <f t="shared" ref="DJ361" si="1128">SUM(DJ362:DJ364)</f>
        <v>1</v>
      </c>
      <c r="DK361" s="166">
        <f>ROUND(DM361*HLOOKUP(DK322,Grund_zins,2,FALSE),2)</f>
        <v>22651.200000000001</v>
      </c>
      <c r="DL361" s="166">
        <f>SUMIF($D$5:$D$319,"=has",DL5:DL319)+SUMIF($D$5:$D$319,"=ham",DL5:DL319)+SUMIF($D$5:$D$319,"=har",DL5:DL319)+SUMIF($D$5:$D$319,"=haz",DL5:DL319)</f>
        <v>24540</v>
      </c>
      <c r="DM361" s="166">
        <f t="shared" si="968"/>
        <v>755040</v>
      </c>
      <c r="DN361" s="166">
        <f>SUMIF($D$5:$D$319,"=has",DN5:DN319)+SUMIF($D$5:$D$319,"=ham",DN5:DN319)+SUMIF($D$5:$D$319,"=har",DN5:DN319)+SUMIF($D$5:$D$319,"=haz",DN5:DN319)</f>
        <v>742770</v>
      </c>
      <c r="DO361" s="90">
        <f t="shared" ref="DO361" si="1129">SUM(DO362:DO364)</f>
        <v>1</v>
      </c>
      <c r="DP361" s="564" t="s">
        <v>382</v>
      </c>
      <c r="DR361" s="381"/>
      <c r="DS361" s="166">
        <f>SUMIF($D$5:$D$319,"=has",DS5:DS319)+SUMIF($D$5:$D$319,"=ham",DS5:DS319)+SUMIF($D$5:$D$319,"=har",DS5:DS319)+SUMIF($D$5:$D$319,"=haz",DS5:DS319)</f>
        <v>0</v>
      </c>
      <c r="DU361" s="166">
        <f>SUMIF($D$5:$D$319,"=has",DU5:DU319)+SUMIF($D$5:$D$319,"=ham",DU5:DU319)+SUMIF($D$5:$D$319,"=har",DU5:DU319)+SUMIF($D$5:$D$319,"=haz",DU5:DU319)</f>
        <v>0</v>
      </c>
      <c r="DW361" s="90">
        <f t="shared" ref="DW361" si="1130">SUM(DW362:DW364)</f>
        <v>1</v>
      </c>
      <c r="DX361" s="166">
        <f>ROUND(DZ361*HLOOKUP(DX322,Grund_zins,2,FALSE),2)</f>
        <v>21915</v>
      </c>
      <c r="DY361" s="166">
        <f>SUMIF($D$5:$D$319,"=has",DY5:DY319)+SUMIF($D$5:$D$319,"=ham",DY5:DY319)+SUMIF($D$5:$D$319,"=har",DY5:DY319)+SUMIF($D$5:$D$319,"=haz",DY5:DY319)</f>
        <v>24540</v>
      </c>
      <c r="DZ361" s="166">
        <f t="shared" si="969"/>
        <v>730500</v>
      </c>
      <c r="EA361" s="166">
        <f>SUMIF($D$5:$D$319,"=has",EA5:EA319)+SUMIF($D$5:$D$319,"=ham",EA5:EA319)+SUMIF($D$5:$D$319,"=har",EA5:EA319)+SUMIF($D$5:$D$319,"=haz",EA5:EA319)</f>
        <v>718230</v>
      </c>
      <c r="EB361" s="90">
        <f t="shared" ref="EB361" si="1131">SUM(EB362:EB364)</f>
        <v>1</v>
      </c>
      <c r="EC361" s="564" t="s">
        <v>382</v>
      </c>
    </row>
    <row r="362" spans="1:133" s="10" customFormat="1" ht="15" customHeight="1" x14ac:dyDescent="0.35">
      <c r="A362" s="565" t="s">
        <v>169</v>
      </c>
      <c r="Q362" s="225">
        <v>41</v>
      </c>
      <c r="R362" s="381"/>
      <c r="S362" s="166">
        <f>SUMIF($D$5:$D$319,"=has",S5:S319)*HLOOKUP(X322,Verteil_sw,22,FALSE)+SUMIF($D$5:$D$319,"=ham",S5:S319)*HLOOKUP(X322,Verteil_sw,23,FALSE)+SUMIF($D$5:$D$319,"=har",S5:S319)*HLOOKUP(X322,Verteil_sw,24,FALSE)+SUMIF($D$5:$D$319,"=haz",S5:S319)*HLOOKUP(X322,Verteil_sw,25,FALSE)</f>
        <v>0</v>
      </c>
      <c r="U362" s="166">
        <f>SUMIF($D$5:$D$319,"=has",U5:U319)*HLOOKUP(X322,Verteil_sw,22,FALSE)+SUMIF($D$5:$D$319,"=ham",U5:U319)*HLOOKUP(X322,Verteil_sw,23,FALSE)+SUMIF($D$5:$D$319,"=har",U5:U319)*HLOOKUP(X322,Verteil_sw,24,FALSE)+SUMIF($D$5:$D$319,"=haz",U5:U319)*HLOOKUP(X322,Verteil_sw,25,FALSE)</f>
        <v>0</v>
      </c>
      <c r="W362" s="90">
        <f t="shared" ref="W362" si="1132">IF(X361&lt;&gt;0,X362/X361,0)</f>
        <v>0.58357609891888396</v>
      </c>
      <c r="X362" s="166">
        <f>ROUND(Z362*HLOOKUP(X322,Grund_zins,2,FALSE),2)</f>
        <v>18930.45</v>
      </c>
      <c r="Y362" s="166">
        <f>SUMIF($D$5:$D$319,"=has",Y5:Y319)*HLOOKUP(X322,Verteil_sw,22,FALSE)+SUMIF($D$5:$D$319,"=ham",Y5:Y319)*HLOOKUP(X322,Verteil_sw,23,FALSE)+SUMIF($D$5:$D$319,"=har",Y5:Y319)*HLOOKUP(X322,Verteil_sw,24,FALSE)+SUMIF($D$5:$D$319,"=haz",Y5:Y319)*HLOOKUP(X322,Verteil_sw,25,FALSE)</f>
        <v>14100</v>
      </c>
      <c r="Z362" s="166">
        <f t="shared" si="961"/>
        <v>540870</v>
      </c>
      <c r="AA362" s="166">
        <f>SUMIF($D$5:$D$319,"=has",AA5:AA319)*HLOOKUP(X322,Verteil_sw,22,FALSE)+SUMIF($D$5:$D$319,"=ham",AA5:AA319)*HLOOKUP(X322,Verteil_sw,23,FALSE)+SUMIF($D$5:$D$319,"=har",AA5:AA319)*HLOOKUP(X322,Verteil_sw,24,FALSE)+SUMIF($D$5:$D$319,"=haz",AA5:AA319)*HLOOKUP(X322,Verteil_sw,25,FALSE)</f>
        <v>533820</v>
      </c>
      <c r="AB362" s="90">
        <f t="shared" ref="AB362" si="1133">IF(AA361&lt;&gt;0,AA362/AA361,0)</f>
        <v>0.58369690011481057</v>
      </c>
      <c r="AC362" s="565" t="s">
        <v>169</v>
      </c>
      <c r="AE362" s="381"/>
      <c r="AF362" s="166">
        <f>SUMIF($D$5:$D$319,"=has",AF5:AF319)*HLOOKUP(AK322,Verteil_sw,22,FALSE)+SUMIF($D$5:$D$319,"=ham",AF5:AF319)*HLOOKUP(AK322,Verteil_sw,23,FALSE)+SUMIF($D$5:$D$319,"=har",AF5:AF319)*HLOOKUP(AK322,Verteil_sw,24,FALSE)+SUMIF($D$5:$D$319,"=haz",AF5:AF319)*HLOOKUP(AK322,Verteil_sw,25,FALSE)</f>
        <v>0</v>
      </c>
      <c r="AH362" s="166">
        <f>SUMIF($D$5:$D$319,"=has",AH5:AH319)*HLOOKUP(AK322,Verteil_sw,22,FALSE)+SUMIF($D$5:$D$319,"=ham",AH5:AH319)*HLOOKUP(AK322,Verteil_sw,23,FALSE)+SUMIF($D$5:$D$319,"=har",AH5:AH319)*HLOOKUP(AK322,Verteil_sw,24,FALSE)+SUMIF($D$5:$D$319,"=haz",AH5:AH319)*HLOOKUP(AK322,Verteil_sw,25,FALSE)</f>
        <v>0</v>
      </c>
      <c r="AJ362" s="90">
        <f t="shared" ref="AJ362" si="1134">IF(AK361&lt;&gt;0,AK362/AK361,0)</f>
        <v>0.58382098683335548</v>
      </c>
      <c r="AK362" s="166">
        <f>ROUND(AM362*HLOOKUP(AK322,Grund_zins,2,FALSE),2)</f>
        <v>18436.95</v>
      </c>
      <c r="AL362" s="166">
        <f>SUMIF($D$5:$D$319,"=has",AL5:AL319)*HLOOKUP(AK322,Verteil_sw,22,FALSE)+SUMIF($D$5:$D$319,"=ham",AL5:AL319)*HLOOKUP(AK322,Verteil_sw,23,FALSE)+SUMIF($D$5:$D$319,"=har",AL5:AL319)*HLOOKUP(AK322,Verteil_sw,24,FALSE)+SUMIF($D$5:$D$319,"=haz",AL5:AL319)*HLOOKUP(AK322,Verteil_sw,25,FALSE)</f>
        <v>14100</v>
      </c>
      <c r="AM362" s="166">
        <f t="shared" si="962"/>
        <v>526770</v>
      </c>
      <c r="AN362" s="166">
        <f>SUMIF($D$5:$D$319,"=has",AN5:AN319)*HLOOKUP(AK322,Verteil_sw,22,FALSE)+SUMIF($D$5:$D$319,"=ham",AN5:AN319)*HLOOKUP(AK322,Verteil_sw,23,FALSE)+SUMIF($D$5:$D$319,"=har",AN5:AN319)*HLOOKUP(AK322,Verteil_sw,24,FALSE)+SUMIF($D$5:$D$319,"=haz",AN5:AN319)*HLOOKUP(AK322,Verteil_sw,25,FALSE)</f>
        <v>519720</v>
      </c>
      <c r="AO362" s="90">
        <f t="shared" ref="AO362" si="1135">IF(AN361&lt;&gt;0,AN362/AN361,0)</f>
        <v>0.58394849496073076</v>
      </c>
      <c r="AP362" s="565" t="s">
        <v>169</v>
      </c>
      <c r="AR362" s="381"/>
      <c r="AS362" s="166">
        <f>SUMIF($D$5:$D$319,"=has",AS5:AS319)*HLOOKUP(AX322,Verteil_sw,22,FALSE)+SUMIF($D$5:$D$319,"=ham",AS5:AS319)*HLOOKUP(AX322,Verteil_sw,23,FALSE)+SUMIF($D$5:$D$319,"=har",AS5:AS319)*HLOOKUP(AX322,Verteil_sw,24,FALSE)+SUMIF($D$5:$D$319,"=haz",AS5:AS319)*HLOOKUP(AX322,Verteil_sw,25,FALSE)</f>
        <v>0</v>
      </c>
      <c r="AU362" s="166">
        <f>SUMIF($D$5:$D$319,"=has",AU5:AU319)*HLOOKUP(AX322,Verteil_sw,22,FALSE)+SUMIF($D$5:$D$319,"=ham",AU5:AU319)*HLOOKUP(AX322,Verteil_sw,23,FALSE)+SUMIF($D$5:$D$319,"=har",AU5:AU319)*HLOOKUP(AX322,Verteil_sw,24,FALSE)+SUMIF($D$5:$D$319,"=haz",AU5:AU319)*HLOOKUP(AX322,Verteil_sw,25,FALSE)</f>
        <v>0</v>
      </c>
      <c r="AW362" s="90">
        <f t="shared" ref="AW362" si="1136">IF(AX361&lt;&gt;0,AX362/AX361,0)</f>
        <v>0.58407956798140681</v>
      </c>
      <c r="AX362" s="166">
        <f>ROUND(AZ362*HLOOKUP(AX322,Grund_zins,2,FALSE),2)</f>
        <v>17943.45</v>
      </c>
      <c r="AY362" s="166">
        <f>SUMIF($D$5:$D$319,"=has",AY5:AY319)*HLOOKUP(AX322,Verteil_sw,22,FALSE)+SUMIF($D$5:$D$319,"=ham",AY5:AY319)*HLOOKUP(AX322,Verteil_sw,23,FALSE)+SUMIF($D$5:$D$319,"=har",AY5:AY319)*HLOOKUP(AX322,Verteil_sw,24,FALSE)+SUMIF($D$5:$D$319,"=haz",AY5:AY319)*HLOOKUP(AX322,Verteil_sw,25,FALSE)</f>
        <v>14100</v>
      </c>
      <c r="AZ362" s="166">
        <f t="shared" si="963"/>
        <v>512670</v>
      </c>
      <c r="BA362" s="166">
        <f>SUMIF($D$5:$D$319,"=has",BA5:BA319)*HLOOKUP(AX322,Verteil_sw,22,FALSE)+SUMIF($D$5:$D$319,"=ham",BA5:BA319)*HLOOKUP(AX322,Verteil_sw,23,FALSE)+SUMIF($D$5:$D$319,"=har",BA5:BA319)*HLOOKUP(AX322,Verteil_sw,24,FALSE)+SUMIF($D$5:$D$319,"=haz",BA5:BA319)*HLOOKUP(AX322,Verteil_sw,25,FALSE)</f>
        <v>505620</v>
      </c>
      <c r="BB362" s="90">
        <f t="shared" ref="BB362" si="1137">IF(BA361&lt;&gt;0,BA362/BA361,0)</f>
        <v>0.58421435751672501</v>
      </c>
      <c r="BC362" s="565" t="s">
        <v>169</v>
      </c>
      <c r="BE362" s="381"/>
      <c r="BF362" s="166">
        <f>SUMIF($D$5:$D$319,"=has",BF5:BF319)*HLOOKUP(BK322,Verteil_sw,22,FALSE)+SUMIF($D$5:$D$319,"=ham",BF5:BF319)*HLOOKUP(BK322,Verteil_sw,23,FALSE)+SUMIF($D$5:$D$319,"=har",BF5:BF319)*HLOOKUP(BK322,Verteil_sw,24,FALSE)+SUMIF($D$5:$D$319,"=haz",BF5:BF319)*HLOOKUP(BK322,Verteil_sw,25,FALSE)</f>
        <v>0</v>
      </c>
      <c r="BH362" s="166">
        <f>SUMIF($D$5:$D$319,"=has",BH5:BH319)*HLOOKUP(BK322,Verteil_sw,22,FALSE)+SUMIF($D$5:$D$319,"=ham",BH5:BH319)*HLOOKUP(BK322,Verteil_sw,23,FALSE)+SUMIF($D$5:$D$319,"=har",BH5:BH319)*HLOOKUP(BK322,Verteil_sw,24,FALSE)+SUMIF($D$5:$D$319,"=haz",BH5:BH319)*HLOOKUP(BK322,Verteil_sw,25,FALSE)</f>
        <v>0</v>
      </c>
      <c r="BJ362" s="90">
        <f t="shared" ref="BJ362" si="1138">IF(BK361&lt;&gt;0,BK362/BK361,0)</f>
        <v>0.584353023909986</v>
      </c>
      <c r="BK362" s="166">
        <f>ROUND(BM362*HLOOKUP(BK322,Grund_zins,2,FALSE),2)</f>
        <v>17449.95</v>
      </c>
      <c r="BL362" s="166">
        <f>SUMIF($D$5:$D$319,"=has",BL5:BL319)*HLOOKUP(BK322,Verteil_sw,22,FALSE)+SUMIF($D$5:$D$319,"=ham",BL5:BL319)*HLOOKUP(BK322,Verteil_sw,23,FALSE)+SUMIF($D$5:$D$319,"=har",BL5:BL319)*HLOOKUP(BK322,Verteil_sw,24,FALSE)+SUMIF($D$5:$D$319,"=haz",BL5:BL319)*HLOOKUP(BK322,Verteil_sw,25,FALSE)</f>
        <v>14100</v>
      </c>
      <c r="BM362" s="166">
        <f t="shared" si="964"/>
        <v>498570</v>
      </c>
      <c r="BN362" s="166">
        <f>SUMIF($D$5:$D$319,"=has",BN5:BN319)*HLOOKUP(BK322,Verteil_sw,22,FALSE)+SUMIF($D$5:$D$319,"=ham",BN5:BN319)*HLOOKUP(BK322,Verteil_sw,23,FALSE)+SUMIF($D$5:$D$319,"=har",BN5:BN319)*HLOOKUP(BK322,Verteil_sw,24,FALSE)+SUMIF($D$5:$D$319,"=haz",BN5:BN319)*HLOOKUP(BK322,Verteil_sw,25,FALSE)</f>
        <v>491520</v>
      </c>
      <c r="BO362" s="90">
        <f t="shared" ref="BO362" si="1139">IF(BN361&lt;&gt;0,BN362/BN361,0)</f>
        <v>0.58449573686275913</v>
      </c>
      <c r="BP362" s="565" t="s">
        <v>169</v>
      </c>
      <c r="BR362" s="381"/>
      <c r="BS362" s="166">
        <f>SUMIF($D$5:$D$319,"=has",BS5:BS319)*HLOOKUP(BX322,Verteil_sw,22,FALSE)+SUMIF($D$5:$D$319,"=ham",BS5:BS319)*HLOOKUP(BX322,Verteil_sw,23,FALSE)+SUMIF($D$5:$D$319,"=har",BS5:BS319)*HLOOKUP(BX322,Verteil_sw,24,FALSE)+SUMIF($D$5:$D$319,"=haz",BS5:BS319)*HLOOKUP(BX322,Verteil_sw,25,FALSE)</f>
        <v>0</v>
      </c>
      <c r="BU362" s="166">
        <f>SUMIF($D$5:$D$319,"=has",BU5:BU319)*HLOOKUP(BX322,Verteil_sw,22,FALSE)+SUMIF($D$5:$D$319,"=ham",BU5:BU319)*HLOOKUP(BX322,Verteil_sw,23,FALSE)+SUMIF($D$5:$D$319,"=har",BU5:BU319)*HLOOKUP(BX322,Verteil_sw,24,FALSE)+SUMIF($D$5:$D$319,"=haz",BU5:BU319)*HLOOKUP(BX322,Verteil_sw,25,FALSE)</f>
        <v>0</v>
      </c>
      <c r="BW362" s="90">
        <f t="shared" ref="BW362" si="1140">IF(BX361&lt;&gt;0,BX362/BX361,0)</f>
        <v>0.58464267612772436</v>
      </c>
      <c r="BX362" s="166">
        <f>ROUND(BZ362*HLOOKUP(BX322,Grund_zins,2,FALSE),2)</f>
        <v>16956.45</v>
      </c>
      <c r="BY362" s="166">
        <f>SUMIF($D$5:$D$319,"=has",BY5:BY319)*HLOOKUP(BX322,Verteil_sw,22,FALSE)+SUMIF($D$5:$D$319,"=ham",BY5:BY319)*HLOOKUP(BX322,Verteil_sw,23,FALSE)+SUMIF($D$5:$D$319,"=har",BY5:BY319)*HLOOKUP(BX322,Verteil_sw,24,FALSE)+SUMIF($D$5:$D$319,"=haz",BY5:BY319)*HLOOKUP(BX322,Verteil_sw,25,FALSE)</f>
        <v>14100</v>
      </c>
      <c r="BZ362" s="166">
        <f t="shared" si="965"/>
        <v>484470</v>
      </c>
      <c r="CA362" s="166">
        <f>SUMIF($D$5:$D$319,"=has",CA5:CA319)*HLOOKUP(BX322,Verteil_sw,22,FALSE)+SUMIF($D$5:$D$319,"=ham",CA5:CA319)*HLOOKUP(BX322,Verteil_sw,23,FALSE)+SUMIF($D$5:$D$319,"=har",CA5:CA319)*HLOOKUP(BX322,Verteil_sw,24,FALSE)+SUMIF($D$5:$D$319,"=haz",CA5:CA319)*HLOOKUP(BX322,Verteil_sw,25,FALSE)</f>
        <v>477420</v>
      </c>
      <c r="CB362" s="90">
        <f t="shared" ref="CB362" si="1141">IF(CA361&lt;&gt;0,CA362/CA361,0)</f>
        <v>0.58479403226399151</v>
      </c>
      <c r="CC362" s="565" t="s">
        <v>169</v>
      </c>
      <c r="CE362" s="381"/>
      <c r="CF362" s="166">
        <f>SUMIF($D$5:$D$319,"=has",CF5:CF319)*HLOOKUP(CK322,Verteil_sw,22,FALSE)+SUMIF($D$5:$D$319,"=ham",CF5:CF319)*HLOOKUP(CK322,Verteil_sw,23,FALSE)+SUMIF($D$5:$D$319,"=har",CF5:CF319)*HLOOKUP(CK322,Verteil_sw,24,FALSE)+SUMIF($D$5:$D$319,"=haz",CF5:CF319)*HLOOKUP(CK322,Verteil_sw,25,FALSE)</f>
        <v>0</v>
      </c>
      <c r="CH362" s="166">
        <f>SUMIF($D$5:$D$319,"=has",CH5:CH319)*HLOOKUP(CK322,Verteil_sw,22,FALSE)+SUMIF($D$5:$D$319,"=ham",CH5:CH319)*HLOOKUP(CK322,Verteil_sw,23,FALSE)+SUMIF($D$5:$D$319,"=har",CH5:CH319)*HLOOKUP(CK322,Verteil_sw,24,FALSE)+SUMIF($D$5:$D$319,"=haz",CH5:CH319)*HLOOKUP(CK322,Verteil_sw,25,FALSE)</f>
        <v>0</v>
      </c>
      <c r="CJ362" s="90">
        <f t="shared" ref="CJ362" si="1142">IF(CK361&lt;&gt;0,CK362/CK361,0)</f>
        <v>0.584950007461573</v>
      </c>
      <c r="CK362" s="166">
        <f>ROUND(CM362*HLOOKUP(CK322,Grund_zins,2,FALSE),2)</f>
        <v>14111.1</v>
      </c>
      <c r="CL362" s="166">
        <f>SUMIF($D$5:$D$319,"=has",CL5:CL319)*HLOOKUP(CK322,Verteil_sw,22,FALSE)+SUMIF($D$5:$D$319,"=ham",CL5:CL319)*HLOOKUP(CK322,Verteil_sw,23,FALSE)+SUMIF($D$5:$D$319,"=har",CL5:CL319)*HLOOKUP(CK322,Verteil_sw,24,FALSE)+SUMIF($D$5:$D$319,"=haz",CL5:CL319)*HLOOKUP(CK322,Verteil_sw,25,FALSE)</f>
        <v>14100</v>
      </c>
      <c r="CM362" s="166">
        <f t="shared" si="966"/>
        <v>470370</v>
      </c>
      <c r="CN362" s="166">
        <f>SUMIF($D$5:$D$319,"=has",CN5:CN319)*HLOOKUP(CK322,Verteil_sw,22,FALSE)+SUMIF($D$5:$D$319,"=ham",CN5:CN319)*HLOOKUP(CK322,Verteil_sw,23,FALSE)+SUMIF($D$5:$D$319,"=har",CN5:CN319)*HLOOKUP(CK322,Verteil_sw,24,FALSE)+SUMIF($D$5:$D$319,"=haz",CN5:CN319)*HLOOKUP(CK322,Verteil_sw,25,FALSE)</f>
        <v>463320</v>
      </c>
      <c r="CO362" s="90">
        <f t="shared" ref="CO362" si="1143">IF(CN361&lt;&gt;0,CN362/CN361,0)</f>
        <v>0.58511081644250806</v>
      </c>
      <c r="CP362" s="565" t="s">
        <v>169</v>
      </c>
      <c r="CR362" s="381"/>
      <c r="CS362" s="166">
        <f>SUMIF($D$5:$D$319,"=has",CS5:CS319)*HLOOKUP(CX322,Verteil_sw,22,FALSE)+SUMIF($D$5:$D$319,"=ham",CS5:CS319)*HLOOKUP(CX322,Verteil_sw,23,FALSE)+SUMIF($D$5:$D$319,"=har",CS5:CS319)*HLOOKUP(CX322,Verteil_sw,24,FALSE)+SUMIF($D$5:$D$319,"=haz",CS5:CS319)*HLOOKUP(CX322,Verteil_sw,25,FALSE)</f>
        <v>0</v>
      </c>
      <c r="CU362" s="166">
        <f>SUMIF($D$5:$D$319,"=has",CU5:CU319)*HLOOKUP(CX322,Verteil_sw,22,FALSE)+SUMIF($D$5:$D$319,"=ham",CU5:CU319)*HLOOKUP(CX322,Verteil_sw,23,FALSE)+SUMIF($D$5:$D$319,"=har",CU5:CU319)*HLOOKUP(CX322,Verteil_sw,24,FALSE)+SUMIF($D$5:$D$319,"=haz",CU5:CU319)*HLOOKUP(CX322,Verteil_sw,25,FALSE)</f>
        <v>0</v>
      </c>
      <c r="CW362" s="90">
        <f t="shared" ref="CW362" si="1144">IF(CX361&lt;&gt;0,CX362/CX361,0)</f>
        <v>0.58527668744708683</v>
      </c>
      <c r="CX362" s="166">
        <f>ROUND(CZ362*HLOOKUP(CX322,Grund_zins,2,FALSE),2)</f>
        <v>13688.1</v>
      </c>
      <c r="CY362" s="166">
        <f>SUMIF($D$5:$D$319,"=has",CY5:CY319)*HLOOKUP(CX322,Verteil_sw,22,FALSE)+SUMIF($D$5:$D$319,"=ham",CY5:CY319)*HLOOKUP(CX322,Verteil_sw,23,FALSE)+SUMIF($D$5:$D$319,"=har",CY5:CY319)*HLOOKUP(CX322,Verteil_sw,24,FALSE)+SUMIF($D$5:$D$319,"=haz",CY5:CY319)*HLOOKUP(CX322,Verteil_sw,25,FALSE)</f>
        <v>14100</v>
      </c>
      <c r="CZ362" s="166">
        <f t="shared" si="967"/>
        <v>456270</v>
      </c>
      <c r="DA362" s="166">
        <f>SUMIF($D$5:$D$319,"=has",DA5:DA319)*HLOOKUP(CX322,Verteil_sw,22,FALSE)+SUMIF($D$5:$D$319,"=ham",DA5:DA319)*HLOOKUP(CX322,Verteil_sw,23,FALSE)+SUMIF($D$5:$D$319,"=har",DA5:DA319)*HLOOKUP(CX322,Verteil_sw,24,FALSE)+SUMIF($D$5:$D$319,"=haz",DA5:DA319)*HLOOKUP(CX322,Verteil_sw,25,FALSE)</f>
        <v>449220</v>
      </c>
      <c r="DB362" s="90">
        <f t="shared" ref="DB362" si="1145">IF(DA361&lt;&gt;0,DA362/DA361,0)</f>
        <v>0.58544786331469678</v>
      </c>
      <c r="DC362" s="565" t="s">
        <v>169</v>
      </c>
      <c r="DE362" s="381"/>
      <c r="DF362" s="166">
        <f>SUMIF($D$5:$D$319,"=has",DF5:DF319)*HLOOKUP(DK322,Verteil_sw,22,FALSE)+SUMIF($D$5:$D$319,"=ham",DF5:DF319)*HLOOKUP(DK322,Verteil_sw,23,FALSE)+SUMIF($D$5:$D$319,"=har",DF5:DF319)*HLOOKUP(DK322,Verteil_sw,24,FALSE)+SUMIF($D$5:$D$319,"=haz",DF5:DF319)*HLOOKUP(DK322,Verteil_sw,25,FALSE)</f>
        <v>0</v>
      </c>
      <c r="DH362" s="166">
        <f>SUMIF($D$5:$D$319,"=has",DH5:DH319)*HLOOKUP(DK322,Verteil_sw,22,FALSE)+SUMIF($D$5:$D$319,"=ham",DH5:DH319)*HLOOKUP(DK322,Verteil_sw,23,FALSE)+SUMIF($D$5:$D$319,"=har",DH5:DH319)*HLOOKUP(DK322,Verteil_sw,24,FALSE)+SUMIF($D$5:$D$319,"=haz",DH5:DH319)*HLOOKUP(DK322,Verteil_sw,25,FALSE)</f>
        <v>0</v>
      </c>
      <c r="DJ362" s="90">
        <f t="shared" ref="DJ362" si="1146">IF(DK361&lt;&gt;0,DK362/DK361,0)</f>
        <v>0.58562460267005723</v>
      </c>
      <c r="DK362" s="166">
        <f>ROUND(DM362*HLOOKUP(DK322,Grund_zins,2,FALSE),2)</f>
        <v>13265.1</v>
      </c>
      <c r="DL362" s="166">
        <f>SUMIF($D$5:$D$319,"=has",DL5:DL319)*HLOOKUP(DK322,Verteil_sw,22,FALSE)+SUMIF($D$5:$D$319,"=ham",DL5:DL319)*HLOOKUP(DK322,Verteil_sw,23,FALSE)+SUMIF($D$5:$D$319,"=har",DL5:DL319)*HLOOKUP(DK322,Verteil_sw,24,FALSE)+SUMIF($D$5:$D$319,"=haz",DL5:DL319)*HLOOKUP(DK322,Verteil_sw,25,FALSE)</f>
        <v>14100</v>
      </c>
      <c r="DM362" s="166">
        <f t="shared" si="968"/>
        <v>442170</v>
      </c>
      <c r="DN362" s="166">
        <f>SUMIF($D$5:$D$319,"=has",DN5:DN319)*HLOOKUP(DK322,Verteil_sw,22,FALSE)+SUMIF($D$5:$D$319,"=ham",DN5:DN319)*HLOOKUP(DK322,Verteil_sw,23,FALSE)+SUMIF($D$5:$D$319,"=har",DN5:DN319)*HLOOKUP(DK322,Verteil_sw,24,FALSE)+SUMIF($D$5:$D$319,"=haz",DN5:DN319)*HLOOKUP(DK322,Verteil_sw,25,FALSE)</f>
        <v>435120</v>
      </c>
      <c r="DO362" s="90">
        <f t="shared" ref="DO362" si="1147">IF(DN361&lt;&gt;0,DN362/DN361,0)</f>
        <v>0.58580718122702857</v>
      </c>
      <c r="DP362" s="565" t="s">
        <v>169</v>
      </c>
      <c r="DR362" s="381"/>
      <c r="DS362" s="166">
        <f>SUMIF($D$5:$D$319,"=has",DS5:DS319)*HLOOKUP(DX322,Verteil_sw,22,FALSE)+SUMIF($D$5:$D$319,"=ham",DS5:DS319)*HLOOKUP(DX322,Verteil_sw,23,FALSE)+SUMIF($D$5:$D$319,"=har",DS5:DS319)*HLOOKUP(DX322,Verteil_sw,24,FALSE)+SUMIF($D$5:$D$319,"=haz",DS5:DS319)*HLOOKUP(DX322,Verteil_sw,25,FALSE)</f>
        <v>0</v>
      </c>
      <c r="DU362" s="166">
        <f>SUMIF($D$5:$D$319,"=has",DU5:DU319)*HLOOKUP(DX322,Verteil_sw,22,FALSE)+SUMIF($D$5:$D$319,"=ham",DU5:DU319)*HLOOKUP(DX322,Verteil_sw,23,FALSE)+SUMIF($D$5:$D$319,"=har",DU5:DU319)*HLOOKUP(DX322,Verteil_sw,24,FALSE)+SUMIF($D$5:$D$319,"=haz",DU5:DU319)*HLOOKUP(DX322,Verteil_sw,25,FALSE)</f>
        <v>0</v>
      </c>
      <c r="DW362" s="90">
        <f t="shared" ref="DW362" si="1148">IF(DX361&lt;&gt;0,DX362/DX361,0)</f>
        <v>0.58599589322381929</v>
      </c>
      <c r="DX362" s="166">
        <f>ROUND(DZ362*HLOOKUP(DX322,Grund_zins,2,FALSE),2)</f>
        <v>12842.1</v>
      </c>
      <c r="DY362" s="166">
        <f>SUMIF($D$5:$D$319,"=has",DY5:DY319)*HLOOKUP(DX322,Verteil_sw,22,FALSE)+SUMIF($D$5:$D$319,"=ham",DY5:DY319)*HLOOKUP(DX322,Verteil_sw,23,FALSE)+SUMIF($D$5:$D$319,"=har",DY5:DY319)*HLOOKUP(DX322,Verteil_sw,24,FALSE)+SUMIF($D$5:$D$319,"=haz",DY5:DY319)*HLOOKUP(DX322,Verteil_sw,25,FALSE)</f>
        <v>14100</v>
      </c>
      <c r="DZ362" s="166">
        <f t="shared" si="969"/>
        <v>428070</v>
      </c>
      <c r="EA362" s="166">
        <f>SUMIF($D$5:$D$319,"=has",EA5:EA319)*HLOOKUP(DX322,Verteil_sw,22,FALSE)+SUMIF($D$5:$D$319,"=ham",EA5:EA319)*HLOOKUP(DX322,Verteil_sw,23,FALSE)+SUMIF($D$5:$D$319,"=har",EA5:EA319)*HLOOKUP(DX322,Verteil_sw,24,FALSE)+SUMIF($D$5:$D$319,"=haz",EA5:EA319)*HLOOKUP(DX322,Verteil_sw,25,FALSE)</f>
        <v>421020</v>
      </c>
      <c r="EB362" s="90">
        <f t="shared" ref="EB362" si="1149">IF(EA361&lt;&gt;0,EA362/EA361,0)</f>
        <v>0.58619105300530472</v>
      </c>
      <c r="EC362" s="565" t="s">
        <v>169</v>
      </c>
    </row>
    <row r="363" spans="1:133" s="10" customFormat="1" ht="15" customHeight="1" x14ac:dyDescent="0.35">
      <c r="A363" s="565" t="s">
        <v>178</v>
      </c>
      <c r="Q363" s="225">
        <v>42</v>
      </c>
      <c r="R363" s="381"/>
      <c r="S363" s="166">
        <f>SUMIF($D$5:$D$319,"=has",S5:S319)*HLOOKUP(X322,Verteil_rwgr,21,FALSE)+SUMIF($D$5:$D$319,"=ham",S5:S319)*HLOOKUP(X322,Verteil_rwgr,22,FALSE)+SUMIF($D$5:$D$319,"=har",S5:S319)*HLOOKUP(X322,Verteil_rwgr,23,FALSE)+SUMIF($D$5:$D$319,"=haz",S5:S319)*HLOOKUP(X322,Verteil_rwgr,24,FALSE)</f>
        <v>0</v>
      </c>
      <c r="U363" s="166">
        <f>SUMIF($D$5:$D$319,"=has",U5:U319)*HLOOKUP(X322,Verteil_rwgr,21,FALSE)+SUMIF($D$5:$D$319,"=ham",U5:U319)*HLOOKUP(X322,Verteil_rwgr,22,FALSE)+SUMIF($D$5:$D$319,"=har",U5:U319)*HLOOKUP(X322,Verteil_rwgr,23,FALSE)+SUMIF($D$5:$D$319,"=haz",U5:U319)*HLOOKUP(X322,Verteil_rwgr,24,FALSE)</f>
        <v>0</v>
      </c>
      <c r="W363" s="90">
        <f t="shared" ref="W363" si="1150">IF(X361&lt;&gt;0,X363/X361,0)</f>
        <v>0.41642390108111604</v>
      </c>
      <c r="X363" s="166">
        <f>ROUND(Z363*HLOOKUP(X322,Grund_zins,2,FALSE),2)</f>
        <v>13508.25</v>
      </c>
      <c r="Y363" s="166">
        <f>SUMIF($D$5:$D$319,"=has",Y5:Y319)*HLOOKUP(X322,Verteil_rwgr,21,FALSE)+SUMIF($D$5:$D$319,"=ham",Y5:Y319)*HLOOKUP(X322,Verteil_rwgr,22,FALSE)+SUMIF($D$5:$D$319,"=har",Y5:Y319)*HLOOKUP(X322,Verteil_rwgr,23,FALSE)+SUMIF($D$5:$D$319,"=haz",Y5:Y319)*HLOOKUP(X322,Verteil_rwgr,24,FALSE)</f>
        <v>10440</v>
      </c>
      <c r="Z363" s="166">
        <f t="shared" si="961"/>
        <v>385950</v>
      </c>
      <c r="AA363" s="166">
        <f>SUMIF($D$5:$D$319,"=has",AA5:AA319)*HLOOKUP(X322,Verteil_rwgr,21,FALSE)+SUMIF($D$5:$D$319,"=ham",AA5:AA319)*HLOOKUP(X322,Verteil_rwgr,22,FALSE)+SUMIF($D$5:$D$319,"=har",AA5:AA319)*HLOOKUP(X322,Verteil_rwgr,23,FALSE)+SUMIF($D$5:$D$319,"=haz",AA5:AA319)*HLOOKUP(X322,Verteil_rwgr,24,FALSE)</f>
        <v>380730</v>
      </c>
      <c r="AB363" s="90">
        <f t="shared" ref="AB363" si="1151">IF(AA361&lt;&gt;0,AA363/AA361,0)</f>
        <v>0.41630309988518943</v>
      </c>
      <c r="AC363" s="565" t="s">
        <v>178</v>
      </c>
      <c r="AE363" s="381"/>
      <c r="AF363" s="166">
        <f>SUMIF($D$5:$D$319,"=has",AF5:AF319)*HLOOKUP(AK322,Verteil_rwgr,21,FALSE)+SUMIF($D$5:$D$319,"=ham",AF5:AF319)*HLOOKUP(AK322,Verteil_rwgr,22,FALSE)+SUMIF($D$5:$D$319,"=har",AF5:AF319)*HLOOKUP(AK322,Verteil_rwgr,23,FALSE)+SUMIF($D$5:$D$319,"=haz",AF5:AF319)*HLOOKUP(AK322,Verteil_rwgr,24,FALSE)</f>
        <v>0</v>
      </c>
      <c r="AH363" s="166">
        <f>SUMIF($D$5:$D$319,"=has",AH5:AH319)*HLOOKUP(AK322,Verteil_rwgr,21,FALSE)+SUMIF($D$5:$D$319,"=ham",AH5:AH319)*HLOOKUP(AK322,Verteil_rwgr,22,FALSE)+SUMIF($D$5:$D$319,"=har",AH5:AH319)*HLOOKUP(AK322,Verteil_rwgr,23,FALSE)+SUMIF($D$5:$D$319,"=haz",AH5:AH319)*HLOOKUP(AK322,Verteil_rwgr,24,FALSE)</f>
        <v>0</v>
      </c>
      <c r="AJ363" s="90">
        <f t="shared" ref="AJ363" si="1152">IF(AK361&lt;&gt;0,AK363/AK361,0)</f>
        <v>0.41617901316664452</v>
      </c>
      <c r="AK363" s="166">
        <f>ROUND(AM363*HLOOKUP(AK322,Grund_zins,2,FALSE),2)</f>
        <v>13142.85</v>
      </c>
      <c r="AL363" s="166">
        <f>SUMIF($D$5:$D$319,"=has",AL5:AL319)*HLOOKUP(AK322,Verteil_rwgr,21,FALSE)+SUMIF($D$5:$D$319,"=ham",AL5:AL319)*HLOOKUP(AK322,Verteil_rwgr,22,FALSE)+SUMIF($D$5:$D$319,"=har",AL5:AL319)*HLOOKUP(AK322,Verteil_rwgr,23,FALSE)+SUMIF($D$5:$D$319,"=haz",AL5:AL319)*HLOOKUP(AK322,Verteil_rwgr,24,FALSE)</f>
        <v>10440</v>
      </c>
      <c r="AM363" s="166">
        <f t="shared" si="962"/>
        <v>375510</v>
      </c>
      <c r="AN363" s="166">
        <f>SUMIF($D$5:$D$319,"=has",AN5:AN319)*HLOOKUP(AK322,Verteil_rwgr,21,FALSE)+SUMIF($D$5:$D$319,"=ham",AN5:AN319)*HLOOKUP(AK322,Verteil_rwgr,22,FALSE)+SUMIF($D$5:$D$319,"=har",AN5:AN319)*HLOOKUP(AK322,Verteil_rwgr,23,FALSE)+SUMIF($D$5:$D$319,"=haz",AN5:AN319)*HLOOKUP(AK322,Verteil_rwgr,24,FALSE)</f>
        <v>370290</v>
      </c>
      <c r="AO363" s="90">
        <f t="shared" ref="AO363" si="1153">IF(AN361&lt;&gt;0,AN363/AN361,0)</f>
        <v>0.41605150503926924</v>
      </c>
      <c r="AP363" s="565" t="s">
        <v>178</v>
      </c>
      <c r="AR363" s="381"/>
      <c r="AS363" s="166">
        <f>SUMIF($D$5:$D$319,"=has",AS5:AS319)*HLOOKUP(AX322,Verteil_rwgr,21,FALSE)+SUMIF($D$5:$D$319,"=ham",AS5:AS319)*HLOOKUP(AX322,Verteil_rwgr,22,FALSE)+SUMIF($D$5:$D$319,"=har",AS5:AS319)*HLOOKUP(AX322,Verteil_rwgr,23,FALSE)+SUMIF($D$5:$D$319,"=haz",AS5:AS319)*HLOOKUP(AX322,Verteil_rwgr,24,FALSE)</f>
        <v>0</v>
      </c>
      <c r="AU363" s="166">
        <f>SUMIF($D$5:$D$319,"=has",AU5:AU319)*HLOOKUP(AX322,Verteil_rwgr,21,FALSE)+SUMIF($D$5:$D$319,"=ham",AU5:AU319)*HLOOKUP(AX322,Verteil_rwgr,22,FALSE)+SUMIF($D$5:$D$319,"=har",AU5:AU319)*HLOOKUP(AX322,Verteil_rwgr,23,FALSE)+SUMIF($D$5:$D$319,"=haz",AU5:AU319)*HLOOKUP(AX322,Verteil_rwgr,24,FALSE)</f>
        <v>0</v>
      </c>
      <c r="AW363" s="90">
        <f t="shared" ref="AW363" si="1154">IF(AX361&lt;&gt;0,AX363/AX361,0)</f>
        <v>0.41592043201859319</v>
      </c>
      <c r="AX363" s="166">
        <f>ROUND(AZ363*HLOOKUP(AX322,Grund_zins,2,FALSE),2)</f>
        <v>12777.45</v>
      </c>
      <c r="AY363" s="166">
        <f>SUMIF($D$5:$D$319,"=has",AY5:AY319)*HLOOKUP(AX322,Verteil_rwgr,21,FALSE)+SUMIF($D$5:$D$319,"=ham",AY5:AY319)*HLOOKUP(AX322,Verteil_rwgr,22,FALSE)+SUMIF($D$5:$D$319,"=har",AY5:AY319)*HLOOKUP(AX322,Verteil_rwgr,23,FALSE)+SUMIF($D$5:$D$319,"=haz",AY5:AY319)*HLOOKUP(AX322,Verteil_rwgr,24,FALSE)</f>
        <v>10440</v>
      </c>
      <c r="AZ363" s="166">
        <f t="shared" si="963"/>
        <v>365070</v>
      </c>
      <c r="BA363" s="166">
        <f>SUMIF($D$5:$D$319,"=has",BA5:BA319)*HLOOKUP(AX322,Verteil_rwgr,21,FALSE)+SUMIF($D$5:$D$319,"=ham",BA5:BA319)*HLOOKUP(AX322,Verteil_rwgr,22,FALSE)+SUMIF($D$5:$D$319,"=har",BA5:BA319)*HLOOKUP(AX322,Verteil_rwgr,23,FALSE)+SUMIF($D$5:$D$319,"=haz",BA5:BA319)*HLOOKUP(AX322,Verteil_rwgr,24,FALSE)</f>
        <v>359850</v>
      </c>
      <c r="BB363" s="90">
        <f t="shared" ref="BB363" si="1155">IF(BA361&lt;&gt;0,BA363/BA361,0)</f>
        <v>0.41578564248327499</v>
      </c>
      <c r="BC363" s="565" t="s">
        <v>178</v>
      </c>
      <c r="BE363" s="381"/>
      <c r="BF363" s="166">
        <f>SUMIF($D$5:$D$319,"=has",BF5:BF319)*HLOOKUP(BK322,Verteil_rwgr,21,FALSE)+SUMIF($D$5:$D$319,"=ham",BF5:BF319)*HLOOKUP(BK322,Verteil_rwgr,22,FALSE)+SUMIF($D$5:$D$319,"=har",BF5:BF319)*HLOOKUP(BK322,Verteil_rwgr,23,FALSE)+SUMIF($D$5:$D$319,"=haz",BF5:BF319)*HLOOKUP(BK322,Verteil_rwgr,24,FALSE)</f>
        <v>0</v>
      </c>
      <c r="BH363" s="166">
        <f>SUMIF($D$5:$D$319,"=has",BH5:BH319)*HLOOKUP(BK322,Verteil_rwgr,21,FALSE)+SUMIF($D$5:$D$319,"=ham",BH5:BH319)*HLOOKUP(BK322,Verteil_rwgr,22,FALSE)+SUMIF($D$5:$D$319,"=har",BH5:BH319)*HLOOKUP(BK322,Verteil_rwgr,23,FALSE)+SUMIF($D$5:$D$319,"=haz",BH5:BH319)*HLOOKUP(BK322,Verteil_rwgr,24,FALSE)</f>
        <v>0</v>
      </c>
      <c r="BJ363" s="90">
        <f t="shared" ref="BJ363" si="1156">IF(BK361&lt;&gt;0,BK363/BK361,0)</f>
        <v>0.41564697609001405</v>
      </c>
      <c r="BK363" s="166">
        <f>ROUND(BM363*HLOOKUP(BK322,Grund_zins,2,FALSE),2)</f>
        <v>12412.05</v>
      </c>
      <c r="BL363" s="166">
        <f>SUMIF($D$5:$D$319,"=has",BL5:BL319)*HLOOKUP(BK322,Verteil_rwgr,21,FALSE)+SUMIF($D$5:$D$319,"=ham",BL5:BL319)*HLOOKUP(BK322,Verteil_rwgr,22,FALSE)+SUMIF($D$5:$D$319,"=har",BL5:BL319)*HLOOKUP(BK322,Verteil_rwgr,23,FALSE)+SUMIF($D$5:$D$319,"=haz",BL5:BL319)*HLOOKUP(BK322,Verteil_rwgr,24,FALSE)</f>
        <v>10440</v>
      </c>
      <c r="BM363" s="166">
        <f t="shared" si="964"/>
        <v>354630</v>
      </c>
      <c r="BN363" s="166">
        <f>SUMIF($D$5:$D$319,"=has",BN5:BN319)*HLOOKUP(BK322,Verteil_rwgr,21,FALSE)+SUMIF($D$5:$D$319,"=ham",BN5:BN319)*HLOOKUP(BK322,Verteil_rwgr,22,FALSE)+SUMIF($D$5:$D$319,"=har",BN5:BN319)*HLOOKUP(BK322,Verteil_rwgr,23,FALSE)+SUMIF($D$5:$D$319,"=haz",BN5:BN319)*HLOOKUP(BK322,Verteil_rwgr,24,FALSE)</f>
        <v>349410</v>
      </c>
      <c r="BO363" s="90">
        <f t="shared" ref="BO363" si="1157">IF(BN361&lt;&gt;0,BN363/BN361,0)</f>
        <v>0.41550426313724093</v>
      </c>
      <c r="BP363" s="565" t="s">
        <v>178</v>
      </c>
      <c r="BR363" s="381"/>
      <c r="BS363" s="166">
        <f>SUMIF($D$5:$D$319,"=has",BS5:BS319)*HLOOKUP(BX322,Verteil_rwgr,21,FALSE)+SUMIF($D$5:$D$319,"=ham",BS5:BS319)*HLOOKUP(BX322,Verteil_rwgr,22,FALSE)+SUMIF($D$5:$D$319,"=har",BS5:BS319)*HLOOKUP(BX322,Verteil_rwgr,23,FALSE)+SUMIF($D$5:$D$319,"=haz",BS5:BS319)*HLOOKUP(BX322,Verteil_rwgr,24,FALSE)</f>
        <v>0</v>
      </c>
      <c r="BU363" s="166">
        <f>SUMIF($D$5:$D$319,"=has",BU5:BU319)*HLOOKUP(BX322,Verteil_rwgr,21,FALSE)+SUMIF($D$5:$D$319,"=ham",BU5:BU319)*HLOOKUP(BX322,Verteil_rwgr,22,FALSE)+SUMIF($D$5:$D$319,"=har",BU5:BU319)*HLOOKUP(BX322,Verteil_rwgr,23,FALSE)+SUMIF($D$5:$D$319,"=haz",BU5:BU319)*HLOOKUP(BX322,Verteil_rwgr,24,FALSE)</f>
        <v>0</v>
      </c>
      <c r="BW363" s="90">
        <f t="shared" ref="BW363" si="1158">IF(BX361&lt;&gt;0,BX363/BX361,0)</f>
        <v>0.41535732387227575</v>
      </c>
      <c r="BX363" s="166">
        <f>ROUND(BZ363*HLOOKUP(BX322,Grund_zins,2,FALSE),2)</f>
        <v>12046.65</v>
      </c>
      <c r="BY363" s="166">
        <f>SUMIF($D$5:$D$319,"=has",BY5:BY319)*HLOOKUP(BX322,Verteil_rwgr,21,FALSE)+SUMIF($D$5:$D$319,"=ham",BY5:BY319)*HLOOKUP(BX322,Verteil_rwgr,22,FALSE)+SUMIF($D$5:$D$319,"=har",BY5:BY319)*HLOOKUP(BX322,Verteil_rwgr,23,FALSE)+SUMIF($D$5:$D$319,"=haz",BY5:BY319)*HLOOKUP(BX322,Verteil_rwgr,24,FALSE)</f>
        <v>10440</v>
      </c>
      <c r="BZ363" s="166">
        <f t="shared" si="965"/>
        <v>344190</v>
      </c>
      <c r="CA363" s="166">
        <f>SUMIF($D$5:$D$319,"=has",CA5:CA319)*HLOOKUP(BX322,Verteil_rwgr,21,FALSE)+SUMIF($D$5:$D$319,"=ham",CA5:CA319)*HLOOKUP(BX322,Verteil_rwgr,22,FALSE)+SUMIF($D$5:$D$319,"=har",CA5:CA319)*HLOOKUP(BX322,Verteil_rwgr,23,FALSE)+SUMIF($D$5:$D$319,"=haz",CA5:CA319)*HLOOKUP(BX322,Verteil_rwgr,24,FALSE)</f>
        <v>338970</v>
      </c>
      <c r="CB363" s="90">
        <f t="shared" ref="CB363" si="1159">IF(CA361&lt;&gt;0,CA363/CA361,0)</f>
        <v>0.41520596773600854</v>
      </c>
      <c r="CC363" s="565" t="s">
        <v>178</v>
      </c>
      <c r="CE363" s="381"/>
      <c r="CF363" s="166">
        <f>SUMIF($D$5:$D$319,"=has",CF5:CF319)*HLOOKUP(CK322,Verteil_rwgr,21,FALSE)+SUMIF($D$5:$D$319,"=ham",CF5:CF319)*HLOOKUP(CK322,Verteil_rwgr,22,FALSE)+SUMIF($D$5:$D$319,"=har",CF5:CF319)*HLOOKUP(CK322,Verteil_rwgr,23,FALSE)+SUMIF($D$5:$D$319,"=haz",CF5:CF319)*HLOOKUP(CK322,Verteil_rwgr,24,FALSE)</f>
        <v>0</v>
      </c>
      <c r="CH363" s="166">
        <f>SUMIF($D$5:$D$319,"=has",CH5:CH319)*HLOOKUP(CK322,Verteil_rwgr,21,FALSE)+SUMIF($D$5:$D$319,"=ham",CH5:CH319)*HLOOKUP(CK322,Verteil_rwgr,22,FALSE)+SUMIF($D$5:$D$319,"=har",CH5:CH319)*HLOOKUP(CK322,Verteil_rwgr,23,FALSE)+SUMIF($D$5:$D$319,"=haz",CH5:CH319)*HLOOKUP(CK322,Verteil_rwgr,24,FALSE)</f>
        <v>0</v>
      </c>
      <c r="CJ363" s="90">
        <f t="shared" ref="CJ363" si="1160">IF(CK361&lt;&gt;0,CK363/CK361,0)</f>
        <v>0.41504999253842711</v>
      </c>
      <c r="CK363" s="166">
        <f>ROUND(CM363*HLOOKUP(CK322,Grund_zins,2,FALSE),2)</f>
        <v>10012.5</v>
      </c>
      <c r="CL363" s="166">
        <f>SUMIF($D$5:$D$319,"=has",CL5:CL319)*HLOOKUP(CK322,Verteil_rwgr,21,FALSE)+SUMIF($D$5:$D$319,"=ham",CL5:CL319)*HLOOKUP(CK322,Verteil_rwgr,22,FALSE)+SUMIF($D$5:$D$319,"=har",CL5:CL319)*HLOOKUP(CK322,Verteil_rwgr,23,FALSE)+SUMIF($D$5:$D$319,"=haz",CL5:CL319)*HLOOKUP(CK322,Verteil_rwgr,24,FALSE)</f>
        <v>10440</v>
      </c>
      <c r="CM363" s="166">
        <f t="shared" si="966"/>
        <v>333750</v>
      </c>
      <c r="CN363" s="166">
        <f>SUMIF($D$5:$D$319,"=has",CN5:CN319)*HLOOKUP(CK322,Verteil_rwgr,21,FALSE)+SUMIF($D$5:$D$319,"=ham",CN5:CN319)*HLOOKUP(CK322,Verteil_rwgr,22,FALSE)+SUMIF($D$5:$D$319,"=har",CN5:CN319)*HLOOKUP(CK322,Verteil_rwgr,23,FALSE)+SUMIF($D$5:$D$319,"=haz",CN5:CN319)*HLOOKUP(CK322,Verteil_rwgr,24,FALSE)</f>
        <v>328530</v>
      </c>
      <c r="CO363" s="90">
        <f t="shared" ref="CO363" si="1161">IF(CN361&lt;&gt;0,CN363/CN361,0)</f>
        <v>0.41488918355749194</v>
      </c>
      <c r="CP363" s="565" t="s">
        <v>178</v>
      </c>
      <c r="CR363" s="381"/>
      <c r="CS363" s="166">
        <f>SUMIF($D$5:$D$319,"=has",CS5:CS319)*HLOOKUP(CX322,Verteil_rwgr,21,FALSE)+SUMIF($D$5:$D$319,"=ham",CS5:CS319)*HLOOKUP(CX322,Verteil_rwgr,22,FALSE)+SUMIF($D$5:$D$319,"=har",CS5:CS319)*HLOOKUP(CX322,Verteil_rwgr,23,FALSE)+SUMIF($D$5:$D$319,"=haz",CS5:CS319)*HLOOKUP(CX322,Verteil_rwgr,24,FALSE)</f>
        <v>0</v>
      </c>
      <c r="CU363" s="166">
        <f>SUMIF($D$5:$D$319,"=has",CU5:CU319)*HLOOKUP(CX322,Verteil_rwgr,21,FALSE)+SUMIF($D$5:$D$319,"=ham",CU5:CU319)*HLOOKUP(CX322,Verteil_rwgr,22,FALSE)+SUMIF($D$5:$D$319,"=har",CU5:CU319)*HLOOKUP(CX322,Verteil_rwgr,23,FALSE)+SUMIF($D$5:$D$319,"=haz",CU5:CU319)*HLOOKUP(CX322,Verteil_rwgr,24,FALSE)</f>
        <v>0</v>
      </c>
      <c r="CW363" s="90">
        <f t="shared" ref="CW363" si="1162">IF(CX361&lt;&gt;0,CX363/CX361,0)</f>
        <v>0.41472331255291306</v>
      </c>
      <c r="CX363" s="166">
        <f>ROUND(CZ363*HLOOKUP(CX322,Grund_zins,2,FALSE),2)</f>
        <v>9699.2999999999993</v>
      </c>
      <c r="CY363" s="166">
        <f>SUMIF($D$5:$D$319,"=has",CY5:CY319)*HLOOKUP(CX322,Verteil_rwgr,21,FALSE)+SUMIF($D$5:$D$319,"=ham",CY5:CY319)*HLOOKUP(CX322,Verteil_rwgr,22,FALSE)+SUMIF($D$5:$D$319,"=har",CY5:CY319)*HLOOKUP(CX322,Verteil_rwgr,23,FALSE)+SUMIF($D$5:$D$319,"=haz",CY5:CY319)*HLOOKUP(CX322,Verteil_rwgr,24,FALSE)</f>
        <v>10440</v>
      </c>
      <c r="CZ363" s="166">
        <f t="shared" si="967"/>
        <v>323310</v>
      </c>
      <c r="DA363" s="166">
        <f>SUMIF($D$5:$D$319,"=has",DA5:DA319)*HLOOKUP(CX322,Verteil_rwgr,21,FALSE)+SUMIF($D$5:$D$319,"=ham",DA5:DA319)*HLOOKUP(CX322,Verteil_rwgr,22,FALSE)+SUMIF($D$5:$D$319,"=har",DA5:DA319)*HLOOKUP(CX322,Verteil_rwgr,23,FALSE)+SUMIF($D$5:$D$319,"=haz",DA5:DA319)*HLOOKUP(CX322,Verteil_rwgr,24,FALSE)</f>
        <v>318090</v>
      </c>
      <c r="DB363" s="90">
        <f t="shared" ref="DB363" si="1163">IF(DA361&lt;&gt;0,DA363/DA361,0)</f>
        <v>0.41455213668530322</v>
      </c>
      <c r="DC363" s="565" t="s">
        <v>178</v>
      </c>
      <c r="DE363" s="381"/>
      <c r="DF363" s="166">
        <f>SUMIF($D$5:$D$319,"=has",DF5:DF319)*HLOOKUP(DK322,Verteil_rwgr,21,FALSE)+SUMIF($D$5:$D$319,"=ham",DF5:DF319)*HLOOKUP(DK322,Verteil_rwgr,22,FALSE)+SUMIF($D$5:$D$319,"=har",DF5:DF319)*HLOOKUP(DK322,Verteil_rwgr,23,FALSE)+SUMIF($D$5:$D$319,"=haz",DF5:DF319)*HLOOKUP(DK322,Verteil_rwgr,24,FALSE)</f>
        <v>0</v>
      </c>
      <c r="DH363" s="166">
        <f>SUMIF($D$5:$D$319,"=has",DH5:DH319)*HLOOKUP(DK322,Verteil_rwgr,21,FALSE)+SUMIF($D$5:$D$319,"=ham",DH5:DH319)*HLOOKUP(DK322,Verteil_rwgr,22,FALSE)+SUMIF($D$5:$D$319,"=har",DH5:DH319)*HLOOKUP(DK322,Verteil_rwgr,23,FALSE)+SUMIF($D$5:$D$319,"=haz",DH5:DH319)*HLOOKUP(DK322,Verteil_rwgr,24,FALSE)</f>
        <v>0</v>
      </c>
      <c r="DJ363" s="90">
        <f t="shared" ref="DJ363" si="1164">IF(DK361&lt;&gt;0,DK363/DK361,0)</f>
        <v>0.41437539732994277</v>
      </c>
      <c r="DK363" s="166">
        <f>ROUND(DM363*HLOOKUP(DK322,Grund_zins,2,FALSE),2)</f>
        <v>9386.1</v>
      </c>
      <c r="DL363" s="166">
        <f>SUMIF($D$5:$D$319,"=has",DL5:DL319)*HLOOKUP(DK322,Verteil_rwgr,21,FALSE)+SUMIF($D$5:$D$319,"=ham",DL5:DL319)*HLOOKUP(DK322,Verteil_rwgr,22,FALSE)+SUMIF($D$5:$D$319,"=har",DL5:DL319)*HLOOKUP(DK322,Verteil_rwgr,23,FALSE)+SUMIF($D$5:$D$319,"=haz",DL5:DL319)*HLOOKUP(DK322,Verteil_rwgr,24,FALSE)</f>
        <v>10440</v>
      </c>
      <c r="DM363" s="166">
        <f t="shared" si="968"/>
        <v>312870</v>
      </c>
      <c r="DN363" s="166">
        <f>SUMIF($D$5:$D$319,"=has",DN5:DN319)*HLOOKUP(DK322,Verteil_rwgr,21,FALSE)+SUMIF($D$5:$D$319,"=ham",DN5:DN319)*HLOOKUP(DK322,Verteil_rwgr,22,FALSE)+SUMIF($D$5:$D$319,"=har",DN5:DN319)*HLOOKUP(DK322,Verteil_rwgr,23,FALSE)+SUMIF($D$5:$D$319,"=haz",DN5:DN319)*HLOOKUP(DK322,Verteil_rwgr,24,FALSE)</f>
        <v>307650</v>
      </c>
      <c r="DO363" s="90">
        <f t="shared" ref="DO363" si="1165">IF(DN361&lt;&gt;0,DN363/DN361,0)</f>
        <v>0.41419281877297143</v>
      </c>
      <c r="DP363" s="565" t="s">
        <v>178</v>
      </c>
      <c r="DR363" s="381"/>
      <c r="DS363" s="166">
        <f>SUMIF($D$5:$D$319,"=has",DS5:DS319)*HLOOKUP(DX322,Verteil_rwgr,21,FALSE)+SUMIF($D$5:$D$319,"=ham",DS5:DS319)*HLOOKUP(DX322,Verteil_rwgr,22,FALSE)+SUMIF($D$5:$D$319,"=har",DS5:DS319)*HLOOKUP(DX322,Verteil_rwgr,23,FALSE)+SUMIF($D$5:$D$319,"=haz",DS5:DS319)*HLOOKUP(DX322,Verteil_rwgr,24,FALSE)</f>
        <v>0</v>
      </c>
      <c r="DU363" s="166">
        <f>SUMIF($D$5:$D$319,"=has",DU5:DU319)*HLOOKUP(DX322,Verteil_rwgr,21,FALSE)+SUMIF($D$5:$D$319,"=ham",DU5:DU319)*HLOOKUP(DX322,Verteil_rwgr,22,FALSE)+SUMIF($D$5:$D$319,"=har",DU5:DU319)*HLOOKUP(DX322,Verteil_rwgr,23,FALSE)+SUMIF($D$5:$D$319,"=haz",DU5:DU319)*HLOOKUP(DX322,Verteil_rwgr,24,FALSE)</f>
        <v>0</v>
      </c>
      <c r="DW363" s="90">
        <f t="shared" ref="DW363" si="1166">IF(DX361&lt;&gt;0,DX363/DX361,0)</f>
        <v>0.41400410677618066</v>
      </c>
      <c r="DX363" s="166">
        <f>ROUND(DZ363*HLOOKUP(DX322,Grund_zins,2,FALSE),2)</f>
        <v>9072.9</v>
      </c>
      <c r="DY363" s="166">
        <f>SUMIF($D$5:$D$319,"=has",DY5:DY319)*HLOOKUP(DX322,Verteil_rwgr,21,FALSE)+SUMIF($D$5:$D$319,"=ham",DY5:DY319)*HLOOKUP(DX322,Verteil_rwgr,22,FALSE)+SUMIF($D$5:$D$319,"=har",DY5:DY319)*HLOOKUP(DX322,Verteil_rwgr,23,FALSE)+SUMIF($D$5:$D$319,"=haz",DY5:DY319)*HLOOKUP(DX322,Verteil_rwgr,24,FALSE)</f>
        <v>10440</v>
      </c>
      <c r="DZ363" s="166">
        <f t="shared" si="969"/>
        <v>302430</v>
      </c>
      <c r="EA363" s="166">
        <f>SUMIF($D$5:$D$319,"=has",EA5:EA319)*HLOOKUP(DX322,Verteil_rwgr,21,FALSE)+SUMIF($D$5:$D$319,"=ham",EA5:EA319)*HLOOKUP(DX322,Verteil_rwgr,22,FALSE)+SUMIF($D$5:$D$319,"=har",EA5:EA319)*HLOOKUP(DX322,Verteil_rwgr,23,FALSE)+SUMIF($D$5:$D$319,"=haz",EA5:EA319)*HLOOKUP(DX322,Verteil_rwgr,24,FALSE)</f>
        <v>297210</v>
      </c>
      <c r="EB363" s="90">
        <f t="shared" ref="EB363" si="1167">IF(EA361&lt;&gt;0,EA363/EA361,0)</f>
        <v>0.41380894699469528</v>
      </c>
      <c r="EC363" s="565" t="s">
        <v>178</v>
      </c>
    </row>
    <row r="364" spans="1:133" s="10" customFormat="1" ht="15" customHeight="1" x14ac:dyDescent="0.35">
      <c r="A364" s="565" t="s">
        <v>179</v>
      </c>
      <c r="Q364" s="225">
        <v>43</v>
      </c>
      <c r="R364" s="381"/>
      <c r="S364" s="166">
        <f>SUMIF($D$5:$D$319,"=has",S5:S319)*HLOOKUP(X322,Verteil_rwst,20,FALSE)+SUMIF($D$5:$D$319,"=ham",S5:S319)*HLOOKUP(X322,Verteil_rwst,21,FALSE)+SUMIF($D$5:$D$319,"=har",S5:S319)*HLOOKUP(X322,Verteil_rwst,22,FALSE)+SUMIF($D$5:$D$319,"=haz",S5:S319)*HLOOKUP(X322,Verteil_rwst,23,FALSE)</f>
        <v>0</v>
      </c>
      <c r="U364" s="166">
        <f>SUMIF($D$5:$D$319,"=has",U5:U319)*HLOOKUP(X322,Verteil_rwst,20,FALSE)+SUMIF($D$5:$D$319,"=ham",U5:U319)*HLOOKUP(X322,Verteil_rwst,21,FALSE)+SUMIF($D$5:$D$319,"=har",U5:U319)*HLOOKUP(X322,Verteil_rwst,22,FALSE)+SUMIF($D$5:$D$319,"=haz",U5:U319)*HLOOKUP(X322,Verteil_rwst,23,FALSE)</f>
        <v>0</v>
      </c>
      <c r="W364" s="90">
        <f t="shared" ref="W364" si="1168">IF(X361&lt;&gt;0,X364/X361,0)</f>
        <v>0</v>
      </c>
      <c r="X364" s="166">
        <f>ROUND(Z364*HLOOKUP(X322,Grund_zins,2,FALSE),2)</f>
        <v>0</v>
      </c>
      <c r="Y364" s="166">
        <f>SUMIF($D$5:$D$319,"=has",Y5:Y319)*HLOOKUP(X322,Verteil_rwst,20,FALSE)+SUMIF($D$5:$D$319,"=ham",Y5:Y319)*HLOOKUP(X322,Verteil_rwst,21,FALSE)+SUMIF($D$5:$D$319,"=har",Y5:Y319)*HLOOKUP(X322,Verteil_rwst,22,FALSE)+SUMIF($D$5:$D$319,"=haz",Y5:Y319)*HLOOKUP(X322,Verteil_rwst,23,FALSE)</f>
        <v>0</v>
      </c>
      <c r="Z364" s="166">
        <f t="shared" si="961"/>
        <v>0</v>
      </c>
      <c r="AA364" s="166">
        <f>SUMIF($D$5:$D$319,"=has",AA5:AA319)*HLOOKUP(X322,Verteil_rwst,20,FALSE)+SUMIF($D$5:$D$319,"=ham",AA5:AA319)*HLOOKUP(X322,Verteil_rwst,21,FALSE)+SUMIF($D$5:$D$319,"=har",AA5:AA319)*HLOOKUP(X322,Verteil_rwst,22,FALSE)+SUMIF($D$5:$D$319,"=haz",AA5:AA319)*HLOOKUP(X322,Verteil_rwst,23,FALSE)</f>
        <v>0</v>
      </c>
      <c r="AB364" s="90">
        <f t="shared" ref="AB364" si="1169">IF(AA361&lt;&gt;0,AA364/AA361,0)</f>
        <v>0</v>
      </c>
      <c r="AC364" s="565" t="s">
        <v>179</v>
      </c>
      <c r="AE364" s="381"/>
      <c r="AF364" s="166">
        <f>SUMIF($D$5:$D$319,"=has",AF5:AF319)*HLOOKUP(AK322,Verteil_rwst,20,FALSE)+SUMIF($D$5:$D$319,"=ham",AF5:AF319)*HLOOKUP(AK322,Verteil_rwst,21,FALSE)+SUMIF($D$5:$D$319,"=har",AF5:AF319)*HLOOKUP(AK322,Verteil_rwst,22,FALSE)+SUMIF($D$5:$D$319,"=haz",AF5:AF319)*HLOOKUP(AK322,Verteil_rwst,23,FALSE)</f>
        <v>0</v>
      </c>
      <c r="AH364" s="166">
        <f>SUMIF($D$5:$D$319,"=has",AH5:AH319)*HLOOKUP(AK322,Verteil_rwst,20,FALSE)+SUMIF($D$5:$D$319,"=ham",AH5:AH319)*HLOOKUP(AK322,Verteil_rwst,21,FALSE)+SUMIF($D$5:$D$319,"=har",AH5:AH319)*HLOOKUP(AK322,Verteil_rwst,22,FALSE)+SUMIF($D$5:$D$319,"=haz",AH5:AH319)*HLOOKUP(AK322,Verteil_rwst,23,FALSE)</f>
        <v>0</v>
      </c>
      <c r="AJ364" s="90">
        <f t="shared" ref="AJ364" si="1170">IF(AK361&lt;&gt;0,AK364/AK361,0)</f>
        <v>0</v>
      </c>
      <c r="AK364" s="166">
        <f>ROUND(AM364*HLOOKUP(AK322,Grund_zins,2,FALSE),2)</f>
        <v>0</v>
      </c>
      <c r="AL364" s="166">
        <f>SUMIF($D$5:$D$319,"=has",AL5:AL319)*HLOOKUP(AK322,Verteil_rwst,20,FALSE)+SUMIF($D$5:$D$319,"=ham",AL5:AL319)*HLOOKUP(AK322,Verteil_rwst,21,FALSE)+SUMIF($D$5:$D$319,"=har",AL5:AL319)*HLOOKUP(AK322,Verteil_rwst,22,FALSE)+SUMIF($D$5:$D$319,"=haz",AL5:AL319)*HLOOKUP(AK322,Verteil_rwst,23,FALSE)</f>
        <v>0</v>
      </c>
      <c r="AM364" s="166">
        <f t="shared" si="962"/>
        <v>0</v>
      </c>
      <c r="AN364" s="166">
        <f>SUMIF($D$5:$D$319,"=has",AN5:AN319)*HLOOKUP(AK322,Verteil_rwst,20,FALSE)+SUMIF($D$5:$D$319,"=ham",AN5:AN319)*HLOOKUP(AK322,Verteil_rwst,21,FALSE)+SUMIF($D$5:$D$319,"=har",AN5:AN319)*HLOOKUP(AK322,Verteil_rwst,22,FALSE)+SUMIF($D$5:$D$319,"=haz",AN5:AN319)*HLOOKUP(AK322,Verteil_rwst,23,FALSE)</f>
        <v>0</v>
      </c>
      <c r="AO364" s="90">
        <f t="shared" ref="AO364" si="1171">IF(AN361&lt;&gt;0,AN364/AN361,0)</f>
        <v>0</v>
      </c>
      <c r="AP364" s="565" t="s">
        <v>179</v>
      </c>
      <c r="AR364" s="381"/>
      <c r="AS364" s="166">
        <f>SUMIF($D$5:$D$319,"=has",AS5:AS319)*HLOOKUP(AX322,Verteil_rwst,20,FALSE)+SUMIF($D$5:$D$319,"=ham",AS5:AS319)*HLOOKUP(AX322,Verteil_rwst,21,FALSE)+SUMIF($D$5:$D$319,"=har",AS5:AS319)*HLOOKUP(AX322,Verteil_rwst,22,FALSE)+SUMIF($D$5:$D$319,"=haz",AS5:AS319)*HLOOKUP(AX322,Verteil_rwst,23,FALSE)</f>
        <v>0</v>
      </c>
      <c r="AU364" s="166">
        <f>SUMIF($D$5:$D$319,"=has",AU5:AU319)*HLOOKUP(AX322,Verteil_rwst,20,FALSE)+SUMIF($D$5:$D$319,"=ham",AU5:AU319)*HLOOKUP(AX322,Verteil_rwst,21,FALSE)+SUMIF($D$5:$D$319,"=har",AU5:AU319)*HLOOKUP(AX322,Verteil_rwst,22,FALSE)+SUMIF($D$5:$D$319,"=haz",AU5:AU319)*HLOOKUP(AX322,Verteil_rwst,23,FALSE)</f>
        <v>0</v>
      </c>
      <c r="AW364" s="90">
        <f t="shared" ref="AW364" si="1172">IF(AX361&lt;&gt;0,AX364/AX361,0)</f>
        <v>0</v>
      </c>
      <c r="AX364" s="166">
        <f>ROUND(AZ364*HLOOKUP(AX322,Grund_zins,2,FALSE),2)</f>
        <v>0</v>
      </c>
      <c r="AY364" s="166">
        <f>SUMIF($D$5:$D$319,"=has",AY5:AY319)*HLOOKUP(AX322,Verteil_rwst,20,FALSE)+SUMIF($D$5:$D$319,"=ham",AY5:AY319)*HLOOKUP(AX322,Verteil_rwst,21,FALSE)+SUMIF($D$5:$D$319,"=har",AY5:AY319)*HLOOKUP(AX322,Verteil_rwst,22,FALSE)+SUMIF($D$5:$D$319,"=haz",AY5:AY319)*HLOOKUP(AX322,Verteil_rwst,23,FALSE)</f>
        <v>0</v>
      </c>
      <c r="AZ364" s="166">
        <f t="shared" si="963"/>
        <v>0</v>
      </c>
      <c r="BA364" s="166">
        <f>SUMIF($D$5:$D$319,"=has",BA5:BA319)*HLOOKUP(AX322,Verteil_rwst,20,FALSE)+SUMIF($D$5:$D$319,"=ham",BA5:BA319)*HLOOKUP(AX322,Verteil_rwst,21,FALSE)+SUMIF($D$5:$D$319,"=har",BA5:BA319)*HLOOKUP(AX322,Verteil_rwst,22,FALSE)+SUMIF($D$5:$D$319,"=haz",BA5:BA319)*HLOOKUP(AX322,Verteil_rwst,23,FALSE)</f>
        <v>0</v>
      </c>
      <c r="BB364" s="90">
        <f t="shared" ref="BB364" si="1173">IF(BA361&lt;&gt;0,BA364/BA361,0)</f>
        <v>0</v>
      </c>
      <c r="BC364" s="565" t="s">
        <v>179</v>
      </c>
      <c r="BE364" s="381"/>
      <c r="BF364" s="166">
        <f>SUMIF($D$5:$D$319,"=has",BF5:BF319)*HLOOKUP(BK322,Verteil_rwst,20,FALSE)+SUMIF($D$5:$D$319,"=ham",BF5:BF319)*HLOOKUP(BK322,Verteil_rwst,21,FALSE)+SUMIF($D$5:$D$319,"=har",BF5:BF319)*HLOOKUP(BK322,Verteil_rwst,22,FALSE)+SUMIF($D$5:$D$319,"=haz",BF5:BF319)*HLOOKUP(BK322,Verteil_rwst,23,FALSE)</f>
        <v>0</v>
      </c>
      <c r="BH364" s="166">
        <f>SUMIF($D$5:$D$319,"=has",BH5:BH319)*HLOOKUP(BK322,Verteil_rwst,20,FALSE)+SUMIF($D$5:$D$319,"=ham",BH5:BH319)*HLOOKUP(BK322,Verteil_rwst,21,FALSE)+SUMIF($D$5:$D$319,"=har",BH5:BH319)*HLOOKUP(BK322,Verteil_rwst,22,FALSE)+SUMIF($D$5:$D$319,"=haz",BH5:BH319)*HLOOKUP(BK322,Verteil_rwst,23,FALSE)</f>
        <v>0</v>
      </c>
      <c r="BJ364" s="90">
        <f t="shared" ref="BJ364" si="1174">IF(BK361&lt;&gt;0,BK364/BK361,0)</f>
        <v>0</v>
      </c>
      <c r="BK364" s="166">
        <f>ROUND(BM364*HLOOKUP(BK322,Grund_zins,2,FALSE),2)</f>
        <v>0</v>
      </c>
      <c r="BL364" s="166">
        <f>SUMIF($D$5:$D$319,"=has",BL5:BL319)*HLOOKUP(BK322,Verteil_rwst,20,FALSE)+SUMIF($D$5:$D$319,"=ham",BL5:BL319)*HLOOKUP(BK322,Verteil_rwst,21,FALSE)+SUMIF($D$5:$D$319,"=har",BL5:BL319)*HLOOKUP(BK322,Verteil_rwst,22,FALSE)+SUMIF($D$5:$D$319,"=haz",BL5:BL319)*HLOOKUP(BK322,Verteil_rwst,23,FALSE)</f>
        <v>0</v>
      </c>
      <c r="BM364" s="166">
        <f t="shared" si="964"/>
        <v>0</v>
      </c>
      <c r="BN364" s="166">
        <f>SUMIF($D$5:$D$319,"=has",BN5:BN319)*HLOOKUP(BK322,Verteil_rwst,20,FALSE)+SUMIF($D$5:$D$319,"=ham",BN5:BN319)*HLOOKUP(BK322,Verteil_rwst,21,FALSE)+SUMIF($D$5:$D$319,"=har",BN5:BN319)*HLOOKUP(BK322,Verteil_rwst,22,FALSE)+SUMIF($D$5:$D$319,"=haz",BN5:BN319)*HLOOKUP(BK322,Verteil_rwst,23,FALSE)</f>
        <v>0</v>
      </c>
      <c r="BO364" s="90">
        <f t="shared" ref="BO364" si="1175">IF(BN361&lt;&gt;0,BN364/BN361,0)</f>
        <v>0</v>
      </c>
      <c r="BP364" s="565" t="s">
        <v>179</v>
      </c>
      <c r="BR364" s="381"/>
      <c r="BS364" s="166">
        <f>SUMIF($D$5:$D$319,"=has",BS5:BS319)*HLOOKUP(BX322,Verteil_rwst,20,FALSE)+SUMIF($D$5:$D$319,"=ham",BS5:BS319)*HLOOKUP(BX322,Verteil_rwst,21,FALSE)+SUMIF($D$5:$D$319,"=har",BS5:BS319)*HLOOKUP(BX322,Verteil_rwst,22,FALSE)+SUMIF($D$5:$D$319,"=haz",BS5:BS319)*HLOOKUP(BX322,Verteil_rwst,23,FALSE)</f>
        <v>0</v>
      </c>
      <c r="BU364" s="166">
        <f>SUMIF($D$5:$D$319,"=has",BU5:BU319)*HLOOKUP(BX322,Verteil_rwst,20,FALSE)+SUMIF($D$5:$D$319,"=ham",BU5:BU319)*HLOOKUP(BX322,Verteil_rwst,21,FALSE)+SUMIF($D$5:$D$319,"=har",BU5:BU319)*HLOOKUP(BX322,Verteil_rwst,22,FALSE)+SUMIF($D$5:$D$319,"=haz",BU5:BU319)*HLOOKUP(BX322,Verteil_rwst,23,FALSE)</f>
        <v>0</v>
      </c>
      <c r="BW364" s="90">
        <f t="shared" ref="BW364" si="1176">IF(BX361&lt;&gt;0,BX364/BX361,0)</f>
        <v>0</v>
      </c>
      <c r="BX364" s="166">
        <f>ROUND(BZ364*HLOOKUP(BX322,Grund_zins,2,FALSE),2)</f>
        <v>0</v>
      </c>
      <c r="BY364" s="166">
        <f>SUMIF($D$5:$D$319,"=has",BY5:BY319)*HLOOKUP(BX322,Verteil_rwst,20,FALSE)+SUMIF($D$5:$D$319,"=ham",BY5:BY319)*HLOOKUP(BX322,Verteil_rwst,21,FALSE)+SUMIF($D$5:$D$319,"=har",BY5:BY319)*HLOOKUP(BX322,Verteil_rwst,22,FALSE)+SUMIF($D$5:$D$319,"=haz",BY5:BY319)*HLOOKUP(BX322,Verteil_rwst,23,FALSE)</f>
        <v>0</v>
      </c>
      <c r="BZ364" s="166">
        <f t="shared" si="965"/>
        <v>0</v>
      </c>
      <c r="CA364" s="166">
        <f>SUMIF($D$5:$D$319,"=has",CA5:CA319)*HLOOKUP(BX322,Verteil_rwst,20,FALSE)+SUMIF($D$5:$D$319,"=ham",CA5:CA319)*HLOOKUP(BX322,Verteil_rwst,21,FALSE)+SUMIF($D$5:$D$319,"=har",CA5:CA319)*HLOOKUP(BX322,Verteil_rwst,22,FALSE)+SUMIF($D$5:$D$319,"=haz",CA5:CA319)*HLOOKUP(BX322,Verteil_rwst,23,FALSE)</f>
        <v>0</v>
      </c>
      <c r="CB364" s="90">
        <f t="shared" ref="CB364" si="1177">IF(CA361&lt;&gt;0,CA364/CA361,0)</f>
        <v>0</v>
      </c>
      <c r="CC364" s="565" t="s">
        <v>179</v>
      </c>
      <c r="CE364" s="381"/>
      <c r="CF364" s="166">
        <f>SUMIF($D$5:$D$319,"=has",CF5:CF319)*HLOOKUP(CK322,Verteil_rwst,20,FALSE)+SUMIF($D$5:$D$319,"=ham",CF5:CF319)*HLOOKUP(CK322,Verteil_rwst,21,FALSE)+SUMIF($D$5:$D$319,"=har",CF5:CF319)*HLOOKUP(CK322,Verteil_rwst,22,FALSE)+SUMIF($D$5:$D$319,"=haz",CF5:CF319)*HLOOKUP(CK322,Verteil_rwst,23,FALSE)</f>
        <v>0</v>
      </c>
      <c r="CH364" s="166">
        <f>SUMIF($D$5:$D$319,"=has",CH5:CH319)*HLOOKUP(CK322,Verteil_rwst,20,FALSE)+SUMIF($D$5:$D$319,"=ham",CH5:CH319)*HLOOKUP(CK322,Verteil_rwst,21,FALSE)+SUMIF($D$5:$D$319,"=har",CH5:CH319)*HLOOKUP(CK322,Verteil_rwst,22,FALSE)+SUMIF($D$5:$D$319,"=haz",CH5:CH319)*HLOOKUP(CK322,Verteil_rwst,23,FALSE)</f>
        <v>0</v>
      </c>
      <c r="CJ364" s="90">
        <f t="shared" ref="CJ364" si="1178">IF(CK361&lt;&gt;0,CK364/CK361,0)</f>
        <v>0</v>
      </c>
      <c r="CK364" s="166">
        <f>ROUND(CM364*HLOOKUP(CK322,Grund_zins,2,FALSE),2)</f>
        <v>0</v>
      </c>
      <c r="CL364" s="166">
        <f>SUMIF($D$5:$D$319,"=has",CL5:CL319)*HLOOKUP(CK322,Verteil_rwst,20,FALSE)+SUMIF($D$5:$D$319,"=ham",CL5:CL319)*HLOOKUP(CK322,Verteil_rwst,21,FALSE)+SUMIF($D$5:$D$319,"=har",CL5:CL319)*HLOOKUP(CK322,Verteil_rwst,22,FALSE)+SUMIF($D$5:$D$319,"=haz",CL5:CL319)*HLOOKUP(CK322,Verteil_rwst,23,FALSE)</f>
        <v>0</v>
      </c>
      <c r="CM364" s="166">
        <f t="shared" si="966"/>
        <v>0</v>
      </c>
      <c r="CN364" s="166">
        <f>SUMIF($D$5:$D$319,"=has",CN5:CN319)*HLOOKUP(CK322,Verteil_rwst,20,FALSE)+SUMIF($D$5:$D$319,"=ham",CN5:CN319)*HLOOKUP(CK322,Verteil_rwst,21,FALSE)+SUMIF($D$5:$D$319,"=har",CN5:CN319)*HLOOKUP(CK322,Verteil_rwst,22,FALSE)+SUMIF($D$5:$D$319,"=haz",CN5:CN319)*HLOOKUP(CK322,Verteil_rwst,23,FALSE)</f>
        <v>0</v>
      </c>
      <c r="CO364" s="90">
        <f t="shared" ref="CO364" si="1179">IF(CN361&lt;&gt;0,CN364/CN361,0)</f>
        <v>0</v>
      </c>
      <c r="CP364" s="565" t="s">
        <v>179</v>
      </c>
      <c r="CR364" s="381"/>
      <c r="CS364" s="166">
        <f>SUMIF($D$5:$D$319,"=has",CS5:CS319)*HLOOKUP(CX322,Verteil_rwst,20,FALSE)+SUMIF($D$5:$D$319,"=ham",CS5:CS319)*HLOOKUP(CX322,Verteil_rwst,21,FALSE)+SUMIF($D$5:$D$319,"=har",CS5:CS319)*HLOOKUP(CX322,Verteil_rwst,22,FALSE)+SUMIF($D$5:$D$319,"=haz",CS5:CS319)*HLOOKUP(CX322,Verteil_rwst,23,FALSE)</f>
        <v>0</v>
      </c>
      <c r="CU364" s="166">
        <f>SUMIF($D$5:$D$319,"=has",CU5:CU319)*HLOOKUP(CX322,Verteil_rwst,20,FALSE)+SUMIF($D$5:$D$319,"=ham",CU5:CU319)*HLOOKUP(CX322,Verteil_rwst,21,FALSE)+SUMIF($D$5:$D$319,"=har",CU5:CU319)*HLOOKUP(CX322,Verteil_rwst,22,FALSE)+SUMIF($D$5:$D$319,"=haz",CU5:CU319)*HLOOKUP(CX322,Verteil_rwst,23,FALSE)</f>
        <v>0</v>
      </c>
      <c r="CW364" s="90">
        <f t="shared" ref="CW364" si="1180">IF(CX361&lt;&gt;0,CX364/CX361,0)</f>
        <v>0</v>
      </c>
      <c r="CX364" s="166">
        <f>ROUND(CZ364*HLOOKUP(CX322,Grund_zins,2,FALSE),2)</f>
        <v>0</v>
      </c>
      <c r="CY364" s="166">
        <f>SUMIF($D$5:$D$319,"=has",CY5:CY319)*HLOOKUP(CX322,Verteil_rwst,20,FALSE)+SUMIF($D$5:$D$319,"=ham",CY5:CY319)*HLOOKUP(CX322,Verteil_rwst,21,FALSE)+SUMIF($D$5:$D$319,"=har",CY5:CY319)*HLOOKUP(CX322,Verteil_rwst,22,FALSE)+SUMIF($D$5:$D$319,"=haz",CY5:CY319)*HLOOKUP(CX322,Verteil_rwst,23,FALSE)</f>
        <v>0</v>
      </c>
      <c r="CZ364" s="166">
        <f t="shared" si="967"/>
        <v>0</v>
      </c>
      <c r="DA364" s="166">
        <f>SUMIF($D$5:$D$319,"=has",DA5:DA319)*HLOOKUP(CX322,Verteil_rwst,20,FALSE)+SUMIF($D$5:$D$319,"=ham",DA5:DA319)*HLOOKUP(CX322,Verteil_rwst,21,FALSE)+SUMIF($D$5:$D$319,"=har",DA5:DA319)*HLOOKUP(CX322,Verteil_rwst,22,FALSE)+SUMIF($D$5:$D$319,"=haz",DA5:DA319)*HLOOKUP(CX322,Verteil_rwst,23,FALSE)</f>
        <v>0</v>
      </c>
      <c r="DB364" s="90">
        <f t="shared" ref="DB364" si="1181">IF(DA361&lt;&gt;0,DA364/DA361,0)</f>
        <v>0</v>
      </c>
      <c r="DC364" s="565" t="s">
        <v>179</v>
      </c>
      <c r="DE364" s="381"/>
      <c r="DF364" s="166">
        <f>SUMIF($D$5:$D$319,"=has",DF5:DF319)*HLOOKUP(DK322,Verteil_rwst,20,FALSE)+SUMIF($D$5:$D$319,"=ham",DF5:DF319)*HLOOKUP(DK322,Verteil_rwst,21,FALSE)+SUMIF($D$5:$D$319,"=har",DF5:DF319)*HLOOKUP(DK322,Verteil_rwst,22,FALSE)+SUMIF($D$5:$D$319,"=haz",DF5:DF319)*HLOOKUP(DK322,Verteil_rwst,23,FALSE)</f>
        <v>0</v>
      </c>
      <c r="DH364" s="166">
        <f>SUMIF($D$5:$D$319,"=has",DH5:DH319)*HLOOKUP(DK322,Verteil_rwst,20,FALSE)+SUMIF($D$5:$D$319,"=ham",DH5:DH319)*HLOOKUP(DK322,Verteil_rwst,21,FALSE)+SUMIF($D$5:$D$319,"=har",DH5:DH319)*HLOOKUP(DK322,Verteil_rwst,22,FALSE)+SUMIF($D$5:$D$319,"=haz",DH5:DH319)*HLOOKUP(DK322,Verteil_rwst,23,FALSE)</f>
        <v>0</v>
      </c>
      <c r="DJ364" s="90">
        <f t="shared" ref="DJ364" si="1182">IF(DK361&lt;&gt;0,DK364/DK361,0)</f>
        <v>0</v>
      </c>
      <c r="DK364" s="166">
        <f>ROUND(DM364*HLOOKUP(DK322,Grund_zins,2,FALSE),2)</f>
        <v>0</v>
      </c>
      <c r="DL364" s="166">
        <f>SUMIF($D$5:$D$319,"=has",DL5:DL319)*HLOOKUP(DK322,Verteil_rwst,20,FALSE)+SUMIF($D$5:$D$319,"=ham",DL5:DL319)*HLOOKUP(DK322,Verteil_rwst,21,FALSE)+SUMIF($D$5:$D$319,"=har",DL5:DL319)*HLOOKUP(DK322,Verteil_rwst,22,FALSE)+SUMIF($D$5:$D$319,"=haz",DL5:DL319)*HLOOKUP(DK322,Verteil_rwst,23,FALSE)</f>
        <v>0</v>
      </c>
      <c r="DM364" s="166">
        <f t="shared" si="968"/>
        <v>0</v>
      </c>
      <c r="DN364" s="166">
        <f>SUMIF($D$5:$D$319,"=has",DN5:DN319)*HLOOKUP(DK322,Verteil_rwst,20,FALSE)+SUMIF($D$5:$D$319,"=ham",DN5:DN319)*HLOOKUP(DK322,Verteil_rwst,21,FALSE)+SUMIF($D$5:$D$319,"=har",DN5:DN319)*HLOOKUP(DK322,Verteil_rwst,22,FALSE)+SUMIF($D$5:$D$319,"=haz",DN5:DN319)*HLOOKUP(DK322,Verteil_rwst,23,FALSE)</f>
        <v>0</v>
      </c>
      <c r="DO364" s="90">
        <f t="shared" ref="DO364" si="1183">IF(DN361&lt;&gt;0,DN364/DN361,0)</f>
        <v>0</v>
      </c>
      <c r="DP364" s="565" t="s">
        <v>179</v>
      </c>
      <c r="DR364" s="381"/>
      <c r="DS364" s="166">
        <f>SUMIF($D$5:$D$319,"=has",DS5:DS319)*HLOOKUP(DX322,Verteil_rwst,20,FALSE)+SUMIF($D$5:$D$319,"=ham",DS5:DS319)*HLOOKUP(DX322,Verteil_rwst,21,FALSE)+SUMIF($D$5:$D$319,"=har",DS5:DS319)*HLOOKUP(DX322,Verteil_rwst,22,FALSE)+SUMIF($D$5:$D$319,"=haz",DS5:DS319)*HLOOKUP(DX322,Verteil_rwst,23,FALSE)</f>
        <v>0</v>
      </c>
      <c r="DU364" s="166">
        <f>SUMIF($D$5:$D$319,"=has",DU5:DU319)*HLOOKUP(DX322,Verteil_rwst,20,FALSE)+SUMIF($D$5:$D$319,"=ham",DU5:DU319)*HLOOKUP(DX322,Verteil_rwst,21,FALSE)+SUMIF($D$5:$D$319,"=har",DU5:DU319)*HLOOKUP(DX322,Verteil_rwst,22,FALSE)+SUMIF($D$5:$D$319,"=haz",DU5:DU319)*HLOOKUP(DX322,Verteil_rwst,23,FALSE)</f>
        <v>0</v>
      </c>
      <c r="DW364" s="90">
        <f t="shared" ref="DW364" si="1184">IF(DX361&lt;&gt;0,DX364/DX361,0)</f>
        <v>0</v>
      </c>
      <c r="DX364" s="166">
        <f>ROUND(DZ364*HLOOKUP(DX322,Grund_zins,2,FALSE),2)</f>
        <v>0</v>
      </c>
      <c r="DY364" s="166">
        <f>SUMIF($D$5:$D$319,"=has",DY5:DY319)*HLOOKUP(DX322,Verteil_rwst,20,FALSE)+SUMIF($D$5:$D$319,"=ham",DY5:DY319)*HLOOKUP(DX322,Verteil_rwst,21,FALSE)+SUMIF($D$5:$D$319,"=har",DY5:DY319)*HLOOKUP(DX322,Verteil_rwst,22,FALSE)+SUMIF($D$5:$D$319,"=haz",DY5:DY319)*HLOOKUP(DX322,Verteil_rwst,23,FALSE)</f>
        <v>0</v>
      </c>
      <c r="DZ364" s="166">
        <f t="shared" si="969"/>
        <v>0</v>
      </c>
      <c r="EA364" s="166">
        <f>SUMIF($D$5:$D$319,"=has",EA5:EA319)*HLOOKUP(DX322,Verteil_rwst,20,FALSE)+SUMIF($D$5:$D$319,"=ham",EA5:EA319)*HLOOKUP(DX322,Verteil_rwst,21,FALSE)+SUMIF($D$5:$D$319,"=har",EA5:EA319)*HLOOKUP(DX322,Verteil_rwst,22,FALSE)+SUMIF($D$5:$D$319,"=haz",EA5:EA319)*HLOOKUP(DX322,Verteil_rwst,23,FALSE)</f>
        <v>0</v>
      </c>
      <c r="EB364" s="90">
        <f t="shared" ref="EB364" si="1185">IF(EA361&lt;&gt;0,EA364/EA361,0)</f>
        <v>0</v>
      </c>
      <c r="EC364" s="565" t="s">
        <v>179</v>
      </c>
    </row>
    <row r="365" spans="1:133" s="10" customFormat="1" ht="15" customHeight="1" x14ac:dyDescent="0.35">
      <c r="A365" s="564" t="s">
        <v>383</v>
      </c>
      <c r="Q365" s="225">
        <v>44</v>
      </c>
      <c r="R365" s="381"/>
      <c r="S365" s="166">
        <f>SUMIF($D$5:$D$319,"=sas",S5:S319)+SUMIF($D$5:$D$319,"=sam",S5:S319)+SUMIF($D$5:$D$319,"=sar",S5:S319)+SUMIF($D$5:$D$319,"=saz",S5:S319)</f>
        <v>0</v>
      </c>
      <c r="U365" s="166">
        <f>SUMIF($D$5:$D$319,"=sas",U5:U319)+SUMIF($D$5:$D$319,"=sam",U5:U319)+SUMIF($D$5:$D$319,"=sar",U5:U319)+SUMIF($D$5:$D$319,"=saz",U5:U319)</f>
        <v>0</v>
      </c>
      <c r="W365" s="90">
        <f t="shared" ref="W365" si="1186">SUM(W366:W368)</f>
        <v>0</v>
      </c>
      <c r="X365" s="166">
        <f>ROUND(Z365*HLOOKUP(X322,Grund_zins,2,FALSE),2)</f>
        <v>0</v>
      </c>
      <c r="Y365" s="166">
        <f>SUMIF($D$5:$D$319,"=sas",Y5:Y319)+SUMIF($D$5:$D$319,"=sam",Y5:Y319)+SUMIF($D$5:$D$319,"=sar",Y5:Y319)+SUMIF($D$5:$D$319,"=saz",Y5:Y319)</f>
        <v>0</v>
      </c>
      <c r="Z365" s="166">
        <f t="shared" si="961"/>
        <v>0</v>
      </c>
      <c r="AA365" s="166">
        <f>SUMIF($D$5:$D$319,"=sas",AA5:AA319)+SUMIF($D$5:$D$319,"=sam",AA5:AA319)+SUMIF($D$5:$D$319,"=sar",AA5:AA319)+SUMIF($D$5:$D$319,"=saz",AA5:AA319)</f>
        <v>0</v>
      </c>
      <c r="AB365" s="90">
        <f t="shared" ref="AB365" si="1187">SUM(AB366:AB368)</f>
        <v>0</v>
      </c>
      <c r="AC365" s="564" t="s">
        <v>383</v>
      </c>
      <c r="AE365" s="381"/>
      <c r="AF365" s="166">
        <f>SUMIF($D$5:$D$319,"=sas",AF5:AF319)+SUMIF($D$5:$D$319,"=sam",AF5:AF319)+SUMIF($D$5:$D$319,"=sar",AF5:AF319)+SUMIF($D$5:$D$319,"=saz",AF5:AF319)</f>
        <v>0</v>
      </c>
      <c r="AH365" s="166">
        <f>SUMIF($D$5:$D$319,"=sas",AH5:AH319)+SUMIF($D$5:$D$319,"=sam",AH5:AH319)+SUMIF($D$5:$D$319,"=sar",AH5:AH319)+SUMIF($D$5:$D$319,"=saz",AH5:AH319)</f>
        <v>0</v>
      </c>
      <c r="AJ365" s="90">
        <f t="shared" ref="AJ365" si="1188">SUM(AJ366:AJ368)</f>
        <v>0</v>
      </c>
      <c r="AK365" s="166">
        <f>ROUND(AM365*HLOOKUP(AK322,Grund_zins,2,FALSE),2)</f>
        <v>0</v>
      </c>
      <c r="AL365" s="166">
        <f>SUMIF($D$5:$D$319,"=sas",AL5:AL319)+SUMIF($D$5:$D$319,"=sam",AL5:AL319)+SUMIF($D$5:$D$319,"=sar",AL5:AL319)+SUMIF($D$5:$D$319,"=saz",AL5:AL319)</f>
        <v>0</v>
      </c>
      <c r="AM365" s="166">
        <f t="shared" si="962"/>
        <v>0</v>
      </c>
      <c r="AN365" s="166">
        <f>SUMIF($D$5:$D$319,"=sas",AN5:AN319)+SUMIF($D$5:$D$319,"=sam",AN5:AN319)+SUMIF($D$5:$D$319,"=sar",AN5:AN319)+SUMIF($D$5:$D$319,"=saz",AN5:AN319)</f>
        <v>0</v>
      </c>
      <c r="AO365" s="90">
        <f t="shared" ref="AO365" si="1189">SUM(AO366:AO368)</f>
        <v>0</v>
      </c>
      <c r="AP365" s="564" t="s">
        <v>383</v>
      </c>
      <c r="AR365" s="381"/>
      <c r="AS365" s="166">
        <f>SUMIF($D$5:$D$319,"=sas",AS5:AS319)+SUMIF($D$5:$D$319,"=sam",AS5:AS319)+SUMIF($D$5:$D$319,"=sar",AS5:AS319)+SUMIF($D$5:$D$319,"=saz",AS5:AS319)</f>
        <v>0</v>
      </c>
      <c r="AU365" s="166">
        <f>SUMIF($D$5:$D$319,"=sas",AU5:AU319)+SUMIF($D$5:$D$319,"=sam",AU5:AU319)+SUMIF($D$5:$D$319,"=sar",AU5:AU319)+SUMIF($D$5:$D$319,"=saz",AU5:AU319)</f>
        <v>0</v>
      </c>
      <c r="AW365" s="90">
        <f t="shared" ref="AW365" si="1190">SUM(AW366:AW368)</f>
        <v>0</v>
      </c>
      <c r="AX365" s="166">
        <f>ROUND(AZ365*HLOOKUP(AX322,Grund_zins,2,FALSE),2)</f>
        <v>0</v>
      </c>
      <c r="AY365" s="166">
        <f>SUMIF($D$5:$D$319,"=sas",AY5:AY319)+SUMIF($D$5:$D$319,"=sam",AY5:AY319)+SUMIF($D$5:$D$319,"=sar",AY5:AY319)+SUMIF($D$5:$D$319,"=saz",AY5:AY319)</f>
        <v>0</v>
      </c>
      <c r="AZ365" s="166">
        <f t="shared" si="963"/>
        <v>0</v>
      </c>
      <c r="BA365" s="166">
        <f>SUMIF($D$5:$D$319,"=sas",BA5:BA319)+SUMIF($D$5:$D$319,"=sam",BA5:BA319)+SUMIF($D$5:$D$319,"=sar",BA5:BA319)+SUMIF($D$5:$D$319,"=saz",BA5:BA319)</f>
        <v>0</v>
      </c>
      <c r="BB365" s="90">
        <f t="shared" ref="BB365" si="1191">SUM(BB366:BB368)</f>
        <v>0</v>
      </c>
      <c r="BC365" s="564" t="s">
        <v>383</v>
      </c>
      <c r="BE365" s="381"/>
      <c r="BF365" s="166">
        <f>SUMIF($D$5:$D$319,"=sas",BF5:BF319)+SUMIF($D$5:$D$319,"=sam",BF5:BF319)+SUMIF($D$5:$D$319,"=sar",BF5:BF319)+SUMIF($D$5:$D$319,"=saz",BF5:BF319)</f>
        <v>0</v>
      </c>
      <c r="BH365" s="166">
        <f>SUMIF($D$5:$D$319,"=sas",BH5:BH319)+SUMIF($D$5:$D$319,"=sam",BH5:BH319)+SUMIF($D$5:$D$319,"=sar",BH5:BH319)+SUMIF($D$5:$D$319,"=saz",BH5:BH319)</f>
        <v>0</v>
      </c>
      <c r="BJ365" s="90">
        <f t="shared" ref="BJ365" si="1192">SUM(BJ366:BJ368)</f>
        <v>0</v>
      </c>
      <c r="BK365" s="166">
        <f>ROUND(BM365*HLOOKUP(BK322,Grund_zins,2,FALSE),2)</f>
        <v>0</v>
      </c>
      <c r="BL365" s="166">
        <f>SUMIF($D$5:$D$319,"=sas",BL5:BL319)+SUMIF($D$5:$D$319,"=sam",BL5:BL319)+SUMIF($D$5:$D$319,"=sar",BL5:BL319)+SUMIF($D$5:$D$319,"=saz",BL5:BL319)</f>
        <v>0</v>
      </c>
      <c r="BM365" s="166">
        <f t="shared" si="964"/>
        <v>0</v>
      </c>
      <c r="BN365" s="166">
        <f>SUMIF($D$5:$D$319,"=sas",BN5:BN319)+SUMIF($D$5:$D$319,"=sam",BN5:BN319)+SUMIF($D$5:$D$319,"=sar",BN5:BN319)+SUMIF($D$5:$D$319,"=saz",BN5:BN319)</f>
        <v>0</v>
      </c>
      <c r="BO365" s="90">
        <f t="shared" ref="BO365" si="1193">SUM(BO366:BO368)</f>
        <v>0</v>
      </c>
      <c r="BP365" s="564" t="s">
        <v>383</v>
      </c>
      <c r="BR365" s="381"/>
      <c r="BS365" s="166">
        <f>SUMIF($D$5:$D$319,"=sas",BS5:BS319)+SUMIF($D$5:$D$319,"=sam",BS5:BS319)+SUMIF($D$5:$D$319,"=sar",BS5:BS319)+SUMIF($D$5:$D$319,"=saz",BS5:BS319)</f>
        <v>0</v>
      </c>
      <c r="BU365" s="166">
        <f>SUMIF($D$5:$D$319,"=sas",BU5:BU319)+SUMIF($D$5:$D$319,"=sam",BU5:BU319)+SUMIF($D$5:$D$319,"=sar",BU5:BU319)+SUMIF($D$5:$D$319,"=saz",BU5:BU319)</f>
        <v>0</v>
      </c>
      <c r="BW365" s="90">
        <f t="shared" ref="BW365" si="1194">SUM(BW366:BW368)</f>
        <v>0</v>
      </c>
      <c r="BX365" s="166">
        <f>ROUND(BZ365*HLOOKUP(BX322,Grund_zins,2,FALSE),2)</f>
        <v>0</v>
      </c>
      <c r="BY365" s="166">
        <f>SUMIF($D$5:$D$319,"=sas",BY5:BY319)+SUMIF($D$5:$D$319,"=sam",BY5:BY319)+SUMIF($D$5:$D$319,"=sar",BY5:BY319)+SUMIF($D$5:$D$319,"=saz",BY5:BY319)</f>
        <v>0</v>
      </c>
      <c r="BZ365" s="166">
        <f t="shared" si="965"/>
        <v>0</v>
      </c>
      <c r="CA365" s="166">
        <f>SUMIF($D$5:$D$319,"=sas",CA5:CA319)+SUMIF($D$5:$D$319,"=sam",CA5:CA319)+SUMIF($D$5:$D$319,"=sar",CA5:CA319)+SUMIF($D$5:$D$319,"=saz",CA5:CA319)</f>
        <v>0</v>
      </c>
      <c r="CB365" s="90">
        <f t="shared" ref="CB365" si="1195">SUM(CB366:CB368)</f>
        <v>0</v>
      </c>
      <c r="CC365" s="564" t="s">
        <v>383</v>
      </c>
      <c r="CE365" s="381"/>
      <c r="CF365" s="166">
        <f>SUMIF($D$5:$D$319,"=sas",CF5:CF319)+SUMIF($D$5:$D$319,"=sam",CF5:CF319)+SUMIF($D$5:$D$319,"=sar",CF5:CF319)+SUMIF($D$5:$D$319,"=saz",CF5:CF319)</f>
        <v>0</v>
      </c>
      <c r="CH365" s="166">
        <f>SUMIF($D$5:$D$319,"=sas",CH5:CH319)+SUMIF($D$5:$D$319,"=sam",CH5:CH319)+SUMIF($D$5:$D$319,"=sar",CH5:CH319)+SUMIF($D$5:$D$319,"=saz",CH5:CH319)</f>
        <v>0</v>
      </c>
      <c r="CJ365" s="90">
        <f t="shared" ref="CJ365" si="1196">SUM(CJ366:CJ368)</f>
        <v>0</v>
      </c>
      <c r="CK365" s="166">
        <f>ROUND(CM365*HLOOKUP(CK322,Grund_zins,2,FALSE),2)</f>
        <v>0</v>
      </c>
      <c r="CL365" s="166">
        <f>SUMIF($D$5:$D$319,"=sas",CL5:CL319)+SUMIF($D$5:$D$319,"=sam",CL5:CL319)+SUMIF($D$5:$D$319,"=sar",CL5:CL319)+SUMIF($D$5:$D$319,"=saz",CL5:CL319)</f>
        <v>0</v>
      </c>
      <c r="CM365" s="166">
        <f t="shared" si="966"/>
        <v>0</v>
      </c>
      <c r="CN365" s="166">
        <f>SUMIF($D$5:$D$319,"=sas",CN5:CN319)+SUMIF($D$5:$D$319,"=sam",CN5:CN319)+SUMIF($D$5:$D$319,"=sar",CN5:CN319)+SUMIF($D$5:$D$319,"=saz",CN5:CN319)</f>
        <v>0</v>
      </c>
      <c r="CO365" s="90">
        <f t="shared" ref="CO365" si="1197">SUM(CO366:CO368)</f>
        <v>0</v>
      </c>
      <c r="CP365" s="564" t="s">
        <v>383</v>
      </c>
      <c r="CR365" s="381"/>
      <c r="CS365" s="166">
        <f>SUMIF($D$5:$D$319,"=sas",CS5:CS319)+SUMIF($D$5:$D$319,"=sam",CS5:CS319)+SUMIF($D$5:$D$319,"=sar",CS5:CS319)+SUMIF($D$5:$D$319,"=saz",CS5:CS319)</f>
        <v>0</v>
      </c>
      <c r="CU365" s="166">
        <f>SUMIF($D$5:$D$319,"=sas",CU5:CU319)+SUMIF($D$5:$D$319,"=sam",CU5:CU319)+SUMIF($D$5:$D$319,"=sar",CU5:CU319)+SUMIF($D$5:$D$319,"=saz",CU5:CU319)</f>
        <v>0</v>
      </c>
      <c r="CW365" s="90">
        <f t="shared" ref="CW365" si="1198">SUM(CW366:CW368)</f>
        <v>0</v>
      </c>
      <c r="CX365" s="166">
        <f>ROUND(CZ365*HLOOKUP(CX322,Grund_zins,2,FALSE),2)</f>
        <v>0</v>
      </c>
      <c r="CY365" s="166">
        <f>SUMIF($D$5:$D$319,"=sas",CY5:CY319)+SUMIF($D$5:$D$319,"=sam",CY5:CY319)+SUMIF($D$5:$D$319,"=sar",CY5:CY319)+SUMIF($D$5:$D$319,"=saz",CY5:CY319)</f>
        <v>0</v>
      </c>
      <c r="CZ365" s="166">
        <f t="shared" si="967"/>
        <v>0</v>
      </c>
      <c r="DA365" s="166">
        <f>SUMIF($D$5:$D$319,"=sas",DA5:DA319)+SUMIF($D$5:$D$319,"=sam",DA5:DA319)+SUMIF($D$5:$D$319,"=sar",DA5:DA319)+SUMIF($D$5:$D$319,"=saz",DA5:DA319)</f>
        <v>0</v>
      </c>
      <c r="DB365" s="90">
        <f t="shared" ref="DB365" si="1199">SUM(DB366:DB368)</f>
        <v>0</v>
      </c>
      <c r="DC365" s="564" t="s">
        <v>383</v>
      </c>
      <c r="DE365" s="381"/>
      <c r="DF365" s="166">
        <f>SUMIF($D$5:$D$319,"=sas",DF5:DF319)+SUMIF($D$5:$D$319,"=sam",DF5:DF319)+SUMIF($D$5:$D$319,"=sar",DF5:DF319)+SUMIF($D$5:$D$319,"=saz",DF5:DF319)</f>
        <v>0</v>
      </c>
      <c r="DH365" s="166">
        <f>SUMIF($D$5:$D$319,"=sas",DH5:DH319)+SUMIF($D$5:$D$319,"=sam",DH5:DH319)+SUMIF($D$5:$D$319,"=sar",DH5:DH319)+SUMIF($D$5:$D$319,"=saz",DH5:DH319)</f>
        <v>0</v>
      </c>
      <c r="DJ365" s="90">
        <f t="shared" ref="DJ365" si="1200">SUM(DJ366:DJ368)</f>
        <v>0</v>
      </c>
      <c r="DK365" s="166">
        <f>ROUND(DM365*HLOOKUP(DK322,Grund_zins,2,FALSE),2)</f>
        <v>0</v>
      </c>
      <c r="DL365" s="166">
        <f>SUMIF($D$5:$D$319,"=sas",DL5:DL319)+SUMIF($D$5:$D$319,"=sam",DL5:DL319)+SUMIF($D$5:$D$319,"=sar",DL5:DL319)+SUMIF($D$5:$D$319,"=saz",DL5:DL319)</f>
        <v>0</v>
      </c>
      <c r="DM365" s="166">
        <f t="shared" si="968"/>
        <v>0</v>
      </c>
      <c r="DN365" s="166">
        <f>SUMIF($D$5:$D$319,"=sas",DN5:DN319)+SUMIF($D$5:$D$319,"=sam",DN5:DN319)+SUMIF($D$5:$D$319,"=sar",DN5:DN319)+SUMIF($D$5:$D$319,"=saz",DN5:DN319)</f>
        <v>0</v>
      </c>
      <c r="DO365" s="90">
        <f t="shared" ref="DO365" si="1201">SUM(DO366:DO368)</f>
        <v>0</v>
      </c>
      <c r="DP365" s="564" t="s">
        <v>383</v>
      </c>
      <c r="DR365" s="381"/>
      <c r="DS365" s="166">
        <f>SUMIF($D$5:$D$319,"=sas",DS5:DS319)+SUMIF($D$5:$D$319,"=sam",DS5:DS319)+SUMIF($D$5:$D$319,"=sar",DS5:DS319)+SUMIF($D$5:$D$319,"=saz",DS5:DS319)</f>
        <v>0</v>
      </c>
      <c r="DU365" s="166">
        <f>SUMIF($D$5:$D$319,"=sas",DU5:DU319)+SUMIF($D$5:$D$319,"=sam",DU5:DU319)+SUMIF($D$5:$D$319,"=sar",DU5:DU319)+SUMIF($D$5:$D$319,"=saz",DU5:DU319)</f>
        <v>0</v>
      </c>
      <c r="DW365" s="90">
        <f t="shared" ref="DW365" si="1202">SUM(DW366:DW368)</f>
        <v>0</v>
      </c>
      <c r="DX365" s="166">
        <f>ROUND(DZ365*HLOOKUP(DX322,Grund_zins,2,FALSE),2)</f>
        <v>0</v>
      </c>
      <c r="DY365" s="166">
        <f>SUMIF($D$5:$D$319,"=sas",DY5:DY319)+SUMIF($D$5:$D$319,"=sam",DY5:DY319)+SUMIF($D$5:$D$319,"=sar",DY5:DY319)+SUMIF($D$5:$D$319,"=saz",DY5:DY319)</f>
        <v>0</v>
      </c>
      <c r="DZ365" s="166">
        <f t="shared" si="969"/>
        <v>0</v>
      </c>
      <c r="EA365" s="166">
        <f>SUMIF($D$5:$D$319,"=sas",EA5:EA319)+SUMIF($D$5:$D$319,"=sam",EA5:EA319)+SUMIF($D$5:$D$319,"=sar",EA5:EA319)+SUMIF($D$5:$D$319,"=saz",EA5:EA319)</f>
        <v>0</v>
      </c>
      <c r="EB365" s="90">
        <f t="shared" ref="EB365" si="1203">SUM(EB366:EB368)</f>
        <v>0</v>
      </c>
      <c r="EC365" s="564" t="s">
        <v>383</v>
      </c>
    </row>
    <row r="366" spans="1:133" s="10" customFormat="1" ht="15" customHeight="1" x14ac:dyDescent="0.35">
      <c r="A366" s="565" t="s">
        <v>169</v>
      </c>
      <c r="Q366" s="225">
        <v>45</v>
      </c>
      <c r="R366" s="381"/>
      <c r="S366" s="166">
        <f>SUMIF($D$5:$D$319,"=sas",S5:S319)*HLOOKUP(X322,Verteil_sw,27,FALSE)+SUMIF($D$5:$D$319,"=sam",S5:S319)*HLOOKUP(X322,Verteil_sw,28,FALSE)+SUMIF($D$5:$D$319,"=sar",S5:S319)*HLOOKUP(X322,Verteil_sw,29,FALSE)+SUMIF($D$5:$D$319,"=saz",S5:S319)*HLOOKUP(X322,Verteil_sw,30,FALSE)</f>
        <v>0</v>
      </c>
      <c r="U366" s="166">
        <f>SUMIF($D$5:$D$319,"=sas",U5:U319)*HLOOKUP(X322,Verteil_sw,27,FALSE)+SUMIF($D$5:$D$319,"=sam",U5:U319)*HLOOKUP(X322,Verteil_sw,28,FALSE)+SUMIF($D$5:$D$319,"=sar",U5:U319)*HLOOKUP(X322,Verteil_sw,29,FALSE)+SUMIF($D$5:$D$319,"=saz",U5:U319)*HLOOKUP(X322,Verteil_sw,30,FALSE)</f>
        <v>0</v>
      </c>
      <c r="W366" s="90">
        <f t="shared" ref="W366" si="1204">IF(X365&lt;&gt;0,X366/X365,0)</f>
        <v>0</v>
      </c>
      <c r="X366" s="166">
        <f>ROUND(Z366*HLOOKUP(X322,Grund_zins,2,FALSE),2)</f>
        <v>0</v>
      </c>
      <c r="Y366" s="166">
        <f>SUMIF($D$5:$D$319,"=sas",Y5:Y319)*HLOOKUP(X322,Verteil_sw,27,FALSE)+SUMIF($D$5:$D$319,"=sam",Y5:Y319)*HLOOKUP(X322,Verteil_sw,28,FALSE)+SUMIF($D$5:$D$319,"=sar",Y5:Y319)*HLOOKUP(X322,Verteil_sw,29,FALSE)+SUMIF($D$5:$D$319,"=saz",Y5:Y319)*HLOOKUP(X322,Verteil_sw,30,FALSE)</f>
        <v>0</v>
      </c>
      <c r="Z366" s="166">
        <f t="shared" si="961"/>
        <v>0</v>
      </c>
      <c r="AA366" s="166">
        <f>SUMIF($D$5:$D$319,"=sas",AA5:AA319)*HLOOKUP(X322,Verteil_sw,27,FALSE)+SUMIF($D$5:$D$319,"=sam",AA5:AA319)*HLOOKUP(X322,Verteil_sw,28,FALSE)+SUMIF($D$5:$D$319,"=sar",AA5:AA319)*HLOOKUP(X322,Verteil_sw,29,FALSE)+SUMIF($D$5:$D$319,"=saz",AA5:AA319)*HLOOKUP(X322,Verteil_sw,30,FALSE)</f>
        <v>0</v>
      </c>
      <c r="AB366" s="90">
        <f t="shared" ref="AB366" si="1205">IF(AA365&lt;&gt;0,AA366/AA365,0)</f>
        <v>0</v>
      </c>
      <c r="AC366" s="565" t="s">
        <v>169</v>
      </c>
      <c r="AE366" s="381"/>
      <c r="AF366" s="166">
        <f>SUMIF($D$5:$D$319,"=sas",AF5:AF319)*HLOOKUP(AK322,Verteil_sw,27,FALSE)+SUMIF($D$5:$D$319,"=sam",AF5:AF319)*HLOOKUP(AK322,Verteil_sw,28,FALSE)+SUMIF($D$5:$D$319,"=sar",AF5:AF319)*HLOOKUP(AK322,Verteil_sw,29,FALSE)+SUMIF($D$5:$D$319,"=saz",AF5:AF319)*HLOOKUP(AK322,Verteil_sw,30,FALSE)</f>
        <v>0</v>
      </c>
      <c r="AH366" s="166">
        <f>SUMIF($D$5:$D$319,"=sas",AH5:AH319)*HLOOKUP(AK322,Verteil_sw,27,FALSE)+SUMIF($D$5:$D$319,"=sam",AH5:AH319)*HLOOKUP(AK322,Verteil_sw,28,FALSE)+SUMIF($D$5:$D$319,"=sar",AH5:AH319)*HLOOKUP(AK322,Verteil_sw,29,FALSE)+SUMIF($D$5:$D$319,"=saz",AH5:AH319)*HLOOKUP(AK322,Verteil_sw,30,FALSE)</f>
        <v>0</v>
      </c>
      <c r="AJ366" s="90">
        <f t="shared" ref="AJ366" si="1206">IF(AK365&lt;&gt;0,AK366/AK365,0)</f>
        <v>0</v>
      </c>
      <c r="AK366" s="166">
        <f>ROUND(AM366*HLOOKUP(AK322,Grund_zins,2,FALSE),2)</f>
        <v>0</v>
      </c>
      <c r="AL366" s="166">
        <f>SUMIF($D$5:$D$319,"=sas",AL5:AL319)*HLOOKUP(AK322,Verteil_sw,27,FALSE)+SUMIF($D$5:$D$319,"=sam",AL5:AL319)*HLOOKUP(AK322,Verteil_sw,28,FALSE)+SUMIF($D$5:$D$319,"=sar",AL5:AL319)*HLOOKUP(AK322,Verteil_sw,29,FALSE)+SUMIF($D$5:$D$319,"=saz",AL5:AL319)*HLOOKUP(AK322,Verteil_sw,30,FALSE)</f>
        <v>0</v>
      </c>
      <c r="AM366" s="166">
        <f t="shared" si="962"/>
        <v>0</v>
      </c>
      <c r="AN366" s="166">
        <f>SUMIF($D$5:$D$319,"=sas",AN5:AN319)*HLOOKUP(AK322,Verteil_sw,27,FALSE)+SUMIF($D$5:$D$319,"=sam",AN5:AN319)*HLOOKUP(AK322,Verteil_sw,28,FALSE)+SUMIF($D$5:$D$319,"=sar",AN5:AN319)*HLOOKUP(AK322,Verteil_sw,29,FALSE)+SUMIF($D$5:$D$319,"=saz",AN5:AN319)*HLOOKUP(AK322,Verteil_sw,30,FALSE)</f>
        <v>0</v>
      </c>
      <c r="AO366" s="90">
        <f t="shared" ref="AO366" si="1207">IF(AN365&lt;&gt;0,AN366/AN365,0)</f>
        <v>0</v>
      </c>
      <c r="AP366" s="565" t="s">
        <v>169</v>
      </c>
      <c r="AR366" s="381"/>
      <c r="AS366" s="166">
        <f>SUMIF($D$5:$D$319,"=sas",AS5:AS319)*HLOOKUP(AX322,Verteil_sw,27,FALSE)+SUMIF($D$5:$D$319,"=sam",AS5:AS319)*HLOOKUP(AX322,Verteil_sw,28,FALSE)+SUMIF($D$5:$D$319,"=sar",AS5:AS319)*HLOOKUP(AX322,Verteil_sw,29,FALSE)+SUMIF($D$5:$D$319,"=saz",AS5:AS319)*HLOOKUP(AX322,Verteil_sw,30,FALSE)</f>
        <v>0</v>
      </c>
      <c r="AU366" s="166">
        <f>SUMIF($D$5:$D$319,"=sas",AU5:AU319)*HLOOKUP(AX322,Verteil_sw,27,FALSE)+SUMIF($D$5:$D$319,"=sam",AU5:AU319)*HLOOKUP(AX322,Verteil_sw,28,FALSE)+SUMIF($D$5:$D$319,"=sar",AU5:AU319)*HLOOKUP(AX322,Verteil_sw,29,FALSE)+SUMIF($D$5:$D$319,"=saz",AU5:AU319)*HLOOKUP(AX322,Verteil_sw,30,FALSE)</f>
        <v>0</v>
      </c>
      <c r="AW366" s="90">
        <f t="shared" ref="AW366" si="1208">IF(AX365&lt;&gt;0,AX366/AX365,0)</f>
        <v>0</v>
      </c>
      <c r="AX366" s="166">
        <f>ROUND(AZ366*HLOOKUP(AX322,Grund_zins,2,FALSE),2)</f>
        <v>0</v>
      </c>
      <c r="AY366" s="166">
        <f>SUMIF($D$5:$D$319,"=sas",AY5:AY319)*HLOOKUP(AX322,Verteil_sw,27,FALSE)+SUMIF($D$5:$D$319,"=sam",AY5:AY319)*HLOOKUP(AX322,Verteil_sw,28,FALSE)+SUMIF($D$5:$D$319,"=sar",AY5:AY319)*HLOOKUP(AX322,Verteil_sw,29,FALSE)+SUMIF($D$5:$D$319,"=saz",AY5:AY319)*HLOOKUP(AX322,Verteil_sw,30,FALSE)</f>
        <v>0</v>
      </c>
      <c r="AZ366" s="166">
        <f t="shared" si="963"/>
        <v>0</v>
      </c>
      <c r="BA366" s="166">
        <f>SUMIF($D$5:$D$319,"=sas",BA5:BA319)*HLOOKUP(AX322,Verteil_sw,27,FALSE)+SUMIF($D$5:$D$319,"=sam",BA5:BA319)*HLOOKUP(AX322,Verteil_sw,28,FALSE)+SUMIF($D$5:$D$319,"=sar",BA5:BA319)*HLOOKUP(AX322,Verteil_sw,29,FALSE)+SUMIF($D$5:$D$319,"=saz",BA5:BA319)*HLOOKUP(AX322,Verteil_sw,30,FALSE)</f>
        <v>0</v>
      </c>
      <c r="BB366" s="90">
        <f t="shared" ref="BB366" si="1209">IF(BA365&lt;&gt;0,BA366/BA365,0)</f>
        <v>0</v>
      </c>
      <c r="BC366" s="565" t="s">
        <v>169</v>
      </c>
      <c r="BE366" s="381"/>
      <c r="BF366" s="166">
        <f>SUMIF($D$5:$D$319,"=sas",BF5:BF319)*HLOOKUP(BK322,Verteil_sw,27,FALSE)+SUMIF($D$5:$D$319,"=sam",BF5:BF319)*HLOOKUP(BK322,Verteil_sw,28,FALSE)+SUMIF($D$5:$D$319,"=sar",BF5:BF319)*HLOOKUP(BK322,Verteil_sw,29,FALSE)+SUMIF($D$5:$D$319,"=saz",BF5:BF319)*HLOOKUP(BK322,Verteil_sw,30,FALSE)</f>
        <v>0</v>
      </c>
      <c r="BH366" s="166">
        <f>SUMIF($D$5:$D$319,"=sas",BH5:BH319)*HLOOKUP(BK322,Verteil_sw,27,FALSE)+SUMIF($D$5:$D$319,"=sam",BH5:BH319)*HLOOKUP(BK322,Verteil_sw,28,FALSE)+SUMIF($D$5:$D$319,"=sar",BH5:BH319)*HLOOKUP(BK322,Verteil_sw,29,FALSE)+SUMIF($D$5:$D$319,"=saz",BH5:BH319)*HLOOKUP(BK322,Verteil_sw,30,FALSE)</f>
        <v>0</v>
      </c>
      <c r="BJ366" s="90">
        <f t="shared" ref="BJ366" si="1210">IF(BK365&lt;&gt;0,BK366/BK365,0)</f>
        <v>0</v>
      </c>
      <c r="BK366" s="166">
        <f>ROUND(BM366*HLOOKUP(BK322,Grund_zins,2,FALSE),2)</f>
        <v>0</v>
      </c>
      <c r="BL366" s="166">
        <f>SUMIF($D$5:$D$319,"=sas",BL5:BL319)*HLOOKUP(BK322,Verteil_sw,27,FALSE)+SUMIF($D$5:$D$319,"=sam",BL5:BL319)*HLOOKUP(BK322,Verteil_sw,28,FALSE)+SUMIF($D$5:$D$319,"=sar",BL5:BL319)*HLOOKUP(BK322,Verteil_sw,29,FALSE)+SUMIF($D$5:$D$319,"=saz",BL5:BL319)*HLOOKUP(BK322,Verteil_sw,30,FALSE)</f>
        <v>0</v>
      </c>
      <c r="BM366" s="166">
        <f t="shared" si="964"/>
        <v>0</v>
      </c>
      <c r="BN366" s="166">
        <f>SUMIF($D$5:$D$319,"=sas",BN5:BN319)*HLOOKUP(BK322,Verteil_sw,27,FALSE)+SUMIF($D$5:$D$319,"=sam",BN5:BN319)*HLOOKUP(BK322,Verteil_sw,28,FALSE)+SUMIF($D$5:$D$319,"=sar",BN5:BN319)*HLOOKUP(BK322,Verteil_sw,29,FALSE)+SUMIF($D$5:$D$319,"=saz",BN5:BN319)*HLOOKUP(BK322,Verteil_sw,30,FALSE)</f>
        <v>0</v>
      </c>
      <c r="BO366" s="90">
        <f t="shared" ref="BO366" si="1211">IF(BN365&lt;&gt;0,BN366/BN365,0)</f>
        <v>0</v>
      </c>
      <c r="BP366" s="565" t="s">
        <v>169</v>
      </c>
      <c r="BR366" s="381"/>
      <c r="BS366" s="166">
        <f>SUMIF($D$5:$D$319,"=sas",BS5:BS319)*HLOOKUP(BX322,Verteil_sw,27,FALSE)+SUMIF($D$5:$D$319,"=sam",BS5:BS319)*HLOOKUP(BX322,Verteil_sw,28,FALSE)+SUMIF($D$5:$D$319,"=sar",BS5:BS319)*HLOOKUP(BX322,Verteil_sw,29,FALSE)+SUMIF($D$5:$D$319,"=saz",BS5:BS319)*HLOOKUP(BX322,Verteil_sw,30,FALSE)</f>
        <v>0</v>
      </c>
      <c r="BU366" s="166">
        <f>SUMIF($D$5:$D$319,"=sas",BU5:BU319)*HLOOKUP(BX322,Verteil_sw,27,FALSE)+SUMIF($D$5:$D$319,"=sam",BU5:BU319)*HLOOKUP(BX322,Verteil_sw,28,FALSE)+SUMIF($D$5:$D$319,"=sar",BU5:BU319)*HLOOKUP(BX322,Verteil_sw,29,FALSE)+SUMIF($D$5:$D$319,"=saz",BU5:BU319)*HLOOKUP(BX322,Verteil_sw,30,FALSE)</f>
        <v>0</v>
      </c>
      <c r="BW366" s="90">
        <f t="shared" ref="BW366" si="1212">IF(BX365&lt;&gt;0,BX366/BX365,0)</f>
        <v>0</v>
      </c>
      <c r="BX366" s="166">
        <f>ROUND(BZ366*HLOOKUP(BX322,Grund_zins,2,FALSE),2)</f>
        <v>0</v>
      </c>
      <c r="BY366" s="166">
        <f>SUMIF($D$5:$D$319,"=sas",BY5:BY319)*HLOOKUP(BX322,Verteil_sw,27,FALSE)+SUMIF($D$5:$D$319,"=sam",BY5:BY319)*HLOOKUP(BX322,Verteil_sw,28,FALSE)+SUMIF($D$5:$D$319,"=sar",BY5:BY319)*HLOOKUP(BX322,Verteil_sw,29,FALSE)+SUMIF($D$5:$D$319,"=saz",BY5:BY319)*HLOOKUP(BX322,Verteil_sw,30,FALSE)</f>
        <v>0</v>
      </c>
      <c r="BZ366" s="166">
        <f t="shared" si="965"/>
        <v>0</v>
      </c>
      <c r="CA366" s="166">
        <f>SUMIF($D$5:$D$319,"=sas",CA5:CA319)*HLOOKUP(BX322,Verteil_sw,27,FALSE)+SUMIF($D$5:$D$319,"=sam",CA5:CA319)*HLOOKUP(BX322,Verteil_sw,28,FALSE)+SUMIF($D$5:$D$319,"=sar",CA5:CA319)*HLOOKUP(BX322,Verteil_sw,29,FALSE)+SUMIF($D$5:$D$319,"=saz",CA5:CA319)*HLOOKUP(BX322,Verteil_sw,30,FALSE)</f>
        <v>0</v>
      </c>
      <c r="CB366" s="90">
        <f t="shared" ref="CB366" si="1213">IF(CA365&lt;&gt;0,CA366/CA365,0)</f>
        <v>0</v>
      </c>
      <c r="CC366" s="565" t="s">
        <v>169</v>
      </c>
      <c r="CE366" s="381"/>
      <c r="CF366" s="166">
        <f>SUMIF($D$5:$D$319,"=sas",CF5:CF319)*HLOOKUP(CK322,Verteil_sw,27,FALSE)+SUMIF($D$5:$D$319,"=sam",CF5:CF319)*HLOOKUP(CK322,Verteil_sw,28,FALSE)+SUMIF($D$5:$D$319,"=sar",CF5:CF319)*HLOOKUP(CK322,Verteil_sw,29,FALSE)+SUMIF($D$5:$D$319,"=saz",CF5:CF319)*HLOOKUP(CK322,Verteil_sw,30,FALSE)</f>
        <v>0</v>
      </c>
      <c r="CH366" s="166">
        <f>SUMIF($D$5:$D$319,"=sas",CH5:CH319)*HLOOKUP(CK322,Verteil_sw,27,FALSE)+SUMIF($D$5:$D$319,"=sam",CH5:CH319)*HLOOKUP(CK322,Verteil_sw,28,FALSE)+SUMIF($D$5:$D$319,"=sar",CH5:CH319)*HLOOKUP(CK322,Verteil_sw,29,FALSE)+SUMIF($D$5:$D$319,"=saz",CH5:CH319)*HLOOKUP(CK322,Verteil_sw,30,FALSE)</f>
        <v>0</v>
      </c>
      <c r="CJ366" s="90">
        <f t="shared" ref="CJ366" si="1214">IF(CK365&lt;&gt;0,CK366/CK365,0)</f>
        <v>0</v>
      </c>
      <c r="CK366" s="166">
        <f>ROUND(CM366*HLOOKUP(CK322,Grund_zins,2,FALSE),2)</f>
        <v>0</v>
      </c>
      <c r="CL366" s="166">
        <f>SUMIF($D$5:$D$319,"=sas",CL5:CL319)*HLOOKUP(CK322,Verteil_sw,27,FALSE)+SUMIF($D$5:$D$319,"=sam",CL5:CL319)*HLOOKUP(CK322,Verteil_sw,28,FALSE)+SUMIF($D$5:$D$319,"=sar",CL5:CL319)*HLOOKUP(CK322,Verteil_sw,29,FALSE)+SUMIF($D$5:$D$319,"=saz",CL5:CL319)*HLOOKUP(CK322,Verteil_sw,30,FALSE)</f>
        <v>0</v>
      </c>
      <c r="CM366" s="166">
        <f t="shared" si="966"/>
        <v>0</v>
      </c>
      <c r="CN366" s="166">
        <f>SUMIF($D$5:$D$319,"=sas",CN5:CN319)*HLOOKUP(CK322,Verteil_sw,27,FALSE)+SUMIF($D$5:$D$319,"=sam",CN5:CN319)*HLOOKUP(CK322,Verteil_sw,28,FALSE)+SUMIF($D$5:$D$319,"=sar",CN5:CN319)*HLOOKUP(CK322,Verteil_sw,29,FALSE)+SUMIF($D$5:$D$319,"=saz",CN5:CN319)*HLOOKUP(CK322,Verteil_sw,30,FALSE)</f>
        <v>0</v>
      </c>
      <c r="CO366" s="90">
        <f t="shared" ref="CO366" si="1215">IF(CN365&lt;&gt;0,CN366/CN365,0)</f>
        <v>0</v>
      </c>
      <c r="CP366" s="565" t="s">
        <v>169</v>
      </c>
      <c r="CR366" s="381"/>
      <c r="CS366" s="166">
        <f>SUMIF($D$5:$D$319,"=sas",CS5:CS319)*HLOOKUP(CX322,Verteil_sw,27,FALSE)+SUMIF($D$5:$D$319,"=sam",CS5:CS319)*HLOOKUP(CX322,Verteil_sw,28,FALSE)+SUMIF($D$5:$D$319,"=sar",CS5:CS319)*HLOOKUP(CX322,Verteil_sw,29,FALSE)+SUMIF($D$5:$D$319,"=saz",CS5:CS319)*HLOOKUP(CX322,Verteil_sw,30,FALSE)</f>
        <v>0</v>
      </c>
      <c r="CU366" s="166">
        <f>SUMIF($D$5:$D$319,"=sas",CU5:CU319)*HLOOKUP(CX322,Verteil_sw,27,FALSE)+SUMIF($D$5:$D$319,"=sam",CU5:CU319)*HLOOKUP(CX322,Verteil_sw,28,FALSE)+SUMIF($D$5:$D$319,"=sar",CU5:CU319)*HLOOKUP(CX322,Verteil_sw,29,FALSE)+SUMIF($D$5:$D$319,"=saz",CU5:CU319)*HLOOKUP(CX322,Verteil_sw,30,FALSE)</f>
        <v>0</v>
      </c>
      <c r="CW366" s="90">
        <f t="shared" ref="CW366" si="1216">IF(CX365&lt;&gt;0,CX366/CX365,0)</f>
        <v>0</v>
      </c>
      <c r="CX366" s="166">
        <f>ROUND(CZ366*HLOOKUP(CX322,Grund_zins,2,FALSE),2)</f>
        <v>0</v>
      </c>
      <c r="CY366" s="166">
        <f>SUMIF($D$5:$D$319,"=sas",CY5:CY319)*HLOOKUP(CX322,Verteil_sw,27,FALSE)+SUMIF($D$5:$D$319,"=sam",CY5:CY319)*HLOOKUP(CX322,Verteil_sw,28,FALSE)+SUMIF($D$5:$D$319,"=sar",CY5:CY319)*HLOOKUP(CX322,Verteil_sw,29,FALSE)+SUMIF($D$5:$D$319,"=saz",CY5:CY319)*HLOOKUP(CX322,Verteil_sw,30,FALSE)</f>
        <v>0</v>
      </c>
      <c r="CZ366" s="166">
        <f t="shared" si="967"/>
        <v>0</v>
      </c>
      <c r="DA366" s="166">
        <f>SUMIF($D$5:$D$319,"=sas",DA5:DA319)*HLOOKUP(CX322,Verteil_sw,27,FALSE)+SUMIF($D$5:$D$319,"=sam",DA5:DA319)*HLOOKUP(CX322,Verteil_sw,28,FALSE)+SUMIF($D$5:$D$319,"=sar",DA5:DA319)*HLOOKUP(CX322,Verteil_sw,29,FALSE)+SUMIF($D$5:$D$319,"=saz",DA5:DA319)*HLOOKUP(CX322,Verteil_sw,30,FALSE)</f>
        <v>0</v>
      </c>
      <c r="DB366" s="90">
        <f t="shared" ref="DB366" si="1217">IF(DA365&lt;&gt;0,DA366/DA365,0)</f>
        <v>0</v>
      </c>
      <c r="DC366" s="565" t="s">
        <v>169</v>
      </c>
      <c r="DE366" s="381"/>
      <c r="DF366" s="166">
        <f>SUMIF($D$5:$D$319,"=sas",DF5:DF319)*HLOOKUP(DK322,Verteil_sw,27,FALSE)+SUMIF($D$5:$D$319,"=sam",DF5:DF319)*HLOOKUP(DK322,Verteil_sw,28,FALSE)+SUMIF($D$5:$D$319,"=sar",DF5:DF319)*HLOOKUP(DK322,Verteil_sw,29,FALSE)+SUMIF($D$5:$D$319,"=saz",DF5:DF319)*HLOOKUP(DK322,Verteil_sw,30,FALSE)</f>
        <v>0</v>
      </c>
      <c r="DH366" s="166">
        <f>SUMIF($D$5:$D$319,"=sas",DH5:DH319)*HLOOKUP(DK322,Verteil_sw,27,FALSE)+SUMIF($D$5:$D$319,"=sam",DH5:DH319)*HLOOKUP(DK322,Verteil_sw,28,FALSE)+SUMIF($D$5:$D$319,"=sar",DH5:DH319)*HLOOKUP(DK322,Verteil_sw,29,FALSE)+SUMIF($D$5:$D$319,"=saz",DH5:DH319)*HLOOKUP(DK322,Verteil_sw,30,FALSE)</f>
        <v>0</v>
      </c>
      <c r="DJ366" s="90">
        <f t="shared" ref="DJ366" si="1218">IF(DK365&lt;&gt;0,DK366/DK365,0)</f>
        <v>0</v>
      </c>
      <c r="DK366" s="166">
        <f>ROUND(DM366*HLOOKUP(DK322,Grund_zins,2,FALSE),2)</f>
        <v>0</v>
      </c>
      <c r="DL366" s="166">
        <f>SUMIF($D$5:$D$319,"=sas",DL5:DL319)*HLOOKUP(DK322,Verteil_sw,27,FALSE)+SUMIF($D$5:$D$319,"=sam",DL5:DL319)*HLOOKUP(DK322,Verteil_sw,28,FALSE)+SUMIF($D$5:$D$319,"=sar",DL5:DL319)*HLOOKUP(DK322,Verteil_sw,29,FALSE)+SUMIF($D$5:$D$319,"=saz",DL5:DL319)*HLOOKUP(DK322,Verteil_sw,30,FALSE)</f>
        <v>0</v>
      </c>
      <c r="DM366" s="166">
        <f t="shared" si="968"/>
        <v>0</v>
      </c>
      <c r="DN366" s="166">
        <f>SUMIF($D$5:$D$319,"=sas",DN5:DN319)*HLOOKUP(DK322,Verteil_sw,27,FALSE)+SUMIF($D$5:$D$319,"=sam",DN5:DN319)*HLOOKUP(DK322,Verteil_sw,28,FALSE)+SUMIF($D$5:$D$319,"=sar",DN5:DN319)*HLOOKUP(DK322,Verteil_sw,29,FALSE)+SUMIF($D$5:$D$319,"=saz",DN5:DN319)*HLOOKUP(DK322,Verteil_sw,30,FALSE)</f>
        <v>0</v>
      </c>
      <c r="DO366" s="90">
        <f t="shared" ref="DO366" si="1219">IF(DN365&lt;&gt;0,DN366/DN365,0)</f>
        <v>0</v>
      </c>
      <c r="DP366" s="565" t="s">
        <v>169</v>
      </c>
      <c r="DR366" s="381"/>
      <c r="DS366" s="166">
        <f>SUMIF($D$5:$D$319,"=sas",DS5:DS319)*HLOOKUP(DX322,Verteil_sw,27,FALSE)+SUMIF($D$5:$D$319,"=sam",DS5:DS319)*HLOOKUP(DX322,Verteil_sw,28,FALSE)+SUMIF($D$5:$D$319,"=sar",DS5:DS319)*HLOOKUP(DX322,Verteil_sw,29,FALSE)+SUMIF($D$5:$D$319,"=saz",DS5:DS319)*HLOOKUP(DX322,Verteil_sw,30,FALSE)</f>
        <v>0</v>
      </c>
      <c r="DU366" s="166">
        <f>SUMIF($D$5:$D$319,"=sas",DU5:DU319)*HLOOKUP(DX322,Verteil_sw,27,FALSE)+SUMIF($D$5:$D$319,"=sam",DU5:DU319)*HLOOKUP(DX322,Verteil_sw,28,FALSE)+SUMIF($D$5:$D$319,"=sar",DU5:DU319)*HLOOKUP(DX322,Verteil_sw,29,FALSE)+SUMIF($D$5:$D$319,"=saz",DU5:DU319)*HLOOKUP(DX322,Verteil_sw,30,FALSE)</f>
        <v>0</v>
      </c>
      <c r="DW366" s="90">
        <f t="shared" ref="DW366" si="1220">IF(DX365&lt;&gt;0,DX366/DX365,0)</f>
        <v>0</v>
      </c>
      <c r="DX366" s="166">
        <f>ROUND(DZ366*HLOOKUP(DX322,Grund_zins,2,FALSE),2)</f>
        <v>0</v>
      </c>
      <c r="DY366" s="166">
        <f>SUMIF($D$5:$D$319,"=sas",DY5:DY319)*HLOOKUP(DX322,Verteil_sw,27,FALSE)+SUMIF($D$5:$D$319,"=sam",DY5:DY319)*HLOOKUP(DX322,Verteil_sw,28,FALSE)+SUMIF($D$5:$D$319,"=sar",DY5:DY319)*HLOOKUP(DX322,Verteil_sw,29,FALSE)+SUMIF($D$5:$D$319,"=saz",DY5:DY319)*HLOOKUP(DX322,Verteil_sw,30,FALSE)</f>
        <v>0</v>
      </c>
      <c r="DZ366" s="166">
        <f t="shared" si="969"/>
        <v>0</v>
      </c>
      <c r="EA366" s="166">
        <f>SUMIF($D$5:$D$319,"=sas",EA5:EA319)*HLOOKUP(DX322,Verteil_sw,27,FALSE)+SUMIF($D$5:$D$319,"=sam",EA5:EA319)*HLOOKUP(DX322,Verteil_sw,28,FALSE)+SUMIF($D$5:$D$319,"=sar",EA5:EA319)*HLOOKUP(DX322,Verteil_sw,29,FALSE)+SUMIF($D$5:$D$319,"=saz",EA5:EA319)*HLOOKUP(DX322,Verteil_sw,30,FALSE)</f>
        <v>0</v>
      </c>
      <c r="EB366" s="90">
        <f t="shared" ref="EB366" si="1221">IF(EA365&lt;&gt;0,EA366/EA365,0)</f>
        <v>0</v>
      </c>
      <c r="EC366" s="565" t="s">
        <v>169</v>
      </c>
    </row>
    <row r="367" spans="1:133" s="10" customFormat="1" ht="15" customHeight="1" x14ac:dyDescent="0.35">
      <c r="A367" s="565" t="s">
        <v>178</v>
      </c>
      <c r="Q367" s="225">
        <v>46</v>
      </c>
      <c r="R367" s="381"/>
      <c r="S367" s="166">
        <f>SUMIF($D$5:$D$319,"=sas",S5:S319)*HLOOKUP(X322,Verteil_rwgr,26,FALSE)+SUMIF($D$5:$D$319,"=sam",S5:S319)*HLOOKUP(X322,Verteil_rwgr,27,FALSE)+SUMIF($D$5:$D$319,"=sar",S5:S319)*HLOOKUP(X322,Verteil_rwgr,28,FALSE)+SUMIF($D$5:$D$319,"=saz",S5:S319)*HLOOKUP(X322,Verteil_rwgr,29,FALSE)</f>
        <v>0</v>
      </c>
      <c r="U367" s="166">
        <f>SUMIF($D$5:$D$319,"=sas",U5:U319)*HLOOKUP(X322,Verteil_rwgr,26,FALSE)+SUMIF($D$5:$D$319,"=sam",U5:U319)*HLOOKUP(X322,Verteil_rwgr,27,FALSE)+SUMIF($D$5:$D$319,"=sar",U5:U319)*HLOOKUP(X322,Verteil_rwgr,28,FALSE)+SUMIF($D$5:$D$319,"=saz",U5:U319)*HLOOKUP(X322,Verteil_rwgr,29,FALSE)</f>
        <v>0</v>
      </c>
      <c r="W367" s="90">
        <f t="shared" ref="W367" si="1222">IF(X365&lt;&gt;0,X367/X365,0)</f>
        <v>0</v>
      </c>
      <c r="X367" s="166">
        <f>ROUND(Z367*HLOOKUP(X322,Grund_zins,2,FALSE),2)</f>
        <v>0</v>
      </c>
      <c r="Y367" s="166">
        <f>SUMIF($D$5:$D$319,"=sas",Y5:Y319)*HLOOKUP(X322,Verteil_rwgr,26,FALSE)+SUMIF($D$5:$D$319,"=sam",Y5:Y319)*HLOOKUP(X322,Verteil_rwgr,27,FALSE)+SUMIF($D$5:$D$319,"=sar",Y5:Y319)*HLOOKUP(X322,Verteil_rwgr,28,FALSE)+SUMIF($D$5:$D$319,"=saz",Y5:Y319)*HLOOKUP(X322,Verteil_rwgr,29,FALSE)</f>
        <v>0</v>
      </c>
      <c r="Z367" s="166">
        <f t="shared" si="961"/>
        <v>0</v>
      </c>
      <c r="AA367" s="166">
        <f>SUMIF($D$5:$D$319,"=sas",AA5:AA319)*HLOOKUP(X322,Verteil_rwgr,26,FALSE)+SUMIF($D$5:$D$319,"=sam",AA5:AA319)*HLOOKUP(X322,Verteil_rwgr,27,FALSE)+SUMIF($D$5:$D$319,"=sar",AA5:AA319)*HLOOKUP(X322,Verteil_rwgr,28,FALSE)+SUMIF($D$5:$D$319,"=saz",AA5:AA319)*HLOOKUP(X322,Verteil_rwgr,29,FALSE)</f>
        <v>0</v>
      </c>
      <c r="AB367" s="90">
        <f t="shared" ref="AB367" si="1223">IF(AA365&lt;&gt;0,AA367/AA365,0)</f>
        <v>0</v>
      </c>
      <c r="AC367" s="565" t="s">
        <v>178</v>
      </c>
      <c r="AE367" s="381"/>
      <c r="AF367" s="166">
        <f>SUMIF($D$5:$D$319,"=sas",AF5:AF319)*HLOOKUP(AK322,Verteil_rwgr,26,FALSE)+SUMIF($D$5:$D$319,"=sam",AF5:AF319)*HLOOKUP(AK322,Verteil_rwgr,27,FALSE)+SUMIF($D$5:$D$319,"=sar",AF5:AF319)*HLOOKUP(AK322,Verteil_rwgr,28,FALSE)+SUMIF($D$5:$D$319,"=saz",AF5:AF319)*HLOOKUP(AK322,Verteil_rwgr,29,FALSE)</f>
        <v>0</v>
      </c>
      <c r="AH367" s="166">
        <f>SUMIF($D$5:$D$319,"=sas",AH5:AH319)*HLOOKUP(AK322,Verteil_rwgr,26,FALSE)+SUMIF($D$5:$D$319,"=sam",AH5:AH319)*HLOOKUP(AK322,Verteil_rwgr,27,FALSE)+SUMIF($D$5:$D$319,"=sar",AH5:AH319)*HLOOKUP(AK322,Verteil_rwgr,28,FALSE)+SUMIF($D$5:$D$319,"=saz",AH5:AH319)*HLOOKUP(AK322,Verteil_rwgr,29,FALSE)</f>
        <v>0</v>
      </c>
      <c r="AJ367" s="90">
        <f t="shared" ref="AJ367" si="1224">IF(AK365&lt;&gt;0,AK367/AK365,0)</f>
        <v>0</v>
      </c>
      <c r="AK367" s="166">
        <f>ROUND(AM367*HLOOKUP(AK322,Grund_zins,2,FALSE),2)</f>
        <v>0</v>
      </c>
      <c r="AL367" s="166">
        <f>SUMIF($D$5:$D$319,"=sas",AL5:AL319)*HLOOKUP(AK322,Verteil_rwgr,26,FALSE)+SUMIF($D$5:$D$319,"=sam",AL5:AL319)*HLOOKUP(AK322,Verteil_rwgr,27,FALSE)+SUMIF($D$5:$D$319,"=sar",AL5:AL319)*HLOOKUP(AK322,Verteil_rwgr,28,FALSE)+SUMIF($D$5:$D$319,"=saz",AL5:AL319)*HLOOKUP(AK322,Verteil_rwgr,29,FALSE)</f>
        <v>0</v>
      </c>
      <c r="AM367" s="166">
        <f t="shared" si="962"/>
        <v>0</v>
      </c>
      <c r="AN367" s="166">
        <f>SUMIF($D$5:$D$319,"=sas",AN5:AN319)*HLOOKUP(AK322,Verteil_rwgr,26,FALSE)+SUMIF($D$5:$D$319,"=sam",AN5:AN319)*HLOOKUP(AK322,Verteil_rwgr,27,FALSE)+SUMIF($D$5:$D$319,"=sar",AN5:AN319)*HLOOKUP(AK322,Verteil_rwgr,28,FALSE)+SUMIF($D$5:$D$319,"=saz",AN5:AN319)*HLOOKUP(AK322,Verteil_rwgr,29,FALSE)</f>
        <v>0</v>
      </c>
      <c r="AO367" s="90">
        <f t="shared" ref="AO367" si="1225">IF(AN365&lt;&gt;0,AN367/AN365,0)</f>
        <v>0</v>
      </c>
      <c r="AP367" s="565" t="s">
        <v>178</v>
      </c>
      <c r="AR367" s="381"/>
      <c r="AS367" s="166">
        <f>SUMIF($D$5:$D$319,"=sas",AS5:AS319)*HLOOKUP(AX322,Verteil_rwgr,26,FALSE)+SUMIF($D$5:$D$319,"=sam",AS5:AS319)*HLOOKUP(AX322,Verteil_rwgr,27,FALSE)+SUMIF($D$5:$D$319,"=sar",AS5:AS319)*HLOOKUP(AX322,Verteil_rwgr,28,FALSE)+SUMIF($D$5:$D$319,"=saz",AS5:AS319)*HLOOKUP(AX322,Verteil_rwgr,29,FALSE)</f>
        <v>0</v>
      </c>
      <c r="AU367" s="166">
        <f>SUMIF($D$5:$D$319,"=sas",AU5:AU319)*HLOOKUP(AX322,Verteil_rwgr,26,FALSE)+SUMIF($D$5:$D$319,"=sam",AU5:AU319)*HLOOKUP(AX322,Verteil_rwgr,27,FALSE)+SUMIF($D$5:$D$319,"=sar",AU5:AU319)*HLOOKUP(AX322,Verteil_rwgr,28,FALSE)+SUMIF($D$5:$D$319,"=saz",AU5:AU319)*HLOOKUP(AX322,Verteil_rwgr,29,FALSE)</f>
        <v>0</v>
      </c>
      <c r="AW367" s="90">
        <f t="shared" ref="AW367" si="1226">IF(AX365&lt;&gt;0,AX367/AX365,0)</f>
        <v>0</v>
      </c>
      <c r="AX367" s="166">
        <f>ROUND(AZ367*HLOOKUP(AX322,Grund_zins,2,FALSE),2)</f>
        <v>0</v>
      </c>
      <c r="AY367" s="166">
        <f>SUMIF($D$5:$D$319,"=sas",AY5:AY319)*HLOOKUP(AX322,Verteil_rwgr,26,FALSE)+SUMIF($D$5:$D$319,"=sam",AY5:AY319)*HLOOKUP(AX322,Verteil_rwgr,27,FALSE)+SUMIF($D$5:$D$319,"=sar",AY5:AY319)*HLOOKUP(AX322,Verteil_rwgr,28,FALSE)+SUMIF($D$5:$D$319,"=saz",AY5:AY319)*HLOOKUP(AX322,Verteil_rwgr,29,FALSE)</f>
        <v>0</v>
      </c>
      <c r="AZ367" s="166">
        <f t="shared" si="963"/>
        <v>0</v>
      </c>
      <c r="BA367" s="166">
        <f>SUMIF($D$5:$D$319,"=sas",BA5:BA319)*HLOOKUP(AX322,Verteil_rwgr,26,FALSE)+SUMIF($D$5:$D$319,"=sam",BA5:BA319)*HLOOKUP(AX322,Verteil_rwgr,27,FALSE)+SUMIF($D$5:$D$319,"=sar",BA5:BA319)*HLOOKUP(AX322,Verteil_rwgr,28,FALSE)+SUMIF($D$5:$D$319,"=saz",BA5:BA319)*HLOOKUP(AX322,Verteil_rwgr,29,FALSE)</f>
        <v>0</v>
      </c>
      <c r="BB367" s="90">
        <f t="shared" ref="BB367" si="1227">IF(BA365&lt;&gt;0,BA367/BA365,0)</f>
        <v>0</v>
      </c>
      <c r="BC367" s="565" t="s">
        <v>178</v>
      </c>
      <c r="BE367" s="381"/>
      <c r="BF367" s="166">
        <f>SUMIF($D$5:$D$319,"=sas",BF5:BF319)*HLOOKUP(BK322,Verteil_rwgr,26,FALSE)+SUMIF($D$5:$D$319,"=sam",BF5:BF319)*HLOOKUP(BK322,Verteil_rwgr,27,FALSE)+SUMIF($D$5:$D$319,"=sar",BF5:BF319)*HLOOKUP(BK322,Verteil_rwgr,28,FALSE)+SUMIF($D$5:$D$319,"=saz",BF5:BF319)*HLOOKUP(BK322,Verteil_rwgr,29,FALSE)</f>
        <v>0</v>
      </c>
      <c r="BH367" s="166">
        <f>SUMIF($D$5:$D$319,"=sas",BH5:BH319)*HLOOKUP(BK322,Verteil_rwgr,26,FALSE)+SUMIF($D$5:$D$319,"=sam",BH5:BH319)*HLOOKUP(BK322,Verteil_rwgr,27,FALSE)+SUMIF($D$5:$D$319,"=sar",BH5:BH319)*HLOOKUP(BK322,Verteil_rwgr,28,FALSE)+SUMIF($D$5:$D$319,"=saz",BH5:BH319)*HLOOKUP(BK322,Verteil_rwgr,29,FALSE)</f>
        <v>0</v>
      </c>
      <c r="BJ367" s="90">
        <f t="shared" ref="BJ367" si="1228">IF(BK365&lt;&gt;0,BK367/BK365,0)</f>
        <v>0</v>
      </c>
      <c r="BK367" s="166">
        <f>ROUND(BM367*HLOOKUP(BK322,Grund_zins,2,FALSE),2)</f>
        <v>0</v>
      </c>
      <c r="BL367" s="166">
        <f>SUMIF($D$5:$D$319,"=sas",BL5:BL319)*HLOOKUP(BK322,Verteil_rwgr,26,FALSE)+SUMIF($D$5:$D$319,"=sam",BL5:BL319)*HLOOKUP(BK322,Verteil_rwgr,27,FALSE)+SUMIF($D$5:$D$319,"=sar",BL5:BL319)*HLOOKUP(BK322,Verteil_rwgr,28,FALSE)+SUMIF($D$5:$D$319,"=saz",BL5:BL319)*HLOOKUP(BK322,Verteil_rwgr,29,FALSE)</f>
        <v>0</v>
      </c>
      <c r="BM367" s="166">
        <f t="shared" si="964"/>
        <v>0</v>
      </c>
      <c r="BN367" s="166">
        <f>SUMIF($D$5:$D$319,"=sas",BN5:BN319)*HLOOKUP(BK322,Verteil_rwgr,26,FALSE)+SUMIF($D$5:$D$319,"=sam",BN5:BN319)*HLOOKUP(BK322,Verteil_rwgr,27,FALSE)+SUMIF($D$5:$D$319,"=sar",BN5:BN319)*HLOOKUP(BK322,Verteil_rwgr,28,FALSE)+SUMIF($D$5:$D$319,"=saz",BN5:BN319)*HLOOKUP(BK322,Verteil_rwgr,29,FALSE)</f>
        <v>0</v>
      </c>
      <c r="BO367" s="90">
        <f t="shared" ref="BO367" si="1229">IF(BN365&lt;&gt;0,BN367/BN365,0)</f>
        <v>0</v>
      </c>
      <c r="BP367" s="565" t="s">
        <v>178</v>
      </c>
      <c r="BR367" s="381"/>
      <c r="BS367" s="166">
        <f>SUMIF($D$5:$D$319,"=sas",BS5:BS319)*HLOOKUP(BX322,Verteil_rwgr,26,FALSE)+SUMIF($D$5:$D$319,"=sam",BS5:BS319)*HLOOKUP(BX322,Verteil_rwgr,27,FALSE)+SUMIF($D$5:$D$319,"=sar",BS5:BS319)*HLOOKUP(BX322,Verteil_rwgr,28,FALSE)+SUMIF($D$5:$D$319,"=saz",BS5:BS319)*HLOOKUP(BX322,Verteil_rwgr,29,FALSE)</f>
        <v>0</v>
      </c>
      <c r="BU367" s="166">
        <f>SUMIF($D$5:$D$319,"=sas",BU5:BU319)*HLOOKUP(BX322,Verteil_rwgr,26,FALSE)+SUMIF($D$5:$D$319,"=sam",BU5:BU319)*HLOOKUP(BX322,Verteil_rwgr,27,FALSE)+SUMIF($D$5:$D$319,"=sar",BU5:BU319)*HLOOKUP(BX322,Verteil_rwgr,28,FALSE)+SUMIF($D$5:$D$319,"=saz",BU5:BU319)*HLOOKUP(BX322,Verteil_rwgr,29,FALSE)</f>
        <v>0</v>
      </c>
      <c r="BW367" s="90">
        <f t="shared" ref="BW367" si="1230">IF(BX365&lt;&gt;0,BX367/BX365,0)</f>
        <v>0</v>
      </c>
      <c r="BX367" s="166">
        <f>ROUND(BZ367*HLOOKUP(BX322,Grund_zins,2,FALSE),2)</f>
        <v>0</v>
      </c>
      <c r="BY367" s="166">
        <f>SUMIF($D$5:$D$319,"=sas",BY5:BY319)*HLOOKUP(BX322,Verteil_rwgr,26,FALSE)+SUMIF($D$5:$D$319,"=sam",BY5:BY319)*HLOOKUP(BX322,Verteil_rwgr,27,FALSE)+SUMIF($D$5:$D$319,"=sar",BY5:BY319)*HLOOKUP(BX322,Verteil_rwgr,28,FALSE)+SUMIF($D$5:$D$319,"=saz",BY5:BY319)*HLOOKUP(BX322,Verteil_rwgr,29,FALSE)</f>
        <v>0</v>
      </c>
      <c r="BZ367" s="166">
        <f t="shared" si="965"/>
        <v>0</v>
      </c>
      <c r="CA367" s="166">
        <f>SUMIF($D$5:$D$319,"=sas",CA5:CA319)*HLOOKUP(BX322,Verteil_rwgr,26,FALSE)+SUMIF($D$5:$D$319,"=sam",CA5:CA319)*HLOOKUP(BX322,Verteil_rwgr,27,FALSE)+SUMIF($D$5:$D$319,"=sar",CA5:CA319)*HLOOKUP(BX322,Verteil_rwgr,28,FALSE)+SUMIF($D$5:$D$319,"=saz",CA5:CA319)*HLOOKUP(BX322,Verteil_rwgr,29,FALSE)</f>
        <v>0</v>
      </c>
      <c r="CB367" s="90">
        <f t="shared" ref="CB367" si="1231">IF(CA365&lt;&gt;0,CA367/CA365,0)</f>
        <v>0</v>
      </c>
      <c r="CC367" s="565" t="s">
        <v>178</v>
      </c>
      <c r="CE367" s="381"/>
      <c r="CF367" s="166">
        <f>SUMIF($D$5:$D$319,"=sas",CF5:CF319)*HLOOKUP(CK322,Verteil_rwgr,26,FALSE)+SUMIF($D$5:$D$319,"=sam",CF5:CF319)*HLOOKUP(CK322,Verteil_rwgr,27,FALSE)+SUMIF($D$5:$D$319,"=sar",CF5:CF319)*HLOOKUP(CK322,Verteil_rwgr,28,FALSE)+SUMIF($D$5:$D$319,"=saz",CF5:CF319)*HLOOKUP(CK322,Verteil_rwgr,29,FALSE)</f>
        <v>0</v>
      </c>
      <c r="CH367" s="166">
        <f>SUMIF($D$5:$D$319,"=sas",CH5:CH319)*HLOOKUP(CK322,Verteil_rwgr,26,FALSE)+SUMIF($D$5:$D$319,"=sam",CH5:CH319)*HLOOKUP(CK322,Verteil_rwgr,27,FALSE)+SUMIF($D$5:$D$319,"=sar",CH5:CH319)*HLOOKUP(CK322,Verteil_rwgr,28,FALSE)+SUMIF($D$5:$D$319,"=saz",CH5:CH319)*HLOOKUP(CK322,Verteil_rwgr,29,FALSE)</f>
        <v>0</v>
      </c>
      <c r="CJ367" s="90">
        <f t="shared" ref="CJ367" si="1232">IF(CK365&lt;&gt;0,CK367/CK365,0)</f>
        <v>0</v>
      </c>
      <c r="CK367" s="166">
        <f>ROUND(CM367*HLOOKUP(CK322,Grund_zins,2,FALSE),2)</f>
        <v>0</v>
      </c>
      <c r="CL367" s="166">
        <f>SUMIF($D$5:$D$319,"=sas",CL5:CL319)*HLOOKUP(CK322,Verteil_rwgr,26,FALSE)+SUMIF($D$5:$D$319,"=sam",CL5:CL319)*HLOOKUP(CK322,Verteil_rwgr,27,FALSE)+SUMIF($D$5:$D$319,"=sar",CL5:CL319)*HLOOKUP(CK322,Verteil_rwgr,28,FALSE)+SUMIF($D$5:$D$319,"=saz",CL5:CL319)*HLOOKUP(CK322,Verteil_rwgr,29,FALSE)</f>
        <v>0</v>
      </c>
      <c r="CM367" s="166">
        <f t="shared" si="966"/>
        <v>0</v>
      </c>
      <c r="CN367" s="166">
        <f>SUMIF($D$5:$D$319,"=sas",CN5:CN319)*HLOOKUP(CK322,Verteil_rwgr,26,FALSE)+SUMIF($D$5:$D$319,"=sam",CN5:CN319)*HLOOKUP(CK322,Verteil_rwgr,27,FALSE)+SUMIF($D$5:$D$319,"=sar",CN5:CN319)*HLOOKUP(CK322,Verteil_rwgr,28,FALSE)+SUMIF($D$5:$D$319,"=saz",CN5:CN319)*HLOOKUP(CK322,Verteil_rwgr,29,FALSE)</f>
        <v>0</v>
      </c>
      <c r="CO367" s="90">
        <f t="shared" ref="CO367" si="1233">IF(CN365&lt;&gt;0,CN367/CN365,0)</f>
        <v>0</v>
      </c>
      <c r="CP367" s="565" t="s">
        <v>178</v>
      </c>
      <c r="CR367" s="381"/>
      <c r="CS367" s="166">
        <f>SUMIF($D$5:$D$319,"=sas",CS5:CS319)*HLOOKUP(CX322,Verteil_rwgr,26,FALSE)+SUMIF($D$5:$D$319,"=sam",CS5:CS319)*HLOOKUP(CX322,Verteil_rwgr,27,FALSE)+SUMIF($D$5:$D$319,"=sar",CS5:CS319)*HLOOKUP(CX322,Verteil_rwgr,28,FALSE)+SUMIF($D$5:$D$319,"=saz",CS5:CS319)*HLOOKUP(CX322,Verteil_rwgr,29,FALSE)</f>
        <v>0</v>
      </c>
      <c r="CU367" s="166">
        <f>SUMIF($D$5:$D$319,"=sas",CU5:CU319)*HLOOKUP(CX322,Verteil_rwgr,26,FALSE)+SUMIF($D$5:$D$319,"=sam",CU5:CU319)*HLOOKUP(CX322,Verteil_rwgr,27,FALSE)+SUMIF($D$5:$D$319,"=sar",CU5:CU319)*HLOOKUP(CX322,Verteil_rwgr,28,FALSE)+SUMIF($D$5:$D$319,"=saz",CU5:CU319)*HLOOKUP(CX322,Verteil_rwgr,29,FALSE)</f>
        <v>0</v>
      </c>
      <c r="CW367" s="90">
        <f t="shared" ref="CW367" si="1234">IF(CX365&lt;&gt;0,CX367/CX365,0)</f>
        <v>0</v>
      </c>
      <c r="CX367" s="166">
        <f>ROUND(CZ367*HLOOKUP(CX322,Grund_zins,2,FALSE),2)</f>
        <v>0</v>
      </c>
      <c r="CY367" s="166">
        <f>SUMIF($D$5:$D$319,"=sas",CY5:CY319)*HLOOKUP(CX322,Verteil_rwgr,26,FALSE)+SUMIF($D$5:$D$319,"=sam",CY5:CY319)*HLOOKUP(CX322,Verteil_rwgr,27,FALSE)+SUMIF($D$5:$D$319,"=sar",CY5:CY319)*HLOOKUP(CX322,Verteil_rwgr,28,FALSE)+SUMIF($D$5:$D$319,"=saz",CY5:CY319)*HLOOKUP(CX322,Verteil_rwgr,29,FALSE)</f>
        <v>0</v>
      </c>
      <c r="CZ367" s="166">
        <f t="shared" si="967"/>
        <v>0</v>
      </c>
      <c r="DA367" s="166">
        <f>SUMIF($D$5:$D$319,"=sas",DA5:DA319)*HLOOKUP(CX322,Verteil_rwgr,26,FALSE)+SUMIF($D$5:$D$319,"=sam",DA5:DA319)*HLOOKUP(CX322,Verteil_rwgr,27,FALSE)+SUMIF($D$5:$D$319,"=sar",DA5:DA319)*HLOOKUP(CX322,Verteil_rwgr,28,FALSE)+SUMIF($D$5:$D$319,"=saz",DA5:DA319)*HLOOKUP(CX322,Verteil_rwgr,29,FALSE)</f>
        <v>0</v>
      </c>
      <c r="DB367" s="90">
        <f t="shared" ref="DB367" si="1235">IF(DA365&lt;&gt;0,DA367/DA365,0)</f>
        <v>0</v>
      </c>
      <c r="DC367" s="565" t="s">
        <v>178</v>
      </c>
      <c r="DE367" s="381"/>
      <c r="DF367" s="166">
        <f>SUMIF($D$5:$D$319,"=sas",DF5:DF319)*HLOOKUP(DK322,Verteil_rwgr,26,FALSE)+SUMIF($D$5:$D$319,"=sam",DF5:DF319)*HLOOKUP(DK322,Verteil_rwgr,27,FALSE)+SUMIF($D$5:$D$319,"=sar",DF5:DF319)*HLOOKUP(DK322,Verteil_rwgr,28,FALSE)+SUMIF($D$5:$D$319,"=saz",DF5:DF319)*HLOOKUP(DK322,Verteil_rwgr,29,FALSE)</f>
        <v>0</v>
      </c>
      <c r="DH367" s="166">
        <f>SUMIF($D$5:$D$319,"=sas",DH5:DH319)*HLOOKUP(DK322,Verteil_rwgr,26,FALSE)+SUMIF($D$5:$D$319,"=sam",DH5:DH319)*HLOOKUP(DK322,Verteil_rwgr,27,FALSE)+SUMIF($D$5:$D$319,"=sar",DH5:DH319)*HLOOKUP(DK322,Verteil_rwgr,28,FALSE)+SUMIF($D$5:$D$319,"=saz",DH5:DH319)*HLOOKUP(DK322,Verteil_rwgr,29,FALSE)</f>
        <v>0</v>
      </c>
      <c r="DJ367" s="90">
        <f t="shared" ref="DJ367" si="1236">IF(DK365&lt;&gt;0,DK367/DK365,0)</f>
        <v>0</v>
      </c>
      <c r="DK367" s="166">
        <f>ROUND(DM367*HLOOKUP(DK322,Grund_zins,2,FALSE),2)</f>
        <v>0</v>
      </c>
      <c r="DL367" s="166">
        <f>SUMIF($D$5:$D$319,"=sas",DL5:DL319)*HLOOKUP(DK322,Verteil_rwgr,26,FALSE)+SUMIF($D$5:$D$319,"=sam",DL5:DL319)*HLOOKUP(DK322,Verteil_rwgr,27,FALSE)+SUMIF($D$5:$D$319,"=sar",DL5:DL319)*HLOOKUP(DK322,Verteil_rwgr,28,FALSE)+SUMIF($D$5:$D$319,"=saz",DL5:DL319)*HLOOKUP(DK322,Verteil_rwgr,29,FALSE)</f>
        <v>0</v>
      </c>
      <c r="DM367" s="166">
        <f t="shared" si="968"/>
        <v>0</v>
      </c>
      <c r="DN367" s="166">
        <f>SUMIF($D$5:$D$319,"=sas",DN5:DN319)*HLOOKUP(DK322,Verteil_rwgr,26,FALSE)+SUMIF($D$5:$D$319,"=sam",DN5:DN319)*HLOOKUP(DK322,Verteil_rwgr,27,FALSE)+SUMIF($D$5:$D$319,"=sar",DN5:DN319)*HLOOKUP(DK322,Verteil_rwgr,28,FALSE)+SUMIF($D$5:$D$319,"=saz",DN5:DN319)*HLOOKUP(DK322,Verteil_rwgr,29,FALSE)</f>
        <v>0</v>
      </c>
      <c r="DO367" s="90">
        <f t="shared" ref="DO367" si="1237">IF(DN365&lt;&gt;0,DN367/DN365,0)</f>
        <v>0</v>
      </c>
      <c r="DP367" s="565" t="s">
        <v>178</v>
      </c>
      <c r="DR367" s="381"/>
      <c r="DS367" s="166">
        <f>SUMIF($D$5:$D$319,"=sas",DS5:DS319)*HLOOKUP(DX322,Verteil_rwgr,26,FALSE)+SUMIF($D$5:$D$319,"=sam",DS5:DS319)*HLOOKUP(DX322,Verteil_rwgr,27,FALSE)+SUMIF($D$5:$D$319,"=sar",DS5:DS319)*HLOOKUP(DX322,Verteil_rwgr,28,FALSE)+SUMIF($D$5:$D$319,"=saz",DS5:DS319)*HLOOKUP(DX322,Verteil_rwgr,29,FALSE)</f>
        <v>0</v>
      </c>
      <c r="DU367" s="166">
        <f>SUMIF($D$5:$D$319,"=sas",DU5:DU319)*HLOOKUP(DX322,Verteil_rwgr,26,FALSE)+SUMIF($D$5:$D$319,"=sam",DU5:DU319)*HLOOKUP(DX322,Verteil_rwgr,27,FALSE)+SUMIF($D$5:$D$319,"=sar",DU5:DU319)*HLOOKUP(DX322,Verteil_rwgr,28,FALSE)+SUMIF($D$5:$D$319,"=saz",DU5:DU319)*HLOOKUP(DX322,Verteil_rwgr,29,FALSE)</f>
        <v>0</v>
      </c>
      <c r="DW367" s="90">
        <f t="shared" ref="DW367" si="1238">IF(DX365&lt;&gt;0,DX367/DX365,0)</f>
        <v>0</v>
      </c>
      <c r="DX367" s="166">
        <f>ROUND(DZ367*HLOOKUP(DX322,Grund_zins,2,FALSE),2)</f>
        <v>0</v>
      </c>
      <c r="DY367" s="166">
        <f>SUMIF($D$5:$D$319,"=sas",DY5:DY319)*HLOOKUP(DX322,Verteil_rwgr,26,FALSE)+SUMIF($D$5:$D$319,"=sam",DY5:DY319)*HLOOKUP(DX322,Verteil_rwgr,27,FALSE)+SUMIF($D$5:$D$319,"=sar",DY5:DY319)*HLOOKUP(DX322,Verteil_rwgr,28,FALSE)+SUMIF($D$5:$D$319,"=saz",DY5:DY319)*HLOOKUP(DX322,Verteil_rwgr,29,FALSE)</f>
        <v>0</v>
      </c>
      <c r="DZ367" s="166">
        <f t="shared" si="969"/>
        <v>0</v>
      </c>
      <c r="EA367" s="166">
        <f>SUMIF($D$5:$D$319,"=sas",EA5:EA319)*HLOOKUP(DX322,Verteil_rwgr,26,FALSE)+SUMIF($D$5:$D$319,"=sam",EA5:EA319)*HLOOKUP(DX322,Verteil_rwgr,27,FALSE)+SUMIF($D$5:$D$319,"=sar",EA5:EA319)*HLOOKUP(DX322,Verteil_rwgr,28,FALSE)+SUMIF($D$5:$D$319,"=saz",EA5:EA319)*HLOOKUP(DX322,Verteil_rwgr,29,FALSE)</f>
        <v>0</v>
      </c>
      <c r="EB367" s="90">
        <f t="shared" ref="EB367" si="1239">IF(EA365&lt;&gt;0,EA367/EA365,0)</f>
        <v>0</v>
      </c>
      <c r="EC367" s="565" t="s">
        <v>178</v>
      </c>
    </row>
    <row r="368" spans="1:133" s="10" customFormat="1" ht="15" customHeight="1" x14ac:dyDescent="0.35">
      <c r="A368" s="565" t="s">
        <v>179</v>
      </c>
      <c r="Q368" s="225">
        <v>47</v>
      </c>
      <c r="R368" s="381"/>
      <c r="S368" s="166">
        <f>SUMIF($D$5:$D$319,"=sas",S5:S319)*HLOOKUP(X322,Verteil_rwst,25,FALSE)+SUMIF($D$5:$D$319,"=sam",S5:S319)*HLOOKUP(X322,Verteil_rwst,26,FALSE)+SUMIF($D$5:$D$319,"=sar",S5:S319)*HLOOKUP(X322,Verteil_rwst,27,FALSE)+SUMIF($D$5:$D$319,"=saz",S5:S319)*HLOOKUP(X322,Verteil_rwst,28,FALSE)</f>
        <v>0</v>
      </c>
      <c r="U368" s="166">
        <f>SUMIF($D$5:$D$319,"=sas",U5:U319)*HLOOKUP(X322,Verteil_rwst,25,FALSE)+SUMIF($D$5:$D$319,"=sam",U5:U319)*HLOOKUP(X322,Verteil_rwst,26,FALSE)+SUMIF($D$5:$D$319,"=sar",U5:U319)*HLOOKUP(X322,Verteil_rwst,27,FALSE)+SUMIF($D$5:$D$319,"=saz",U5:U319)*HLOOKUP(X322,Verteil_rwst,28,FALSE)</f>
        <v>0</v>
      </c>
      <c r="W368" s="90">
        <f t="shared" ref="W368" si="1240">IF(X365&lt;&gt;0,X368/X365,0)</f>
        <v>0</v>
      </c>
      <c r="X368" s="166">
        <f>ROUND(Z368*HLOOKUP(X322,Grund_zins,2,FALSE),2)</f>
        <v>0</v>
      </c>
      <c r="Y368" s="166">
        <f>SUMIF($D$5:$D$319,"=sas",Y5:Y319)*HLOOKUP(X322,Verteil_rwst,25,FALSE)+SUMIF($D$5:$D$319,"=sam",Y5:Y319)*HLOOKUP(X322,Verteil_rwst,26,FALSE)+SUMIF($D$5:$D$319,"=sar",Y5:Y319)*HLOOKUP(X322,Verteil_rwst,27,FALSE)+SUMIF($D$5:$D$319,"=saz",Y5:Y319)*HLOOKUP(X322,Verteil_rwst,28,FALSE)</f>
        <v>0</v>
      </c>
      <c r="Z368" s="166">
        <f t="shared" si="961"/>
        <v>0</v>
      </c>
      <c r="AA368" s="166">
        <f>SUMIF($D$5:$D$319,"=sas",AA5:AA319)*HLOOKUP(X322,Verteil_rwst,25,FALSE)+SUMIF($D$5:$D$319,"=sam",AA5:AA319)*HLOOKUP(X322,Verteil_rwst,26,FALSE)+SUMIF($D$5:$D$319,"=sar",AA5:AA319)*HLOOKUP(X322,Verteil_rwst,27,FALSE)+SUMIF($D$5:$D$319,"=saz",AA5:AA319)*HLOOKUP(X322,Verteil_rwst,28,FALSE)</f>
        <v>0</v>
      </c>
      <c r="AB368" s="90">
        <f t="shared" ref="AB368" si="1241">IF(AA365&lt;&gt;0,AA368/AA365,0)</f>
        <v>0</v>
      </c>
      <c r="AC368" s="565" t="s">
        <v>179</v>
      </c>
      <c r="AE368" s="381"/>
      <c r="AF368" s="166">
        <f>SUMIF($D$5:$D$319,"=sas",AF5:AF319)*HLOOKUP(AK322,Verteil_rwst,25,FALSE)+SUMIF($D$5:$D$319,"=sam",AF5:AF319)*HLOOKUP(AK322,Verteil_rwst,26,FALSE)+SUMIF($D$5:$D$319,"=sar",AF5:AF319)*HLOOKUP(AK322,Verteil_rwst,27,FALSE)+SUMIF($D$5:$D$319,"=saz",AF5:AF319)*HLOOKUP(AK322,Verteil_rwst,28,FALSE)</f>
        <v>0</v>
      </c>
      <c r="AH368" s="166">
        <f>SUMIF($D$5:$D$319,"=sas",AH5:AH319)*HLOOKUP(AK322,Verteil_rwst,25,FALSE)+SUMIF($D$5:$D$319,"=sam",AH5:AH319)*HLOOKUP(AK322,Verteil_rwst,26,FALSE)+SUMIF($D$5:$D$319,"=sar",AH5:AH319)*HLOOKUP(AK322,Verteil_rwst,27,FALSE)+SUMIF($D$5:$D$319,"=saz",AH5:AH319)*HLOOKUP(AK322,Verteil_rwst,28,FALSE)</f>
        <v>0</v>
      </c>
      <c r="AJ368" s="90">
        <f t="shared" ref="AJ368" si="1242">IF(AK365&lt;&gt;0,AK368/AK365,0)</f>
        <v>0</v>
      </c>
      <c r="AK368" s="166">
        <f>ROUND(AM368*HLOOKUP(AK322,Grund_zins,2,FALSE),2)</f>
        <v>0</v>
      </c>
      <c r="AL368" s="166">
        <f>SUMIF($D$5:$D$319,"=sas",AL5:AL319)*HLOOKUP(AK322,Verteil_rwst,25,FALSE)+SUMIF($D$5:$D$319,"=sam",AL5:AL319)*HLOOKUP(AK322,Verteil_rwst,26,FALSE)+SUMIF($D$5:$D$319,"=sar",AL5:AL319)*HLOOKUP(AK322,Verteil_rwst,27,FALSE)+SUMIF($D$5:$D$319,"=saz",AL5:AL319)*HLOOKUP(AK322,Verteil_rwst,28,FALSE)</f>
        <v>0</v>
      </c>
      <c r="AM368" s="166">
        <f t="shared" si="962"/>
        <v>0</v>
      </c>
      <c r="AN368" s="166">
        <f>SUMIF($D$5:$D$319,"=sas",AN5:AN319)*HLOOKUP(AK322,Verteil_rwst,25,FALSE)+SUMIF($D$5:$D$319,"=sam",AN5:AN319)*HLOOKUP(AK322,Verteil_rwst,26,FALSE)+SUMIF($D$5:$D$319,"=sar",AN5:AN319)*HLOOKUP(AK322,Verteil_rwst,27,FALSE)+SUMIF($D$5:$D$319,"=saz",AN5:AN319)*HLOOKUP(AK322,Verteil_rwst,28,FALSE)</f>
        <v>0</v>
      </c>
      <c r="AO368" s="90">
        <f t="shared" ref="AO368" si="1243">IF(AN365&lt;&gt;0,AN368/AN365,0)</f>
        <v>0</v>
      </c>
      <c r="AP368" s="565" t="s">
        <v>179</v>
      </c>
      <c r="AR368" s="381"/>
      <c r="AS368" s="166">
        <f>SUMIF($D$5:$D$319,"=sas",AS5:AS319)*HLOOKUP(AX322,Verteil_rwst,25,FALSE)+SUMIF($D$5:$D$319,"=sam",AS5:AS319)*HLOOKUP(AX322,Verteil_rwst,26,FALSE)+SUMIF($D$5:$D$319,"=sar",AS5:AS319)*HLOOKUP(AX322,Verteil_rwst,27,FALSE)+SUMIF($D$5:$D$319,"=saz",AS5:AS319)*HLOOKUP(AX322,Verteil_rwst,28,FALSE)</f>
        <v>0</v>
      </c>
      <c r="AU368" s="166">
        <f>SUMIF($D$5:$D$319,"=sas",AU5:AU319)*HLOOKUP(AX322,Verteil_rwst,25,FALSE)+SUMIF($D$5:$D$319,"=sam",AU5:AU319)*HLOOKUP(AX322,Verteil_rwst,26,FALSE)+SUMIF($D$5:$D$319,"=sar",AU5:AU319)*HLOOKUP(AX322,Verteil_rwst,27,FALSE)+SUMIF($D$5:$D$319,"=saz",AU5:AU319)*HLOOKUP(AX322,Verteil_rwst,28,FALSE)</f>
        <v>0</v>
      </c>
      <c r="AW368" s="90">
        <f t="shared" ref="AW368" si="1244">IF(AX365&lt;&gt;0,AX368/AX365,0)</f>
        <v>0</v>
      </c>
      <c r="AX368" s="166">
        <f>ROUND(AZ368*HLOOKUP(AX322,Grund_zins,2,FALSE),2)</f>
        <v>0</v>
      </c>
      <c r="AY368" s="166">
        <f>SUMIF($D$5:$D$319,"=sas",AY5:AY319)*HLOOKUP(AX322,Verteil_rwst,25,FALSE)+SUMIF($D$5:$D$319,"=sam",AY5:AY319)*HLOOKUP(AX322,Verteil_rwst,26,FALSE)+SUMIF($D$5:$D$319,"=sar",AY5:AY319)*HLOOKUP(AX322,Verteil_rwst,27,FALSE)+SUMIF($D$5:$D$319,"=saz",AY5:AY319)*HLOOKUP(AX322,Verteil_rwst,28,FALSE)</f>
        <v>0</v>
      </c>
      <c r="AZ368" s="166">
        <f t="shared" si="963"/>
        <v>0</v>
      </c>
      <c r="BA368" s="166">
        <f>SUMIF($D$5:$D$319,"=sas",BA5:BA319)*HLOOKUP(AX322,Verteil_rwst,25,FALSE)+SUMIF($D$5:$D$319,"=sam",BA5:BA319)*HLOOKUP(AX322,Verteil_rwst,26,FALSE)+SUMIF($D$5:$D$319,"=sar",BA5:BA319)*HLOOKUP(AX322,Verteil_rwst,27,FALSE)+SUMIF($D$5:$D$319,"=saz",BA5:BA319)*HLOOKUP(AX322,Verteil_rwst,28,FALSE)</f>
        <v>0</v>
      </c>
      <c r="BB368" s="90">
        <f t="shared" ref="BB368" si="1245">IF(BA365&lt;&gt;0,BA368/BA365,0)</f>
        <v>0</v>
      </c>
      <c r="BC368" s="565" t="s">
        <v>179</v>
      </c>
      <c r="BE368" s="381"/>
      <c r="BF368" s="166">
        <f>SUMIF($D$5:$D$319,"=sas",BF5:BF319)*HLOOKUP(BK322,Verteil_rwst,25,FALSE)+SUMIF($D$5:$D$319,"=sam",BF5:BF319)*HLOOKUP(BK322,Verteil_rwst,26,FALSE)+SUMIF($D$5:$D$319,"=sar",BF5:BF319)*HLOOKUP(BK322,Verteil_rwst,27,FALSE)+SUMIF($D$5:$D$319,"=saz",BF5:BF319)*HLOOKUP(BK322,Verteil_rwst,28,FALSE)</f>
        <v>0</v>
      </c>
      <c r="BH368" s="166">
        <f>SUMIF($D$5:$D$319,"=sas",BH5:BH319)*HLOOKUP(BK322,Verteil_rwst,25,FALSE)+SUMIF($D$5:$D$319,"=sam",BH5:BH319)*HLOOKUP(BK322,Verteil_rwst,26,FALSE)+SUMIF($D$5:$D$319,"=sar",BH5:BH319)*HLOOKUP(BK322,Verteil_rwst,27,FALSE)+SUMIF($D$5:$D$319,"=saz",BH5:BH319)*HLOOKUP(BK322,Verteil_rwst,28,FALSE)</f>
        <v>0</v>
      </c>
      <c r="BJ368" s="90">
        <f t="shared" ref="BJ368" si="1246">IF(BK365&lt;&gt;0,BK368/BK365,0)</f>
        <v>0</v>
      </c>
      <c r="BK368" s="166">
        <f>ROUND(BM368*HLOOKUP(BK322,Grund_zins,2,FALSE),2)</f>
        <v>0</v>
      </c>
      <c r="BL368" s="166">
        <f>SUMIF($D$5:$D$319,"=sas",BL5:BL319)*HLOOKUP(BK322,Verteil_rwst,25,FALSE)+SUMIF($D$5:$D$319,"=sam",BL5:BL319)*HLOOKUP(BK322,Verteil_rwst,26,FALSE)+SUMIF($D$5:$D$319,"=sar",BL5:BL319)*HLOOKUP(BK322,Verteil_rwst,27,FALSE)+SUMIF($D$5:$D$319,"=saz",BL5:BL319)*HLOOKUP(BK322,Verteil_rwst,28,FALSE)</f>
        <v>0</v>
      </c>
      <c r="BM368" s="166">
        <f t="shared" si="964"/>
        <v>0</v>
      </c>
      <c r="BN368" s="166">
        <f>SUMIF($D$5:$D$319,"=sas",BN5:BN319)*HLOOKUP(BK322,Verteil_rwst,25,FALSE)+SUMIF($D$5:$D$319,"=sam",BN5:BN319)*HLOOKUP(BK322,Verteil_rwst,26,FALSE)+SUMIF($D$5:$D$319,"=sar",BN5:BN319)*HLOOKUP(BK322,Verteil_rwst,27,FALSE)+SUMIF($D$5:$D$319,"=saz",BN5:BN319)*HLOOKUP(BK322,Verteil_rwst,28,FALSE)</f>
        <v>0</v>
      </c>
      <c r="BO368" s="90">
        <f t="shared" ref="BO368" si="1247">IF(BN365&lt;&gt;0,BN368/BN365,0)</f>
        <v>0</v>
      </c>
      <c r="BP368" s="565" t="s">
        <v>179</v>
      </c>
      <c r="BR368" s="381"/>
      <c r="BS368" s="166">
        <f>SUMIF($D$5:$D$319,"=sas",BS5:BS319)*HLOOKUP(BX322,Verteil_rwst,25,FALSE)+SUMIF($D$5:$D$319,"=sam",BS5:BS319)*HLOOKUP(BX322,Verteil_rwst,26,FALSE)+SUMIF($D$5:$D$319,"=sar",BS5:BS319)*HLOOKUP(BX322,Verteil_rwst,27,FALSE)+SUMIF($D$5:$D$319,"=saz",BS5:BS319)*HLOOKUP(BX322,Verteil_rwst,28,FALSE)</f>
        <v>0</v>
      </c>
      <c r="BU368" s="166">
        <f>SUMIF($D$5:$D$319,"=sas",BU5:BU319)*HLOOKUP(BX322,Verteil_rwst,25,FALSE)+SUMIF($D$5:$D$319,"=sam",BU5:BU319)*HLOOKUP(BX322,Verteil_rwst,26,FALSE)+SUMIF($D$5:$D$319,"=sar",BU5:BU319)*HLOOKUP(BX322,Verteil_rwst,27,FALSE)+SUMIF($D$5:$D$319,"=saz",BU5:BU319)*HLOOKUP(BX322,Verteil_rwst,28,FALSE)</f>
        <v>0</v>
      </c>
      <c r="BW368" s="90">
        <f t="shared" ref="BW368" si="1248">IF(BX365&lt;&gt;0,BX368/BX365,0)</f>
        <v>0</v>
      </c>
      <c r="BX368" s="166">
        <f>ROUND(BZ368*HLOOKUP(BX322,Grund_zins,2,FALSE),2)</f>
        <v>0</v>
      </c>
      <c r="BY368" s="166">
        <f>SUMIF($D$5:$D$319,"=sas",BY5:BY319)*HLOOKUP(BX322,Verteil_rwst,25,FALSE)+SUMIF($D$5:$D$319,"=sam",BY5:BY319)*HLOOKUP(BX322,Verteil_rwst,26,FALSE)+SUMIF($D$5:$D$319,"=sar",BY5:BY319)*HLOOKUP(BX322,Verteil_rwst,27,FALSE)+SUMIF($D$5:$D$319,"=saz",BY5:BY319)*HLOOKUP(BX322,Verteil_rwst,28,FALSE)</f>
        <v>0</v>
      </c>
      <c r="BZ368" s="166">
        <f t="shared" si="965"/>
        <v>0</v>
      </c>
      <c r="CA368" s="166">
        <f>SUMIF($D$5:$D$319,"=sas",CA5:CA319)*HLOOKUP(BX322,Verteil_rwst,25,FALSE)+SUMIF($D$5:$D$319,"=sam",CA5:CA319)*HLOOKUP(BX322,Verteil_rwst,26,FALSE)+SUMIF($D$5:$D$319,"=sar",CA5:CA319)*HLOOKUP(BX322,Verteil_rwst,27,FALSE)+SUMIF($D$5:$D$319,"=saz",CA5:CA319)*HLOOKUP(BX322,Verteil_rwst,28,FALSE)</f>
        <v>0</v>
      </c>
      <c r="CB368" s="90">
        <f t="shared" ref="CB368" si="1249">IF(CA365&lt;&gt;0,CA368/CA365,0)</f>
        <v>0</v>
      </c>
      <c r="CC368" s="565" t="s">
        <v>179</v>
      </c>
      <c r="CE368" s="381"/>
      <c r="CF368" s="166">
        <f>SUMIF($D$5:$D$319,"=sas",CF5:CF319)*HLOOKUP(CK322,Verteil_rwst,25,FALSE)+SUMIF($D$5:$D$319,"=sam",CF5:CF319)*HLOOKUP(CK322,Verteil_rwst,26,FALSE)+SUMIF($D$5:$D$319,"=sar",CF5:CF319)*HLOOKUP(CK322,Verteil_rwst,27,FALSE)+SUMIF($D$5:$D$319,"=saz",CF5:CF319)*HLOOKUP(CK322,Verteil_rwst,28,FALSE)</f>
        <v>0</v>
      </c>
      <c r="CH368" s="166">
        <f>SUMIF($D$5:$D$319,"=sas",CH5:CH319)*HLOOKUP(CK322,Verteil_rwst,25,FALSE)+SUMIF($D$5:$D$319,"=sam",CH5:CH319)*HLOOKUP(CK322,Verteil_rwst,26,FALSE)+SUMIF($D$5:$D$319,"=sar",CH5:CH319)*HLOOKUP(CK322,Verteil_rwst,27,FALSE)+SUMIF($D$5:$D$319,"=saz",CH5:CH319)*HLOOKUP(CK322,Verteil_rwst,28,FALSE)</f>
        <v>0</v>
      </c>
      <c r="CJ368" s="90">
        <f t="shared" ref="CJ368" si="1250">IF(CK365&lt;&gt;0,CK368/CK365,0)</f>
        <v>0</v>
      </c>
      <c r="CK368" s="166">
        <f>ROUND(CM368*HLOOKUP(CK322,Grund_zins,2,FALSE),2)</f>
        <v>0</v>
      </c>
      <c r="CL368" s="166">
        <f>SUMIF($D$5:$D$319,"=sas",CL5:CL319)*HLOOKUP(CK322,Verteil_rwst,25,FALSE)+SUMIF($D$5:$D$319,"=sam",CL5:CL319)*HLOOKUP(CK322,Verteil_rwst,26,FALSE)+SUMIF($D$5:$D$319,"=sar",CL5:CL319)*HLOOKUP(CK322,Verteil_rwst,27,FALSE)+SUMIF($D$5:$D$319,"=saz",CL5:CL319)*HLOOKUP(CK322,Verteil_rwst,28,FALSE)</f>
        <v>0</v>
      </c>
      <c r="CM368" s="166">
        <f t="shared" si="966"/>
        <v>0</v>
      </c>
      <c r="CN368" s="166">
        <f>SUMIF($D$5:$D$319,"=sas",CN5:CN319)*HLOOKUP(CK322,Verteil_rwst,25,FALSE)+SUMIF($D$5:$D$319,"=sam",CN5:CN319)*HLOOKUP(CK322,Verteil_rwst,26,FALSE)+SUMIF($D$5:$D$319,"=sar",CN5:CN319)*HLOOKUP(CK322,Verteil_rwst,27,FALSE)+SUMIF($D$5:$D$319,"=saz",CN5:CN319)*HLOOKUP(CK322,Verteil_rwst,28,FALSE)</f>
        <v>0</v>
      </c>
      <c r="CO368" s="90">
        <f t="shared" ref="CO368" si="1251">IF(CN365&lt;&gt;0,CN368/CN365,0)</f>
        <v>0</v>
      </c>
      <c r="CP368" s="565" t="s">
        <v>179</v>
      </c>
      <c r="CR368" s="381"/>
      <c r="CS368" s="166">
        <f>SUMIF($D$5:$D$319,"=sas",CS5:CS319)*HLOOKUP(CX322,Verteil_rwst,25,FALSE)+SUMIF($D$5:$D$319,"=sam",CS5:CS319)*HLOOKUP(CX322,Verteil_rwst,26,FALSE)+SUMIF($D$5:$D$319,"=sar",CS5:CS319)*HLOOKUP(CX322,Verteil_rwst,27,FALSE)+SUMIF($D$5:$D$319,"=saz",CS5:CS319)*HLOOKUP(CX322,Verteil_rwst,28,FALSE)</f>
        <v>0</v>
      </c>
      <c r="CU368" s="166">
        <f>SUMIF($D$5:$D$319,"=sas",CU5:CU319)*HLOOKUP(CX322,Verteil_rwst,25,FALSE)+SUMIF($D$5:$D$319,"=sam",CU5:CU319)*HLOOKUP(CX322,Verteil_rwst,26,FALSE)+SUMIF($D$5:$D$319,"=sar",CU5:CU319)*HLOOKUP(CX322,Verteil_rwst,27,FALSE)+SUMIF($D$5:$D$319,"=saz",CU5:CU319)*HLOOKUP(CX322,Verteil_rwst,28,FALSE)</f>
        <v>0</v>
      </c>
      <c r="CW368" s="90">
        <f t="shared" ref="CW368" si="1252">IF(CX365&lt;&gt;0,CX368/CX365,0)</f>
        <v>0</v>
      </c>
      <c r="CX368" s="166">
        <f>ROUND(CZ368*HLOOKUP(CX322,Grund_zins,2,FALSE),2)</f>
        <v>0</v>
      </c>
      <c r="CY368" s="166">
        <f>SUMIF($D$5:$D$319,"=sas",CY5:CY319)*HLOOKUP(CX322,Verteil_rwst,25,FALSE)+SUMIF($D$5:$D$319,"=sam",CY5:CY319)*HLOOKUP(CX322,Verteil_rwst,26,FALSE)+SUMIF($D$5:$D$319,"=sar",CY5:CY319)*HLOOKUP(CX322,Verteil_rwst,27,FALSE)+SUMIF($D$5:$D$319,"=saz",CY5:CY319)*HLOOKUP(CX322,Verteil_rwst,28,FALSE)</f>
        <v>0</v>
      </c>
      <c r="CZ368" s="166">
        <f t="shared" si="967"/>
        <v>0</v>
      </c>
      <c r="DA368" s="166">
        <f>SUMIF($D$5:$D$319,"=sas",DA5:DA319)*HLOOKUP(CX322,Verteil_rwst,25,FALSE)+SUMIF($D$5:$D$319,"=sam",DA5:DA319)*HLOOKUP(CX322,Verteil_rwst,26,FALSE)+SUMIF($D$5:$D$319,"=sar",DA5:DA319)*HLOOKUP(CX322,Verteil_rwst,27,FALSE)+SUMIF($D$5:$D$319,"=saz",DA5:DA319)*HLOOKUP(CX322,Verteil_rwst,28,FALSE)</f>
        <v>0</v>
      </c>
      <c r="DB368" s="90">
        <f t="shared" ref="DB368" si="1253">IF(DA365&lt;&gt;0,DA368/DA365,0)</f>
        <v>0</v>
      </c>
      <c r="DC368" s="565" t="s">
        <v>179</v>
      </c>
      <c r="DE368" s="381"/>
      <c r="DF368" s="166">
        <f>SUMIF($D$5:$D$319,"=sas",DF5:DF319)*HLOOKUP(DK322,Verteil_rwst,25,FALSE)+SUMIF($D$5:$D$319,"=sam",DF5:DF319)*HLOOKUP(DK322,Verteil_rwst,26,FALSE)+SUMIF($D$5:$D$319,"=sar",DF5:DF319)*HLOOKUP(DK322,Verteil_rwst,27,FALSE)+SUMIF($D$5:$D$319,"=saz",DF5:DF319)*HLOOKUP(DK322,Verteil_rwst,28,FALSE)</f>
        <v>0</v>
      </c>
      <c r="DH368" s="166">
        <f>SUMIF($D$5:$D$319,"=sas",DH5:DH319)*HLOOKUP(DK322,Verteil_rwst,25,FALSE)+SUMIF($D$5:$D$319,"=sam",DH5:DH319)*HLOOKUP(DK322,Verteil_rwst,26,FALSE)+SUMIF($D$5:$D$319,"=sar",DH5:DH319)*HLOOKUP(DK322,Verteil_rwst,27,FALSE)+SUMIF($D$5:$D$319,"=saz",DH5:DH319)*HLOOKUP(DK322,Verteil_rwst,28,FALSE)</f>
        <v>0</v>
      </c>
      <c r="DJ368" s="90">
        <f t="shared" ref="DJ368" si="1254">IF(DK365&lt;&gt;0,DK368/DK365,0)</f>
        <v>0</v>
      </c>
      <c r="DK368" s="166">
        <f>ROUND(DM368*HLOOKUP(DK322,Grund_zins,2,FALSE),2)</f>
        <v>0</v>
      </c>
      <c r="DL368" s="166">
        <f>SUMIF($D$5:$D$319,"=sas",DL5:DL319)*HLOOKUP(DK322,Verteil_rwst,25,FALSE)+SUMIF($D$5:$D$319,"=sam",DL5:DL319)*HLOOKUP(DK322,Verteil_rwst,26,FALSE)+SUMIF($D$5:$D$319,"=sar",DL5:DL319)*HLOOKUP(DK322,Verteil_rwst,27,FALSE)+SUMIF($D$5:$D$319,"=saz",DL5:DL319)*HLOOKUP(DK322,Verteil_rwst,28,FALSE)</f>
        <v>0</v>
      </c>
      <c r="DM368" s="166">
        <f t="shared" si="968"/>
        <v>0</v>
      </c>
      <c r="DN368" s="166">
        <f>SUMIF($D$5:$D$319,"=sas",DN5:DN319)*HLOOKUP(DK322,Verteil_rwst,25,FALSE)+SUMIF($D$5:$D$319,"=sam",DN5:DN319)*HLOOKUP(DK322,Verteil_rwst,26,FALSE)+SUMIF($D$5:$D$319,"=sar",DN5:DN319)*HLOOKUP(DK322,Verteil_rwst,27,FALSE)+SUMIF($D$5:$D$319,"=saz",DN5:DN319)*HLOOKUP(DK322,Verteil_rwst,28,FALSE)</f>
        <v>0</v>
      </c>
      <c r="DO368" s="90">
        <f t="shared" ref="DO368" si="1255">IF(DN365&lt;&gt;0,DN368/DN365,0)</f>
        <v>0</v>
      </c>
      <c r="DP368" s="565" t="s">
        <v>179</v>
      </c>
      <c r="DR368" s="381"/>
      <c r="DS368" s="166">
        <f>SUMIF($D$5:$D$319,"=sas",DS5:DS319)*HLOOKUP(DX322,Verteil_rwst,25,FALSE)+SUMIF($D$5:$D$319,"=sam",DS5:DS319)*HLOOKUP(DX322,Verteil_rwst,26,FALSE)+SUMIF($D$5:$D$319,"=sar",DS5:DS319)*HLOOKUP(DX322,Verteil_rwst,27,FALSE)+SUMIF($D$5:$D$319,"=saz",DS5:DS319)*HLOOKUP(DX322,Verteil_rwst,28,FALSE)</f>
        <v>0</v>
      </c>
      <c r="DU368" s="166">
        <f>SUMIF($D$5:$D$319,"=sas",DU5:DU319)*HLOOKUP(DX322,Verteil_rwst,25,FALSE)+SUMIF($D$5:$D$319,"=sam",DU5:DU319)*HLOOKUP(DX322,Verteil_rwst,26,FALSE)+SUMIF($D$5:$D$319,"=sar",DU5:DU319)*HLOOKUP(DX322,Verteil_rwst,27,FALSE)+SUMIF($D$5:$D$319,"=saz",DU5:DU319)*HLOOKUP(DX322,Verteil_rwst,28,FALSE)</f>
        <v>0</v>
      </c>
      <c r="DW368" s="90">
        <f t="shared" ref="DW368" si="1256">IF(DX365&lt;&gt;0,DX368/DX365,0)</f>
        <v>0</v>
      </c>
      <c r="DX368" s="166">
        <f>ROUND(DZ368*HLOOKUP(DX322,Grund_zins,2,FALSE),2)</f>
        <v>0</v>
      </c>
      <c r="DY368" s="166">
        <f>SUMIF($D$5:$D$319,"=sas",DY5:DY319)*HLOOKUP(DX322,Verteil_rwst,25,FALSE)+SUMIF($D$5:$D$319,"=sam",DY5:DY319)*HLOOKUP(DX322,Verteil_rwst,26,FALSE)+SUMIF($D$5:$D$319,"=sar",DY5:DY319)*HLOOKUP(DX322,Verteil_rwst,27,FALSE)+SUMIF($D$5:$D$319,"=saz",DY5:DY319)*HLOOKUP(DX322,Verteil_rwst,28,FALSE)</f>
        <v>0</v>
      </c>
      <c r="DZ368" s="166">
        <f t="shared" si="969"/>
        <v>0</v>
      </c>
      <c r="EA368" s="166">
        <f>SUMIF($D$5:$D$319,"=sas",EA5:EA319)*HLOOKUP(DX322,Verteil_rwst,25,FALSE)+SUMIF($D$5:$D$319,"=sam",EA5:EA319)*HLOOKUP(DX322,Verteil_rwst,26,FALSE)+SUMIF($D$5:$D$319,"=sar",EA5:EA319)*HLOOKUP(DX322,Verteil_rwst,27,FALSE)+SUMIF($D$5:$D$319,"=saz",EA5:EA319)*HLOOKUP(DX322,Verteil_rwst,28,FALSE)</f>
        <v>0</v>
      </c>
      <c r="EB368" s="90">
        <f t="shared" ref="EB368" si="1257">IF(EA365&lt;&gt;0,EA368/EA365,0)</f>
        <v>0</v>
      </c>
      <c r="EC368" s="565" t="s">
        <v>179</v>
      </c>
    </row>
    <row r="369" spans="1:134" s="10" customFormat="1" ht="15" customHeight="1" x14ac:dyDescent="0.35">
      <c r="A369" s="564" t="s">
        <v>384</v>
      </c>
      <c r="Q369" s="225">
        <v>48</v>
      </c>
      <c r="R369" s="381"/>
      <c r="S369" s="166">
        <f>ROUND(S349+S353+S357+S361+S365,2)</f>
        <v>0</v>
      </c>
      <c r="U369" s="166">
        <f>ROUND(U349+U353+U357+U361+U365,2)</f>
        <v>0</v>
      </c>
      <c r="W369" s="90">
        <f>SUM(W370:W372)</f>
        <v>1</v>
      </c>
      <c r="X369" s="54">
        <f>ROUND(X349+X353+X357+X361+X365,2)</f>
        <v>679355.78</v>
      </c>
      <c r="Y369" s="166">
        <f>ROUND(Y349+Y353+Y357+Y361+Y365,2)</f>
        <v>851470</v>
      </c>
      <c r="Z369" s="166">
        <f>ROUND(Z349+Z353+Z357+Z361+Z365,2)</f>
        <v>19410165</v>
      </c>
      <c r="AA369" s="166">
        <f>ROUND(AA349+AA353+AA357+AA361+AA365,2)</f>
        <v>18984430</v>
      </c>
      <c r="AB369" s="90">
        <f t="shared" ref="AB369" si="1258">SUM(AB370:AB372)</f>
        <v>1.0000000005267475</v>
      </c>
      <c r="AC369" s="564" t="s">
        <v>384</v>
      </c>
      <c r="AE369" s="381"/>
      <c r="AF369" s="166">
        <f>ROUND(AF349+AF353+AF357+AF361+AF365,2)</f>
        <v>0</v>
      </c>
      <c r="AH369" s="166">
        <f>ROUND(AH349+AH353+AH357+AH361+AH365,2)</f>
        <v>0</v>
      </c>
      <c r="AJ369" s="90">
        <f>SUM(AJ370:AJ372)</f>
        <v>1.0000000307884966</v>
      </c>
      <c r="AK369" s="54">
        <f>ROUND(AK349+AK353+AK357+AK361+AK365,2)</f>
        <v>649593.26</v>
      </c>
      <c r="AL369" s="166">
        <f>ROUND(AL349+AL353+AL357+AL361+AL365,2)</f>
        <v>849245</v>
      </c>
      <c r="AM369" s="166">
        <f>ROUND(AM349+AM353+AM357+AM361+AM365,2)</f>
        <v>18559807.5</v>
      </c>
      <c r="AN369" s="166">
        <f>ROUND(AN349+AN353+AN357+AN361+AN365,2)</f>
        <v>18135185</v>
      </c>
      <c r="AO369" s="90">
        <f t="shared" ref="AO369" si="1259">SUM(AO370:AO372)</f>
        <v>0.99999999944858575</v>
      </c>
      <c r="AP369" s="564" t="s">
        <v>384</v>
      </c>
      <c r="AR369" s="381"/>
      <c r="AS369" s="166">
        <f>ROUND(AS349+AS353+AS357+AS361+AS365,2)</f>
        <v>0</v>
      </c>
      <c r="AU369" s="166">
        <f>ROUND(AU349+AU353+AU357+AU361+AU365,2)</f>
        <v>0</v>
      </c>
      <c r="AW369" s="90">
        <f>SUM(AW370:AW372)</f>
        <v>0.99999998386945554</v>
      </c>
      <c r="AX369" s="54">
        <f>ROUND(AX349+AX353+AX357+AX361+AX365,2)</f>
        <v>619941.88</v>
      </c>
      <c r="AY369" s="166">
        <f>ROUND(AY349+AY353+AY357+AY361+AY365,2)</f>
        <v>845120</v>
      </c>
      <c r="AZ369" s="166">
        <f>ROUND(AZ349+AZ353+AZ357+AZ361+AZ365,2)</f>
        <v>17712625</v>
      </c>
      <c r="BA369" s="166">
        <f>ROUND(BA349+BA353+BA357+BA361+BA365,2)</f>
        <v>17290065</v>
      </c>
      <c r="BB369" s="90">
        <f t="shared" ref="BB369" si="1260">SUM(BB370:BB372)</f>
        <v>1.0000000005783669</v>
      </c>
      <c r="BC369" s="564" t="s">
        <v>384</v>
      </c>
      <c r="BE369" s="381"/>
      <c r="BF369" s="166">
        <f>ROUND(BF349+BF353+BF357+BF361+BF365,2)</f>
        <v>0</v>
      </c>
      <c r="BH369" s="166">
        <f>ROUND(BH349+BH353+BH357+BH361+BH365,2)</f>
        <v>0</v>
      </c>
      <c r="BJ369" s="90">
        <f>SUM(BJ370:BJ372)</f>
        <v>0.99999999999999978</v>
      </c>
      <c r="BK369" s="54">
        <f>ROUND(BK349+BK353+BK357+BK361+BK365,2)</f>
        <v>590428.30000000005</v>
      </c>
      <c r="BL369" s="166">
        <f>ROUND(BL349+BL353+BL357+BL361+BL365,2)</f>
        <v>841370</v>
      </c>
      <c r="BM369" s="166">
        <f>ROUND(BM349+BM353+BM357+BM361+BM365,2)</f>
        <v>16869380</v>
      </c>
      <c r="BN369" s="166">
        <f>ROUND(BN349+BN353+BN357+BN361+BN365,2)</f>
        <v>16448695</v>
      </c>
      <c r="BO369" s="90">
        <f t="shared" ref="BO369" si="1261">SUM(BO370:BO372)</f>
        <v>0.99999999999999989</v>
      </c>
      <c r="BP369" s="564" t="s">
        <v>384</v>
      </c>
      <c r="BR369" s="381"/>
      <c r="BS369" s="166">
        <f>ROUND(BS349+BS353+BS357+BS361+BS365,2)</f>
        <v>0</v>
      </c>
      <c r="BU369" s="166">
        <f>ROUND(BU349+BU353+BU357+BU361+BU365,2)</f>
        <v>0</v>
      </c>
      <c r="BW369" s="90">
        <f>SUM(BW370:BW372)</f>
        <v>1</v>
      </c>
      <c r="BX369" s="54">
        <f>ROUND(BX349+BX353+BX357+BX361+BX365,2)</f>
        <v>561203.04</v>
      </c>
      <c r="BY369" s="166">
        <f>ROUND(BY349+BY353+BY357+BY361+BY365,2)</f>
        <v>828645</v>
      </c>
      <c r="BZ369" s="166">
        <f>ROUND(BZ349+BZ353+BZ357+BZ361+BZ365,2)</f>
        <v>16034372.5</v>
      </c>
      <c r="CA369" s="166">
        <f>ROUND(CA349+CA353+CA357+CA361+CA365,2)</f>
        <v>15620050</v>
      </c>
      <c r="CB369" s="90">
        <f t="shared" ref="CB369" si="1262">SUM(CB370:CB372)</f>
        <v>1</v>
      </c>
      <c r="CC369" s="564" t="s">
        <v>384</v>
      </c>
      <c r="CE369" s="381"/>
      <c r="CF369" s="166">
        <f>ROUND(CF349+CF353+CF357+CF361+CF365,2)</f>
        <v>0</v>
      </c>
      <c r="CH369" s="166">
        <f>ROUND(CH349+CH353+CH357+CH361+CH365,2)</f>
        <v>0</v>
      </c>
      <c r="CJ369" s="90">
        <f>SUM(CJ370:CJ372)</f>
        <v>1.0000000438222705</v>
      </c>
      <c r="CK369" s="54">
        <f>ROUND(CK349+CK353+CK357+CK361+CK365,2)</f>
        <v>456388.95</v>
      </c>
      <c r="CL369" s="166">
        <f>ROUND(CL349+CL353+CL357+CL361+CL365,2)</f>
        <v>814170</v>
      </c>
      <c r="CM369" s="166">
        <f>ROUND(CM349+CM353+CM357+CM361+CM365,2)</f>
        <v>15212965</v>
      </c>
      <c r="CN369" s="166">
        <f>ROUND(CN349+CN353+CN357+CN361+CN365,2)</f>
        <v>14805880</v>
      </c>
      <c r="CO369" s="90">
        <f t="shared" ref="CO369" si="1263">SUM(CO370:CO372)</f>
        <v>0.99999999932459271</v>
      </c>
      <c r="CP369" s="564" t="s">
        <v>384</v>
      </c>
      <c r="CR369" s="381"/>
      <c r="CS369" s="166">
        <f>ROUND(CS349+CS353+CS357+CS361+CS365,2)</f>
        <v>0</v>
      </c>
      <c r="CU369" s="166">
        <f>ROUND(CU349+CU353+CU357+CU361+CU365,2)</f>
        <v>0</v>
      </c>
      <c r="CW369" s="90">
        <f>SUM(CW370:CW372)</f>
        <v>1.000000069438272</v>
      </c>
      <c r="CX369" s="54">
        <f>ROUND(CX349+CX353+CX357+CX361+CX365,2)</f>
        <v>432038.40000000002</v>
      </c>
      <c r="CY369" s="166">
        <f>ROUND(CY349+CY353+CY357+CY361+CY365,2)</f>
        <v>809200</v>
      </c>
      <c r="CZ369" s="166">
        <f>ROUND(CZ349+CZ353+CZ357+CZ361+CZ365,2)</f>
        <v>14401280</v>
      </c>
      <c r="DA369" s="166">
        <f>ROUND(DA349+DA353+DA357+DA361+DA365,2)</f>
        <v>13996680</v>
      </c>
      <c r="DB369" s="90">
        <f t="shared" ref="DB369" si="1264">SUM(DB370:DB372)</f>
        <v>1</v>
      </c>
      <c r="DC369" s="564" t="s">
        <v>384</v>
      </c>
      <c r="DE369" s="381"/>
      <c r="DF369" s="166">
        <f>ROUND(DF349+DF353+DF357+DF361+DF365,2)</f>
        <v>0</v>
      </c>
      <c r="DH369" s="166">
        <f>ROUND(DH349+DH353+DH357+DH361+DH365,2)</f>
        <v>0</v>
      </c>
      <c r="DJ369" s="90">
        <f>SUM(DJ370:DJ372)</f>
        <v>1.0000000243343639</v>
      </c>
      <c r="DK369" s="54">
        <f>ROUND(DK349+DK353+DK357+DK361+DK365,2)</f>
        <v>410941.5</v>
      </c>
      <c r="DL369" s="166">
        <f>ROUND(DL349+DL353+DL357+DL361+DL365,2)</f>
        <v>597260</v>
      </c>
      <c r="DM369" s="166">
        <f>ROUND(DM349+DM353+DM357+DM361+DM365,2)</f>
        <v>13698050</v>
      </c>
      <c r="DN369" s="166">
        <f>ROUND(DN349+DN353+DN357+DN361+DN365,2)</f>
        <v>13399420</v>
      </c>
      <c r="DO369" s="90">
        <f t="shared" ref="DO369" si="1265">SUM(DO370:DO372)</f>
        <v>1.0000000007463008</v>
      </c>
      <c r="DP369" s="564" t="s">
        <v>384</v>
      </c>
      <c r="DR369" s="381"/>
      <c r="DS369" s="166">
        <f>ROUND(DS349+DS353+DS357+DS361+DS365,2)</f>
        <v>0</v>
      </c>
      <c r="DU369" s="166">
        <f>ROUND(DU349+DU353+DU357+DU361+DU365,2)</f>
        <v>0</v>
      </c>
      <c r="DW369" s="90">
        <f>SUM(DW370:DW372)</f>
        <v>1.0000000508516118</v>
      </c>
      <c r="DX369" s="54">
        <f>ROUND(DX349+DX353+DX357+DX361+DX365,2)</f>
        <v>393301.2</v>
      </c>
      <c r="DY369" s="166">
        <f>ROUND(DY349+DY353+DY357+DY361+DY365,2)</f>
        <v>578760</v>
      </c>
      <c r="DZ369" s="166">
        <f>ROUND(DZ349+DZ353+DZ357+DZ361+DZ365,2)</f>
        <v>13110040</v>
      </c>
      <c r="EA369" s="166">
        <f>ROUND(EA349+EA353+EA357+EA361+EA365,2)</f>
        <v>12820660</v>
      </c>
      <c r="EB369" s="90">
        <f t="shared" ref="EB369" si="1266">SUM(EB370:EB372)</f>
        <v>1.0000000007799912</v>
      </c>
      <c r="EC369" s="564" t="s">
        <v>384</v>
      </c>
    </row>
    <row r="370" spans="1:134" s="10" customFormat="1" ht="15" customHeight="1" x14ac:dyDescent="0.35">
      <c r="A370" s="565" t="s">
        <v>169</v>
      </c>
      <c r="Q370" s="225">
        <v>49</v>
      </c>
      <c r="R370" s="381"/>
      <c r="S370" s="166">
        <f t="shared" ref="S370:S372" si="1267">ROUND(S350+S354+S358+S362+S366,2)</f>
        <v>0</v>
      </c>
      <c r="U370" s="166">
        <f t="shared" ref="U370:U372" si="1268">ROUND(U350+U354+U358+U362+U366,2)</f>
        <v>0</v>
      </c>
      <c r="W370" s="90">
        <f t="shared" ref="W370" si="1269">IF(X369&lt;&gt;0,X370/X369,0)</f>
        <v>0.72532255484747621</v>
      </c>
      <c r="X370" s="54">
        <f t="shared" ref="X370:X372" si="1270">ROUND(X350+X354+X358+X362+X366,2)</f>
        <v>492752.07</v>
      </c>
      <c r="Y370" s="166">
        <f t="shared" ref="Y370:AA372" si="1271">ROUND(Y350+Y354+Y358+Y362+Y366,2)</f>
        <v>638667.15</v>
      </c>
      <c r="Z370" s="166">
        <f t="shared" si="1271"/>
        <v>14078630.140000001</v>
      </c>
      <c r="AA370" s="166">
        <f t="shared" si="1271"/>
        <v>13759296.57</v>
      </c>
      <c r="AB370" s="90">
        <f t="shared" ref="AB370" si="1272">IF(AA369&lt;&gt;0,AA370/AA369,0)</f>
        <v>0.72476743152151524</v>
      </c>
      <c r="AC370" s="565" t="s">
        <v>169</v>
      </c>
      <c r="AE370" s="381"/>
      <c r="AF370" s="166">
        <f t="shared" ref="AF370:AF372" si="1273">ROUND(AF350+AF354+AF358+AF362+AF366,2)</f>
        <v>0</v>
      </c>
      <c r="AH370" s="166">
        <f t="shared" ref="AH370:AH372" si="1274">ROUND(AH350+AH354+AH358+AH362+AH366,2)</f>
        <v>0</v>
      </c>
      <c r="AJ370" s="90">
        <f t="shared" ref="AJ370" si="1275">IF(AK369&lt;&gt;0,AK370/AK369,0)</f>
        <v>0.72419509094044476</v>
      </c>
      <c r="AK370" s="54">
        <f t="shared" ref="AK370:AN372" si="1276">ROUND(AK350+AK354+AK358+AK362+AK366,2)</f>
        <v>470432.25</v>
      </c>
      <c r="AL370" s="166">
        <f t="shared" si="1276"/>
        <v>636750.49</v>
      </c>
      <c r="AM370" s="166">
        <f t="shared" si="1276"/>
        <v>13440921.32</v>
      </c>
      <c r="AN370" s="166">
        <f t="shared" si="1276"/>
        <v>13122546.07</v>
      </c>
      <c r="AO370" s="90">
        <f t="shared" ref="AO370" si="1277">IF(AN369&lt;&gt;0,AN370/AN369,0)</f>
        <v>0.72359593078317097</v>
      </c>
      <c r="AP370" s="565" t="s">
        <v>169</v>
      </c>
      <c r="AR370" s="381"/>
      <c r="AS370" s="166">
        <f t="shared" ref="AS370:AS372" si="1278">ROUND(AS350+AS354+AS358+AS362+AS366,2)</f>
        <v>0</v>
      </c>
      <c r="AU370" s="166">
        <f t="shared" ref="AU370:AU372" si="1279">ROUND(AU350+AU354+AU358+AU362+AU366,2)</f>
        <v>0</v>
      </c>
      <c r="AW370" s="90">
        <f t="shared" ref="AW370" si="1280">IF(AX369&lt;&gt;0,AX370/AX369,0)</f>
        <v>0.72295738432770507</v>
      </c>
      <c r="AX370" s="54">
        <f t="shared" ref="AX370:BA372" si="1281">ROUND(AX350+AX354+AX358+AX362+AX366,2)</f>
        <v>448191.56</v>
      </c>
      <c r="AY370" s="166">
        <f t="shared" si="1281"/>
        <v>634145.86</v>
      </c>
      <c r="AZ370" s="166">
        <f t="shared" si="1281"/>
        <v>12805473.140000001</v>
      </c>
      <c r="BA370" s="166">
        <f t="shared" si="1281"/>
        <v>12488400.210000001</v>
      </c>
      <c r="BB370" s="90">
        <f t="shared" ref="BB370" si="1282">IF(BA369&lt;&gt;0,BA370/BA369,0)</f>
        <v>0.7222876380163985</v>
      </c>
      <c r="BC370" s="565" t="s">
        <v>169</v>
      </c>
      <c r="BE370" s="381"/>
      <c r="BF370" s="166">
        <f t="shared" ref="BF370:BF372" si="1283">ROUND(BF350+BF354+BF358+BF362+BF366,2)</f>
        <v>0</v>
      </c>
      <c r="BH370" s="166">
        <f t="shared" ref="BH370:BH372" si="1284">ROUND(BH350+BH354+BH358+BH362+BH366,2)</f>
        <v>0</v>
      </c>
      <c r="BJ370" s="90">
        <f t="shared" ref="BJ370" si="1285">IF(BK369&lt;&gt;0,BK370/BK369,0)</f>
        <v>0.72157176409057622</v>
      </c>
      <c r="BK370" s="54">
        <f t="shared" ref="BK370:BN370" si="1286">ROUND(BK350+BK354+BK358+BK362+BK366,2)</f>
        <v>426036.39</v>
      </c>
      <c r="BL370" s="166">
        <f t="shared" si="1286"/>
        <v>631864.27</v>
      </c>
      <c r="BM370" s="166">
        <f t="shared" si="1286"/>
        <v>12172468.07</v>
      </c>
      <c r="BN370" s="166">
        <f t="shared" si="1286"/>
        <v>11856535.939999999</v>
      </c>
      <c r="BO370" s="90">
        <f t="shared" ref="BO370" si="1287">IF(BN369&lt;&gt;0,BN370/BN369,0)</f>
        <v>0.72081924675483366</v>
      </c>
      <c r="BP370" s="565" t="s">
        <v>169</v>
      </c>
      <c r="BR370" s="381"/>
      <c r="BS370" s="166">
        <f t="shared" ref="BS370:BS372" si="1288">ROUND(BS350+BS354+BS358+BS362+BS366,2)</f>
        <v>0</v>
      </c>
      <c r="BU370" s="166">
        <f t="shared" ref="BU370:BU372" si="1289">ROUND(BU350+BU354+BU358+BU362+BU366,2)</f>
        <v>0</v>
      </c>
      <c r="BW370" s="90">
        <f t="shared" ref="BW370" si="1290">IF(BX369&lt;&gt;0,BX370/BX369,0)</f>
        <v>0.72008824114709002</v>
      </c>
      <c r="BX370" s="54">
        <f t="shared" ref="BX370:CA370" si="1291">ROUND(BX350+BX354+BX358+BX362+BX366,2)</f>
        <v>404115.71</v>
      </c>
      <c r="BY370" s="166">
        <f t="shared" si="1291"/>
        <v>620745.78</v>
      </c>
      <c r="BZ370" s="166">
        <f t="shared" si="1291"/>
        <v>11546163.050000001</v>
      </c>
      <c r="CA370" s="166">
        <f t="shared" si="1291"/>
        <v>11235790.16</v>
      </c>
      <c r="CB370" s="90">
        <f t="shared" ref="CB370" si="1292">IF(CA369&lt;&gt;0,CA370/CA369,0)</f>
        <v>0.71931845032506303</v>
      </c>
      <c r="CC370" s="565" t="s">
        <v>169</v>
      </c>
      <c r="CE370" s="381"/>
      <c r="CF370" s="166">
        <f t="shared" ref="CF370:CF372" si="1293">ROUND(CF350+CF354+CF358+CF362+CF366,2)</f>
        <v>0</v>
      </c>
      <c r="CH370" s="166">
        <f t="shared" ref="CH370:CH372" si="1294">ROUND(CH350+CH354+CH358+CH362+CH366,2)</f>
        <v>0</v>
      </c>
      <c r="CJ370" s="90">
        <f t="shared" ref="CJ370" si="1295">IF(CK369&lt;&gt;0,CK370/CK369,0)</f>
        <v>0.71855909307181953</v>
      </c>
      <c r="CK370" s="54">
        <f t="shared" ref="CK370:CN370" si="1296">ROUND(CK350+CK354+CK358+CK362+CK366,2)</f>
        <v>327942.43</v>
      </c>
      <c r="CL370" s="166">
        <f t="shared" si="1296"/>
        <v>608752.29</v>
      </c>
      <c r="CM370" s="166">
        <f t="shared" si="1296"/>
        <v>10931414.02</v>
      </c>
      <c r="CN370" s="166">
        <f t="shared" si="1296"/>
        <v>10627037.869999999</v>
      </c>
      <c r="CO370" s="90">
        <f t="shared" ref="CO370" si="1297">IF(CN369&lt;&gt;0,CN370/CN369,0)</f>
        <v>0.7177579360362234</v>
      </c>
      <c r="CP370" s="565" t="s">
        <v>169</v>
      </c>
      <c r="CR370" s="381"/>
      <c r="CS370" s="166">
        <f t="shared" ref="CS370:CS372" si="1298">ROUND(CS350+CS354+CS358+CS362+CS366,2)</f>
        <v>0</v>
      </c>
      <c r="CU370" s="166">
        <f t="shared" ref="CU370:CU372" si="1299">ROUND(CU350+CU354+CU358+CU362+CU366,2)</f>
        <v>0</v>
      </c>
      <c r="CW370" s="90">
        <f t="shared" ref="CW370" si="1300">IF(CX369&lt;&gt;0,CX370/CX369,0)</f>
        <v>0.7168866239667584</v>
      </c>
      <c r="CX370" s="54">
        <f t="shared" ref="CX370:DA370" si="1301">ROUND(CX350+CX354+CX358+CX362+CX366,2)</f>
        <v>309722.55</v>
      </c>
      <c r="CY370" s="166">
        <f t="shared" si="1301"/>
        <v>605905.87</v>
      </c>
      <c r="CZ370" s="166">
        <f t="shared" si="1301"/>
        <v>10324084.939999999</v>
      </c>
      <c r="DA370" s="166">
        <f t="shared" si="1301"/>
        <v>10021132</v>
      </c>
      <c r="DB370" s="90">
        <f t="shared" ref="DB370" si="1302">IF(DA369&lt;&gt;0,DA370/DA369,0)</f>
        <v>0.71596492882597873</v>
      </c>
      <c r="DC370" s="565" t="s">
        <v>169</v>
      </c>
      <c r="DE370" s="381"/>
      <c r="DF370" s="166">
        <f t="shared" ref="DF370:DF372" si="1303">ROUND(DF350+DF354+DF358+DF362+DF366,2)</f>
        <v>0</v>
      </c>
      <c r="DH370" s="166">
        <f t="shared" ref="DH370:DH372" si="1304">ROUND(DH350+DH354+DH358+DH362+DH366,2)</f>
        <v>0</v>
      </c>
      <c r="DJ370" s="90">
        <f t="shared" ref="DJ370" si="1305">IF(DK369&lt;&gt;0,DK370/DK369,0)</f>
        <v>0.71689457015171254</v>
      </c>
      <c r="DK370" s="54">
        <f t="shared" ref="DK370:DN370" si="1306">ROUND(DK350+DK354+DK358+DK362+DK366,2)</f>
        <v>294601.73</v>
      </c>
      <c r="DL370" s="166">
        <f t="shared" si="1306"/>
        <v>402148.89</v>
      </c>
      <c r="DM370" s="166">
        <f t="shared" si="1306"/>
        <v>9820057.5500000007</v>
      </c>
      <c r="DN370" s="166">
        <f t="shared" si="1306"/>
        <v>9618983.1099999994</v>
      </c>
      <c r="DO370" s="90">
        <f t="shared" ref="DO370" si="1307">IF(DN369&lt;&gt;0,DN370/DN369,0)</f>
        <v>0.71786563224378364</v>
      </c>
      <c r="DP370" s="565" t="s">
        <v>169</v>
      </c>
      <c r="DR370" s="381"/>
      <c r="DS370" s="166">
        <f t="shared" ref="DS370:DS372" si="1308">ROUND(DS350+DS354+DS358+DS362+DS366,2)</f>
        <v>0</v>
      </c>
      <c r="DU370" s="166">
        <f t="shared" ref="DU370:DU372" si="1309">ROUND(DU350+DU354+DU358+DU362+DU366,2)</f>
        <v>0</v>
      </c>
      <c r="DW370" s="90">
        <f t="shared" ref="DW370" si="1310">IF(DX369&lt;&gt;0,DX370/DX369,0)</f>
        <v>0.71898153374563811</v>
      </c>
      <c r="DX370" s="54">
        <f t="shared" ref="DX370:EA370" si="1311">ROUND(DX350+DX354+DX358+DX362+DX366,2)</f>
        <v>282776.3</v>
      </c>
      <c r="DY370" s="166">
        <f t="shared" si="1311"/>
        <v>386212.62</v>
      </c>
      <c r="DZ370" s="166">
        <f t="shared" si="1311"/>
        <v>9425876.8000000007</v>
      </c>
      <c r="EA370" s="166">
        <f t="shared" si="1311"/>
        <v>9232770.4900000002</v>
      </c>
      <c r="EB370" s="90">
        <f t="shared" ref="EB370" si="1312">IF(EA369&lt;&gt;0,EA370/EA369,0)</f>
        <v>0.72014783092290102</v>
      </c>
      <c r="EC370" s="565" t="s">
        <v>169</v>
      </c>
    </row>
    <row r="371" spans="1:134" s="10" customFormat="1" ht="15" customHeight="1" x14ac:dyDescent="0.35">
      <c r="A371" s="565" t="s">
        <v>178</v>
      </c>
      <c r="Q371" s="225">
        <v>50</v>
      </c>
      <c r="R371" s="381"/>
      <c r="S371" s="166">
        <f t="shared" si="1267"/>
        <v>0</v>
      </c>
      <c r="U371" s="166">
        <f t="shared" si="1268"/>
        <v>0</v>
      </c>
      <c r="W371" s="90">
        <f t="shared" ref="W371" si="1313">IF(X369&lt;&gt;0,X371/X369,0)</f>
        <v>0.14728067817425503</v>
      </c>
      <c r="X371" s="54">
        <f t="shared" si="1270"/>
        <v>100055.98</v>
      </c>
      <c r="Y371" s="166">
        <f t="shared" si="1271"/>
        <v>111621.42</v>
      </c>
      <c r="Z371" s="166">
        <f t="shared" si="1271"/>
        <v>2858742.43</v>
      </c>
      <c r="AA371" s="166">
        <f t="shared" si="1271"/>
        <v>2802931.72</v>
      </c>
      <c r="AB371" s="90">
        <f t="shared" ref="AB371" si="1314">IF(AA369&lt;&gt;0,AA371/AA369,0)</f>
        <v>0.1476437122420847</v>
      </c>
      <c r="AC371" s="565" t="s">
        <v>178</v>
      </c>
      <c r="AE371" s="381"/>
      <c r="AF371" s="166">
        <f t="shared" si="1273"/>
        <v>0</v>
      </c>
      <c r="AH371" s="166">
        <f t="shared" si="1274"/>
        <v>0</v>
      </c>
      <c r="AJ371" s="90">
        <f t="shared" ref="AJ371" si="1315">IF(AK369&lt;&gt;0,AK371/AK369,0)</f>
        <v>0.14801868479977764</v>
      </c>
      <c r="AK371" s="54">
        <f t="shared" si="1276"/>
        <v>96151.94</v>
      </c>
      <c r="AL371" s="166">
        <f t="shared" si="1276"/>
        <v>111467.25</v>
      </c>
      <c r="AM371" s="166">
        <f t="shared" si="1276"/>
        <v>2747198.09</v>
      </c>
      <c r="AN371" s="166">
        <f t="shared" si="1276"/>
        <v>2691464.46</v>
      </c>
      <c r="AO371" s="90">
        <f t="shared" ref="AO371" si="1316">IF(AN369&lt;&gt;0,AN371/AN369,0)</f>
        <v>0.14841119404075559</v>
      </c>
      <c r="AP371" s="565" t="s">
        <v>178</v>
      </c>
      <c r="AR371" s="381"/>
      <c r="AS371" s="166">
        <f t="shared" si="1278"/>
        <v>0</v>
      </c>
      <c r="AU371" s="166">
        <f t="shared" si="1279"/>
        <v>0</v>
      </c>
      <c r="AW371" s="90">
        <f t="shared" ref="AW371" si="1317">IF(AX369&lt;&gt;0,AX371/AX369,0)</f>
        <v>0.14882666097667091</v>
      </c>
      <c r="AX371" s="54">
        <f t="shared" si="1281"/>
        <v>92263.88</v>
      </c>
      <c r="AY371" s="166">
        <f t="shared" si="1281"/>
        <v>110707.07</v>
      </c>
      <c r="AZ371" s="166">
        <f t="shared" si="1281"/>
        <v>2636110.9300000002</v>
      </c>
      <c r="BA371" s="166">
        <f t="shared" si="1281"/>
        <v>2580757.4</v>
      </c>
      <c r="BB371" s="90">
        <f t="shared" ref="BB371" si="1318">IF(BA369&lt;&gt;0,BA371/BA369,0)</f>
        <v>0.14926244638178052</v>
      </c>
      <c r="BC371" s="565" t="s">
        <v>178</v>
      </c>
      <c r="BE371" s="381"/>
      <c r="BF371" s="166">
        <f t="shared" si="1283"/>
        <v>0</v>
      </c>
      <c r="BH371" s="166">
        <f t="shared" si="1284"/>
        <v>0</v>
      </c>
      <c r="BJ371" s="90">
        <f t="shared" ref="BJ371" si="1319">IF(BK369&lt;&gt;0,BK371/BK369,0)</f>
        <v>0.14972517408125591</v>
      </c>
      <c r="BK371" s="54">
        <f t="shared" ref="BK371:BN371" si="1320">ROUND(BK351+BK355+BK359+BK363+BK367,2)</f>
        <v>88401.98</v>
      </c>
      <c r="BL371" s="166">
        <f t="shared" si="1320"/>
        <v>109972.87</v>
      </c>
      <c r="BM371" s="166">
        <f t="shared" si="1320"/>
        <v>2525770.96</v>
      </c>
      <c r="BN371" s="166">
        <f t="shared" si="1320"/>
        <v>2470784.5299999998</v>
      </c>
      <c r="BO371" s="90">
        <f t="shared" ref="BO371" si="1321">IF(BN369&lt;&gt;0,BN371/BN369,0)</f>
        <v>0.15021158395848422</v>
      </c>
      <c r="BP371" s="565" t="s">
        <v>178</v>
      </c>
      <c r="BR371" s="381"/>
      <c r="BS371" s="166">
        <f t="shared" si="1288"/>
        <v>0</v>
      </c>
      <c r="BU371" s="166">
        <f t="shared" si="1289"/>
        <v>0</v>
      </c>
      <c r="BW371" s="90">
        <f t="shared" ref="BW371" si="1322">IF(BX369&lt;&gt;0,BX371/BX369,0)</f>
        <v>0.15068875963323364</v>
      </c>
      <c r="BX371" s="54">
        <f t="shared" ref="BX371:CA371" si="1323">ROUND(BX351+BX355+BX359+BX363+BX367,2)</f>
        <v>84566.99</v>
      </c>
      <c r="BY371" s="166">
        <f t="shared" si="1323"/>
        <v>109169.61</v>
      </c>
      <c r="BZ371" s="166">
        <f t="shared" si="1323"/>
        <v>2416199.7200000002</v>
      </c>
      <c r="CA371" s="166">
        <f t="shared" si="1323"/>
        <v>2361614.92</v>
      </c>
      <c r="CB371" s="90">
        <f t="shared" ref="CB371" si="1324">IF(CA369&lt;&gt;0,CA371/CA369,0)</f>
        <v>0.15119125226871871</v>
      </c>
      <c r="CC371" s="565" t="s">
        <v>178</v>
      </c>
      <c r="CE371" s="381"/>
      <c r="CF371" s="166">
        <f t="shared" si="1293"/>
        <v>0</v>
      </c>
      <c r="CH371" s="166">
        <f t="shared" si="1294"/>
        <v>0</v>
      </c>
      <c r="CJ371" s="90">
        <f t="shared" ref="CJ371" si="1325">IF(CK369&lt;&gt;0,CK371/CK369,0)</f>
        <v>0.15168973744872657</v>
      </c>
      <c r="CK371" s="54">
        <f t="shared" ref="CK371:CN371" si="1326">ROUND(CK351+CK355+CK359+CK363+CK367,2)</f>
        <v>69229.52</v>
      </c>
      <c r="CL371" s="166">
        <f t="shared" si="1326"/>
        <v>107928.85</v>
      </c>
      <c r="CM371" s="166">
        <f t="shared" si="1326"/>
        <v>2307650.4900000002</v>
      </c>
      <c r="CN371" s="166">
        <f t="shared" si="1326"/>
        <v>2253686.06</v>
      </c>
      <c r="CO371" s="90">
        <f t="shared" ref="CO371" si="1327">IF(CN369&lt;&gt;0,CN371/CN369,0)</f>
        <v>0.15221561028456262</v>
      </c>
      <c r="CP371" s="565" t="s">
        <v>178</v>
      </c>
      <c r="CR371" s="381"/>
      <c r="CS371" s="166">
        <f t="shared" si="1298"/>
        <v>0</v>
      </c>
      <c r="CU371" s="166">
        <f t="shared" si="1299"/>
        <v>0</v>
      </c>
      <c r="CW371" s="90">
        <f t="shared" ref="CW371" si="1328">IF(CX369&lt;&gt;0,CX371/CX369,0)</f>
        <v>0.1527817666207448</v>
      </c>
      <c r="CX371" s="54">
        <f t="shared" ref="CX371:DA371" si="1329">ROUND(CX351+CX355+CX359+CX363+CX367,2)</f>
        <v>66007.59</v>
      </c>
      <c r="CY371" s="166">
        <f t="shared" si="1329"/>
        <v>106867.06</v>
      </c>
      <c r="CZ371" s="166">
        <f t="shared" si="1329"/>
        <v>2200252.5299999998</v>
      </c>
      <c r="DA371" s="166">
        <f t="shared" si="1329"/>
        <v>2146819</v>
      </c>
      <c r="DB371" s="90">
        <f t="shared" ref="DB371" si="1330">IF(DA369&lt;&gt;0,DA371/DA369,0)</f>
        <v>0.15338058739643973</v>
      </c>
      <c r="DC371" s="565" t="s">
        <v>178</v>
      </c>
      <c r="DE371" s="381"/>
      <c r="DF371" s="166">
        <f t="shared" si="1303"/>
        <v>0</v>
      </c>
      <c r="DH371" s="166">
        <f t="shared" si="1304"/>
        <v>0</v>
      </c>
      <c r="DJ371" s="90">
        <f t="shared" ref="DJ371" si="1331">IF(DK369&lt;&gt;0,DK371/DK369,0)</f>
        <v>0.15297296573843236</v>
      </c>
      <c r="DK371" s="54">
        <f t="shared" ref="DK371:DN371" si="1332">ROUND(DK351+DK355+DK359+DK363+DK367,2)</f>
        <v>62862.94</v>
      </c>
      <c r="DL371" s="166">
        <f t="shared" si="1332"/>
        <v>102775.55</v>
      </c>
      <c r="DM371" s="166">
        <f t="shared" si="1332"/>
        <v>2095431.22</v>
      </c>
      <c r="DN371" s="166">
        <f t="shared" si="1332"/>
        <v>2044043.45</v>
      </c>
      <c r="DO371" s="90">
        <f t="shared" ref="DO371" si="1333">IF(DN369&lt;&gt;0,DN371/DN369,0)</f>
        <v>0.15254715875761787</v>
      </c>
      <c r="DP371" s="565" t="s">
        <v>178</v>
      </c>
      <c r="DR371" s="381"/>
      <c r="DS371" s="166">
        <f t="shared" si="1308"/>
        <v>0</v>
      </c>
      <c r="DU371" s="166">
        <f t="shared" si="1309"/>
        <v>0</v>
      </c>
      <c r="DW371" s="90">
        <f t="shared" ref="DW371" si="1334">IF(DX369&lt;&gt;0,DX371/DX369,0)</f>
        <v>0.15204354830343766</v>
      </c>
      <c r="DX371" s="54">
        <f t="shared" ref="DX371:EA371" si="1335">ROUND(DX351+DX355+DX359+DX363+DX367,2)</f>
        <v>59798.91</v>
      </c>
      <c r="DY371" s="166">
        <f t="shared" si="1335"/>
        <v>101493.69</v>
      </c>
      <c r="DZ371" s="166">
        <f t="shared" si="1335"/>
        <v>1993296.6</v>
      </c>
      <c r="EA371" s="166">
        <f t="shared" si="1335"/>
        <v>1942549.76</v>
      </c>
      <c r="EB371" s="90">
        <f t="shared" ref="EB371" si="1336">IF(EA369&lt;&gt;0,EA371/EA369,0)</f>
        <v>0.15151714186321141</v>
      </c>
      <c r="EC371" s="565" t="s">
        <v>178</v>
      </c>
    </row>
    <row r="372" spans="1:134" s="10" customFormat="1" ht="15" customHeight="1" x14ac:dyDescent="0.35">
      <c r="A372" s="565" t="s">
        <v>179</v>
      </c>
      <c r="Q372" s="225">
        <v>51</v>
      </c>
      <c r="R372" s="381"/>
      <c r="S372" s="166">
        <f t="shared" si="1267"/>
        <v>0</v>
      </c>
      <c r="U372" s="166">
        <f t="shared" si="1268"/>
        <v>0</v>
      </c>
      <c r="W372" s="90">
        <f t="shared" ref="W372" si="1337">IF(X369&lt;&gt;0,X372/X369,0)</f>
        <v>0.12739676697826871</v>
      </c>
      <c r="X372" s="54">
        <f t="shared" si="1270"/>
        <v>86547.73</v>
      </c>
      <c r="Y372" s="166">
        <f t="shared" si="1271"/>
        <v>101181.42</v>
      </c>
      <c r="Z372" s="166">
        <f t="shared" si="1271"/>
        <v>2472792.4300000002</v>
      </c>
      <c r="AA372" s="166">
        <f t="shared" si="1271"/>
        <v>2422201.7200000002</v>
      </c>
      <c r="AB372" s="90">
        <f t="shared" ref="AB372" si="1338">IF(AA369&lt;&gt;0,AA372/AA369,0)</f>
        <v>0.12758885676314749</v>
      </c>
      <c r="AC372" s="565" t="s">
        <v>179</v>
      </c>
      <c r="AE372" s="381"/>
      <c r="AF372" s="166">
        <f t="shared" si="1273"/>
        <v>0</v>
      </c>
      <c r="AH372" s="166">
        <f t="shared" si="1274"/>
        <v>0</v>
      </c>
      <c r="AJ372" s="90">
        <f t="shared" ref="AJ372" si="1339">IF(AK369&lt;&gt;0,AK372/AK369,0)</f>
        <v>0.12778625504827434</v>
      </c>
      <c r="AK372" s="54">
        <f t="shared" si="1276"/>
        <v>83009.09</v>
      </c>
      <c r="AL372" s="166">
        <f t="shared" si="1276"/>
        <v>101027.25</v>
      </c>
      <c r="AM372" s="166">
        <f t="shared" si="1276"/>
        <v>2371688.09</v>
      </c>
      <c r="AN372" s="166">
        <f t="shared" si="1276"/>
        <v>2321174.46</v>
      </c>
      <c r="AO372" s="90">
        <f t="shared" ref="AO372" si="1340">IF(AN369&lt;&gt;0,AN372/AN369,0)</f>
        <v>0.12799287462465919</v>
      </c>
      <c r="AP372" s="565" t="s">
        <v>179</v>
      </c>
      <c r="AR372" s="381"/>
      <c r="AS372" s="166">
        <f t="shared" si="1278"/>
        <v>0</v>
      </c>
      <c r="AU372" s="166">
        <f t="shared" si="1279"/>
        <v>0</v>
      </c>
      <c r="AW372" s="90">
        <f t="shared" ref="AW372" si="1341">IF(AX369&lt;&gt;0,AX372/AX369,0)</f>
        <v>0.12821593856507968</v>
      </c>
      <c r="AX372" s="54">
        <f t="shared" si="1281"/>
        <v>79486.429999999993</v>
      </c>
      <c r="AY372" s="166">
        <f t="shared" si="1281"/>
        <v>100267.07</v>
      </c>
      <c r="AZ372" s="166">
        <f t="shared" si="1281"/>
        <v>2271040.9300000002</v>
      </c>
      <c r="BA372" s="166">
        <f t="shared" si="1281"/>
        <v>2220907.4</v>
      </c>
      <c r="BB372" s="90">
        <f t="shared" ref="BB372" si="1342">IF(BA369&lt;&gt;0,BA372/BA369,0)</f>
        <v>0.12844991618018786</v>
      </c>
      <c r="BC372" s="565" t="s">
        <v>179</v>
      </c>
      <c r="BE372" s="381"/>
      <c r="BF372" s="166">
        <f t="shared" si="1283"/>
        <v>0</v>
      </c>
      <c r="BH372" s="166">
        <f t="shared" si="1284"/>
        <v>0</v>
      </c>
      <c r="BJ372" s="90">
        <f t="shared" ref="BJ372" si="1343">IF(BK369&lt;&gt;0,BK372/BK369,0)</f>
        <v>0.12870306182816776</v>
      </c>
      <c r="BK372" s="54">
        <f t="shared" ref="BK372:BN372" si="1344">ROUND(BK352+BK356+BK360+BK364+BK368,2)</f>
        <v>75989.929999999993</v>
      </c>
      <c r="BL372" s="166">
        <f t="shared" si="1344"/>
        <v>99532.87</v>
      </c>
      <c r="BM372" s="166">
        <f t="shared" si="1344"/>
        <v>2171140.96</v>
      </c>
      <c r="BN372" s="166">
        <f t="shared" si="1344"/>
        <v>2121374.5299999998</v>
      </c>
      <c r="BO372" s="90">
        <f t="shared" ref="BO372" si="1345">IF(BN369&lt;&gt;0,BN372/BN369,0)</f>
        <v>0.12896916928668201</v>
      </c>
      <c r="BP372" s="565" t="s">
        <v>179</v>
      </c>
      <c r="BR372" s="381"/>
      <c r="BS372" s="166">
        <f t="shared" si="1288"/>
        <v>0</v>
      </c>
      <c r="BU372" s="166">
        <f t="shared" si="1289"/>
        <v>0</v>
      </c>
      <c r="BW372" s="90">
        <f t="shared" ref="BW372" si="1346">IF(BX369&lt;&gt;0,BX372/BX369,0)</f>
        <v>0.12922299921967634</v>
      </c>
      <c r="BX372" s="54">
        <f t="shared" ref="BX372:CA372" si="1347">ROUND(BX352+BX356+BX360+BX364+BX368,2)</f>
        <v>72520.34</v>
      </c>
      <c r="BY372" s="166">
        <f t="shared" si="1347"/>
        <v>98729.61</v>
      </c>
      <c r="BZ372" s="166">
        <f t="shared" si="1347"/>
        <v>2072009.72</v>
      </c>
      <c r="CA372" s="166">
        <f t="shared" si="1347"/>
        <v>2022644.92</v>
      </c>
      <c r="CB372" s="90">
        <f t="shared" ref="CB372" si="1348">IF(CA369&lt;&gt;0,CA372/CA369,0)</f>
        <v>0.12949029740621829</v>
      </c>
      <c r="CC372" s="565" t="s">
        <v>179</v>
      </c>
      <c r="CE372" s="381"/>
      <c r="CF372" s="166">
        <f t="shared" si="1293"/>
        <v>0</v>
      </c>
      <c r="CH372" s="166">
        <f t="shared" si="1294"/>
        <v>0</v>
      </c>
      <c r="CJ372" s="90">
        <f t="shared" ref="CJ372" si="1349">IF(CK369&lt;&gt;0,CK372/CK369,0)</f>
        <v>0.12975121330172432</v>
      </c>
      <c r="CK372" s="54">
        <f t="shared" ref="CK372:CN372" si="1350">ROUND(CK352+CK356+CK360+CK364+CK368,2)</f>
        <v>59217.02</v>
      </c>
      <c r="CL372" s="166">
        <f t="shared" si="1350"/>
        <v>97488.85</v>
      </c>
      <c r="CM372" s="166">
        <f t="shared" si="1350"/>
        <v>1973900.49</v>
      </c>
      <c r="CN372" s="166">
        <f t="shared" si="1350"/>
        <v>1925156.06</v>
      </c>
      <c r="CO372" s="90">
        <f t="shared" ref="CO372" si="1351">IF(CN369&lt;&gt;0,CN372/CN369,0)</f>
        <v>0.13002645300380661</v>
      </c>
      <c r="CP372" s="565" t="s">
        <v>179</v>
      </c>
      <c r="CR372" s="381"/>
      <c r="CS372" s="166">
        <f t="shared" si="1298"/>
        <v>0</v>
      </c>
      <c r="CU372" s="166">
        <f t="shared" si="1299"/>
        <v>0</v>
      </c>
      <c r="CW372" s="90">
        <f t="shared" ref="CW372" si="1352">IF(CX369&lt;&gt;0,CX372/CX369,0)</f>
        <v>0.13033167885076882</v>
      </c>
      <c r="CX372" s="54">
        <f t="shared" ref="CX372:DA372" si="1353">ROUND(CX352+CX356+CX360+CX364+CX368,2)</f>
        <v>56308.29</v>
      </c>
      <c r="CY372" s="166">
        <f t="shared" si="1353"/>
        <v>96427.06</v>
      </c>
      <c r="CZ372" s="166">
        <f t="shared" si="1353"/>
        <v>1876942.53</v>
      </c>
      <c r="DA372" s="166">
        <f t="shared" si="1353"/>
        <v>1828729</v>
      </c>
      <c r="DB372" s="90">
        <f t="shared" ref="DB372" si="1354">IF(DA369&lt;&gt;0,DA372/DA369,0)</f>
        <v>0.13065448377758154</v>
      </c>
      <c r="DC372" s="565" t="s">
        <v>179</v>
      </c>
      <c r="DE372" s="381"/>
      <c r="DF372" s="166">
        <f t="shared" si="1303"/>
        <v>0</v>
      </c>
      <c r="DH372" s="166">
        <f t="shared" si="1304"/>
        <v>0</v>
      </c>
      <c r="DJ372" s="90">
        <f t="shared" ref="DJ372" si="1355">IF(DK369&lt;&gt;0,DK372/DK369,0)</f>
        <v>0.13013248844421893</v>
      </c>
      <c r="DK372" s="54">
        <f t="shared" ref="DK372:DN372" si="1356">ROUND(DK352+DK356+DK360+DK364+DK368,2)</f>
        <v>53476.84</v>
      </c>
      <c r="DL372" s="166">
        <f t="shared" si="1356"/>
        <v>92335.55</v>
      </c>
      <c r="DM372" s="166">
        <f t="shared" si="1356"/>
        <v>1782561.22</v>
      </c>
      <c r="DN372" s="166">
        <f t="shared" si="1356"/>
        <v>1736393.45</v>
      </c>
      <c r="DO372" s="90">
        <f t="shared" ref="DO372" si="1357">IF(DN369&lt;&gt;0,DN372/DN369,0)</f>
        <v>0.1295872097448994</v>
      </c>
      <c r="DP372" s="565" t="s">
        <v>179</v>
      </c>
      <c r="DR372" s="381"/>
      <c r="DS372" s="166">
        <f t="shared" si="1308"/>
        <v>0</v>
      </c>
      <c r="DU372" s="166">
        <f t="shared" si="1309"/>
        <v>0</v>
      </c>
      <c r="DW372" s="90">
        <f t="shared" ref="DW372" si="1358">IF(DX369&lt;&gt;0,DX372/DX369,0)</f>
        <v>0.12897496880253606</v>
      </c>
      <c r="DX372" s="54">
        <f t="shared" ref="DX372:EA372" si="1359">ROUND(DX352+DX356+DX360+DX364+DX368,2)</f>
        <v>50726.01</v>
      </c>
      <c r="DY372" s="166">
        <f t="shared" si="1359"/>
        <v>91053.69</v>
      </c>
      <c r="DZ372" s="166">
        <f t="shared" si="1359"/>
        <v>1690866.6</v>
      </c>
      <c r="EA372" s="166">
        <f t="shared" si="1359"/>
        <v>1645339.76</v>
      </c>
      <c r="EB372" s="90">
        <f t="shared" ref="EB372" si="1360">IF(EA369&lt;&gt;0,EA372/EA369,0)</f>
        <v>0.12833502799387864</v>
      </c>
      <c r="EC372" s="565" t="s">
        <v>179</v>
      </c>
    </row>
    <row r="373" spans="1:134" s="10" customFormat="1" ht="15" customHeight="1" x14ac:dyDescent="0.45">
      <c r="A373" s="92" t="s">
        <v>870</v>
      </c>
      <c r="Q373" s="225">
        <v>52</v>
      </c>
      <c r="R373" s="609" t="s">
        <v>870</v>
      </c>
      <c r="V373" s="562"/>
      <c r="W373" s="203" t="s">
        <v>391</v>
      </c>
      <c r="X373" s="203" t="s">
        <v>385</v>
      </c>
      <c r="Y373" s="562"/>
      <c r="Z373" s="79" t="s">
        <v>392</v>
      </c>
      <c r="AA373" s="79"/>
      <c r="AB373" s="566" t="s">
        <v>393</v>
      </c>
      <c r="AC373" s="566" t="s">
        <v>182</v>
      </c>
      <c r="AD373" s="79" t="s">
        <v>394</v>
      </c>
      <c r="AE373" s="609" t="s">
        <v>870</v>
      </c>
      <c r="AI373" s="612"/>
      <c r="AJ373" s="203" t="s">
        <v>391</v>
      </c>
      <c r="AK373" s="203" t="s">
        <v>385</v>
      </c>
      <c r="AL373" s="612"/>
      <c r="AM373" s="79" t="s">
        <v>392</v>
      </c>
      <c r="AN373" s="79"/>
      <c r="AO373" s="566" t="s">
        <v>393</v>
      </c>
      <c r="AP373" s="566" t="s">
        <v>182</v>
      </c>
      <c r="AQ373" s="79" t="s">
        <v>394</v>
      </c>
      <c r="AR373" s="609" t="s">
        <v>870</v>
      </c>
      <c r="AV373" s="612"/>
      <c r="AW373" s="203" t="s">
        <v>391</v>
      </c>
      <c r="AX373" s="203" t="s">
        <v>385</v>
      </c>
      <c r="AY373" s="612"/>
      <c r="AZ373" s="79" t="s">
        <v>392</v>
      </c>
      <c r="BA373" s="79"/>
      <c r="BB373" s="566" t="s">
        <v>393</v>
      </c>
      <c r="BC373" s="566" t="s">
        <v>182</v>
      </c>
      <c r="BD373" s="79" t="s">
        <v>394</v>
      </c>
      <c r="BE373" s="609" t="s">
        <v>870</v>
      </c>
      <c r="BI373" s="612"/>
      <c r="BJ373" s="203" t="s">
        <v>391</v>
      </c>
      <c r="BK373" s="203" t="s">
        <v>385</v>
      </c>
      <c r="BL373" s="612"/>
      <c r="BM373" s="79" t="s">
        <v>392</v>
      </c>
      <c r="BN373" s="79"/>
      <c r="BO373" s="566" t="s">
        <v>393</v>
      </c>
      <c r="BP373" s="566" t="s">
        <v>182</v>
      </c>
      <c r="BQ373" s="79" t="s">
        <v>394</v>
      </c>
      <c r="BR373" s="609" t="s">
        <v>870</v>
      </c>
      <c r="BV373" s="612"/>
      <c r="BW373" s="203" t="s">
        <v>391</v>
      </c>
      <c r="BX373" s="203" t="s">
        <v>385</v>
      </c>
      <c r="BY373" s="612"/>
      <c r="BZ373" s="79" t="s">
        <v>392</v>
      </c>
      <c r="CA373" s="79"/>
      <c r="CB373" s="566" t="s">
        <v>393</v>
      </c>
      <c r="CC373" s="566" t="s">
        <v>182</v>
      </c>
      <c r="CD373" s="79" t="s">
        <v>394</v>
      </c>
      <c r="CE373" s="609" t="s">
        <v>870</v>
      </c>
      <c r="CI373" s="612"/>
      <c r="CJ373" s="203" t="s">
        <v>391</v>
      </c>
      <c r="CK373" s="203" t="s">
        <v>385</v>
      </c>
      <c r="CL373" s="612"/>
      <c r="CM373" s="79" t="s">
        <v>392</v>
      </c>
      <c r="CN373" s="79"/>
      <c r="CO373" s="566" t="s">
        <v>393</v>
      </c>
      <c r="CP373" s="566" t="s">
        <v>182</v>
      </c>
      <c r="CQ373" s="79" t="s">
        <v>394</v>
      </c>
      <c r="CR373" s="609" t="s">
        <v>870</v>
      </c>
      <c r="CV373" s="612"/>
      <c r="CW373" s="203" t="s">
        <v>391</v>
      </c>
      <c r="CX373" s="203" t="s">
        <v>385</v>
      </c>
      <c r="CY373" s="612"/>
      <c r="CZ373" s="79" t="s">
        <v>392</v>
      </c>
      <c r="DA373" s="79"/>
      <c r="DB373" s="566" t="s">
        <v>393</v>
      </c>
      <c r="DC373" s="566" t="s">
        <v>182</v>
      </c>
      <c r="DD373" s="79" t="s">
        <v>394</v>
      </c>
      <c r="DE373" s="609" t="s">
        <v>870</v>
      </c>
      <c r="DI373" s="612"/>
      <c r="DJ373" s="203" t="s">
        <v>391</v>
      </c>
      <c r="DK373" s="203" t="s">
        <v>385</v>
      </c>
      <c r="DL373" s="612"/>
      <c r="DM373" s="79" t="s">
        <v>392</v>
      </c>
      <c r="DN373" s="79"/>
      <c r="DO373" s="566" t="s">
        <v>393</v>
      </c>
      <c r="DP373" s="566" t="s">
        <v>182</v>
      </c>
      <c r="DQ373" s="79" t="s">
        <v>394</v>
      </c>
      <c r="DR373" s="609" t="s">
        <v>870</v>
      </c>
      <c r="DV373" s="612"/>
      <c r="DW373" s="203" t="s">
        <v>391</v>
      </c>
      <c r="DX373" s="203" t="s">
        <v>385</v>
      </c>
      <c r="DY373" s="612"/>
      <c r="DZ373" s="79" t="s">
        <v>392</v>
      </c>
      <c r="EA373" s="79"/>
      <c r="EB373" s="566" t="s">
        <v>393</v>
      </c>
      <c r="EC373" s="566" t="s">
        <v>182</v>
      </c>
      <c r="ED373" s="79" t="s">
        <v>394</v>
      </c>
    </row>
    <row r="374" spans="1:134" s="10" customFormat="1" ht="15" customHeight="1" x14ac:dyDescent="0.35">
      <c r="A374" s="564" t="s">
        <v>395</v>
      </c>
      <c r="Q374" s="225">
        <v>53</v>
      </c>
      <c r="R374" s="381"/>
      <c r="W374" s="90">
        <f>SUM(W375:W377)</f>
        <v>0</v>
      </c>
      <c r="X374" s="166">
        <f>ROUND((AC374+AD374/2)*HLOOKUP(X322,Grund_zins,2,FALSE),2)</f>
        <v>0</v>
      </c>
      <c r="Z374" s="564" t="s">
        <v>395</v>
      </c>
      <c r="AC374" s="166">
        <f>SUMIF($D$5:$D$319,"=kas",AC5:AC319)+SUMIF($D$5:$D$319,"=kam",AC5:AC319)+SUMIF($D$5:$D$319,"=kar",AC5:AC319)+SUMIF($D$5:$D$319,"=kaz",AC5:AC319)</f>
        <v>0</v>
      </c>
      <c r="AD374" s="166">
        <f>SUMIF($D$5:$D$319,"=kas",AD5:AD319)+SUMIF($D$5:$D$319,"=kam",AD5:AD319)+SUMIF($D$5:$D$319,"=kar",AD5:AD319)+SUMIF($D$5:$D$319,"=kaz",AD5:AD319)</f>
        <v>0</v>
      </c>
      <c r="AE374" s="381"/>
      <c r="AJ374" s="90">
        <f>SUM(AJ375:AJ377)</f>
        <v>0</v>
      </c>
      <c r="AK374" s="166">
        <f>ROUND((AP374+AQ374/2)*HLOOKUP(AK322,Grund_zins,2,FALSE),2)</f>
        <v>0</v>
      </c>
      <c r="AM374" s="564" t="s">
        <v>395</v>
      </c>
      <c r="AP374" s="166">
        <f>SUMIF($D$5:$D$319,"=kas",AP5:AP319)+SUMIF($D$5:$D$319,"=kam",AP5:AP319)+SUMIF($D$5:$D$319,"=kar",AP5:AP319)+SUMIF($D$5:$D$319,"=kaz",AP5:AP319)</f>
        <v>0</v>
      </c>
      <c r="AQ374" s="166">
        <f>SUMIF($D$5:$D$319,"=kas",AQ5:AQ319)+SUMIF($D$5:$D$319,"=kam",AQ5:AQ319)+SUMIF($D$5:$D$319,"=kar",AQ5:AQ319)+SUMIF($D$5:$D$319,"=kaz",AQ5:AQ319)</f>
        <v>0</v>
      </c>
      <c r="AR374" s="381"/>
      <c r="AW374" s="90">
        <f>SUM(AW375:AW377)</f>
        <v>0</v>
      </c>
      <c r="AX374" s="166">
        <f>ROUND((BC374+BD374/2)*HLOOKUP(AX322,Grund_zins,2,FALSE),2)</f>
        <v>0</v>
      </c>
      <c r="AZ374" s="564" t="s">
        <v>395</v>
      </c>
      <c r="BC374" s="166">
        <f>SUMIF($D$5:$D$319,"=kas",BC5:BC319)+SUMIF($D$5:$D$319,"=kam",BC5:BC319)+SUMIF($D$5:$D$319,"=kar",BC5:BC319)+SUMIF($D$5:$D$319,"=kaz",BC5:BC319)</f>
        <v>0</v>
      </c>
      <c r="BD374" s="166">
        <f>SUMIF($D$5:$D$319,"=kas",BD5:BD319)+SUMIF($D$5:$D$319,"=kam",BD5:BD319)+SUMIF($D$5:$D$319,"=kar",BD5:BD319)+SUMIF($D$5:$D$319,"=kaz",BD5:BD319)</f>
        <v>0</v>
      </c>
      <c r="BE374" s="381"/>
      <c r="BJ374" s="90">
        <f>SUM(BJ375:BJ377)</f>
        <v>0</v>
      </c>
      <c r="BK374" s="166">
        <f>ROUND((BP374+BQ374/2)*HLOOKUP(BK322,Grund_zins,2,FALSE),2)</f>
        <v>0</v>
      </c>
      <c r="BM374" s="564" t="s">
        <v>395</v>
      </c>
      <c r="BP374" s="166">
        <f>SUMIF($D$5:$D$319,"=kas",BP5:BP319)+SUMIF($D$5:$D$319,"=kam",BP5:BP319)+SUMIF($D$5:$D$319,"=kar",BP5:BP319)+SUMIF($D$5:$D$319,"=kaz",BP5:BP319)</f>
        <v>0</v>
      </c>
      <c r="BQ374" s="166">
        <f>SUMIF($D$5:$D$319,"=kas",BQ5:BQ319)+SUMIF($D$5:$D$319,"=kam",BQ5:BQ319)+SUMIF($D$5:$D$319,"=kar",BQ5:BQ319)+SUMIF($D$5:$D$319,"=kaz",BQ5:BQ319)</f>
        <v>0</v>
      </c>
      <c r="BR374" s="381"/>
      <c r="BW374" s="90">
        <f>SUM(BW375:BW377)</f>
        <v>0</v>
      </c>
      <c r="BX374" s="166">
        <f>ROUND((CC374+CD374/2)*HLOOKUP(BX322,Grund_zins,2,FALSE),2)</f>
        <v>0</v>
      </c>
      <c r="BZ374" s="564" t="s">
        <v>395</v>
      </c>
      <c r="CC374" s="166">
        <f>SUMIF($D$5:$D$319,"=kas",CC5:CC319)+SUMIF($D$5:$D$319,"=kam",CC5:CC319)+SUMIF($D$5:$D$319,"=kar",CC5:CC319)+SUMIF($D$5:$D$319,"=kaz",CC5:CC319)</f>
        <v>0</v>
      </c>
      <c r="CD374" s="166">
        <f>SUMIF($D$5:$D$319,"=kas",CD5:CD319)+SUMIF($D$5:$D$319,"=kam",CD5:CD319)+SUMIF($D$5:$D$319,"=kar",CD5:CD319)+SUMIF($D$5:$D$319,"=kaz",CD5:CD319)</f>
        <v>0</v>
      </c>
      <c r="CE374" s="381"/>
      <c r="CJ374" s="90">
        <f>SUM(CJ375:CJ377)</f>
        <v>0</v>
      </c>
      <c r="CK374" s="166">
        <f>ROUND((CP374+CQ374/2)*HLOOKUP(CK322,Grund_zins,2,FALSE),2)</f>
        <v>0</v>
      </c>
      <c r="CM374" s="564" t="s">
        <v>395</v>
      </c>
      <c r="CP374" s="166">
        <f>SUMIF($D$5:$D$319,"=kas",CP5:CP319)+SUMIF($D$5:$D$319,"=kam",CP5:CP319)+SUMIF($D$5:$D$319,"=kar",CP5:CP319)+SUMIF($D$5:$D$319,"=kaz",CP5:CP319)</f>
        <v>0</v>
      </c>
      <c r="CQ374" s="166">
        <f>SUMIF($D$5:$D$319,"=kas",CQ5:CQ319)+SUMIF($D$5:$D$319,"=kam",CQ5:CQ319)+SUMIF($D$5:$D$319,"=kar",CQ5:CQ319)+SUMIF($D$5:$D$319,"=kaz",CQ5:CQ319)</f>
        <v>0</v>
      </c>
      <c r="CR374" s="381"/>
      <c r="CW374" s="90">
        <f>SUM(CW375:CW377)</f>
        <v>0</v>
      </c>
      <c r="CX374" s="166">
        <f>ROUND((DC374+DD374/2)*HLOOKUP(CX322,Grund_zins,2,FALSE),2)</f>
        <v>0</v>
      </c>
      <c r="CZ374" s="564" t="s">
        <v>395</v>
      </c>
      <c r="DC374" s="166">
        <f>SUMIF($D$5:$D$319,"=kas",DC5:DC319)+SUMIF($D$5:$D$319,"=kam",DC5:DC319)+SUMIF($D$5:$D$319,"=kar",DC5:DC319)+SUMIF($D$5:$D$319,"=kaz",DC5:DC319)</f>
        <v>0</v>
      </c>
      <c r="DD374" s="166">
        <f>SUMIF($D$5:$D$319,"=kas",DD5:DD319)+SUMIF($D$5:$D$319,"=kam",DD5:DD319)+SUMIF($D$5:$D$319,"=kar",DD5:DD319)+SUMIF($D$5:$D$319,"=kaz",DD5:DD319)</f>
        <v>0</v>
      </c>
      <c r="DE374" s="381"/>
      <c r="DJ374" s="90">
        <f>SUM(DJ375:DJ377)</f>
        <v>0</v>
      </c>
      <c r="DK374" s="166">
        <f>ROUND((DP374+DQ374/2)*HLOOKUP(DK322,Grund_zins,2,FALSE),2)</f>
        <v>0</v>
      </c>
      <c r="DM374" s="564" t="s">
        <v>395</v>
      </c>
      <c r="DP374" s="166">
        <f>SUMIF($D$5:$D$319,"=kas",DP5:DP319)+SUMIF($D$5:$D$319,"=kam",DP5:DP319)+SUMIF($D$5:$D$319,"=kar",DP5:DP319)+SUMIF($D$5:$D$319,"=kaz",DP5:DP319)</f>
        <v>0</v>
      </c>
      <c r="DQ374" s="166">
        <f>SUMIF($D$5:$D$319,"=kas",DQ5:DQ319)+SUMIF($D$5:$D$319,"=kam",DQ5:DQ319)+SUMIF($D$5:$D$319,"=kar",DQ5:DQ319)+SUMIF($D$5:$D$319,"=kaz",DQ5:DQ319)</f>
        <v>0</v>
      </c>
      <c r="DR374" s="381"/>
      <c r="DW374" s="90">
        <f>SUM(DW375:DW377)</f>
        <v>0</v>
      </c>
      <c r="DX374" s="166">
        <f>ROUND((EC374+ED374/2)*HLOOKUP(DX322,Grund_zins,2,FALSE),2)</f>
        <v>0</v>
      </c>
      <c r="DZ374" s="564" t="s">
        <v>395</v>
      </c>
      <c r="EC374" s="166">
        <f>SUMIF($D$5:$D$319,"=kas",EC5:EC319)+SUMIF($D$5:$D$319,"=kam",EC5:EC319)+SUMIF($D$5:$D$319,"=kar",EC5:EC319)+SUMIF($D$5:$D$319,"=kaz",EC5:EC319)</f>
        <v>0</v>
      </c>
      <c r="ED374" s="166">
        <f>SUMIF($D$5:$D$319,"=kas",ED5:ED319)+SUMIF($D$5:$D$319,"=kam",ED5:ED319)+SUMIF($D$5:$D$319,"=kar",ED5:ED319)+SUMIF($D$5:$D$319,"=kaz",ED5:ED319)</f>
        <v>0</v>
      </c>
    </row>
    <row r="375" spans="1:134" s="10" customFormat="1" ht="15" customHeight="1" x14ac:dyDescent="0.35">
      <c r="A375" s="565" t="s">
        <v>169</v>
      </c>
      <c r="Q375" s="225">
        <v>54</v>
      </c>
      <c r="R375" s="381"/>
      <c r="W375" s="90">
        <f>IF(X374&lt;&gt;0,X375/X374,0)</f>
        <v>0</v>
      </c>
      <c r="X375" s="166">
        <f>ROUND((AC375+AD375/2)*HLOOKUP(X322,Grund_zins,2,FALSE),2)</f>
        <v>0</v>
      </c>
      <c r="Z375" s="565" t="s">
        <v>169</v>
      </c>
      <c r="AC375" s="166">
        <f>SUMIF($D$5:$D$319,"=kas",AC5:AC319)*HLOOKUP(X322,Verteil_sw,6,FALSE)+SUMIF($D$5:$D$319,"=kam",AC5:AC319)*HLOOKUP(X322,Verteil_sw,7,FALSE)+SUMIF($D$5:$D$319,"=kar",AC5:AC319)*HLOOKUP(X322,Verteil_sw,8,FALSE)+SUMIF($D$5:$D$319,"=kaz",AC5:AC319)*HLOOKUP(X322,Verteil_sw,9,FALSE)</f>
        <v>0</v>
      </c>
      <c r="AD375" s="166">
        <f>SUMIF($D$5:$D$319,"=kas",AD5:AD319)*HLOOKUP(X322,Verteil_sw,6,FALSE)+SUMIF($D$5:$D$319,"=kam",AD5:AD319)*HLOOKUP(X322,Verteil_sw,7,FALSE)+SUMIF($D$5:$D$319,"=kar",AD5:AD319)*HLOOKUP(X322,Verteil_sw,8,FALSE)+SUMIF($D$5:$D$319,"=kaz",AD5:AD319)*HLOOKUP(X322,Verteil_sw,9,FALSE)</f>
        <v>0</v>
      </c>
      <c r="AE375" s="381"/>
      <c r="AJ375" s="90">
        <f>IF(AK374&lt;&gt;0,AK375/AK374,0)</f>
        <v>0</v>
      </c>
      <c r="AK375" s="166">
        <f>ROUND((AP375+AQ375/2)*HLOOKUP(AK322,Grund_zins,2,FALSE),2)</f>
        <v>0</v>
      </c>
      <c r="AM375" s="565" t="s">
        <v>169</v>
      </c>
      <c r="AP375" s="166">
        <f>SUMIF($D$5:$D$319,"=kas",AP5:AP319)*HLOOKUP(AK322,Verteil_sw,6,FALSE)+SUMIF($D$5:$D$319,"=kam",AP5:AP319)*HLOOKUP(AK322,Verteil_sw,7,FALSE)+SUMIF($D$5:$D$319,"=kar",AP5:AP319)*HLOOKUP(AK322,Verteil_sw,8,FALSE)+SUMIF($D$5:$D$319,"=kaz",AP5:AP319)*HLOOKUP(AK322,Verteil_sw,9,FALSE)</f>
        <v>0</v>
      </c>
      <c r="AQ375" s="166">
        <f>SUMIF($D$5:$D$319,"=kas",AQ5:AQ319)*HLOOKUP(AK322,Verteil_sw,6,FALSE)+SUMIF($D$5:$D$319,"=kam",AQ5:AQ319)*HLOOKUP(AK322,Verteil_sw,7,FALSE)+SUMIF($D$5:$D$319,"=kar",AQ5:AQ319)*HLOOKUP(AK322,Verteil_sw,8,FALSE)+SUMIF($D$5:$D$319,"=kaz",AQ5:AQ319)*HLOOKUP(AK322,Verteil_sw,9,FALSE)</f>
        <v>0</v>
      </c>
      <c r="AR375" s="381"/>
      <c r="AW375" s="90">
        <f>IF(AX374&lt;&gt;0,AX375/AX374,0)</f>
        <v>0</v>
      </c>
      <c r="AX375" s="166">
        <f>ROUND((BC375+BD375/2)*HLOOKUP(AX322,Grund_zins,2,FALSE),2)</f>
        <v>0</v>
      </c>
      <c r="AZ375" s="565" t="s">
        <v>169</v>
      </c>
      <c r="BC375" s="166">
        <f>SUMIF($D$5:$D$319,"=kas",BC5:BC319)*HLOOKUP(AX322,Verteil_sw,6,FALSE)+SUMIF($D$5:$D$319,"=kam",BC5:BC319)*HLOOKUP(AX322,Verteil_sw,7,FALSE)+SUMIF($D$5:$D$319,"=kar",BC5:BC319)*HLOOKUP(AX322,Verteil_sw,8,FALSE)+SUMIF($D$5:$D$319,"=kaz",BC5:BC319)*HLOOKUP(AX322,Verteil_sw,9,FALSE)</f>
        <v>0</v>
      </c>
      <c r="BD375" s="166">
        <f>SUMIF($D$5:$D$319,"=kas",BD5:BD319)*HLOOKUP(AX322,Verteil_sw,6,FALSE)+SUMIF($D$5:$D$319,"=kam",BD5:BD319)*HLOOKUP(AX322,Verteil_sw,7,FALSE)+SUMIF($D$5:$D$319,"=kar",BD5:BD319)*HLOOKUP(AX322,Verteil_sw,8,FALSE)+SUMIF($D$5:$D$319,"=kaz",BD5:BD319)*HLOOKUP(AX322,Verteil_sw,9,FALSE)</f>
        <v>0</v>
      </c>
      <c r="BE375" s="381"/>
      <c r="BJ375" s="90">
        <f>IF(BK374&lt;&gt;0,BK375/BK374,0)</f>
        <v>0</v>
      </c>
      <c r="BK375" s="166">
        <f>ROUND((BP375+BQ375/2)*HLOOKUP(BK322,Grund_zins,2,FALSE),2)</f>
        <v>0</v>
      </c>
      <c r="BM375" s="565" t="s">
        <v>169</v>
      </c>
      <c r="BP375" s="166">
        <f>SUMIF($D$5:$D$319,"=kas",BP5:BP319)*HLOOKUP(BK322,Verteil_sw,6,FALSE)+SUMIF($D$5:$D$319,"=kam",BP5:BP319)*HLOOKUP(BK322,Verteil_sw,7,FALSE)+SUMIF($D$5:$D$319,"=kar",BP5:BP319)*HLOOKUP(BK322,Verteil_sw,8,FALSE)+SUMIF($D$5:$D$319,"=kaz",BP5:BP319)*HLOOKUP(BK322,Verteil_sw,9,FALSE)</f>
        <v>0</v>
      </c>
      <c r="BQ375" s="166">
        <f>SUMIF($D$5:$D$319,"=kas",BQ5:BQ319)*HLOOKUP(BK322,Verteil_sw,6,FALSE)+SUMIF($D$5:$D$319,"=kam",BQ5:BQ319)*HLOOKUP(BK322,Verteil_sw,7,FALSE)+SUMIF($D$5:$D$319,"=kar",BQ5:BQ319)*HLOOKUP(BK322,Verteil_sw,8,FALSE)+SUMIF($D$5:$D$319,"=kaz",BQ5:BQ319)*HLOOKUP(BK322,Verteil_sw,9,FALSE)</f>
        <v>0</v>
      </c>
      <c r="BR375" s="381"/>
      <c r="BW375" s="90">
        <f>IF(BX374&lt;&gt;0,BX375/BX374,0)</f>
        <v>0</v>
      </c>
      <c r="BX375" s="166">
        <f>ROUND((CC375+CD375/2)*HLOOKUP(BX322,Grund_zins,2,FALSE),2)</f>
        <v>0</v>
      </c>
      <c r="BZ375" s="565" t="s">
        <v>169</v>
      </c>
      <c r="CC375" s="166">
        <f>SUMIF($D$5:$D$319,"=kas",CC5:CC319)*HLOOKUP(BX322,Verteil_sw,6,FALSE)+SUMIF($D$5:$D$319,"=kam",CC5:CC319)*HLOOKUP(BX322,Verteil_sw,7,FALSE)+SUMIF($D$5:$D$319,"=kar",CC5:CC319)*HLOOKUP(BX322,Verteil_sw,8,FALSE)+SUMIF($D$5:$D$319,"=kaz",CC5:CC319)*HLOOKUP(BX322,Verteil_sw,9,FALSE)</f>
        <v>0</v>
      </c>
      <c r="CD375" s="166">
        <f>SUMIF($D$5:$D$319,"=kas",CD5:CD319)*HLOOKUP(BX322,Verteil_sw,6,FALSE)+SUMIF($D$5:$D$319,"=kam",CD5:CD319)*HLOOKUP(BX322,Verteil_sw,7,FALSE)+SUMIF($D$5:$D$319,"=kar",CD5:CD319)*HLOOKUP(BX322,Verteil_sw,8,FALSE)+SUMIF($D$5:$D$319,"=kaz",CD5:CD319)*HLOOKUP(BX322,Verteil_sw,9,FALSE)</f>
        <v>0</v>
      </c>
      <c r="CE375" s="381"/>
      <c r="CJ375" s="90">
        <f>IF(CK374&lt;&gt;0,CK375/CK374,0)</f>
        <v>0</v>
      </c>
      <c r="CK375" s="166">
        <f>ROUND((CP375+CQ375/2)*HLOOKUP(CK322,Grund_zins,2,FALSE),2)</f>
        <v>0</v>
      </c>
      <c r="CM375" s="565" t="s">
        <v>169</v>
      </c>
      <c r="CP375" s="166">
        <f>SUMIF($D$5:$D$319,"=kas",CP5:CP319)*HLOOKUP(CK322,Verteil_sw,6,FALSE)+SUMIF($D$5:$D$319,"=kam",CP5:CP319)*HLOOKUP(CK322,Verteil_sw,7,FALSE)+SUMIF($D$5:$D$319,"=kar",CP5:CP319)*HLOOKUP(CK322,Verteil_sw,8,FALSE)+SUMIF($D$5:$D$319,"=kaz",CP5:CP319)*HLOOKUP(CK322,Verteil_sw,9,FALSE)</f>
        <v>0</v>
      </c>
      <c r="CQ375" s="166">
        <f>SUMIF($D$5:$D$319,"=kas",CQ5:CQ319)*HLOOKUP(CK322,Verteil_sw,6,FALSE)+SUMIF($D$5:$D$319,"=kam",CQ5:CQ319)*HLOOKUP(CK322,Verteil_sw,7,FALSE)+SUMIF($D$5:$D$319,"=kar",CQ5:CQ319)*HLOOKUP(CK322,Verteil_sw,8,FALSE)+SUMIF($D$5:$D$319,"=kaz",CQ5:CQ319)*HLOOKUP(CK322,Verteil_sw,9,FALSE)</f>
        <v>0</v>
      </c>
      <c r="CR375" s="381"/>
      <c r="CW375" s="90">
        <f>IF(CX374&lt;&gt;0,CX375/CX374,0)</f>
        <v>0</v>
      </c>
      <c r="CX375" s="166">
        <f>ROUND((DC375+DD375/2)*HLOOKUP(CX322,Grund_zins,2,FALSE),2)</f>
        <v>0</v>
      </c>
      <c r="CZ375" s="565" t="s">
        <v>169</v>
      </c>
      <c r="DC375" s="166">
        <f>SUMIF($D$5:$D$319,"=kas",DC5:DC319)*HLOOKUP(CX322,Verteil_sw,6,FALSE)+SUMIF($D$5:$D$319,"=kam",DC5:DC319)*HLOOKUP(CX322,Verteil_sw,7,FALSE)+SUMIF($D$5:$D$319,"=kar",DC5:DC319)*HLOOKUP(CX322,Verteil_sw,8,FALSE)+SUMIF($D$5:$D$319,"=kaz",DC5:DC319)*HLOOKUP(CX322,Verteil_sw,9,FALSE)</f>
        <v>0</v>
      </c>
      <c r="DD375" s="166">
        <f>SUMIF($D$5:$D$319,"=kas",DD5:DD319)*HLOOKUP(CX322,Verteil_sw,6,FALSE)+SUMIF($D$5:$D$319,"=kam",DD5:DD319)*HLOOKUP(CX322,Verteil_sw,7,FALSE)+SUMIF($D$5:$D$319,"=kar",DD5:DD319)*HLOOKUP(CX322,Verteil_sw,8,FALSE)+SUMIF($D$5:$D$319,"=kaz",DD5:DD319)*HLOOKUP(CX322,Verteil_sw,9,FALSE)</f>
        <v>0</v>
      </c>
      <c r="DE375" s="381"/>
      <c r="DJ375" s="90">
        <f>IF(DK374&lt;&gt;0,DK375/DK374,0)</f>
        <v>0</v>
      </c>
      <c r="DK375" s="166">
        <f>ROUND((DP375+DQ375/2)*HLOOKUP(DK322,Grund_zins,2,FALSE),2)</f>
        <v>0</v>
      </c>
      <c r="DM375" s="565" t="s">
        <v>169</v>
      </c>
      <c r="DP375" s="166">
        <f>SUMIF($D$5:$D$319,"=kas",DP5:DP319)*HLOOKUP(DK322,Verteil_sw,6,FALSE)+SUMIF($D$5:$D$319,"=kam",DP5:DP319)*HLOOKUP(DK322,Verteil_sw,7,FALSE)+SUMIF($D$5:$D$319,"=kar",DP5:DP319)*HLOOKUP(DK322,Verteil_sw,8,FALSE)+SUMIF($D$5:$D$319,"=kaz",DP5:DP319)*HLOOKUP(DK322,Verteil_sw,9,FALSE)</f>
        <v>0</v>
      </c>
      <c r="DQ375" s="166">
        <f>SUMIF($D$5:$D$319,"=kas",DQ5:DQ319)*HLOOKUP(DK322,Verteil_sw,6,FALSE)+SUMIF($D$5:$D$319,"=kam",DQ5:DQ319)*HLOOKUP(DK322,Verteil_sw,7,FALSE)+SUMIF($D$5:$D$319,"=kar",DQ5:DQ319)*HLOOKUP(DK322,Verteil_sw,8,FALSE)+SUMIF($D$5:$D$319,"=kaz",DQ5:DQ319)*HLOOKUP(DK322,Verteil_sw,9,FALSE)</f>
        <v>0</v>
      </c>
      <c r="DR375" s="381"/>
      <c r="DW375" s="90">
        <f>IF(DX374&lt;&gt;0,DX375/DX374,0)</f>
        <v>0</v>
      </c>
      <c r="DX375" s="166">
        <f>ROUND((EC375+ED375/2)*HLOOKUP(DX322,Grund_zins,2,FALSE),2)</f>
        <v>0</v>
      </c>
      <c r="DZ375" s="565" t="s">
        <v>169</v>
      </c>
      <c r="EC375" s="166">
        <f>SUMIF($D$5:$D$319,"=kas",EC5:EC319)*HLOOKUP(DX322,Verteil_sw,6,FALSE)+SUMIF($D$5:$D$319,"=kam",EC5:EC319)*HLOOKUP(DX322,Verteil_sw,7,FALSE)+SUMIF($D$5:$D$319,"=kar",EC5:EC319)*HLOOKUP(DX322,Verteil_sw,8,FALSE)+SUMIF($D$5:$D$319,"=kaz",EC5:EC319)*HLOOKUP(DX322,Verteil_sw,9,FALSE)</f>
        <v>0</v>
      </c>
      <c r="ED375" s="166">
        <f>SUMIF($D$5:$D$319,"=kas",ED5:ED319)*HLOOKUP(DX322,Verteil_sw,6,FALSE)+SUMIF($D$5:$D$319,"=kam",ED5:ED319)*HLOOKUP(DX322,Verteil_sw,7,FALSE)+SUMIF($D$5:$D$319,"=kar",ED5:ED319)*HLOOKUP(DX322,Verteil_sw,8,FALSE)+SUMIF($D$5:$D$319,"=kaz",ED5:ED319)*HLOOKUP(DX322,Verteil_sw,9,FALSE)</f>
        <v>0</v>
      </c>
    </row>
    <row r="376" spans="1:134" s="10" customFormat="1" ht="15" customHeight="1" x14ac:dyDescent="0.35">
      <c r="A376" s="565" t="s">
        <v>396</v>
      </c>
      <c r="Q376" s="225">
        <v>55</v>
      </c>
      <c r="R376" s="381"/>
      <c r="W376" s="90">
        <f>IF(X374&lt;&gt;0,X376/X374,0)</f>
        <v>0</v>
      </c>
      <c r="X376" s="166">
        <f>ROUND((AC376+AD376/2)*HLOOKUP(X322,Grund_zins,2,FALSE),2)</f>
        <v>0</v>
      </c>
      <c r="Z376" s="565" t="s">
        <v>396</v>
      </c>
      <c r="AC376" s="166">
        <f>SUMIF($D$5:$D$319,"=kas",AC5:AC319)*HLOOKUP(X322,Verteil_rwgr,5,FALSE)+SUMIF($D$5:$D$319,"=kam",AC5:AC319)*HLOOKUP(X322,Verteil_rwgr,6,FALSE)+SUMIF($D$5:$D$319,"=kar",AC5:AC319)*HLOOKUP(X322,Verteil_rwgr,7,FALSE)+SUMIF($D$5:$D$319,"=kaz",AC5:AC319)*HLOOKUP(X322,Verteil_rwgr,8,FALSE)</f>
        <v>0</v>
      </c>
      <c r="AD376" s="166">
        <f>SUMIF($D$5:$D$319,"=kas",AD5:AD319)*HLOOKUP(X322,Verteil_rwgr,5,FALSE)+SUMIF($D$5:$D$319,"=kam",AD5:AD319)*HLOOKUP(X322,Verteil_rwgr,6,FALSE)+SUMIF($D$5:$D$319,"=kar",AD5:AD319)*HLOOKUP(X322,Verteil_rwgr,7,FALSE)+SUMIF($D$5:$D$319,"=kaz",AD5:AD319)*HLOOKUP(X322,Verteil_rwgr,8,FALSE)</f>
        <v>0</v>
      </c>
      <c r="AE376" s="381"/>
      <c r="AJ376" s="90">
        <f>IF(AK374&lt;&gt;0,AK376/AK374,0)</f>
        <v>0</v>
      </c>
      <c r="AK376" s="166">
        <f>ROUND((AP376+AQ376/2)*HLOOKUP(AK322,Grund_zins,2,FALSE),2)</f>
        <v>0</v>
      </c>
      <c r="AM376" s="565" t="s">
        <v>396</v>
      </c>
      <c r="AP376" s="166">
        <f>SUMIF($D$5:$D$319,"=kas",AP5:AP319)*HLOOKUP(AK322,Verteil_rwgr,5,FALSE)+SUMIF($D$5:$D$319,"=kam",AP5:AP319)*HLOOKUP(AK322,Verteil_rwgr,6,FALSE)+SUMIF($D$5:$D$319,"=kar",AP5:AP319)*HLOOKUP(AK322,Verteil_rwgr,7,FALSE)+SUMIF($D$5:$D$319,"=kaz",AP5:AP319)*HLOOKUP(AK322,Verteil_rwgr,8,FALSE)</f>
        <v>0</v>
      </c>
      <c r="AQ376" s="166">
        <f>SUMIF($D$5:$D$319,"=kas",AQ5:AQ319)*HLOOKUP(AK322,Verteil_rwgr,5,FALSE)+SUMIF($D$5:$D$319,"=kam",AQ5:AQ319)*HLOOKUP(AK322,Verteil_rwgr,6,FALSE)+SUMIF($D$5:$D$319,"=kar",AQ5:AQ319)*HLOOKUP(AK322,Verteil_rwgr,7,FALSE)+SUMIF($D$5:$D$319,"=kaz",AQ5:AQ319)*HLOOKUP(AK322,Verteil_rwgr,8,FALSE)</f>
        <v>0</v>
      </c>
      <c r="AR376" s="381"/>
      <c r="AW376" s="90">
        <f>IF(AX374&lt;&gt;0,AX376/AX374,0)</f>
        <v>0</v>
      </c>
      <c r="AX376" s="166">
        <f>ROUND((BC376+BD376/2)*HLOOKUP(AX322,Grund_zins,2,FALSE),2)</f>
        <v>0</v>
      </c>
      <c r="AZ376" s="565" t="s">
        <v>396</v>
      </c>
      <c r="BC376" s="166">
        <f>SUMIF($D$5:$D$319,"=kas",BC5:BC319)*HLOOKUP(AX322,Verteil_rwgr,5,FALSE)+SUMIF($D$5:$D$319,"=kam",BC5:BC319)*HLOOKUP(AX322,Verteil_rwgr,6,FALSE)+SUMIF($D$5:$D$319,"=kar",BC5:BC319)*HLOOKUP(AX322,Verteil_rwgr,7,FALSE)+SUMIF($D$5:$D$319,"=kaz",BC5:BC319)*HLOOKUP(AX322,Verteil_rwgr,8,FALSE)</f>
        <v>0</v>
      </c>
      <c r="BD376" s="166">
        <f>SUMIF($D$5:$D$319,"=kas",BD5:BD319)*HLOOKUP(AX322,Verteil_rwgr,5,FALSE)+SUMIF($D$5:$D$319,"=kam",BD5:BD319)*HLOOKUP(AX322,Verteil_rwgr,6,FALSE)+SUMIF($D$5:$D$319,"=kar",BD5:BD319)*HLOOKUP(AX322,Verteil_rwgr,7,FALSE)+SUMIF($D$5:$D$319,"=kaz",BD5:BD319)*HLOOKUP(AX322,Verteil_rwgr,8,FALSE)</f>
        <v>0</v>
      </c>
      <c r="BE376" s="381"/>
      <c r="BJ376" s="90">
        <f>IF(BK374&lt;&gt;0,BK376/BK374,0)</f>
        <v>0</v>
      </c>
      <c r="BK376" s="166">
        <f>ROUND((BP376+BQ376/2)*HLOOKUP(BK322,Grund_zins,2,FALSE),2)</f>
        <v>0</v>
      </c>
      <c r="BM376" s="565" t="s">
        <v>396</v>
      </c>
      <c r="BP376" s="166">
        <f>SUMIF($D$5:$D$319,"=kas",BP5:BP319)*HLOOKUP(BK322,Verteil_rwgr,5,FALSE)+SUMIF($D$5:$D$319,"=kam",BP5:BP319)*HLOOKUP(BK322,Verteil_rwgr,6,FALSE)+SUMIF($D$5:$D$319,"=kar",BP5:BP319)*HLOOKUP(BK322,Verteil_rwgr,7,FALSE)+SUMIF($D$5:$D$319,"=kaz",BP5:BP319)*HLOOKUP(BK322,Verteil_rwgr,8,FALSE)</f>
        <v>0</v>
      </c>
      <c r="BQ376" s="166">
        <f>SUMIF($D$5:$D$319,"=kas",BQ5:BQ319)*HLOOKUP(BK322,Verteil_rwgr,5,FALSE)+SUMIF($D$5:$D$319,"=kam",BQ5:BQ319)*HLOOKUP(BK322,Verteil_rwgr,6,FALSE)+SUMIF($D$5:$D$319,"=kar",BQ5:BQ319)*HLOOKUP(BK322,Verteil_rwgr,7,FALSE)+SUMIF($D$5:$D$319,"=kaz",BQ5:BQ319)*HLOOKUP(BK322,Verteil_rwgr,8,FALSE)</f>
        <v>0</v>
      </c>
      <c r="BR376" s="381"/>
      <c r="BW376" s="90">
        <f>IF(BX374&lt;&gt;0,BX376/BX374,0)</f>
        <v>0</v>
      </c>
      <c r="BX376" s="166">
        <f>ROUND((CC376+CD376/2)*HLOOKUP(BX322,Grund_zins,2,FALSE),2)</f>
        <v>0</v>
      </c>
      <c r="BZ376" s="565" t="s">
        <v>396</v>
      </c>
      <c r="CC376" s="166">
        <f>SUMIF($D$5:$D$319,"=kas",CC5:CC319)*HLOOKUP(BX322,Verteil_rwgr,5,FALSE)+SUMIF($D$5:$D$319,"=kam",CC5:CC319)*HLOOKUP(BX322,Verteil_rwgr,6,FALSE)+SUMIF($D$5:$D$319,"=kar",CC5:CC319)*HLOOKUP(BX322,Verteil_rwgr,7,FALSE)+SUMIF($D$5:$D$319,"=kaz",CC5:CC319)*HLOOKUP(BX322,Verteil_rwgr,8,FALSE)</f>
        <v>0</v>
      </c>
      <c r="CD376" s="166">
        <f>SUMIF($D$5:$D$319,"=kas",CD5:CD319)*HLOOKUP(BX322,Verteil_rwgr,5,FALSE)+SUMIF($D$5:$D$319,"=kam",CD5:CD319)*HLOOKUP(BX322,Verteil_rwgr,6,FALSE)+SUMIF($D$5:$D$319,"=kar",CD5:CD319)*HLOOKUP(BX322,Verteil_rwgr,7,FALSE)+SUMIF($D$5:$D$319,"=kaz",CD5:CD319)*HLOOKUP(BX322,Verteil_rwgr,8,FALSE)</f>
        <v>0</v>
      </c>
      <c r="CE376" s="381"/>
      <c r="CJ376" s="90">
        <f>IF(CK374&lt;&gt;0,CK376/CK374,0)</f>
        <v>0</v>
      </c>
      <c r="CK376" s="166">
        <f>ROUND((CP376+CQ376/2)*HLOOKUP(CK322,Grund_zins,2,FALSE),2)</f>
        <v>0</v>
      </c>
      <c r="CM376" s="565" t="s">
        <v>396</v>
      </c>
      <c r="CP376" s="166">
        <f>SUMIF($D$5:$D$319,"=kas",CP5:CP319)*HLOOKUP(CK322,Verteil_rwgr,5,FALSE)+SUMIF($D$5:$D$319,"=kam",CP5:CP319)*HLOOKUP(CK322,Verteil_rwgr,6,FALSE)+SUMIF($D$5:$D$319,"=kar",CP5:CP319)*HLOOKUP(CK322,Verteil_rwgr,7,FALSE)+SUMIF($D$5:$D$319,"=kaz",CP5:CP319)*HLOOKUP(CK322,Verteil_rwgr,8,FALSE)</f>
        <v>0</v>
      </c>
      <c r="CQ376" s="166">
        <f>SUMIF($D$5:$D$319,"=kas",CQ5:CQ319)*HLOOKUP(CK322,Verteil_rwgr,5,FALSE)+SUMIF($D$5:$D$319,"=kam",CQ5:CQ319)*HLOOKUP(CK322,Verteil_rwgr,6,FALSE)+SUMIF($D$5:$D$319,"=kar",CQ5:CQ319)*HLOOKUP(CK322,Verteil_rwgr,7,FALSE)+SUMIF($D$5:$D$319,"=kaz",CQ5:CQ319)*HLOOKUP(CK322,Verteil_rwgr,8,FALSE)</f>
        <v>0</v>
      </c>
      <c r="CR376" s="381"/>
      <c r="CW376" s="90">
        <f>IF(CX374&lt;&gt;0,CX376/CX374,0)</f>
        <v>0</v>
      </c>
      <c r="CX376" s="166">
        <f>ROUND((DC376+DD376/2)*HLOOKUP(CX322,Grund_zins,2,FALSE),2)</f>
        <v>0</v>
      </c>
      <c r="CZ376" s="565" t="s">
        <v>396</v>
      </c>
      <c r="DC376" s="166">
        <f>SUMIF($D$5:$D$319,"=kas",DC5:DC319)*HLOOKUP(CX322,Verteil_rwgr,5,FALSE)+SUMIF($D$5:$D$319,"=kam",DC5:DC319)*HLOOKUP(CX322,Verteil_rwgr,6,FALSE)+SUMIF($D$5:$D$319,"=kar",DC5:DC319)*HLOOKUP(CX322,Verteil_rwgr,7,FALSE)+SUMIF($D$5:$D$319,"=kaz",DC5:DC319)*HLOOKUP(CX322,Verteil_rwgr,8,FALSE)</f>
        <v>0</v>
      </c>
      <c r="DD376" s="166">
        <f>SUMIF($D$5:$D$319,"=kas",DD5:DD319)*HLOOKUP(CX322,Verteil_rwgr,5,FALSE)+SUMIF($D$5:$D$319,"=kam",DD5:DD319)*HLOOKUP(CX322,Verteil_rwgr,6,FALSE)+SUMIF($D$5:$D$319,"=kar",DD5:DD319)*HLOOKUP(CX322,Verteil_rwgr,7,FALSE)+SUMIF($D$5:$D$319,"=kaz",DD5:DD319)*HLOOKUP(CX322,Verteil_rwgr,8,FALSE)</f>
        <v>0</v>
      </c>
      <c r="DE376" s="381"/>
      <c r="DJ376" s="90">
        <f>IF(DK374&lt;&gt;0,DK376/DK374,0)</f>
        <v>0</v>
      </c>
      <c r="DK376" s="166">
        <f>ROUND((DP376+DQ376/2)*HLOOKUP(DK322,Grund_zins,2,FALSE),2)</f>
        <v>0</v>
      </c>
      <c r="DM376" s="565" t="s">
        <v>396</v>
      </c>
      <c r="DP376" s="166">
        <f>SUMIF($D$5:$D$319,"=kas",DP5:DP319)*HLOOKUP(DK322,Verteil_rwgr,5,FALSE)+SUMIF($D$5:$D$319,"=kam",DP5:DP319)*HLOOKUP(DK322,Verteil_rwgr,6,FALSE)+SUMIF($D$5:$D$319,"=kar",DP5:DP319)*HLOOKUP(DK322,Verteil_rwgr,7,FALSE)+SUMIF($D$5:$D$319,"=kaz",DP5:DP319)*HLOOKUP(DK322,Verteil_rwgr,8,FALSE)</f>
        <v>0</v>
      </c>
      <c r="DQ376" s="166">
        <f>SUMIF($D$5:$D$319,"=kas",DQ5:DQ319)*HLOOKUP(DK322,Verteil_rwgr,5,FALSE)+SUMIF($D$5:$D$319,"=kam",DQ5:DQ319)*HLOOKUP(DK322,Verteil_rwgr,6,FALSE)+SUMIF($D$5:$D$319,"=kar",DQ5:DQ319)*HLOOKUP(DK322,Verteil_rwgr,7,FALSE)+SUMIF($D$5:$D$319,"=kaz",DQ5:DQ319)*HLOOKUP(DK322,Verteil_rwgr,8,FALSE)</f>
        <v>0</v>
      </c>
      <c r="DR376" s="381"/>
      <c r="DW376" s="90">
        <f>IF(DX374&lt;&gt;0,DX376/DX374,0)</f>
        <v>0</v>
      </c>
      <c r="DX376" s="166">
        <f>ROUND((EC376+ED376/2)*HLOOKUP(DX322,Grund_zins,2,FALSE),2)</f>
        <v>0</v>
      </c>
      <c r="DZ376" s="565" t="s">
        <v>396</v>
      </c>
      <c r="EC376" s="166">
        <f>SUMIF($D$5:$D$319,"=kas",EC5:EC319)*HLOOKUP(DX322,Verteil_rwgr,5,FALSE)+SUMIF($D$5:$D$319,"=kam",EC5:EC319)*HLOOKUP(DX322,Verteil_rwgr,6,FALSE)+SUMIF($D$5:$D$319,"=kar",EC5:EC319)*HLOOKUP(DX322,Verteil_rwgr,7,FALSE)+SUMIF($D$5:$D$319,"=kaz",EC5:EC319)*HLOOKUP(DX322,Verteil_rwgr,8,FALSE)</f>
        <v>0</v>
      </c>
      <c r="ED376" s="166">
        <f>SUMIF($D$5:$D$319,"=kas",ED5:ED319)*HLOOKUP(DX322,Verteil_rwgr,5,FALSE)+SUMIF($D$5:$D$319,"=kam",ED5:ED319)*HLOOKUP(DX322,Verteil_rwgr,6,FALSE)+SUMIF($D$5:$D$319,"=kar",ED5:ED319)*HLOOKUP(DX322,Verteil_rwgr,7,FALSE)+SUMIF($D$5:$D$319,"=kaz",ED5:ED319)*HLOOKUP(DX322,Verteil_rwgr,8,FALSE)</f>
        <v>0</v>
      </c>
    </row>
    <row r="377" spans="1:134" s="10" customFormat="1" ht="15" customHeight="1" x14ac:dyDescent="0.35">
      <c r="A377" s="565" t="s">
        <v>397</v>
      </c>
      <c r="Q377" s="225">
        <v>56</v>
      </c>
      <c r="R377" s="381"/>
      <c r="W377" s="90">
        <f>IF(X374&lt;&gt;0,X377/X374,0)</f>
        <v>0</v>
      </c>
      <c r="X377" s="166">
        <f>ROUND((AC377+AD377/2)*HLOOKUP(X322,Grund_zins,2,FALSE),2)</f>
        <v>0</v>
      </c>
      <c r="Z377" s="565" t="s">
        <v>397</v>
      </c>
      <c r="AC377" s="166">
        <f>SUMIF($D$5:$D$319,"=kas",AC5:AC319)*HLOOKUP(X322,Verteil_rwst,4,FALSE)+SUMIF($D$5:$D$319,"=kam",AC5:AC319)*HLOOKUP(X322,Verteil_rwst,5,FALSE)+SUMIF($D$5:$D$319,"=kar",AC5:AC319)*HLOOKUP(X322,Verteil_rwst,6,FALSE)+SUMIF($D$5:$D$319,"=kaz",AC5:AC319)*HLOOKUP(X322,Verteil_rwst,7,FALSE)</f>
        <v>0</v>
      </c>
      <c r="AD377" s="166">
        <f>SUMIF($D$5:$D$319,"=kas",AD5:AD319)*HLOOKUP(X322,Verteil_rwst,4,FALSE)+SUMIF($D$5:$D$319,"=kam",AD5:AD319)*HLOOKUP(X322,Verteil_rwst,5,FALSE)+SUMIF($D$5:$D$319,"=kar",AD5:AD319)*HLOOKUP(X322,Verteil_rwst,6,FALSE)+SUMIF($D$5:$D$319,"=kaz",AD5:AD319)*HLOOKUP(X322,Verteil_rwst,7,FALSE)</f>
        <v>0</v>
      </c>
      <c r="AE377" s="381"/>
      <c r="AJ377" s="90">
        <f>IF(AK374&lt;&gt;0,AK377/AK374,0)</f>
        <v>0</v>
      </c>
      <c r="AK377" s="166">
        <f>ROUND((AP377+AQ377/2)*HLOOKUP(AK322,Grund_zins,2,FALSE),2)</f>
        <v>0</v>
      </c>
      <c r="AM377" s="565" t="s">
        <v>397</v>
      </c>
      <c r="AP377" s="166">
        <f>SUMIF($D$5:$D$319,"=kas",AP5:AP319)*HLOOKUP(AK322,Verteil_rwst,4,FALSE)+SUMIF($D$5:$D$319,"=kam",AP5:AP319)*HLOOKUP(AK322,Verteil_rwst,5,FALSE)+SUMIF($D$5:$D$319,"=kar",AP5:AP319)*HLOOKUP(AK322,Verteil_rwst,6,FALSE)+SUMIF($D$5:$D$319,"=kaz",AP5:AP319)*HLOOKUP(AK322,Verteil_rwst,7,FALSE)</f>
        <v>0</v>
      </c>
      <c r="AQ377" s="166">
        <f>SUMIF($D$5:$D$319,"=kas",AQ5:AQ319)*HLOOKUP(AK322,Verteil_rwst,4,FALSE)+SUMIF($D$5:$D$319,"=kam",AQ5:AQ319)*HLOOKUP(AK322,Verteil_rwst,5,FALSE)+SUMIF($D$5:$D$319,"=kar",AQ5:AQ319)*HLOOKUP(AK322,Verteil_rwst,6,FALSE)+SUMIF($D$5:$D$319,"=kaz",AQ5:AQ319)*HLOOKUP(AK322,Verteil_rwst,7,FALSE)</f>
        <v>0</v>
      </c>
      <c r="AR377" s="381"/>
      <c r="AW377" s="90">
        <f>IF(AX374&lt;&gt;0,AX377/AX374,0)</f>
        <v>0</v>
      </c>
      <c r="AX377" s="166">
        <f>ROUND((BC377+BD377/2)*HLOOKUP(AX322,Grund_zins,2,FALSE),2)</f>
        <v>0</v>
      </c>
      <c r="AZ377" s="565" t="s">
        <v>397</v>
      </c>
      <c r="BC377" s="166">
        <f>SUMIF($D$5:$D$319,"=kas",BC5:BC319)*HLOOKUP(AX322,Verteil_rwst,4,FALSE)+SUMIF($D$5:$D$319,"=kam",BC5:BC319)*HLOOKUP(AX322,Verteil_rwst,5,FALSE)+SUMIF($D$5:$D$319,"=kar",BC5:BC319)*HLOOKUP(AX322,Verteil_rwst,6,FALSE)+SUMIF($D$5:$D$319,"=kaz",BC5:BC319)*HLOOKUP(AX322,Verteil_rwst,7,FALSE)</f>
        <v>0</v>
      </c>
      <c r="BD377" s="166">
        <f>SUMIF($D$5:$D$319,"=kas",BD5:BD319)*HLOOKUP(AX322,Verteil_rwst,4,FALSE)+SUMIF($D$5:$D$319,"=kam",BD5:BD319)*HLOOKUP(AX322,Verteil_rwst,5,FALSE)+SUMIF($D$5:$D$319,"=kar",BD5:BD319)*HLOOKUP(AX322,Verteil_rwst,6,FALSE)+SUMIF($D$5:$D$319,"=kaz",BD5:BD319)*HLOOKUP(AX322,Verteil_rwst,7,FALSE)</f>
        <v>0</v>
      </c>
      <c r="BE377" s="381"/>
      <c r="BJ377" s="90">
        <f>IF(BK374&lt;&gt;0,BK377/BK374,0)</f>
        <v>0</v>
      </c>
      <c r="BK377" s="166">
        <f>ROUND((BP377+BQ377/2)*HLOOKUP(BK322,Grund_zins,2,FALSE),2)</f>
        <v>0</v>
      </c>
      <c r="BM377" s="565" t="s">
        <v>397</v>
      </c>
      <c r="BP377" s="166">
        <f>SUMIF($D$5:$D$319,"=kas",BP5:BP319)*HLOOKUP(BK322,Verteil_rwst,4,FALSE)+SUMIF($D$5:$D$319,"=kam",BP5:BP319)*HLOOKUP(BK322,Verteil_rwst,5,FALSE)+SUMIF($D$5:$D$319,"=kar",BP5:BP319)*HLOOKUP(BK322,Verteil_rwst,6,FALSE)+SUMIF($D$5:$D$319,"=kaz",BP5:BP319)*HLOOKUP(BK322,Verteil_rwst,7,FALSE)</f>
        <v>0</v>
      </c>
      <c r="BQ377" s="166">
        <f>SUMIF($D$5:$D$319,"=kas",BQ5:BQ319)*HLOOKUP(BK322,Verteil_rwst,4,FALSE)+SUMIF($D$5:$D$319,"=kam",BQ5:BQ319)*HLOOKUP(BK322,Verteil_rwst,5,FALSE)+SUMIF($D$5:$D$319,"=kar",BQ5:BQ319)*HLOOKUP(BK322,Verteil_rwst,6,FALSE)+SUMIF($D$5:$D$319,"=kaz",BQ5:BQ319)*HLOOKUP(BK322,Verteil_rwst,7,FALSE)</f>
        <v>0</v>
      </c>
      <c r="BR377" s="381"/>
      <c r="BW377" s="90">
        <f>IF(BX374&lt;&gt;0,BX377/BX374,0)</f>
        <v>0</v>
      </c>
      <c r="BX377" s="166">
        <f>ROUND((CC377+CD377/2)*HLOOKUP(BX322,Grund_zins,2,FALSE),2)</f>
        <v>0</v>
      </c>
      <c r="BZ377" s="565" t="s">
        <v>397</v>
      </c>
      <c r="CC377" s="166">
        <f>SUMIF($D$5:$D$319,"=kas",CC5:CC319)*HLOOKUP(BX322,Verteil_rwst,4,FALSE)+SUMIF($D$5:$D$319,"=kam",CC5:CC319)*HLOOKUP(BX322,Verteil_rwst,5,FALSE)+SUMIF($D$5:$D$319,"=kar",CC5:CC319)*HLOOKUP(BX322,Verteil_rwst,6,FALSE)+SUMIF($D$5:$D$319,"=kaz",CC5:CC319)*HLOOKUP(BX322,Verteil_rwst,7,FALSE)</f>
        <v>0</v>
      </c>
      <c r="CD377" s="166">
        <f>SUMIF($D$5:$D$319,"=kas",CD5:CD319)*HLOOKUP(BX322,Verteil_rwst,4,FALSE)+SUMIF($D$5:$D$319,"=kam",CD5:CD319)*HLOOKUP(BX322,Verteil_rwst,5,FALSE)+SUMIF($D$5:$D$319,"=kar",CD5:CD319)*HLOOKUP(BX322,Verteil_rwst,6,FALSE)+SUMIF($D$5:$D$319,"=kaz",CD5:CD319)*HLOOKUP(BX322,Verteil_rwst,7,FALSE)</f>
        <v>0</v>
      </c>
      <c r="CE377" s="381"/>
      <c r="CJ377" s="90">
        <f>IF(CK374&lt;&gt;0,CK377/CK374,0)</f>
        <v>0</v>
      </c>
      <c r="CK377" s="166">
        <f>ROUND((CP377+CQ377/2)*HLOOKUP(CK322,Grund_zins,2,FALSE),2)</f>
        <v>0</v>
      </c>
      <c r="CM377" s="565" t="s">
        <v>397</v>
      </c>
      <c r="CP377" s="166">
        <f>SUMIF($D$5:$D$319,"=kas",CP5:CP319)*HLOOKUP(CK322,Verteil_rwst,4,FALSE)+SUMIF($D$5:$D$319,"=kam",CP5:CP319)*HLOOKUP(CK322,Verteil_rwst,5,FALSE)+SUMIF($D$5:$D$319,"=kar",CP5:CP319)*HLOOKUP(CK322,Verteil_rwst,6,FALSE)+SUMIF($D$5:$D$319,"=kaz",CP5:CP319)*HLOOKUP(CK322,Verteil_rwst,7,FALSE)</f>
        <v>0</v>
      </c>
      <c r="CQ377" s="166">
        <f>SUMIF($D$5:$D$319,"=kas",CQ5:CQ319)*HLOOKUP(CK322,Verteil_rwst,4,FALSE)+SUMIF($D$5:$D$319,"=kam",CQ5:CQ319)*HLOOKUP(CK322,Verteil_rwst,5,FALSE)+SUMIF($D$5:$D$319,"=kar",CQ5:CQ319)*HLOOKUP(CK322,Verteil_rwst,6,FALSE)+SUMIF($D$5:$D$319,"=kaz",CQ5:CQ319)*HLOOKUP(CK322,Verteil_rwst,7,FALSE)</f>
        <v>0</v>
      </c>
      <c r="CR377" s="381"/>
      <c r="CW377" s="90">
        <f>IF(CX374&lt;&gt;0,CX377/CX374,0)</f>
        <v>0</v>
      </c>
      <c r="CX377" s="166">
        <f>ROUND((DC377+DD377/2)*HLOOKUP(CX322,Grund_zins,2,FALSE),2)</f>
        <v>0</v>
      </c>
      <c r="CZ377" s="565" t="s">
        <v>397</v>
      </c>
      <c r="DC377" s="166">
        <f>SUMIF($D$5:$D$319,"=kas",DC5:DC319)*HLOOKUP(CX322,Verteil_rwst,4,FALSE)+SUMIF($D$5:$D$319,"=kam",DC5:DC319)*HLOOKUP(CX322,Verteil_rwst,5,FALSE)+SUMIF($D$5:$D$319,"=kar",DC5:DC319)*HLOOKUP(CX322,Verteil_rwst,6,FALSE)+SUMIF($D$5:$D$319,"=kaz",DC5:DC319)*HLOOKUP(CX322,Verteil_rwst,7,FALSE)</f>
        <v>0</v>
      </c>
      <c r="DD377" s="166">
        <f>SUMIF($D$5:$D$319,"=kas",DD5:DD319)*HLOOKUP(CX322,Verteil_rwst,4,FALSE)+SUMIF($D$5:$D$319,"=kam",DD5:DD319)*HLOOKUP(CX322,Verteil_rwst,5,FALSE)+SUMIF($D$5:$D$319,"=kar",DD5:DD319)*HLOOKUP(CX322,Verteil_rwst,6,FALSE)+SUMIF($D$5:$D$319,"=kaz",DD5:DD319)*HLOOKUP(CX322,Verteil_rwst,7,FALSE)</f>
        <v>0</v>
      </c>
      <c r="DE377" s="381"/>
      <c r="DJ377" s="90">
        <f>IF(DK374&lt;&gt;0,DK377/DK374,0)</f>
        <v>0</v>
      </c>
      <c r="DK377" s="166">
        <f>ROUND((DP377+DQ377/2)*HLOOKUP(DK322,Grund_zins,2,FALSE),2)</f>
        <v>0</v>
      </c>
      <c r="DM377" s="565" t="s">
        <v>397</v>
      </c>
      <c r="DP377" s="166">
        <f>SUMIF($D$5:$D$319,"=kas",DP5:DP319)*HLOOKUP(DK322,Verteil_rwst,4,FALSE)+SUMIF($D$5:$D$319,"=kam",DP5:DP319)*HLOOKUP(DK322,Verteil_rwst,5,FALSE)+SUMIF($D$5:$D$319,"=kar",DP5:DP319)*HLOOKUP(DK322,Verteil_rwst,6,FALSE)+SUMIF($D$5:$D$319,"=kaz",DP5:DP319)*HLOOKUP(DK322,Verteil_rwst,7,FALSE)</f>
        <v>0</v>
      </c>
      <c r="DQ377" s="166">
        <f>SUMIF($D$5:$D$319,"=kas",DQ5:DQ319)*HLOOKUP(DK322,Verteil_rwst,4,FALSE)+SUMIF($D$5:$D$319,"=kam",DQ5:DQ319)*HLOOKUP(DK322,Verteil_rwst,5,FALSE)+SUMIF($D$5:$D$319,"=kar",DQ5:DQ319)*HLOOKUP(DK322,Verteil_rwst,6,FALSE)+SUMIF($D$5:$D$319,"=kaz",DQ5:DQ319)*HLOOKUP(DK322,Verteil_rwst,7,FALSE)</f>
        <v>0</v>
      </c>
      <c r="DR377" s="381"/>
      <c r="DW377" s="90">
        <f>IF(DX374&lt;&gt;0,DX377/DX374,0)</f>
        <v>0</v>
      </c>
      <c r="DX377" s="166">
        <f>ROUND((EC377+ED377/2)*HLOOKUP(DX322,Grund_zins,2,FALSE),2)</f>
        <v>0</v>
      </c>
      <c r="DZ377" s="565" t="s">
        <v>397</v>
      </c>
      <c r="EC377" s="166">
        <f>SUMIF($D$5:$D$319,"=kas",EC5:EC319)*HLOOKUP(DX322,Verteil_rwst,4,FALSE)+SUMIF($D$5:$D$319,"=kam",EC5:EC319)*HLOOKUP(DX322,Verteil_rwst,5,FALSE)+SUMIF($D$5:$D$319,"=kar",EC5:EC319)*HLOOKUP(DX322,Verteil_rwst,6,FALSE)+SUMIF($D$5:$D$319,"=kaz",EC5:EC319)*HLOOKUP(DX322,Verteil_rwst,7,FALSE)</f>
        <v>0</v>
      </c>
      <c r="ED377" s="166">
        <f>SUMIF($D$5:$D$319,"=kas",ED5:ED319)*HLOOKUP(DX322,Verteil_rwst,4,FALSE)+SUMIF($D$5:$D$319,"=kam",ED5:ED319)*HLOOKUP(DX322,Verteil_rwst,5,FALSE)+SUMIF($D$5:$D$319,"=kar",ED5:ED319)*HLOOKUP(DX322,Verteil_rwst,6,FALSE)+SUMIF($D$5:$D$319,"=kaz",ED5:ED319)*HLOOKUP(DX322,Verteil_rwst,7,FALSE)</f>
        <v>0</v>
      </c>
    </row>
    <row r="378" spans="1:134" s="10" customFormat="1" ht="15" customHeight="1" x14ac:dyDescent="0.35">
      <c r="A378" s="564" t="s">
        <v>398</v>
      </c>
      <c r="Q378" s="225">
        <v>57</v>
      </c>
      <c r="R378" s="381"/>
      <c r="W378" s="90">
        <f t="shared" ref="W378" si="1361">SUM(W379:W381)</f>
        <v>0</v>
      </c>
      <c r="X378" s="166">
        <f>ROUND((AC378+AD378/2)*HLOOKUP(X322,Grund_zins,2,FALSE),2)</f>
        <v>0</v>
      </c>
      <c r="Z378" s="564" t="s">
        <v>398</v>
      </c>
      <c r="AC378" s="166">
        <f>SUMIF($D$5:$D$319,"=klm",AC5:AC319)+SUMIF($D$5:$D$319,"=kls",AC5:AC319)+SUMIF($D$5:$D$319,"=klr",AC5:AC319)+SUMIF($D$5:$D$319,"=klk",AC5:AC319)+SUMIF($D$5:$D$319,"=klz",AC5:AC319)</f>
        <v>0</v>
      </c>
      <c r="AD378" s="166">
        <f>SUMIF($D$5:$D$319,"=klm",AD5:AD319)+SUMIF($D$5:$D$319,"=kls",AD5:AD319)+SUMIF($D$5:$D$319,"=klr",AD5:AD319)+SUMIF($D$5:$D$319,"=klk",AD5:AD319)+SUMIF($D$5:$D$319,"=klz",AD5:AD319)</f>
        <v>0</v>
      </c>
      <c r="AE378" s="381"/>
      <c r="AJ378" s="90">
        <f t="shared" ref="AJ378" si="1362">SUM(AJ379:AJ381)</f>
        <v>0</v>
      </c>
      <c r="AK378" s="166">
        <f>ROUND((AP378+AQ378/2)*HLOOKUP(AK322,Grund_zins,2,FALSE),2)</f>
        <v>0</v>
      </c>
      <c r="AM378" s="564" t="s">
        <v>398</v>
      </c>
      <c r="AP378" s="166">
        <f>SUMIF($D$5:$D$319,"=klm",AP5:AP319)+SUMIF($D$5:$D$319,"=kls",AP5:AP319)+SUMIF($D$5:$D$319,"=klr",AP5:AP319)+SUMIF($D$5:$D$319,"=klk",AP5:AP319)+SUMIF($D$5:$D$319,"=klz",AP5:AP319)</f>
        <v>0</v>
      </c>
      <c r="AQ378" s="166">
        <f>SUMIF($D$5:$D$319,"=klm",AQ5:AQ319)+SUMIF($D$5:$D$319,"=kls",AQ5:AQ319)+SUMIF($D$5:$D$319,"=klr",AQ5:AQ319)+SUMIF($D$5:$D$319,"=klk",AQ5:AQ319)+SUMIF($D$5:$D$319,"=klz",AQ5:AQ319)</f>
        <v>0</v>
      </c>
      <c r="AR378" s="381"/>
      <c r="AW378" s="90">
        <f t="shared" ref="AW378" si="1363">SUM(AW379:AW381)</f>
        <v>0</v>
      </c>
      <c r="AX378" s="166">
        <f>ROUND((BC378+BD378/2)*HLOOKUP(AX322,Grund_zins,2,FALSE),2)</f>
        <v>0</v>
      </c>
      <c r="AZ378" s="564" t="s">
        <v>398</v>
      </c>
      <c r="BC378" s="166">
        <f>SUMIF($D$5:$D$319,"=klm",BC5:BC319)+SUMIF($D$5:$D$319,"=kls",BC5:BC319)+SUMIF($D$5:$D$319,"=klr",BC5:BC319)+SUMIF($D$5:$D$319,"=klk",BC5:BC319)+SUMIF($D$5:$D$319,"=klz",BC5:BC319)</f>
        <v>0</v>
      </c>
      <c r="BD378" s="166">
        <f>SUMIF($D$5:$D$319,"=klm",BD5:BD319)+SUMIF($D$5:$D$319,"=kls",BD5:BD319)+SUMIF($D$5:$D$319,"=klr",BD5:BD319)+SUMIF($D$5:$D$319,"=klk",BD5:BD319)+SUMIF($D$5:$D$319,"=klz",BD5:BD319)</f>
        <v>0</v>
      </c>
      <c r="BE378" s="381"/>
      <c r="BJ378" s="90">
        <f t="shared" ref="BJ378" si="1364">SUM(BJ379:BJ381)</f>
        <v>0</v>
      </c>
      <c r="BK378" s="166">
        <f>ROUND((BP378+BQ378/2)*HLOOKUP(BK322,Grund_zins,2,FALSE),2)</f>
        <v>0</v>
      </c>
      <c r="BM378" s="564" t="s">
        <v>398</v>
      </c>
      <c r="BP378" s="166">
        <f>SUMIF($D$5:$D$319,"=klm",BP5:BP319)+SUMIF($D$5:$D$319,"=kls",BP5:BP319)+SUMIF($D$5:$D$319,"=klr",BP5:BP319)+SUMIF($D$5:$D$319,"=klk",BP5:BP319)+SUMIF($D$5:$D$319,"=klz",BP5:BP319)</f>
        <v>0</v>
      </c>
      <c r="BQ378" s="166">
        <f>SUMIF($D$5:$D$319,"=klm",BQ5:BQ319)+SUMIF($D$5:$D$319,"=kls",BQ5:BQ319)+SUMIF($D$5:$D$319,"=klr",BQ5:BQ319)+SUMIF($D$5:$D$319,"=klk",BQ5:BQ319)+SUMIF($D$5:$D$319,"=klz",BQ5:BQ319)</f>
        <v>0</v>
      </c>
      <c r="BR378" s="381"/>
      <c r="BW378" s="90">
        <f t="shared" ref="BW378" si="1365">SUM(BW379:BW381)</f>
        <v>0</v>
      </c>
      <c r="BX378" s="166">
        <f>ROUND((CC378+CD378/2)*HLOOKUP(BX322,Grund_zins,2,FALSE),2)</f>
        <v>0</v>
      </c>
      <c r="BZ378" s="564" t="s">
        <v>398</v>
      </c>
      <c r="CC378" s="166">
        <f>SUMIF($D$5:$D$319,"=klm",CC5:CC319)+SUMIF($D$5:$D$319,"=kls",CC5:CC319)+SUMIF($D$5:$D$319,"=klr",CC5:CC319)+SUMIF($D$5:$D$319,"=klk",CC5:CC319)+SUMIF($D$5:$D$319,"=klz",CC5:CC319)</f>
        <v>0</v>
      </c>
      <c r="CD378" s="166">
        <f>SUMIF($D$5:$D$319,"=klm",CD5:CD319)+SUMIF($D$5:$D$319,"=kls",CD5:CD319)+SUMIF($D$5:$D$319,"=klr",CD5:CD319)+SUMIF($D$5:$D$319,"=klk",CD5:CD319)+SUMIF($D$5:$D$319,"=klz",CD5:CD319)</f>
        <v>0</v>
      </c>
      <c r="CE378" s="381"/>
      <c r="CJ378" s="90">
        <f t="shared" ref="CJ378" si="1366">SUM(CJ379:CJ381)</f>
        <v>0</v>
      </c>
      <c r="CK378" s="166">
        <f>ROUND((CP378+CQ378/2)*HLOOKUP(CK322,Grund_zins,2,FALSE),2)</f>
        <v>0</v>
      </c>
      <c r="CM378" s="564" t="s">
        <v>398</v>
      </c>
      <c r="CP378" s="166">
        <f>SUMIF($D$5:$D$319,"=klm",CP5:CP319)+SUMIF($D$5:$D$319,"=kls",CP5:CP319)+SUMIF($D$5:$D$319,"=klr",CP5:CP319)+SUMIF($D$5:$D$319,"=klk",CP5:CP319)+SUMIF($D$5:$D$319,"=klz",CP5:CP319)</f>
        <v>0</v>
      </c>
      <c r="CQ378" s="166">
        <f>SUMIF($D$5:$D$319,"=klm",CQ5:CQ319)+SUMIF($D$5:$D$319,"=kls",CQ5:CQ319)+SUMIF($D$5:$D$319,"=klr",CQ5:CQ319)+SUMIF($D$5:$D$319,"=klk",CQ5:CQ319)+SUMIF($D$5:$D$319,"=klz",CQ5:CQ319)</f>
        <v>0</v>
      </c>
      <c r="CR378" s="381"/>
      <c r="CW378" s="90">
        <f t="shared" ref="CW378" si="1367">SUM(CW379:CW381)</f>
        <v>0</v>
      </c>
      <c r="CX378" s="166">
        <f>ROUND((DC378+DD378/2)*HLOOKUP(CX322,Grund_zins,2,FALSE),2)</f>
        <v>0</v>
      </c>
      <c r="CZ378" s="564" t="s">
        <v>398</v>
      </c>
      <c r="DC378" s="166">
        <f>SUMIF($D$5:$D$319,"=klm",DC5:DC319)+SUMIF($D$5:$D$319,"=kls",DC5:DC319)+SUMIF($D$5:$D$319,"=klr",DC5:DC319)+SUMIF($D$5:$D$319,"=klk",DC5:DC319)+SUMIF($D$5:$D$319,"=klz",DC5:DC319)</f>
        <v>0</v>
      </c>
      <c r="DD378" s="166">
        <f>SUMIF($D$5:$D$319,"=klm",DD5:DD319)+SUMIF($D$5:$D$319,"=kls",DD5:DD319)+SUMIF($D$5:$D$319,"=klr",DD5:DD319)+SUMIF($D$5:$D$319,"=klk",DD5:DD319)+SUMIF($D$5:$D$319,"=klz",DD5:DD319)</f>
        <v>0</v>
      </c>
      <c r="DE378" s="381"/>
      <c r="DJ378" s="90">
        <f t="shared" ref="DJ378" si="1368">SUM(DJ379:DJ381)</f>
        <v>0</v>
      </c>
      <c r="DK378" s="166">
        <f>ROUND((DP378+DQ378/2)*HLOOKUP(DK322,Grund_zins,2,FALSE),2)</f>
        <v>0</v>
      </c>
      <c r="DM378" s="564" t="s">
        <v>398</v>
      </c>
      <c r="DP378" s="166">
        <f>SUMIF($D$5:$D$319,"=klm",DP5:DP319)+SUMIF($D$5:$D$319,"=kls",DP5:DP319)+SUMIF($D$5:$D$319,"=klr",DP5:DP319)+SUMIF($D$5:$D$319,"=klk",DP5:DP319)+SUMIF($D$5:$D$319,"=klz",DP5:DP319)</f>
        <v>0</v>
      </c>
      <c r="DQ378" s="166">
        <f>SUMIF($D$5:$D$319,"=klm",DQ5:DQ319)+SUMIF($D$5:$D$319,"=kls",DQ5:DQ319)+SUMIF($D$5:$D$319,"=klr",DQ5:DQ319)+SUMIF($D$5:$D$319,"=klk",DQ5:DQ319)+SUMIF($D$5:$D$319,"=klz",DQ5:DQ319)</f>
        <v>0</v>
      </c>
      <c r="DR378" s="381"/>
      <c r="DW378" s="90">
        <f t="shared" ref="DW378" si="1369">SUM(DW379:DW381)</f>
        <v>0</v>
      </c>
      <c r="DX378" s="166">
        <f>ROUND((EC378+ED378/2)*HLOOKUP(DX322,Grund_zins,2,FALSE),2)</f>
        <v>0</v>
      </c>
      <c r="DZ378" s="564" t="s">
        <v>398</v>
      </c>
      <c r="EC378" s="166">
        <f>SUMIF($D$5:$D$319,"=klm",EC5:EC319)+SUMIF($D$5:$D$319,"=kls",EC5:EC319)+SUMIF($D$5:$D$319,"=klr",EC5:EC319)+SUMIF($D$5:$D$319,"=klk",EC5:EC319)+SUMIF($D$5:$D$319,"=klz",EC5:EC319)</f>
        <v>0</v>
      </c>
      <c r="ED378" s="166">
        <f>SUMIF($D$5:$D$319,"=klm",ED5:ED319)+SUMIF($D$5:$D$319,"=kls",ED5:ED319)+SUMIF($D$5:$D$319,"=klr",ED5:ED319)+SUMIF($D$5:$D$319,"=klk",ED5:ED319)+SUMIF($D$5:$D$319,"=klz",ED5:ED319)</f>
        <v>0</v>
      </c>
    </row>
    <row r="379" spans="1:134" s="10" customFormat="1" ht="15" customHeight="1" x14ac:dyDescent="0.35">
      <c r="A379" s="565" t="s">
        <v>169</v>
      </c>
      <c r="Q379" s="225">
        <v>58</v>
      </c>
      <c r="R379" s="381"/>
      <c r="W379" s="90">
        <f t="shared" ref="W379" si="1370">IF(X378&lt;&gt;0,X379/X378,0)</f>
        <v>0</v>
      </c>
      <c r="X379" s="166">
        <f>ROUND((AC379+AD379/2)*HLOOKUP(X322,Grund_zins,2,FALSE),2)</f>
        <v>0</v>
      </c>
      <c r="Z379" s="565" t="s">
        <v>169</v>
      </c>
      <c r="AC379" s="166">
        <f>SUMIF($D$5:$D$319,"=kls",AC5:AC319)*HLOOKUP(X322,Verteil_sw,11,FALSE)+SUMIF($D$5:$D$319,"=klm",AC5:AC319)*HLOOKUP(X322,Verteil_sw,12,FALSE)+SUMIF($D$5:$D$319,"=klr",AC5:AC319)*HLOOKUP(X322,Verteil_sw,13,FALSE)+SUMIF($D$5:$D$319,"=klk",AC5:AC319)*HLOOKUP(X322,Verteil_sw,14,FALSE)+SUMIF($D$5:$D$319,"=klz",AC5:AC319)*HLOOKUP(X322,Verteil_sw,15,FALSE)</f>
        <v>0</v>
      </c>
      <c r="AD379" s="166">
        <f>SUMIF($D$5:$D$319,"=kls",AD5:AD319)*HLOOKUP(X322,Verteil_sw,11,FALSE)+SUMIF($D$5:$D$319,"=klm",AD5:AD319)*HLOOKUP(X322,Verteil_sw,12,FALSE)+SUMIF($D$5:$D$319,"=klr",AD5:AD319)*HLOOKUP(X322,Verteil_sw,13,FALSE)+SUMIF($D$5:$D$319,"=klk",AD5:AD319)*HLOOKUP(X322,Verteil_sw,14,FALSE)+SUMIF($D$5:$D$319,"=klz",AD5:AD319)*HLOOKUP(X322,Verteil_sw,15,FALSE)</f>
        <v>0</v>
      </c>
      <c r="AE379" s="381"/>
      <c r="AJ379" s="90">
        <f t="shared" ref="AJ379" si="1371">IF(AK378&lt;&gt;0,AK379/AK378,0)</f>
        <v>0</v>
      </c>
      <c r="AK379" s="166">
        <f>ROUND((AP379+AQ379/2)*HLOOKUP(AK322,Grund_zins,2,FALSE),2)</f>
        <v>0</v>
      </c>
      <c r="AM379" s="565" t="s">
        <v>169</v>
      </c>
      <c r="AP379" s="166">
        <f>SUMIF($D$5:$D$319,"=kls",AP5:AP319)*HLOOKUP(AK322,Verteil_sw,11,FALSE)+SUMIF($D$5:$D$319,"=klm",AP5:AP319)*HLOOKUP(AK322,Verteil_sw,12,FALSE)+SUMIF($D$5:$D$319,"=klr",AP5:AP319)*HLOOKUP(AK322,Verteil_sw,13,FALSE)+SUMIF($D$5:$D$319,"=klk",AP5:AP319)*HLOOKUP(AK322,Verteil_sw,14,FALSE)+SUMIF($D$5:$D$319,"=klz",AP5:AP319)*HLOOKUP(AK322,Verteil_sw,15,FALSE)</f>
        <v>0</v>
      </c>
      <c r="AQ379" s="166">
        <f>SUMIF($D$5:$D$319,"=kls",AQ5:AQ319)*HLOOKUP(AK322,Verteil_sw,11,FALSE)+SUMIF($D$5:$D$319,"=klm",AQ5:AQ319)*HLOOKUP(AK322,Verteil_sw,12,FALSE)+SUMIF($D$5:$D$319,"=klr",AQ5:AQ319)*HLOOKUP(AK322,Verteil_sw,13,FALSE)+SUMIF($D$5:$D$319,"=klk",AQ5:AQ319)*HLOOKUP(AK322,Verteil_sw,14,FALSE)+SUMIF($D$5:$D$319,"=klz",AQ5:AQ319)*HLOOKUP(AK322,Verteil_sw,15,FALSE)</f>
        <v>0</v>
      </c>
      <c r="AR379" s="381"/>
      <c r="AW379" s="90">
        <f t="shared" ref="AW379" si="1372">IF(AX378&lt;&gt;0,AX379/AX378,0)</f>
        <v>0</v>
      </c>
      <c r="AX379" s="166">
        <f>ROUND((BC379+BD379/2)*HLOOKUP(AX322,Grund_zins,2,FALSE),2)</f>
        <v>0</v>
      </c>
      <c r="AZ379" s="565" t="s">
        <v>169</v>
      </c>
      <c r="BC379" s="166">
        <f>SUMIF($D$5:$D$319,"=kls",BC5:BC319)*HLOOKUP(AX322,Verteil_sw,11,FALSE)+SUMIF($D$5:$D$319,"=klm",BC5:BC319)*HLOOKUP(AX322,Verteil_sw,12,FALSE)+SUMIF($D$5:$D$319,"=klr",BC5:BC319)*HLOOKUP(AX322,Verteil_sw,13,FALSE)+SUMIF($D$5:$D$319,"=klk",BC5:BC319)*HLOOKUP(AX322,Verteil_sw,14,FALSE)+SUMIF($D$5:$D$319,"=klz",BC5:BC319)*HLOOKUP(AX322,Verteil_sw,15,FALSE)</f>
        <v>0</v>
      </c>
      <c r="BD379" s="166">
        <f>SUMIF($D$5:$D$319,"=kls",BD5:BD319)*HLOOKUP(AX322,Verteil_sw,11,FALSE)+SUMIF($D$5:$D$319,"=klm",BD5:BD319)*HLOOKUP(AX322,Verteil_sw,12,FALSE)+SUMIF($D$5:$D$319,"=klr",BD5:BD319)*HLOOKUP(AX322,Verteil_sw,13,FALSE)+SUMIF($D$5:$D$319,"=klk",BD5:BD319)*HLOOKUP(AX322,Verteil_sw,14,FALSE)+SUMIF($D$5:$D$319,"=klz",BD5:BD319)*HLOOKUP(AX322,Verteil_sw,15,FALSE)</f>
        <v>0</v>
      </c>
      <c r="BE379" s="381"/>
      <c r="BJ379" s="90">
        <f t="shared" ref="BJ379" si="1373">IF(BK378&lt;&gt;0,BK379/BK378,0)</f>
        <v>0</v>
      </c>
      <c r="BK379" s="166">
        <f>ROUND((BP379+BQ379/2)*HLOOKUP(BK322,Grund_zins,2,FALSE),2)</f>
        <v>0</v>
      </c>
      <c r="BM379" s="565" t="s">
        <v>169</v>
      </c>
      <c r="BP379" s="166">
        <f>SUMIF($D$5:$D$319,"=kls",BP5:BP319)*HLOOKUP(BK322,Verteil_sw,11,FALSE)+SUMIF($D$5:$D$319,"=klm",BP5:BP319)*HLOOKUP(BK322,Verteil_sw,12,FALSE)+SUMIF($D$5:$D$319,"=klr",BP5:BP319)*HLOOKUP(BK322,Verteil_sw,13,FALSE)+SUMIF($D$5:$D$319,"=klk",BP5:BP319)*HLOOKUP(BK322,Verteil_sw,14,FALSE)+SUMIF($D$5:$D$319,"=klz",BP5:BP319)*HLOOKUP(BK322,Verteil_sw,15,FALSE)</f>
        <v>0</v>
      </c>
      <c r="BQ379" s="166">
        <f>SUMIF($D$5:$D$319,"=kls",BQ5:BQ319)*HLOOKUP(BK322,Verteil_sw,11,FALSE)+SUMIF($D$5:$D$319,"=klm",BQ5:BQ319)*HLOOKUP(BK322,Verteil_sw,12,FALSE)+SUMIF($D$5:$D$319,"=klr",BQ5:BQ319)*HLOOKUP(BK322,Verteil_sw,13,FALSE)+SUMIF($D$5:$D$319,"=klk",BQ5:BQ319)*HLOOKUP(BK322,Verteil_sw,14,FALSE)+SUMIF($D$5:$D$319,"=klz",BQ5:BQ319)*HLOOKUP(BK322,Verteil_sw,15,FALSE)</f>
        <v>0</v>
      </c>
      <c r="BR379" s="381"/>
      <c r="BW379" s="90">
        <f t="shared" ref="BW379" si="1374">IF(BX378&lt;&gt;0,BX379/BX378,0)</f>
        <v>0</v>
      </c>
      <c r="BX379" s="166">
        <f>ROUND((CC379+CD379/2)*HLOOKUP(BX322,Grund_zins,2,FALSE),2)</f>
        <v>0</v>
      </c>
      <c r="BZ379" s="565" t="s">
        <v>169</v>
      </c>
      <c r="CC379" s="166">
        <f>SUMIF($D$5:$D$319,"=kls",CC5:CC319)*HLOOKUP(BX322,Verteil_sw,11,FALSE)+SUMIF($D$5:$D$319,"=klm",CC5:CC319)*HLOOKUP(BX322,Verteil_sw,12,FALSE)+SUMIF($D$5:$D$319,"=klr",CC5:CC319)*HLOOKUP(BX322,Verteil_sw,13,FALSE)+SUMIF($D$5:$D$319,"=klk",CC5:CC319)*HLOOKUP(BX322,Verteil_sw,14,FALSE)+SUMIF($D$5:$D$319,"=klz",CC5:CC319)*HLOOKUP(BX322,Verteil_sw,15,FALSE)</f>
        <v>0</v>
      </c>
      <c r="CD379" s="166">
        <f>SUMIF($D$5:$D$319,"=kls",CD5:CD319)*HLOOKUP(BX322,Verteil_sw,11,FALSE)+SUMIF($D$5:$D$319,"=klm",CD5:CD319)*HLOOKUP(BX322,Verteil_sw,12,FALSE)+SUMIF($D$5:$D$319,"=klr",CD5:CD319)*HLOOKUP(BX322,Verteil_sw,13,FALSE)+SUMIF($D$5:$D$319,"=klk",CD5:CD319)*HLOOKUP(BX322,Verteil_sw,14,FALSE)+SUMIF($D$5:$D$319,"=klz",CD5:CD319)*HLOOKUP(BX322,Verteil_sw,15,FALSE)</f>
        <v>0</v>
      </c>
      <c r="CE379" s="381"/>
      <c r="CJ379" s="90">
        <f t="shared" ref="CJ379" si="1375">IF(CK378&lt;&gt;0,CK379/CK378,0)</f>
        <v>0</v>
      </c>
      <c r="CK379" s="166">
        <f>ROUND((CP379+CQ379/2)*HLOOKUP(CK322,Grund_zins,2,FALSE),2)</f>
        <v>0</v>
      </c>
      <c r="CM379" s="565" t="s">
        <v>169</v>
      </c>
      <c r="CP379" s="166">
        <f>SUMIF($D$5:$D$319,"=kls",CP5:CP319)*HLOOKUP(CK322,Verteil_sw,11,FALSE)+SUMIF($D$5:$D$319,"=klm",CP5:CP319)*HLOOKUP(CK322,Verteil_sw,12,FALSE)+SUMIF($D$5:$D$319,"=klr",CP5:CP319)*HLOOKUP(CK322,Verteil_sw,13,FALSE)+SUMIF($D$5:$D$319,"=klk",CP5:CP319)*HLOOKUP(CK322,Verteil_sw,14,FALSE)+SUMIF($D$5:$D$319,"=klz",CP5:CP319)*HLOOKUP(CK322,Verteil_sw,15,FALSE)</f>
        <v>0</v>
      </c>
      <c r="CQ379" s="166">
        <f>SUMIF($D$5:$D$319,"=kls",CQ5:CQ319)*HLOOKUP(CK322,Verteil_sw,11,FALSE)+SUMIF($D$5:$D$319,"=klm",CQ5:CQ319)*HLOOKUP(CK322,Verteil_sw,12,FALSE)+SUMIF($D$5:$D$319,"=klr",CQ5:CQ319)*HLOOKUP(CK322,Verteil_sw,13,FALSE)+SUMIF($D$5:$D$319,"=klk",CQ5:CQ319)*HLOOKUP(CK322,Verteil_sw,14,FALSE)+SUMIF($D$5:$D$319,"=klz",CQ5:CQ319)*HLOOKUP(CK322,Verteil_sw,15,FALSE)</f>
        <v>0</v>
      </c>
      <c r="CR379" s="381"/>
      <c r="CW379" s="90">
        <f t="shared" ref="CW379" si="1376">IF(CX378&lt;&gt;0,CX379/CX378,0)</f>
        <v>0</v>
      </c>
      <c r="CX379" s="166">
        <f>ROUND((DC379+DD379/2)*HLOOKUP(CX322,Grund_zins,2,FALSE),2)</f>
        <v>0</v>
      </c>
      <c r="CZ379" s="565" t="s">
        <v>169</v>
      </c>
      <c r="DC379" s="166">
        <f>SUMIF($D$5:$D$319,"=kls",DC5:DC319)*HLOOKUP(CX322,Verteil_sw,11,FALSE)+SUMIF($D$5:$D$319,"=klm",DC5:DC319)*HLOOKUP(CX322,Verteil_sw,12,FALSE)+SUMIF($D$5:$D$319,"=klr",DC5:DC319)*HLOOKUP(CX322,Verteil_sw,13,FALSE)+SUMIF($D$5:$D$319,"=klk",DC5:DC319)*HLOOKUP(CX322,Verteil_sw,14,FALSE)+SUMIF($D$5:$D$319,"=klz",DC5:DC319)*HLOOKUP(CX322,Verteil_sw,15,FALSE)</f>
        <v>0</v>
      </c>
      <c r="DD379" s="166">
        <f>SUMIF($D$5:$D$319,"=kls",DD5:DD319)*HLOOKUP(CX322,Verteil_sw,11,FALSE)+SUMIF($D$5:$D$319,"=klm",DD5:DD319)*HLOOKUP(CX322,Verteil_sw,12,FALSE)+SUMIF($D$5:$D$319,"=klr",DD5:DD319)*HLOOKUP(CX322,Verteil_sw,13,FALSE)+SUMIF($D$5:$D$319,"=klk",DD5:DD319)*HLOOKUP(CX322,Verteil_sw,14,FALSE)+SUMIF($D$5:$D$319,"=klz",DD5:DD319)*HLOOKUP(CX322,Verteil_sw,15,FALSE)</f>
        <v>0</v>
      </c>
      <c r="DE379" s="381"/>
      <c r="DJ379" s="90">
        <f t="shared" ref="DJ379" si="1377">IF(DK378&lt;&gt;0,DK379/DK378,0)</f>
        <v>0</v>
      </c>
      <c r="DK379" s="166">
        <f>ROUND((DP379+DQ379/2)*HLOOKUP(DK322,Grund_zins,2,FALSE),2)</f>
        <v>0</v>
      </c>
      <c r="DM379" s="565" t="s">
        <v>169</v>
      </c>
      <c r="DP379" s="166">
        <f>SUMIF($D$5:$D$319,"=kls",DP5:DP319)*HLOOKUP(DK322,Verteil_sw,11,FALSE)+SUMIF($D$5:$D$319,"=klm",DP5:DP319)*HLOOKUP(DK322,Verteil_sw,12,FALSE)+SUMIF($D$5:$D$319,"=klr",DP5:DP319)*HLOOKUP(DK322,Verteil_sw,13,FALSE)+SUMIF($D$5:$D$319,"=klk",DP5:DP319)*HLOOKUP(DK322,Verteil_sw,14,FALSE)+SUMIF($D$5:$D$319,"=klz",DP5:DP319)*HLOOKUP(DK322,Verteil_sw,15,FALSE)</f>
        <v>0</v>
      </c>
      <c r="DQ379" s="166">
        <f>SUMIF($D$5:$D$319,"=kls",DQ5:DQ319)*HLOOKUP(DK322,Verteil_sw,11,FALSE)+SUMIF($D$5:$D$319,"=klm",DQ5:DQ319)*HLOOKUP(DK322,Verteil_sw,12,FALSE)+SUMIF($D$5:$D$319,"=klr",DQ5:DQ319)*HLOOKUP(DK322,Verteil_sw,13,FALSE)+SUMIF($D$5:$D$319,"=klk",DQ5:DQ319)*HLOOKUP(DK322,Verteil_sw,14,FALSE)+SUMIF($D$5:$D$319,"=klz",DQ5:DQ319)*HLOOKUP(DK322,Verteil_sw,15,FALSE)</f>
        <v>0</v>
      </c>
      <c r="DR379" s="381"/>
      <c r="DW379" s="90">
        <f t="shared" ref="DW379" si="1378">IF(DX378&lt;&gt;0,DX379/DX378,0)</f>
        <v>0</v>
      </c>
      <c r="DX379" s="166">
        <f>ROUND((EC379+ED379/2)*HLOOKUP(DX322,Grund_zins,2,FALSE),2)</f>
        <v>0</v>
      </c>
      <c r="DZ379" s="565" t="s">
        <v>169</v>
      </c>
      <c r="EC379" s="166">
        <f>SUMIF($D$5:$D$319,"=kls",EC5:EC319)*HLOOKUP(DX322,Verteil_sw,11,FALSE)+SUMIF($D$5:$D$319,"=klm",EC5:EC319)*HLOOKUP(DX322,Verteil_sw,12,FALSE)+SUMIF($D$5:$D$319,"=klr",EC5:EC319)*HLOOKUP(DX322,Verteil_sw,13,FALSE)+SUMIF($D$5:$D$319,"=klk",EC5:EC319)*HLOOKUP(DX322,Verteil_sw,14,FALSE)+SUMIF($D$5:$D$319,"=klz",EC5:EC319)*HLOOKUP(DX322,Verteil_sw,15,FALSE)</f>
        <v>0</v>
      </c>
      <c r="ED379" s="166">
        <f>SUMIF($D$5:$D$319,"=kls",ED5:ED319)*HLOOKUP(DX322,Verteil_sw,11,FALSE)+SUMIF($D$5:$D$319,"=klm",ED5:ED319)*HLOOKUP(DX322,Verteil_sw,12,FALSE)+SUMIF($D$5:$D$319,"=klr",ED5:ED319)*HLOOKUP(DX322,Verteil_sw,13,FALSE)+SUMIF($D$5:$D$319,"=klk",ED5:ED319)*HLOOKUP(DX322,Verteil_sw,14,FALSE)+SUMIF($D$5:$D$319,"=klz",ED5:ED319)*HLOOKUP(DX322,Verteil_sw,15,FALSE)</f>
        <v>0</v>
      </c>
    </row>
    <row r="380" spans="1:134" s="10" customFormat="1" ht="15" customHeight="1" x14ac:dyDescent="0.35">
      <c r="A380" s="565" t="s">
        <v>396</v>
      </c>
      <c r="Q380" s="225">
        <v>59</v>
      </c>
      <c r="R380" s="381"/>
      <c r="W380" s="90">
        <f t="shared" ref="W380" si="1379">IF(X378&lt;&gt;0,X380/X378,0)</f>
        <v>0</v>
      </c>
      <c r="X380" s="166">
        <f>ROUND((AC380+AD380/2)*HLOOKUP(X322,Grund_zins,2,FALSE),2)</f>
        <v>0</v>
      </c>
      <c r="Z380" s="565" t="s">
        <v>396</v>
      </c>
      <c r="AC380" s="166">
        <f>SUMIF($D$5:$D$319,"=kls",AC5:AC319)*HLOOKUP(X322,Verteil_rwgr,10,FALSE)+SUMIF($D$5:$D$319,"=klm",AC5:AC319)*HLOOKUP(X322,Verteil_rwgr,11,FALSE)+SUMIF($D$5:$D$319,"=klr",AC5:AC319)*HLOOKUP(X322,Verteil_rwgr,12,FALSE)+SUMIF($D$5:$D$319,"=klk",AC5:AC319)*HLOOKUP(X322,Verteil_rwgr,13,FALSE)+SUMIF($D$5:$D$319,"=klz",AC5:AC319)*HLOOKUP(X322,Verteil_rwgr,14,FALSE)</f>
        <v>0</v>
      </c>
      <c r="AD380" s="166">
        <f>SUMIF($D$5:$D$319,"=kls",AD5:AD319)*HLOOKUP(X322,Verteil_rwgr,10,FALSE)+SUMIF($D$5:$D$319,"=klm",AD5:AD319)*HLOOKUP(X322,Verteil_rwgr,11,FALSE)+SUMIF($D$5:$D$319,"=klr",AD5:AD319)*HLOOKUP(X322,Verteil_rwgr,12,FALSE)+SUMIF($D$5:$D$319,"=klk",AD5:AD319)*HLOOKUP(X322,Verteil_rwgr,13,FALSE)+SUMIF($D$5:$D$319,"=klz",AD5:AD319)*HLOOKUP(X322,Verteil_rwgr,14,FALSE)</f>
        <v>0</v>
      </c>
      <c r="AE380" s="381"/>
      <c r="AJ380" s="90">
        <f t="shared" ref="AJ380" si="1380">IF(AK378&lt;&gt;0,AK380/AK378,0)</f>
        <v>0</v>
      </c>
      <c r="AK380" s="166">
        <f>ROUND((AP380+AQ380/2)*HLOOKUP(AK322,Grund_zins,2,FALSE),2)</f>
        <v>0</v>
      </c>
      <c r="AM380" s="565" t="s">
        <v>396</v>
      </c>
      <c r="AP380" s="166">
        <f>SUMIF($D$5:$D$319,"=kls",AP5:AP319)*HLOOKUP(AK322,Verteil_rwgr,10,FALSE)+SUMIF($D$5:$D$319,"=klm",AP5:AP319)*HLOOKUP(AK322,Verteil_rwgr,11,FALSE)+SUMIF($D$5:$D$319,"=klr",AP5:AP319)*HLOOKUP(AK322,Verteil_rwgr,12,FALSE)+SUMIF($D$5:$D$319,"=klk",AP5:AP319)*HLOOKUP(AK322,Verteil_rwgr,13,FALSE)+SUMIF($D$5:$D$319,"=klz",AP5:AP319)*HLOOKUP(AK322,Verteil_rwgr,14,FALSE)</f>
        <v>0</v>
      </c>
      <c r="AQ380" s="166">
        <f>SUMIF($D$5:$D$319,"=kls",AQ5:AQ319)*HLOOKUP(AK322,Verteil_rwgr,10,FALSE)+SUMIF($D$5:$D$319,"=klm",AQ5:AQ319)*HLOOKUP(AK322,Verteil_rwgr,11,FALSE)+SUMIF($D$5:$D$319,"=klr",AQ5:AQ319)*HLOOKUP(AK322,Verteil_rwgr,12,FALSE)+SUMIF($D$5:$D$319,"=klk",AQ5:AQ319)*HLOOKUP(AK322,Verteil_rwgr,13,FALSE)+SUMIF($D$5:$D$319,"=klz",AQ5:AQ319)*HLOOKUP(AK322,Verteil_rwgr,14,FALSE)</f>
        <v>0</v>
      </c>
      <c r="AR380" s="381"/>
      <c r="AW380" s="90">
        <f t="shared" ref="AW380" si="1381">IF(AX378&lt;&gt;0,AX380/AX378,0)</f>
        <v>0</v>
      </c>
      <c r="AX380" s="166">
        <f>ROUND((BC380+BD380/2)*HLOOKUP(AX322,Grund_zins,2,FALSE),2)</f>
        <v>0</v>
      </c>
      <c r="AZ380" s="565" t="s">
        <v>396</v>
      </c>
      <c r="BC380" s="166">
        <f>SUMIF($D$5:$D$319,"=kls",BC5:BC319)*HLOOKUP(AX322,Verteil_rwgr,10,FALSE)+SUMIF($D$5:$D$319,"=klm",BC5:BC319)*HLOOKUP(AX322,Verteil_rwgr,11,FALSE)+SUMIF($D$5:$D$319,"=klr",BC5:BC319)*HLOOKUP(AX322,Verteil_rwgr,12,FALSE)+SUMIF($D$5:$D$319,"=klk",BC5:BC319)*HLOOKUP(AX322,Verteil_rwgr,13,FALSE)+SUMIF($D$5:$D$319,"=klz",BC5:BC319)*HLOOKUP(AX322,Verteil_rwgr,14,FALSE)</f>
        <v>0</v>
      </c>
      <c r="BD380" s="166">
        <f>SUMIF($D$5:$D$319,"=kls",BD5:BD319)*HLOOKUP(AX322,Verteil_rwgr,10,FALSE)+SUMIF($D$5:$D$319,"=klm",BD5:BD319)*HLOOKUP(AX322,Verteil_rwgr,11,FALSE)+SUMIF($D$5:$D$319,"=klr",BD5:BD319)*HLOOKUP(AX322,Verteil_rwgr,12,FALSE)+SUMIF($D$5:$D$319,"=klk",BD5:BD319)*HLOOKUP(AX322,Verteil_rwgr,13,FALSE)+SUMIF($D$5:$D$319,"=klz",BD5:BD319)*HLOOKUP(AX322,Verteil_rwgr,14,FALSE)</f>
        <v>0</v>
      </c>
      <c r="BE380" s="381"/>
      <c r="BJ380" s="90">
        <f t="shared" ref="BJ380" si="1382">IF(BK378&lt;&gt;0,BK380/BK378,0)</f>
        <v>0</v>
      </c>
      <c r="BK380" s="166">
        <f>ROUND((BP380+BQ380/2)*HLOOKUP(BK322,Grund_zins,2,FALSE),2)</f>
        <v>0</v>
      </c>
      <c r="BM380" s="565" t="s">
        <v>396</v>
      </c>
      <c r="BP380" s="166">
        <f>SUMIF($D$5:$D$319,"=kls",BP5:BP319)*HLOOKUP(BK322,Verteil_rwgr,10,FALSE)+SUMIF($D$5:$D$319,"=klm",BP5:BP319)*HLOOKUP(BK322,Verteil_rwgr,11,FALSE)+SUMIF($D$5:$D$319,"=klr",BP5:BP319)*HLOOKUP(BK322,Verteil_rwgr,12,FALSE)+SUMIF($D$5:$D$319,"=klk",BP5:BP319)*HLOOKUP(BK322,Verteil_rwgr,13,FALSE)+SUMIF($D$5:$D$319,"=klz",BP5:BP319)*HLOOKUP(BK322,Verteil_rwgr,14,FALSE)</f>
        <v>0</v>
      </c>
      <c r="BQ380" s="166">
        <f>SUMIF($D$5:$D$319,"=kls",BQ5:BQ319)*HLOOKUP(BK322,Verteil_rwgr,10,FALSE)+SUMIF($D$5:$D$319,"=klm",BQ5:BQ319)*HLOOKUP(BK322,Verteil_rwgr,11,FALSE)+SUMIF($D$5:$D$319,"=klr",BQ5:BQ319)*HLOOKUP(BK322,Verteil_rwgr,12,FALSE)+SUMIF($D$5:$D$319,"=klk",BQ5:BQ319)*HLOOKUP(BK322,Verteil_rwgr,13,FALSE)+SUMIF($D$5:$D$319,"=klz",BQ5:BQ319)*HLOOKUP(BK322,Verteil_rwgr,14,FALSE)</f>
        <v>0</v>
      </c>
      <c r="BR380" s="381"/>
      <c r="BW380" s="90">
        <f t="shared" ref="BW380" si="1383">IF(BX378&lt;&gt;0,BX380/BX378,0)</f>
        <v>0</v>
      </c>
      <c r="BX380" s="166">
        <f>ROUND((CC380+CD380/2)*HLOOKUP(BX322,Grund_zins,2,FALSE),2)</f>
        <v>0</v>
      </c>
      <c r="BZ380" s="565" t="s">
        <v>396</v>
      </c>
      <c r="CC380" s="166">
        <f>SUMIF($D$5:$D$319,"=kls",CC5:CC319)*HLOOKUP(BX322,Verteil_rwgr,10,FALSE)+SUMIF($D$5:$D$319,"=klm",CC5:CC319)*HLOOKUP(BX322,Verteil_rwgr,11,FALSE)+SUMIF($D$5:$D$319,"=klr",CC5:CC319)*HLOOKUP(BX322,Verteil_rwgr,12,FALSE)+SUMIF($D$5:$D$319,"=klk",CC5:CC319)*HLOOKUP(BX322,Verteil_rwgr,13,FALSE)+SUMIF($D$5:$D$319,"=klz",CC5:CC319)*HLOOKUP(BX322,Verteil_rwgr,14,FALSE)</f>
        <v>0</v>
      </c>
      <c r="CD380" s="166">
        <f>SUMIF($D$5:$D$319,"=kls",CD5:CD319)*HLOOKUP(BX322,Verteil_rwgr,10,FALSE)+SUMIF($D$5:$D$319,"=klm",CD5:CD319)*HLOOKUP(BX322,Verteil_rwgr,11,FALSE)+SUMIF($D$5:$D$319,"=klr",CD5:CD319)*HLOOKUP(BX322,Verteil_rwgr,12,FALSE)+SUMIF($D$5:$D$319,"=klk",CD5:CD319)*HLOOKUP(BX322,Verteil_rwgr,13,FALSE)+SUMIF($D$5:$D$319,"=klz",CD5:CD319)*HLOOKUP(BX322,Verteil_rwgr,14,FALSE)</f>
        <v>0</v>
      </c>
      <c r="CE380" s="381"/>
      <c r="CJ380" s="90">
        <f t="shared" ref="CJ380" si="1384">IF(CK378&lt;&gt;0,CK380/CK378,0)</f>
        <v>0</v>
      </c>
      <c r="CK380" s="166">
        <f>ROUND((CP380+CQ380/2)*HLOOKUP(CK322,Grund_zins,2,FALSE),2)</f>
        <v>0</v>
      </c>
      <c r="CM380" s="565" t="s">
        <v>396</v>
      </c>
      <c r="CP380" s="166">
        <f>SUMIF($D$5:$D$319,"=kls",CP5:CP319)*HLOOKUP(CK322,Verteil_rwgr,10,FALSE)+SUMIF($D$5:$D$319,"=klm",CP5:CP319)*HLOOKUP(CK322,Verteil_rwgr,11,FALSE)+SUMIF($D$5:$D$319,"=klr",CP5:CP319)*HLOOKUP(CK322,Verteil_rwgr,12,FALSE)+SUMIF($D$5:$D$319,"=klk",CP5:CP319)*HLOOKUP(CK322,Verteil_rwgr,13,FALSE)+SUMIF($D$5:$D$319,"=klz",CP5:CP319)*HLOOKUP(CK322,Verteil_rwgr,14,FALSE)</f>
        <v>0</v>
      </c>
      <c r="CQ380" s="166">
        <f>SUMIF($D$5:$D$319,"=kls",CQ5:CQ319)*HLOOKUP(CK322,Verteil_rwgr,10,FALSE)+SUMIF($D$5:$D$319,"=klm",CQ5:CQ319)*HLOOKUP(CK322,Verteil_rwgr,11,FALSE)+SUMIF($D$5:$D$319,"=klr",CQ5:CQ319)*HLOOKUP(CK322,Verteil_rwgr,12,FALSE)+SUMIF($D$5:$D$319,"=klk",CQ5:CQ319)*HLOOKUP(CK322,Verteil_rwgr,13,FALSE)+SUMIF($D$5:$D$319,"=klz",CQ5:CQ319)*HLOOKUP(CK322,Verteil_rwgr,14,FALSE)</f>
        <v>0</v>
      </c>
      <c r="CR380" s="381"/>
      <c r="CW380" s="90">
        <f t="shared" ref="CW380" si="1385">IF(CX378&lt;&gt;0,CX380/CX378,0)</f>
        <v>0</v>
      </c>
      <c r="CX380" s="166">
        <f>ROUND((DC380+DD380/2)*HLOOKUP(CX322,Grund_zins,2,FALSE),2)</f>
        <v>0</v>
      </c>
      <c r="CZ380" s="565" t="s">
        <v>396</v>
      </c>
      <c r="DC380" s="166">
        <f>SUMIF($D$5:$D$319,"=kls",DC5:DC319)*HLOOKUP(CX322,Verteil_rwgr,10,FALSE)+SUMIF($D$5:$D$319,"=klm",DC5:DC319)*HLOOKUP(CX322,Verteil_rwgr,11,FALSE)+SUMIF($D$5:$D$319,"=klr",DC5:DC319)*HLOOKUP(CX322,Verteil_rwgr,12,FALSE)+SUMIF($D$5:$D$319,"=klk",DC5:DC319)*HLOOKUP(CX322,Verteil_rwgr,13,FALSE)+SUMIF($D$5:$D$319,"=klz",DC5:DC319)*HLOOKUP(CX322,Verteil_rwgr,14,FALSE)</f>
        <v>0</v>
      </c>
      <c r="DD380" s="166">
        <f>SUMIF($D$5:$D$319,"=kls",DD5:DD319)*HLOOKUP(CX322,Verteil_rwgr,10,FALSE)+SUMIF($D$5:$D$319,"=klm",DD5:DD319)*HLOOKUP(CX322,Verteil_rwgr,11,FALSE)+SUMIF($D$5:$D$319,"=klr",DD5:DD319)*HLOOKUP(CX322,Verteil_rwgr,12,FALSE)+SUMIF($D$5:$D$319,"=klk",DD5:DD319)*HLOOKUP(CX322,Verteil_rwgr,13,FALSE)+SUMIF($D$5:$D$319,"=klz",DD5:DD319)*HLOOKUP(CX322,Verteil_rwgr,14,FALSE)</f>
        <v>0</v>
      </c>
      <c r="DE380" s="381"/>
      <c r="DJ380" s="90">
        <f t="shared" ref="DJ380" si="1386">IF(DK378&lt;&gt;0,DK380/DK378,0)</f>
        <v>0</v>
      </c>
      <c r="DK380" s="166">
        <f>ROUND((DP380+DQ380/2)*HLOOKUP(DK322,Grund_zins,2,FALSE),2)</f>
        <v>0</v>
      </c>
      <c r="DM380" s="565" t="s">
        <v>396</v>
      </c>
      <c r="DP380" s="166">
        <f>SUMIF($D$5:$D$319,"=kls",DP5:DP319)*HLOOKUP(DK322,Verteil_rwgr,10,FALSE)+SUMIF($D$5:$D$319,"=klm",DP5:DP319)*HLOOKUP(DK322,Verteil_rwgr,11,FALSE)+SUMIF($D$5:$D$319,"=klr",DP5:DP319)*HLOOKUP(DK322,Verteil_rwgr,12,FALSE)+SUMIF($D$5:$D$319,"=klk",DP5:DP319)*HLOOKUP(DK322,Verteil_rwgr,13,FALSE)+SUMIF($D$5:$D$319,"=klz",DP5:DP319)*HLOOKUP(DK322,Verteil_rwgr,14,FALSE)</f>
        <v>0</v>
      </c>
      <c r="DQ380" s="166">
        <f>SUMIF($D$5:$D$319,"=kls",DQ5:DQ319)*HLOOKUP(DK322,Verteil_rwgr,10,FALSE)+SUMIF($D$5:$D$319,"=klm",DQ5:DQ319)*HLOOKUP(DK322,Verteil_rwgr,11,FALSE)+SUMIF($D$5:$D$319,"=klr",DQ5:DQ319)*HLOOKUP(DK322,Verteil_rwgr,12,FALSE)+SUMIF($D$5:$D$319,"=klk",DQ5:DQ319)*HLOOKUP(DK322,Verteil_rwgr,13,FALSE)+SUMIF($D$5:$D$319,"=klz",DQ5:DQ319)*HLOOKUP(DK322,Verteil_rwgr,14,FALSE)</f>
        <v>0</v>
      </c>
      <c r="DR380" s="381"/>
      <c r="DW380" s="90">
        <f t="shared" ref="DW380" si="1387">IF(DX378&lt;&gt;0,DX380/DX378,0)</f>
        <v>0</v>
      </c>
      <c r="DX380" s="166">
        <f>ROUND((EC380+ED380/2)*HLOOKUP(DX322,Grund_zins,2,FALSE),2)</f>
        <v>0</v>
      </c>
      <c r="DZ380" s="565" t="s">
        <v>396</v>
      </c>
      <c r="EC380" s="166">
        <f>SUMIF($D$5:$D$319,"=kls",EC5:EC319)*HLOOKUP(DX322,Verteil_rwgr,10,FALSE)+SUMIF($D$5:$D$319,"=klm",EC5:EC319)*HLOOKUP(DX322,Verteil_rwgr,11,FALSE)+SUMIF($D$5:$D$319,"=klr",EC5:EC319)*HLOOKUP(DX322,Verteil_rwgr,12,FALSE)+SUMIF($D$5:$D$319,"=klk",EC5:EC319)*HLOOKUP(DX322,Verteil_rwgr,13,FALSE)+SUMIF($D$5:$D$319,"=klz",EC5:EC319)*HLOOKUP(DX322,Verteil_rwgr,14,FALSE)</f>
        <v>0</v>
      </c>
      <c r="ED380" s="166">
        <f>SUMIF($D$5:$D$319,"=kls",ED5:ED319)*HLOOKUP(DX322,Verteil_rwgr,10,FALSE)+SUMIF($D$5:$D$319,"=klm",ED5:ED319)*HLOOKUP(DX322,Verteil_rwgr,11,FALSE)+SUMIF($D$5:$D$319,"=klr",ED5:ED319)*HLOOKUP(DX322,Verteil_rwgr,12,FALSE)+SUMIF($D$5:$D$319,"=klk",ED5:ED319)*HLOOKUP(DX322,Verteil_rwgr,13,FALSE)+SUMIF($D$5:$D$319,"=klz",ED5:ED319)*HLOOKUP(DX322,Verteil_rwgr,14,FALSE)</f>
        <v>0</v>
      </c>
    </row>
    <row r="381" spans="1:134" s="10" customFormat="1" ht="15" customHeight="1" x14ac:dyDescent="0.35">
      <c r="A381" s="565" t="s">
        <v>397</v>
      </c>
      <c r="Q381" s="225">
        <v>60</v>
      </c>
      <c r="R381" s="381"/>
      <c r="W381" s="90">
        <f t="shared" ref="W381" si="1388">IF(X378&lt;&gt;0,X381/X378,0)</f>
        <v>0</v>
      </c>
      <c r="X381" s="166">
        <f>ROUND((AC381+AD381/2)*HLOOKUP(X322,Grund_zins,2,FALSE),2)</f>
        <v>0</v>
      </c>
      <c r="Z381" s="565" t="s">
        <v>397</v>
      </c>
      <c r="AC381" s="166">
        <f>SUMIF($D$5:$D$319,"=kls",AC5:AC319)*HLOOKUP(X322,Verteil_rwst,9,FALSE)+SUMIF($D$5:$D$319,"=klm",AC5:AC319)*HLOOKUP(X322,Verteil_rwst,10,FALSE)+SUMIF($D$5:$D$319,"=klr",AC5:AC319)*HLOOKUP(X322,Verteil_rwst,11,FALSE)+SUMIF($D$5:$D$319,"=klk",AC5:AC319)*HLOOKUP(X322,Verteil_rwst,12,FALSE)+SUMIF($D$5:$D$319,"=klz",AC5:AC319)*HLOOKUP(X322,Verteil_rwst,13,FALSE)</f>
        <v>0</v>
      </c>
      <c r="AD381" s="166">
        <f>SUMIF($D$5:$D$319,"=kls",AD5:AD319)*HLOOKUP(X322,Verteil_rwst,9,FALSE)+SUMIF($D$5:$D$319,"=klm",AD5:AD319)*HLOOKUP(X322,Verteil_rwst,10,FALSE)+SUMIF($D$5:$D$319,"=klr",AD5:AD319)*HLOOKUP(X322,Verteil_rwst,11,FALSE)+SUMIF($D$5:$D$319,"=klk",AD5:AD319)*HLOOKUP(X322,Verteil_rwst,12,FALSE)+SUMIF($D$5:$D$319,"=klz",AD5:AD319)*HLOOKUP(X322,Verteil_rwst,13,FALSE)</f>
        <v>0</v>
      </c>
      <c r="AE381" s="381"/>
      <c r="AJ381" s="90">
        <f t="shared" ref="AJ381" si="1389">IF(AK378&lt;&gt;0,AK381/AK378,0)</f>
        <v>0</v>
      </c>
      <c r="AK381" s="166">
        <f>ROUND((AP381+AQ381/2)*HLOOKUP(AK322,Grund_zins,2,FALSE),2)</f>
        <v>0</v>
      </c>
      <c r="AM381" s="565" t="s">
        <v>397</v>
      </c>
      <c r="AP381" s="166">
        <f>SUMIF($D$5:$D$319,"=kls",AP5:AP319)*HLOOKUP(AK322,Verteil_rwst,9,FALSE)+SUMIF($D$5:$D$319,"=klm",AP5:AP319)*HLOOKUP(AK322,Verteil_rwst,10,FALSE)+SUMIF($D$5:$D$319,"=klr",AP5:AP319)*HLOOKUP(AK322,Verteil_rwst,11,FALSE)+SUMIF($D$5:$D$319,"=klk",AP5:AP319)*HLOOKUP(AK322,Verteil_rwst,12,FALSE)+SUMIF($D$5:$D$319,"=klz",AP5:AP319)*HLOOKUP(AK322,Verteil_rwst,13,FALSE)</f>
        <v>0</v>
      </c>
      <c r="AQ381" s="166">
        <f>SUMIF($D$5:$D$319,"=kls",AQ5:AQ319)*HLOOKUP(AK322,Verteil_rwst,9,FALSE)+SUMIF($D$5:$D$319,"=klm",AQ5:AQ319)*HLOOKUP(AK322,Verteil_rwst,10,FALSE)+SUMIF($D$5:$D$319,"=klr",AQ5:AQ319)*HLOOKUP(AK322,Verteil_rwst,11,FALSE)+SUMIF($D$5:$D$319,"=klk",AQ5:AQ319)*HLOOKUP(AK322,Verteil_rwst,12,FALSE)+SUMIF($D$5:$D$319,"=klz",AQ5:AQ319)*HLOOKUP(AK322,Verteil_rwst,13,FALSE)</f>
        <v>0</v>
      </c>
      <c r="AR381" s="381"/>
      <c r="AW381" s="90">
        <f t="shared" ref="AW381" si="1390">IF(AX378&lt;&gt;0,AX381/AX378,0)</f>
        <v>0</v>
      </c>
      <c r="AX381" s="166">
        <f>ROUND((BC381+BD381/2)*HLOOKUP(AX322,Grund_zins,2,FALSE),2)</f>
        <v>0</v>
      </c>
      <c r="AZ381" s="565" t="s">
        <v>397</v>
      </c>
      <c r="BC381" s="166">
        <f>SUMIF($D$5:$D$319,"=kls",BC5:BC319)*HLOOKUP(AX322,Verteil_rwst,9,FALSE)+SUMIF($D$5:$D$319,"=klm",BC5:BC319)*HLOOKUP(AX322,Verteil_rwst,10,FALSE)+SUMIF($D$5:$D$319,"=klr",BC5:BC319)*HLOOKUP(AX322,Verteil_rwst,11,FALSE)+SUMIF($D$5:$D$319,"=klk",BC5:BC319)*HLOOKUP(AX322,Verteil_rwst,12,FALSE)+SUMIF($D$5:$D$319,"=klz",BC5:BC319)*HLOOKUP(AX322,Verteil_rwst,13,FALSE)</f>
        <v>0</v>
      </c>
      <c r="BD381" s="166">
        <f>SUMIF($D$5:$D$319,"=kls",BD5:BD319)*HLOOKUP(AX322,Verteil_rwst,9,FALSE)+SUMIF($D$5:$D$319,"=klm",BD5:BD319)*HLOOKUP(AX322,Verteil_rwst,10,FALSE)+SUMIF($D$5:$D$319,"=klr",BD5:BD319)*HLOOKUP(AX322,Verteil_rwst,11,FALSE)+SUMIF($D$5:$D$319,"=klk",BD5:BD319)*HLOOKUP(AX322,Verteil_rwst,12,FALSE)+SUMIF($D$5:$D$319,"=klz",BD5:BD319)*HLOOKUP(AX322,Verteil_rwst,13,FALSE)</f>
        <v>0</v>
      </c>
      <c r="BE381" s="381"/>
      <c r="BJ381" s="90">
        <f t="shared" ref="BJ381" si="1391">IF(BK378&lt;&gt;0,BK381/BK378,0)</f>
        <v>0</v>
      </c>
      <c r="BK381" s="166">
        <f>ROUND((BP381+BQ381/2)*HLOOKUP(BK322,Grund_zins,2,FALSE),2)</f>
        <v>0</v>
      </c>
      <c r="BM381" s="565" t="s">
        <v>397</v>
      </c>
      <c r="BP381" s="166">
        <f>SUMIF($D$5:$D$319,"=kls",BP5:BP319)*HLOOKUP(BK322,Verteil_rwst,9,FALSE)+SUMIF($D$5:$D$319,"=klm",BP5:BP319)*HLOOKUP(BK322,Verteil_rwst,10,FALSE)+SUMIF($D$5:$D$319,"=klr",BP5:BP319)*HLOOKUP(BK322,Verteil_rwst,11,FALSE)+SUMIF($D$5:$D$319,"=klk",BP5:BP319)*HLOOKUP(BK322,Verteil_rwst,12,FALSE)+SUMIF($D$5:$D$319,"=klz",BP5:BP319)*HLOOKUP(BK322,Verteil_rwst,13,FALSE)</f>
        <v>0</v>
      </c>
      <c r="BQ381" s="166">
        <f>SUMIF($D$5:$D$319,"=kls",BQ5:BQ319)*HLOOKUP(BK322,Verteil_rwst,9,FALSE)+SUMIF($D$5:$D$319,"=klm",BQ5:BQ319)*HLOOKUP(BK322,Verteil_rwst,10,FALSE)+SUMIF($D$5:$D$319,"=klr",BQ5:BQ319)*HLOOKUP(BK322,Verteil_rwst,11,FALSE)+SUMIF($D$5:$D$319,"=klk",BQ5:BQ319)*HLOOKUP(BK322,Verteil_rwst,12,FALSE)+SUMIF($D$5:$D$319,"=klz",BQ5:BQ319)*HLOOKUP(BK322,Verteil_rwst,13,FALSE)</f>
        <v>0</v>
      </c>
      <c r="BR381" s="381"/>
      <c r="BW381" s="90">
        <f t="shared" ref="BW381" si="1392">IF(BX378&lt;&gt;0,BX381/BX378,0)</f>
        <v>0</v>
      </c>
      <c r="BX381" s="166">
        <f>ROUND((CC381+CD381/2)*HLOOKUP(BX322,Grund_zins,2,FALSE),2)</f>
        <v>0</v>
      </c>
      <c r="BZ381" s="565" t="s">
        <v>397</v>
      </c>
      <c r="CC381" s="166">
        <f>SUMIF($D$5:$D$319,"=kls",CC5:CC319)*HLOOKUP(BX322,Verteil_rwst,9,FALSE)+SUMIF($D$5:$D$319,"=klm",CC5:CC319)*HLOOKUP(BX322,Verteil_rwst,10,FALSE)+SUMIF($D$5:$D$319,"=klr",CC5:CC319)*HLOOKUP(BX322,Verteil_rwst,11,FALSE)+SUMIF($D$5:$D$319,"=klk",CC5:CC319)*HLOOKUP(BX322,Verteil_rwst,12,FALSE)+SUMIF($D$5:$D$319,"=klz",CC5:CC319)*HLOOKUP(BX322,Verteil_rwst,13,FALSE)</f>
        <v>0</v>
      </c>
      <c r="CD381" s="166">
        <f>SUMIF($D$5:$D$319,"=kls",CD5:CD319)*HLOOKUP(BX322,Verteil_rwst,9,FALSE)+SUMIF($D$5:$D$319,"=klm",CD5:CD319)*HLOOKUP(BX322,Verteil_rwst,10,FALSE)+SUMIF($D$5:$D$319,"=klr",CD5:CD319)*HLOOKUP(BX322,Verteil_rwst,11,FALSE)+SUMIF($D$5:$D$319,"=klk",CD5:CD319)*HLOOKUP(BX322,Verteil_rwst,12,FALSE)+SUMIF($D$5:$D$319,"=klz",CD5:CD319)*HLOOKUP(BX322,Verteil_rwst,13,FALSE)</f>
        <v>0</v>
      </c>
      <c r="CE381" s="381"/>
      <c r="CJ381" s="90">
        <f t="shared" ref="CJ381" si="1393">IF(CK378&lt;&gt;0,CK381/CK378,0)</f>
        <v>0</v>
      </c>
      <c r="CK381" s="166">
        <f>ROUND((CP381+CQ381/2)*HLOOKUP(CK322,Grund_zins,2,FALSE),2)</f>
        <v>0</v>
      </c>
      <c r="CM381" s="565" t="s">
        <v>397</v>
      </c>
      <c r="CP381" s="166">
        <f>SUMIF($D$5:$D$319,"=kls",CP5:CP319)*HLOOKUP(CK322,Verteil_rwst,9,FALSE)+SUMIF($D$5:$D$319,"=klm",CP5:CP319)*HLOOKUP(CK322,Verteil_rwst,10,FALSE)+SUMIF($D$5:$D$319,"=klr",CP5:CP319)*HLOOKUP(CK322,Verteil_rwst,11,FALSE)+SUMIF($D$5:$D$319,"=klk",CP5:CP319)*HLOOKUP(CK322,Verteil_rwst,12,FALSE)+SUMIF($D$5:$D$319,"=klz",CP5:CP319)*HLOOKUP(CK322,Verteil_rwst,13,FALSE)</f>
        <v>0</v>
      </c>
      <c r="CQ381" s="166">
        <f>SUMIF($D$5:$D$319,"=kls",CQ5:CQ319)*HLOOKUP(CK322,Verteil_rwst,9,FALSE)+SUMIF($D$5:$D$319,"=klm",CQ5:CQ319)*HLOOKUP(CK322,Verteil_rwst,10,FALSE)+SUMIF($D$5:$D$319,"=klr",CQ5:CQ319)*HLOOKUP(CK322,Verteil_rwst,11,FALSE)+SUMIF($D$5:$D$319,"=klk",CQ5:CQ319)*HLOOKUP(CK322,Verteil_rwst,12,FALSE)+SUMIF($D$5:$D$319,"=klz",CQ5:CQ319)*HLOOKUP(CK322,Verteil_rwst,13,FALSE)</f>
        <v>0</v>
      </c>
      <c r="CR381" s="381"/>
      <c r="CW381" s="90">
        <f t="shared" ref="CW381" si="1394">IF(CX378&lt;&gt;0,CX381/CX378,0)</f>
        <v>0</v>
      </c>
      <c r="CX381" s="166">
        <f>ROUND((DC381+DD381/2)*HLOOKUP(CX322,Grund_zins,2,FALSE),2)</f>
        <v>0</v>
      </c>
      <c r="CZ381" s="565" t="s">
        <v>397</v>
      </c>
      <c r="DC381" s="166">
        <f>SUMIF($D$5:$D$319,"=kls",DC5:DC319)*HLOOKUP(CX322,Verteil_rwst,9,FALSE)+SUMIF($D$5:$D$319,"=klm",DC5:DC319)*HLOOKUP(CX322,Verteil_rwst,10,FALSE)+SUMIF($D$5:$D$319,"=klr",DC5:DC319)*HLOOKUP(CX322,Verteil_rwst,11,FALSE)+SUMIF($D$5:$D$319,"=klk",DC5:DC319)*HLOOKUP(CX322,Verteil_rwst,12,FALSE)+SUMIF($D$5:$D$319,"=klz",DC5:DC319)*HLOOKUP(CX322,Verteil_rwst,13,FALSE)</f>
        <v>0</v>
      </c>
      <c r="DD381" s="166">
        <f>SUMIF($D$5:$D$319,"=kls",DD5:DD319)*HLOOKUP(CX322,Verteil_rwst,9,FALSE)+SUMIF($D$5:$D$319,"=klm",DD5:DD319)*HLOOKUP(CX322,Verteil_rwst,10,FALSE)+SUMIF($D$5:$D$319,"=klr",DD5:DD319)*HLOOKUP(CX322,Verteil_rwst,11,FALSE)+SUMIF($D$5:$D$319,"=klk",DD5:DD319)*HLOOKUP(CX322,Verteil_rwst,12,FALSE)+SUMIF($D$5:$D$319,"=klz",DD5:DD319)*HLOOKUP(CX322,Verteil_rwst,13,FALSE)</f>
        <v>0</v>
      </c>
      <c r="DE381" s="381"/>
      <c r="DJ381" s="90">
        <f t="shared" ref="DJ381" si="1395">IF(DK378&lt;&gt;0,DK381/DK378,0)</f>
        <v>0</v>
      </c>
      <c r="DK381" s="166">
        <f>ROUND((DP381+DQ381/2)*HLOOKUP(DK322,Grund_zins,2,FALSE),2)</f>
        <v>0</v>
      </c>
      <c r="DM381" s="565" t="s">
        <v>397</v>
      </c>
      <c r="DP381" s="166">
        <f>SUMIF($D$5:$D$319,"=kls",DP5:DP319)*HLOOKUP(DK322,Verteil_rwst,9,FALSE)+SUMIF($D$5:$D$319,"=klm",DP5:DP319)*HLOOKUP(DK322,Verteil_rwst,10,FALSE)+SUMIF($D$5:$D$319,"=klr",DP5:DP319)*HLOOKUP(DK322,Verteil_rwst,11,FALSE)+SUMIF($D$5:$D$319,"=klk",DP5:DP319)*HLOOKUP(DK322,Verteil_rwst,12,FALSE)+SUMIF($D$5:$D$319,"=klz",DP5:DP319)*HLOOKUP(DK322,Verteil_rwst,13,FALSE)</f>
        <v>0</v>
      </c>
      <c r="DQ381" s="166">
        <f>SUMIF($D$5:$D$319,"=kls",DQ5:DQ319)*HLOOKUP(DK322,Verteil_rwst,9,FALSE)+SUMIF($D$5:$D$319,"=klm",DQ5:DQ319)*HLOOKUP(DK322,Verteil_rwst,10,FALSE)+SUMIF($D$5:$D$319,"=klr",DQ5:DQ319)*HLOOKUP(DK322,Verteil_rwst,11,FALSE)+SUMIF($D$5:$D$319,"=klk",DQ5:DQ319)*HLOOKUP(DK322,Verteil_rwst,12,FALSE)+SUMIF($D$5:$D$319,"=klz",DQ5:DQ319)*HLOOKUP(DK322,Verteil_rwst,13,FALSE)</f>
        <v>0</v>
      </c>
      <c r="DR381" s="381"/>
      <c r="DW381" s="90">
        <f t="shared" ref="DW381" si="1396">IF(DX378&lt;&gt;0,DX381/DX378,0)</f>
        <v>0</v>
      </c>
      <c r="DX381" s="166">
        <f>ROUND((EC381+ED381/2)*HLOOKUP(DX322,Grund_zins,2,FALSE),2)</f>
        <v>0</v>
      </c>
      <c r="DZ381" s="565" t="s">
        <v>397</v>
      </c>
      <c r="EC381" s="166">
        <f>SUMIF($D$5:$D$319,"=kls",EC5:EC319)*HLOOKUP(DX322,Verteil_rwst,9,FALSE)+SUMIF($D$5:$D$319,"=klm",EC5:EC319)*HLOOKUP(DX322,Verteil_rwst,10,FALSE)+SUMIF($D$5:$D$319,"=klr",EC5:EC319)*HLOOKUP(DX322,Verteil_rwst,11,FALSE)+SUMIF($D$5:$D$319,"=klk",EC5:EC319)*HLOOKUP(DX322,Verteil_rwst,12,FALSE)+SUMIF($D$5:$D$319,"=klz",EC5:EC319)*HLOOKUP(DX322,Verteil_rwst,13,FALSE)</f>
        <v>0</v>
      </c>
      <c r="ED381" s="166">
        <f>SUMIF($D$5:$D$319,"=kls",ED5:ED319)*HLOOKUP(DX322,Verteil_rwst,9,FALSE)+SUMIF($D$5:$D$319,"=klm",ED5:ED319)*HLOOKUP(DX322,Verteil_rwst,10,FALSE)+SUMIF($D$5:$D$319,"=klr",ED5:ED319)*HLOOKUP(DX322,Verteil_rwst,11,FALSE)+SUMIF($D$5:$D$319,"=klk",ED5:ED319)*HLOOKUP(DX322,Verteil_rwst,12,FALSE)+SUMIF($D$5:$D$319,"=klz",ED5:ED319)*HLOOKUP(DX322,Verteil_rwst,13,FALSE)</f>
        <v>0</v>
      </c>
    </row>
    <row r="382" spans="1:134" s="10" customFormat="1" ht="15" customHeight="1" x14ac:dyDescent="0.35">
      <c r="A382" s="564" t="s">
        <v>399</v>
      </c>
      <c r="Q382" s="225">
        <v>61</v>
      </c>
      <c r="R382" s="381"/>
      <c r="W382" s="90">
        <f t="shared" ref="W382" si="1397">SUM(W383:W385)</f>
        <v>0</v>
      </c>
      <c r="X382" s="166">
        <f>ROUND((AC382+AD382/2)*HLOOKUP(X322,Grund_zins,2,FALSE),2)</f>
        <v>0</v>
      </c>
      <c r="Z382" s="564" t="s">
        <v>399</v>
      </c>
      <c r="AC382" s="166">
        <f>SUMIF($D$5:$D$319,"=sos",AC5:AC319)+SUMIF($D$5:$D$319,"=som",AC5:AC319)+SUMIF($D$5:$D$319,"=sor",AC5:AC319)+SUMIF($D$5:$D$319,"=soz",AC5:AC319)</f>
        <v>0</v>
      </c>
      <c r="AD382" s="166">
        <f>SUMIF($D$5:$D$319,"=sos",AD5:AD319)+SUMIF($D$5:$D$319,"=som",AD5:AD319)+SUMIF($D$5:$D$319,"=sor",AD5:AD319)+SUMIF($D$5:$D$319,"=soz",AD5:AD319)</f>
        <v>0</v>
      </c>
      <c r="AE382" s="381"/>
      <c r="AJ382" s="90">
        <f t="shared" ref="AJ382" si="1398">SUM(AJ383:AJ385)</f>
        <v>0</v>
      </c>
      <c r="AK382" s="166">
        <f>ROUND((AP382+AQ382/2)*HLOOKUP(AK322,Grund_zins,2,FALSE),2)</f>
        <v>0</v>
      </c>
      <c r="AM382" s="564" t="s">
        <v>399</v>
      </c>
      <c r="AP382" s="166">
        <f>SUMIF($D$5:$D$319,"=sos",AP5:AP319)+SUMIF($D$5:$D$319,"=som",AP5:AP319)+SUMIF($D$5:$D$319,"=sor",AP5:AP319)+SUMIF($D$5:$D$319,"=soz",AP5:AP319)</f>
        <v>0</v>
      </c>
      <c r="AQ382" s="166">
        <f>SUMIF($D$5:$D$319,"=sos",AQ5:AQ319)+SUMIF($D$5:$D$319,"=som",AQ5:AQ319)+SUMIF($D$5:$D$319,"=sor",AQ5:AQ319)+SUMIF($D$5:$D$319,"=soz",AQ5:AQ319)</f>
        <v>0</v>
      </c>
      <c r="AR382" s="381"/>
      <c r="AW382" s="90">
        <f t="shared" ref="AW382" si="1399">SUM(AW383:AW385)</f>
        <v>0</v>
      </c>
      <c r="AX382" s="166">
        <f>ROUND((BC382+BD382/2)*HLOOKUP(AX322,Grund_zins,2,FALSE),2)</f>
        <v>0</v>
      </c>
      <c r="AZ382" s="564" t="s">
        <v>399</v>
      </c>
      <c r="BC382" s="166">
        <f>SUMIF($D$5:$D$319,"=sos",BC5:BC319)+SUMIF($D$5:$D$319,"=som",BC5:BC319)+SUMIF($D$5:$D$319,"=sor",BC5:BC319)+SUMIF($D$5:$D$319,"=soz",BC5:BC319)</f>
        <v>0</v>
      </c>
      <c r="BD382" s="166">
        <f>SUMIF($D$5:$D$319,"=sos",BD5:BD319)+SUMIF($D$5:$D$319,"=som",BD5:BD319)+SUMIF($D$5:$D$319,"=sor",BD5:BD319)+SUMIF($D$5:$D$319,"=soz",BD5:BD319)</f>
        <v>0</v>
      </c>
      <c r="BE382" s="381"/>
      <c r="BJ382" s="90">
        <f t="shared" ref="BJ382" si="1400">SUM(BJ383:BJ385)</f>
        <v>0</v>
      </c>
      <c r="BK382" s="166">
        <f>ROUND((BP382+BQ382/2)*HLOOKUP(BK322,Grund_zins,2,FALSE),2)</f>
        <v>0</v>
      </c>
      <c r="BM382" s="564" t="s">
        <v>399</v>
      </c>
      <c r="BP382" s="166">
        <f>SUMIF($D$5:$D$319,"=sos",BP5:BP319)+SUMIF($D$5:$D$319,"=som",BP5:BP319)+SUMIF($D$5:$D$319,"=sor",BP5:BP319)+SUMIF($D$5:$D$319,"=soz",BP5:BP319)</f>
        <v>0</v>
      </c>
      <c r="BQ382" s="166">
        <f>SUMIF($D$5:$D$319,"=sos",BQ5:BQ319)+SUMIF($D$5:$D$319,"=som",BQ5:BQ319)+SUMIF($D$5:$D$319,"=sor",BQ5:BQ319)+SUMIF($D$5:$D$319,"=soz",BQ5:BQ319)</f>
        <v>0</v>
      </c>
      <c r="BR382" s="381"/>
      <c r="BW382" s="90">
        <f t="shared" ref="BW382" si="1401">SUM(BW383:BW385)</f>
        <v>0</v>
      </c>
      <c r="BX382" s="166">
        <f>ROUND((CC382+CD382/2)*HLOOKUP(BX322,Grund_zins,2,FALSE),2)</f>
        <v>0</v>
      </c>
      <c r="BZ382" s="564" t="s">
        <v>399</v>
      </c>
      <c r="CC382" s="166">
        <f>SUMIF($D$5:$D$319,"=sos",CC5:CC319)+SUMIF($D$5:$D$319,"=som",CC5:CC319)+SUMIF($D$5:$D$319,"=sor",CC5:CC319)+SUMIF($D$5:$D$319,"=soz",CC5:CC319)</f>
        <v>0</v>
      </c>
      <c r="CD382" s="166">
        <f>SUMIF($D$5:$D$319,"=sos",CD5:CD319)+SUMIF($D$5:$D$319,"=som",CD5:CD319)+SUMIF($D$5:$D$319,"=sor",CD5:CD319)+SUMIF($D$5:$D$319,"=soz",CD5:CD319)</f>
        <v>0</v>
      </c>
      <c r="CE382" s="381"/>
      <c r="CJ382" s="90">
        <f t="shared" ref="CJ382" si="1402">SUM(CJ383:CJ385)</f>
        <v>0</v>
      </c>
      <c r="CK382" s="166">
        <f>ROUND((CP382+CQ382/2)*HLOOKUP(CK322,Grund_zins,2,FALSE),2)</f>
        <v>0</v>
      </c>
      <c r="CM382" s="564" t="s">
        <v>399</v>
      </c>
      <c r="CP382" s="166">
        <f>SUMIF($D$5:$D$319,"=sos",CP5:CP319)+SUMIF($D$5:$D$319,"=som",CP5:CP319)+SUMIF($D$5:$D$319,"=sor",CP5:CP319)+SUMIF($D$5:$D$319,"=soz",CP5:CP319)</f>
        <v>0</v>
      </c>
      <c r="CQ382" s="166">
        <f>SUMIF($D$5:$D$319,"=sos",CQ5:CQ319)+SUMIF($D$5:$D$319,"=som",CQ5:CQ319)+SUMIF($D$5:$D$319,"=sor",CQ5:CQ319)+SUMIF($D$5:$D$319,"=soz",CQ5:CQ319)</f>
        <v>0</v>
      </c>
      <c r="CR382" s="381"/>
      <c r="CW382" s="90">
        <f t="shared" ref="CW382" si="1403">SUM(CW383:CW385)</f>
        <v>0</v>
      </c>
      <c r="CX382" s="166">
        <f>ROUND((DC382+DD382/2)*HLOOKUP(CX322,Grund_zins,2,FALSE),2)</f>
        <v>0</v>
      </c>
      <c r="CZ382" s="564" t="s">
        <v>399</v>
      </c>
      <c r="DC382" s="166">
        <f>SUMIF($D$5:$D$319,"=sos",DC5:DC319)+SUMIF($D$5:$D$319,"=som",DC5:DC319)+SUMIF($D$5:$D$319,"=sor",DC5:DC319)+SUMIF($D$5:$D$319,"=soz",DC5:DC319)</f>
        <v>0</v>
      </c>
      <c r="DD382" s="166">
        <f>SUMIF($D$5:$D$319,"=sos",DD5:DD319)+SUMIF($D$5:$D$319,"=som",DD5:DD319)+SUMIF($D$5:$D$319,"=sor",DD5:DD319)+SUMIF($D$5:$D$319,"=soz",DD5:DD319)</f>
        <v>0</v>
      </c>
      <c r="DE382" s="381"/>
      <c r="DJ382" s="90">
        <f t="shared" ref="DJ382" si="1404">SUM(DJ383:DJ385)</f>
        <v>0</v>
      </c>
      <c r="DK382" s="166">
        <f>ROUND((DP382+DQ382/2)*HLOOKUP(DK322,Grund_zins,2,FALSE),2)</f>
        <v>0</v>
      </c>
      <c r="DM382" s="564" t="s">
        <v>399</v>
      </c>
      <c r="DP382" s="166">
        <f>SUMIF($D$5:$D$319,"=sos",DP5:DP319)+SUMIF($D$5:$D$319,"=som",DP5:DP319)+SUMIF($D$5:$D$319,"=sor",DP5:DP319)+SUMIF($D$5:$D$319,"=soz",DP5:DP319)</f>
        <v>0</v>
      </c>
      <c r="DQ382" s="166">
        <f>SUMIF($D$5:$D$319,"=sos",DQ5:DQ319)+SUMIF($D$5:$D$319,"=som",DQ5:DQ319)+SUMIF($D$5:$D$319,"=sor",DQ5:DQ319)+SUMIF($D$5:$D$319,"=soz",DQ5:DQ319)</f>
        <v>0</v>
      </c>
      <c r="DR382" s="381"/>
      <c r="DW382" s="90">
        <f t="shared" ref="DW382" si="1405">SUM(DW383:DW385)</f>
        <v>0</v>
      </c>
      <c r="DX382" s="166">
        <f>ROUND((EC382+ED382/2)*HLOOKUP(DX322,Grund_zins,2,FALSE),2)</f>
        <v>0</v>
      </c>
      <c r="DZ382" s="564" t="s">
        <v>399</v>
      </c>
      <c r="EC382" s="166">
        <f>SUMIF($D$5:$D$319,"=sos",EC5:EC319)+SUMIF($D$5:$D$319,"=som",EC5:EC319)+SUMIF($D$5:$D$319,"=sor",EC5:EC319)+SUMIF($D$5:$D$319,"=soz",EC5:EC319)</f>
        <v>0</v>
      </c>
      <c r="ED382" s="166">
        <f>SUMIF($D$5:$D$319,"=sos",ED5:ED319)+SUMIF($D$5:$D$319,"=som",ED5:ED319)+SUMIF($D$5:$D$319,"=sor",ED5:ED319)+SUMIF($D$5:$D$319,"=soz",ED5:ED319)</f>
        <v>0</v>
      </c>
    </row>
    <row r="383" spans="1:134" s="10" customFormat="1" ht="15" customHeight="1" x14ac:dyDescent="0.35">
      <c r="A383" s="565" t="s">
        <v>169</v>
      </c>
      <c r="Q383" s="225">
        <v>62</v>
      </c>
      <c r="R383" s="381"/>
      <c r="W383" s="90">
        <f t="shared" ref="W383" si="1406">IF(X382&lt;&gt;0,X383/X382,0)</f>
        <v>0</v>
      </c>
      <c r="X383" s="166">
        <f>ROUND((AC383+AD383/2)*HLOOKUP(X322,Grund_zins,2,FALSE),2)</f>
        <v>0</v>
      </c>
      <c r="Z383" s="565" t="s">
        <v>169</v>
      </c>
      <c r="AC383" s="166">
        <f>SUMIF($D$5:$D$319,"=sos",AC5:AC319)*HLOOKUP(X322,Verteil_sw,17,FALSE)+SUMIF($D$5:$D$319,"=som",AC5:AC319)*HLOOKUP(X322,Verteil_sw,18,FALSE)+SUMIF($D$5:$D$319,"=sor",AC5:AC319)*HLOOKUP(X322,Verteil_sw,19,FALSE)+SUMIF($D$5:$D$319,"=soz",AC5:AC319)*HLOOKUP(X322,Verteil_sw,20,FALSE)</f>
        <v>0</v>
      </c>
      <c r="AD383" s="166">
        <f>SUMIF($D$5:$D$319,"=sos",AD5:AD319)*HLOOKUP(X322,Verteil_sw,17,FALSE)+SUMIF($D$5:$D$319,"=som",AD5:AD319)*HLOOKUP(X322,Verteil_sw,18,FALSE)+SUMIF($D$5:$D$319,"=sor",AD5:AD319)*HLOOKUP(X322,Verteil_sw,19,FALSE)+SUMIF($D$5:$D$319,"=soz",AD5:AD319)*HLOOKUP(X322,Verteil_sw,20,FALSE)</f>
        <v>0</v>
      </c>
      <c r="AE383" s="381"/>
      <c r="AJ383" s="90">
        <f t="shared" ref="AJ383" si="1407">IF(AK382&lt;&gt;0,AK383/AK382,0)</f>
        <v>0</v>
      </c>
      <c r="AK383" s="166">
        <f>ROUND((AP383+AQ383/2)*HLOOKUP(AK322,Grund_zins,2,FALSE),2)</f>
        <v>0</v>
      </c>
      <c r="AM383" s="565" t="s">
        <v>169</v>
      </c>
      <c r="AP383" s="166">
        <f>SUMIF($D$5:$D$319,"=sos",AP5:AP319)*HLOOKUP(AK322,Verteil_sw,17,FALSE)+SUMIF($D$5:$D$319,"=som",AP5:AP319)*HLOOKUP(AK322,Verteil_sw,18,FALSE)+SUMIF($D$5:$D$319,"=sor",AP5:AP319)*HLOOKUP(AK322,Verteil_sw,19,FALSE)+SUMIF($D$5:$D$319,"=soz",AP5:AP319)*HLOOKUP(AK322,Verteil_sw,20,FALSE)</f>
        <v>0</v>
      </c>
      <c r="AQ383" s="166">
        <f>SUMIF($D$5:$D$319,"=sos",AQ5:AQ319)*HLOOKUP(AK322,Verteil_sw,17,FALSE)+SUMIF($D$5:$D$319,"=som",AQ5:AQ319)*HLOOKUP(AK322,Verteil_sw,18,FALSE)+SUMIF($D$5:$D$319,"=sor",AQ5:AQ319)*HLOOKUP(AK322,Verteil_sw,19,FALSE)+SUMIF($D$5:$D$319,"=soz",AQ5:AQ319)*HLOOKUP(AK322,Verteil_sw,20,FALSE)</f>
        <v>0</v>
      </c>
      <c r="AR383" s="381"/>
      <c r="AW383" s="90">
        <f t="shared" ref="AW383" si="1408">IF(AX382&lt;&gt;0,AX383/AX382,0)</f>
        <v>0</v>
      </c>
      <c r="AX383" s="166">
        <f>ROUND((BC383+BD383/2)*HLOOKUP(AX322,Grund_zins,2,FALSE),2)</f>
        <v>0</v>
      </c>
      <c r="AZ383" s="565" t="s">
        <v>169</v>
      </c>
      <c r="BC383" s="166">
        <f>SUMIF($D$5:$D$319,"=sos",BC5:BC319)*HLOOKUP(AX322,Verteil_sw,17,FALSE)+SUMIF($D$5:$D$319,"=som",BC5:BC319)*HLOOKUP(AX322,Verteil_sw,18,FALSE)+SUMIF($D$5:$D$319,"=sor",BC5:BC319)*HLOOKUP(AX322,Verteil_sw,19,FALSE)+SUMIF($D$5:$D$319,"=soz",BC5:BC319)*HLOOKUP(AX322,Verteil_sw,20,FALSE)</f>
        <v>0</v>
      </c>
      <c r="BD383" s="166">
        <f>SUMIF($D$5:$D$319,"=sos",BD5:BD319)*HLOOKUP(AX322,Verteil_sw,17,FALSE)+SUMIF($D$5:$D$319,"=som",BD5:BD319)*HLOOKUP(AX322,Verteil_sw,18,FALSE)+SUMIF($D$5:$D$319,"=sor",BD5:BD319)*HLOOKUP(AX322,Verteil_sw,19,FALSE)+SUMIF($D$5:$D$319,"=soz",BD5:BD319)*HLOOKUP(AX322,Verteil_sw,20,FALSE)</f>
        <v>0</v>
      </c>
      <c r="BE383" s="381"/>
      <c r="BJ383" s="90">
        <f t="shared" ref="BJ383" si="1409">IF(BK382&lt;&gt;0,BK383/BK382,0)</f>
        <v>0</v>
      </c>
      <c r="BK383" s="166">
        <f>ROUND((BP383+BQ383/2)*HLOOKUP(BK322,Grund_zins,2,FALSE),2)</f>
        <v>0</v>
      </c>
      <c r="BM383" s="565" t="s">
        <v>169</v>
      </c>
      <c r="BP383" s="166">
        <f>SUMIF($D$5:$D$319,"=sos",BP5:BP319)*HLOOKUP(BK322,Verteil_sw,17,FALSE)+SUMIF($D$5:$D$319,"=som",BP5:BP319)*HLOOKUP(BK322,Verteil_sw,18,FALSE)+SUMIF($D$5:$D$319,"=sor",BP5:BP319)*HLOOKUP(BK322,Verteil_sw,19,FALSE)+SUMIF($D$5:$D$319,"=soz",BP5:BP319)*HLOOKUP(BK322,Verteil_sw,20,FALSE)</f>
        <v>0</v>
      </c>
      <c r="BQ383" s="166">
        <f>SUMIF($D$5:$D$319,"=sos",BQ5:BQ319)*HLOOKUP(BK322,Verteil_sw,17,FALSE)+SUMIF($D$5:$D$319,"=som",BQ5:BQ319)*HLOOKUP(BK322,Verteil_sw,18,FALSE)+SUMIF($D$5:$D$319,"=sor",BQ5:BQ319)*HLOOKUP(BK322,Verteil_sw,19,FALSE)+SUMIF($D$5:$D$319,"=soz",BQ5:BQ319)*HLOOKUP(BK322,Verteil_sw,20,FALSE)</f>
        <v>0</v>
      </c>
      <c r="BR383" s="381"/>
      <c r="BW383" s="90">
        <f t="shared" ref="BW383" si="1410">IF(BX382&lt;&gt;0,BX383/BX382,0)</f>
        <v>0</v>
      </c>
      <c r="BX383" s="166">
        <f>ROUND((CC383+CD383/2)*HLOOKUP(BX322,Grund_zins,2,FALSE),2)</f>
        <v>0</v>
      </c>
      <c r="BZ383" s="565" t="s">
        <v>169</v>
      </c>
      <c r="CC383" s="166">
        <f>SUMIF($D$5:$D$319,"=sos",CC5:CC319)*HLOOKUP(BX322,Verteil_sw,17,FALSE)+SUMIF($D$5:$D$319,"=som",CC5:CC319)*HLOOKUP(BX322,Verteil_sw,18,FALSE)+SUMIF($D$5:$D$319,"=sor",CC5:CC319)*HLOOKUP(BX322,Verteil_sw,19,FALSE)+SUMIF($D$5:$D$319,"=soz",CC5:CC319)*HLOOKUP(BX322,Verteil_sw,20,FALSE)</f>
        <v>0</v>
      </c>
      <c r="CD383" s="166">
        <f>SUMIF($D$5:$D$319,"=sos",CD5:CD319)*HLOOKUP(BX322,Verteil_sw,17,FALSE)+SUMIF($D$5:$D$319,"=som",CD5:CD319)*HLOOKUP(BX322,Verteil_sw,18,FALSE)+SUMIF($D$5:$D$319,"=sor",CD5:CD319)*HLOOKUP(BX322,Verteil_sw,19,FALSE)+SUMIF($D$5:$D$319,"=soz",CD5:CD319)*HLOOKUP(BX322,Verteil_sw,20,FALSE)</f>
        <v>0</v>
      </c>
      <c r="CE383" s="381"/>
      <c r="CJ383" s="90">
        <f t="shared" ref="CJ383" si="1411">IF(CK382&lt;&gt;0,CK383/CK382,0)</f>
        <v>0</v>
      </c>
      <c r="CK383" s="166">
        <f>ROUND((CP383+CQ383/2)*HLOOKUP(CK322,Grund_zins,2,FALSE),2)</f>
        <v>0</v>
      </c>
      <c r="CM383" s="565" t="s">
        <v>169</v>
      </c>
      <c r="CP383" s="166">
        <f>SUMIF($D$5:$D$319,"=sos",CP5:CP319)*HLOOKUP(CK322,Verteil_sw,17,FALSE)+SUMIF($D$5:$D$319,"=som",CP5:CP319)*HLOOKUP(CK322,Verteil_sw,18,FALSE)+SUMIF($D$5:$D$319,"=sor",CP5:CP319)*HLOOKUP(CK322,Verteil_sw,19,FALSE)+SUMIF($D$5:$D$319,"=soz",CP5:CP319)*HLOOKUP(CK322,Verteil_sw,20,FALSE)</f>
        <v>0</v>
      </c>
      <c r="CQ383" s="166">
        <f>SUMIF($D$5:$D$319,"=sos",CQ5:CQ319)*HLOOKUP(CK322,Verteil_sw,17,FALSE)+SUMIF($D$5:$D$319,"=som",CQ5:CQ319)*HLOOKUP(CK322,Verteil_sw,18,FALSE)+SUMIF($D$5:$D$319,"=sor",CQ5:CQ319)*HLOOKUP(CK322,Verteil_sw,19,FALSE)+SUMIF($D$5:$D$319,"=soz",CQ5:CQ319)*HLOOKUP(CK322,Verteil_sw,20,FALSE)</f>
        <v>0</v>
      </c>
      <c r="CR383" s="381"/>
      <c r="CW383" s="90">
        <f t="shared" ref="CW383" si="1412">IF(CX382&lt;&gt;0,CX383/CX382,0)</f>
        <v>0</v>
      </c>
      <c r="CX383" s="166">
        <f>ROUND((DC383+DD383/2)*HLOOKUP(CX322,Grund_zins,2,FALSE),2)</f>
        <v>0</v>
      </c>
      <c r="CZ383" s="565" t="s">
        <v>169</v>
      </c>
      <c r="DC383" s="166">
        <f>SUMIF($D$5:$D$319,"=sos",DC5:DC319)*HLOOKUP(CX322,Verteil_sw,17,FALSE)+SUMIF($D$5:$D$319,"=som",DC5:DC319)*HLOOKUP(CX322,Verteil_sw,18,FALSE)+SUMIF($D$5:$D$319,"=sor",DC5:DC319)*HLOOKUP(CX322,Verteil_sw,19,FALSE)+SUMIF($D$5:$D$319,"=soz",DC5:DC319)*HLOOKUP(CX322,Verteil_sw,20,FALSE)</f>
        <v>0</v>
      </c>
      <c r="DD383" s="166">
        <f>SUMIF($D$5:$D$319,"=sos",DD5:DD319)*HLOOKUP(CX322,Verteil_sw,17,FALSE)+SUMIF($D$5:$D$319,"=som",DD5:DD319)*HLOOKUP(CX322,Verteil_sw,18,FALSE)+SUMIF($D$5:$D$319,"=sor",DD5:DD319)*HLOOKUP(CX322,Verteil_sw,19,FALSE)+SUMIF($D$5:$D$319,"=soz",DD5:DD319)*HLOOKUP(CX322,Verteil_sw,20,FALSE)</f>
        <v>0</v>
      </c>
      <c r="DE383" s="381"/>
      <c r="DJ383" s="90">
        <f t="shared" ref="DJ383" si="1413">IF(DK382&lt;&gt;0,DK383/DK382,0)</f>
        <v>0</v>
      </c>
      <c r="DK383" s="166">
        <f>ROUND((DP383+DQ383/2)*HLOOKUP(DK322,Grund_zins,2,FALSE),2)</f>
        <v>0</v>
      </c>
      <c r="DM383" s="565" t="s">
        <v>169</v>
      </c>
      <c r="DP383" s="166">
        <f>SUMIF($D$5:$D$319,"=sos",DP5:DP319)*HLOOKUP(DK322,Verteil_sw,17,FALSE)+SUMIF($D$5:$D$319,"=som",DP5:DP319)*HLOOKUP(DK322,Verteil_sw,18,FALSE)+SUMIF($D$5:$D$319,"=sor",DP5:DP319)*HLOOKUP(DK322,Verteil_sw,19,FALSE)+SUMIF($D$5:$D$319,"=soz",DP5:DP319)*HLOOKUP(DK322,Verteil_sw,20,FALSE)</f>
        <v>0</v>
      </c>
      <c r="DQ383" s="166">
        <f>SUMIF($D$5:$D$319,"=sos",DQ5:DQ319)*HLOOKUP(DK322,Verteil_sw,17,FALSE)+SUMIF($D$5:$D$319,"=som",DQ5:DQ319)*HLOOKUP(DK322,Verteil_sw,18,FALSE)+SUMIF($D$5:$D$319,"=sor",DQ5:DQ319)*HLOOKUP(DK322,Verteil_sw,19,FALSE)+SUMIF($D$5:$D$319,"=soz",DQ5:DQ319)*HLOOKUP(DK322,Verteil_sw,20,FALSE)</f>
        <v>0</v>
      </c>
      <c r="DR383" s="381"/>
      <c r="DW383" s="90">
        <f t="shared" ref="DW383" si="1414">IF(DX382&lt;&gt;0,DX383/DX382,0)</f>
        <v>0</v>
      </c>
      <c r="DX383" s="166">
        <f>ROUND((EC383+ED383/2)*HLOOKUP(DX322,Grund_zins,2,FALSE),2)</f>
        <v>0</v>
      </c>
      <c r="DZ383" s="565" t="s">
        <v>169</v>
      </c>
      <c r="EC383" s="166">
        <f>SUMIF($D$5:$D$319,"=sos",EC5:EC319)*HLOOKUP(DX322,Verteil_sw,17,FALSE)+SUMIF($D$5:$D$319,"=som",EC5:EC319)*HLOOKUP(DX322,Verteil_sw,18,FALSE)+SUMIF($D$5:$D$319,"=sor",EC5:EC319)*HLOOKUP(DX322,Verteil_sw,19,FALSE)+SUMIF($D$5:$D$319,"=soz",EC5:EC319)*HLOOKUP(DX322,Verteil_sw,20,FALSE)</f>
        <v>0</v>
      </c>
      <c r="ED383" s="166">
        <f>SUMIF($D$5:$D$319,"=sos",ED5:ED319)*HLOOKUP(DX322,Verteil_sw,17,FALSE)+SUMIF($D$5:$D$319,"=som",ED5:ED319)*HLOOKUP(DX322,Verteil_sw,18,FALSE)+SUMIF($D$5:$D$319,"=sor",ED5:ED319)*HLOOKUP(DX322,Verteil_sw,19,FALSE)+SUMIF($D$5:$D$319,"=soz",ED5:ED319)*HLOOKUP(DX322,Verteil_sw,20,FALSE)</f>
        <v>0</v>
      </c>
    </row>
    <row r="384" spans="1:134" s="10" customFormat="1" ht="15" customHeight="1" x14ac:dyDescent="0.35">
      <c r="A384" s="565" t="s">
        <v>396</v>
      </c>
      <c r="Q384" s="225">
        <v>63</v>
      </c>
      <c r="R384" s="381"/>
      <c r="W384" s="90">
        <f t="shared" ref="W384" si="1415">IF(X382&lt;&gt;0,X384/X382,0)</f>
        <v>0</v>
      </c>
      <c r="X384" s="166">
        <f>ROUND((AC384+AD384/2)*HLOOKUP(X322,Grund_zins,2,FALSE),2)</f>
        <v>0</v>
      </c>
      <c r="Z384" s="565" t="s">
        <v>396</v>
      </c>
      <c r="AC384" s="166">
        <f>SUMIF($D$5:$D$319,"=sos",AC5:AC319)*HLOOKUP(X322,Verteil_rwgr,16,FALSE)+SUMIF($D$5:$D$319,"=som",AC5:AC319)*HLOOKUP(X322,Verteil_rwgr,17,FALSE)+SUMIF($D$5:$D$319,"=sor",AC5:AC319)*HLOOKUP(X322,Verteil_rwgr,18,FALSE)+SUMIF($D$5:$D$319,"=soz",AC5:AC319)*HLOOKUP(X322,Verteil_rwgr,19,FALSE)</f>
        <v>0</v>
      </c>
      <c r="AD384" s="166">
        <f>SUMIF($D$5:$D$319,"=sos",AD5:AD319)*HLOOKUP(X322,Verteil_rwgr,16,FALSE)+SUMIF($D$5:$D$319,"=som",AD5:AD319)*HLOOKUP(X322,Verteil_rwgr,17,FALSE)+SUMIF($D$5:$D$319,"=sor",AD5:AD319)*HLOOKUP(X322,Verteil_rwgr,18,FALSE)+SUMIF($D$5:$D$319,"=soz",AD5:AD319)*HLOOKUP(X322,Verteil_rwgr,19,FALSE)</f>
        <v>0</v>
      </c>
      <c r="AE384" s="381"/>
      <c r="AJ384" s="90">
        <f t="shared" ref="AJ384" si="1416">IF(AK382&lt;&gt;0,AK384/AK382,0)</f>
        <v>0</v>
      </c>
      <c r="AK384" s="166">
        <f>ROUND((AP384+AQ384/2)*HLOOKUP(AK322,Grund_zins,2,FALSE),2)</f>
        <v>0</v>
      </c>
      <c r="AM384" s="565" t="s">
        <v>396</v>
      </c>
      <c r="AP384" s="166">
        <f>SUMIF($D$5:$D$319,"=sos",AP5:AP319)*HLOOKUP(AK322,Verteil_rwgr,16,FALSE)+SUMIF($D$5:$D$319,"=som",AP5:AP319)*HLOOKUP(AK322,Verteil_rwgr,17,FALSE)+SUMIF($D$5:$D$319,"=sor",AP5:AP319)*HLOOKUP(AK322,Verteil_rwgr,18,FALSE)+SUMIF($D$5:$D$319,"=soz",AP5:AP319)*HLOOKUP(AK322,Verteil_rwgr,19,FALSE)</f>
        <v>0</v>
      </c>
      <c r="AQ384" s="166">
        <f>SUMIF($D$5:$D$319,"=sos",AQ5:AQ319)*HLOOKUP(AK322,Verteil_rwgr,16,FALSE)+SUMIF($D$5:$D$319,"=som",AQ5:AQ319)*HLOOKUP(AK322,Verteil_rwgr,17,FALSE)+SUMIF($D$5:$D$319,"=sor",AQ5:AQ319)*HLOOKUP(AK322,Verteil_rwgr,18,FALSE)+SUMIF($D$5:$D$319,"=soz",AQ5:AQ319)*HLOOKUP(AK322,Verteil_rwgr,19,FALSE)</f>
        <v>0</v>
      </c>
      <c r="AR384" s="381"/>
      <c r="AW384" s="90">
        <f t="shared" ref="AW384" si="1417">IF(AX382&lt;&gt;0,AX384/AX382,0)</f>
        <v>0</v>
      </c>
      <c r="AX384" s="166">
        <f>ROUND((BC384+BD384/2)*HLOOKUP(AX322,Grund_zins,2,FALSE),2)</f>
        <v>0</v>
      </c>
      <c r="AZ384" s="565" t="s">
        <v>396</v>
      </c>
      <c r="BC384" s="166">
        <f>SUMIF($D$5:$D$319,"=sos",BC5:BC319)*HLOOKUP(AX322,Verteil_rwgr,16,FALSE)+SUMIF($D$5:$D$319,"=som",BC5:BC319)*HLOOKUP(AX322,Verteil_rwgr,17,FALSE)+SUMIF($D$5:$D$319,"=sor",BC5:BC319)*HLOOKUP(AX322,Verteil_rwgr,18,FALSE)+SUMIF($D$5:$D$319,"=soz",BC5:BC319)*HLOOKUP(AX322,Verteil_rwgr,19,FALSE)</f>
        <v>0</v>
      </c>
      <c r="BD384" s="166">
        <f>SUMIF($D$5:$D$319,"=sos",BD5:BD319)*HLOOKUP(AX322,Verteil_rwgr,16,FALSE)+SUMIF($D$5:$D$319,"=som",BD5:BD319)*HLOOKUP(AX322,Verteil_rwgr,17,FALSE)+SUMIF($D$5:$D$319,"=sor",BD5:BD319)*HLOOKUP(AX322,Verteil_rwgr,18,FALSE)+SUMIF($D$5:$D$319,"=soz",BD5:BD319)*HLOOKUP(AX322,Verteil_rwgr,19,FALSE)</f>
        <v>0</v>
      </c>
      <c r="BE384" s="381"/>
      <c r="BJ384" s="90">
        <f t="shared" ref="BJ384" si="1418">IF(BK382&lt;&gt;0,BK384/BK382,0)</f>
        <v>0</v>
      </c>
      <c r="BK384" s="166">
        <f>ROUND((BP384+BQ384/2)*HLOOKUP(BK322,Grund_zins,2,FALSE),2)</f>
        <v>0</v>
      </c>
      <c r="BM384" s="565" t="s">
        <v>396</v>
      </c>
      <c r="BP384" s="166">
        <f>SUMIF($D$5:$D$319,"=sos",BP5:BP319)*HLOOKUP(BK322,Verteil_rwgr,16,FALSE)+SUMIF($D$5:$D$319,"=som",BP5:BP319)*HLOOKUP(BK322,Verteil_rwgr,17,FALSE)+SUMIF($D$5:$D$319,"=sor",BP5:BP319)*HLOOKUP(BK322,Verteil_rwgr,18,FALSE)+SUMIF($D$5:$D$319,"=soz",BP5:BP319)*HLOOKUP(BK322,Verteil_rwgr,19,FALSE)</f>
        <v>0</v>
      </c>
      <c r="BQ384" s="166">
        <f>SUMIF($D$5:$D$319,"=sos",BQ5:BQ319)*HLOOKUP(BK322,Verteil_rwgr,16,FALSE)+SUMIF($D$5:$D$319,"=som",BQ5:BQ319)*HLOOKUP(BK322,Verteil_rwgr,17,FALSE)+SUMIF($D$5:$D$319,"=sor",BQ5:BQ319)*HLOOKUP(BK322,Verteil_rwgr,18,FALSE)+SUMIF($D$5:$D$319,"=soz",BQ5:BQ319)*HLOOKUP(BK322,Verteil_rwgr,19,FALSE)</f>
        <v>0</v>
      </c>
      <c r="BR384" s="381"/>
      <c r="BW384" s="90">
        <f t="shared" ref="BW384" si="1419">IF(BX382&lt;&gt;0,BX384/BX382,0)</f>
        <v>0</v>
      </c>
      <c r="BX384" s="166">
        <f>ROUND((CC384+CD384/2)*HLOOKUP(BX322,Grund_zins,2,FALSE),2)</f>
        <v>0</v>
      </c>
      <c r="BZ384" s="565" t="s">
        <v>396</v>
      </c>
      <c r="CC384" s="166">
        <f>SUMIF($D$5:$D$319,"=sos",CC5:CC319)*HLOOKUP(BX322,Verteil_rwgr,16,FALSE)+SUMIF($D$5:$D$319,"=som",CC5:CC319)*HLOOKUP(BX322,Verteil_rwgr,17,FALSE)+SUMIF($D$5:$D$319,"=sor",CC5:CC319)*HLOOKUP(BX322,Verteil_rwgr,18,FALSE)+SUMIF($D$5:$D$319,"=soz",CC5:CC319)*HLOOKUP(BX322,Verteil_rwgr,19,FALSE)</f>
        <v>0</v>
      </c>
      <c r="CD384" s="166">
        <f>SUMIF($D$5:$D$319,"=sos",CD5:CD319)*HLOOKUP(BX322,Verteil_rwgr,16,FALSE)+SUMIF($D$5:$D$319,"=som",CD5:CD319)*HLOOKUP(BX322,Verteil_rwgr,17,FALSE)+SUMIF($D$5:$D$319,"=sor",CD5:CD319)*HLOOKUP(BX322,Verteil_rwgr,18,FALSE)+SUMIF($D$5:$D$319,"=soz",CD5:CD319)*HLOOKUP(BX322,Verteil_rwgr,19,FALSE)</f>
        <v>0</v>
      </c>
      <c r="CE384" s="381"/>
      <c r="CJ384" s="90">
        <f t="shared" ref="CJ384" si="1420">IF(CK382&lt;&gt;0,CK384/CK382,0)</f>
        <v>0</v>
      </c>
      <c r="CK384" s="166">
        <f>ROUND((CP384+CQ384/2)*HLOOKUP(CK322,Grund_zins,2,FALSE),2)</f>
        <v>0</v>
      </c>
      <c r="CM384" s="565" t="s">
        <v>396</v>
      </c>
      <c r="CP384" s="166">
        <f>SUMIF($D$5:$D$319,"=sos",CP5:CP319)*HLOOKUP(CK322,Verteil_rwgr,16,FALSE)+SUMIF($D$5:$D$319,"=som",CP5:CP319)*HLOOKUP(CK322,Verteil_rwgr,17,FALSE)+SUMIF($D$5:$D$319,"=sor",CP5:CP319)*HLOOKUP(CK322,Verteil_rwgr,18,FALSE)+SUMIF($D$5:$D$319,"=soz",CP5:CP319)*HLOOKUP(CK322,Verteil_rwgr,19,FALSE)</f>
        <v>0</v>
      </c>
      <c r="CQ384" s="166">
        <f>SUMIF($D$5:$D$319,"=sos",CQ5:CQ319)*HLOOKUP(CK322,Verteil_rwgr,16,FALSE)+SUMIF($D$5:$D$319,"=som",CQ5:CQ319)*HLOOKUP(CK322,Verteil_rwgr,17,FALSE)+SUMIF($D$5:$D$319,"=sor",CQ5:CQ319)*HLOOKUP(CK322,Verteil_rwgr,18,FALSE)+SUMIF($D$5:$D$319,"=soz",CQ5:CQ319)*HLOOKUP(CK322,Verteil_rwgr,19,FALSE)</f>
        <v>0</v>
      </c>
      <c r="CR384" s="381"/>
      <c r="CW384" s="90">
        <f t="shared" ref="CW384" si="1421">IF(CX382&lt;&gt;0,CX384/CX382,0)</f>
        <v>0</v>
      </c>
      <c r="CX384" s="166">
        <f>ROUND((DC384+DD384/2)*HLOOKUP(CX322,Grund_zins,2,FALSE),2)</f>
        <v>0</v>
      </c>
      <c r="CZ384" s="565" t="s">
        <v>396</v>
      </c>
      <c r="DC384" s="166">
        <f>SUMIF($D$5:$D$319,"=sos",DC5:DC319)*HLOOKUP(CX322,Verteil_rwgr,16,FALSE)+SUMIF($D$5:$D$319,"=som",DC5:DC319)*HLOOKUP(CX322,Verteil_rwgr,17,FALSE)+SUMIF($D$5:$D$319,"=sor",DC5:DC319)*HLOOKUP(CX322,Verteil_rwgr,18,FALSE)+SUMIF($D$5:$D$319,"=soz",DC5:DC319)*HLOOKUP(CX322,Verteil_rwgr,19,FALSE)</f>
        <v>0</v>
      </c>
      <c r="DD384" s="166">
        <f>SUMIF($D$5:$D$319,"=sos",DD5:DD319)*HLOOKUP(CX322,Verteil_rwgr,16,FALSE)+SUMIF($D$5:$D$319,"=som",DD5:DD319)*HLOOKUP(CX322,Verteil_rwgr,17,FALSE)+SUMIF($D$5:$D$319,"=sor",DD5:DD319)*HLOOKUP(CX322,Verteil_rwgr,18,FALSE)+SUMIF($D$5:$D$319,"=soz",DD5:DD319)*HLOOKUP(CX322,Verteil_rwgr,19,FALSE)</f>
        <v>0</v>
      </c>
      <c r="DE384" s="381"/>
      <c r="DJ384" s="90">
        <f t="shared" ref="DJ384" si="1422">IF(DK382&lt;&gt;0,DK384/DK382,0)</f>
        <v>0</v>
      </c>
      <c r="DK384" s="166">
        <f>ROUND((DP384+DQ384/2)*HLOOKUP(DK322,Grund_zins,2,FALSE),2)</f>
        <v>0</v>
      </c>
      <c r="DM384" s="565" t="s">
        <v>396</v>
      </c>
      <c r="DP384" s="166">
        <f>SUMIF($D$5:$D$319,"=sos",DP5:DP319)*HLOOKUP(DK322,Verteil_rwgr,16,FALSE)+SUMIF($D$5:$D$319,"=som",DP5:DP319)*HLOOKUP(DK322,Verteil_rwgr,17,FALSE)+SUMIF($D$5:$D$319,"=sor",DP5:DP319)*HLOOKUP(DK322,Verteil_rwgr,18,FALSE)+SUMIF($D$5:$D$319,"=soz",DP5:DP319)*HLOOKUP(DK322,Verteil_rwgr,19,FALSE)</f>
        <v>0</v>
      </c>
      <c r="DQ384" s="166">
        <f>SUMIF($D$5:$D$319,"=sos",DQ5:DQ319)*HLOOKUP(DK322,Verteil_rwgr,16,FALSE)+SUMIF($D$5:$D$319,"=som",DQ5:DQ319)*HLOOKUP(DK322,Verteil_rwgr,17,FALSE)+SUMIF($D$5:$D$319,"=sor",DQ5:DQ319)*HLOOKUP(DK322,Verteil_rwgr,18,FALSE)+SUMIF($D$5:$D$319,"=soz",DQ5:DQ319)*HLOOKUP(DK322,Verteil_rwgr,19,FALSE)</f>
        <v>0</v>
      </c>
      <c r="DR384" s="381"/>
      <c r="DW384" s="90">
        <f t="shared" ref="DW384" si="1423">IF(DX382&lt;&gt;0,DX384/DX382,0)</f>
        <v>0</v>
      </c>
      <c r="DX384" s="166">
        <f>ROUND((EC384+ED384/2)*HLOOKUP(DX322,Grund_zins,2,FALSE),2)</f>
        <v>0</v>
      </c>
      <c r="DZ384" s="565" t="s">
        <v>396</v>
      </c>
      <c r="EC384" s="166">
        <f>SUMIF($D$5:$D$319,"=sos",EC5:EC319)*HLOOKUP(DX322,Verteil_rwgr,16,FALSE)+SUMIF($D$5:$D$319,"=som",EC5:EC319)*HLOOKUP(DX322,Verteil_rwgr,17,FALSE)+SUMIF($D$5:$D$319,"=sor",EC5:EC319)*HLOOKUP(DX322,Verteil_rwgr,18,FALSE)+SUMIF($D$5:$D$319,"=soz",EC5:EC319)*HLOOKUP(DX322,Verteil_rwgr,19,FALSE)</f>
        <v>0</v>
      </c>
      <c r="ED384" s="166">
        <f>SUMIF($D$5:$D$319,"=sos",ED5:ED319)*HLOOKUP(DX322,Verteil_rwgr,16,FALSE)+SUMIF($D$5:$D$319,"=som",ED5:ED319)*HLOOKUP(DX322,Verteil_rwgr,17,FALSE)+SUMIF($D$5:$D$319,"=sor",ED5:ED319)*HLOOKUP(DX322,Verteil_rwgr,18,FALSE)+SUMIF($D$5:$D$319,"=soz",ED5:ED319)*HLOOKUP(DX322,Verteil_rwgr,19,FALSE)</f>
        <v>0</v>
      </c>
    </row>
    <row r="385" spans="1:134" s="10" customFormat="1" ht="15" customHeight="1" x14ac:dyDescent="0.35">
      <c r="A385" s="565" t="s">
        <v>397</v>
      </c>
      <c r="Q385" s="225">
        <v>64</v>
      </c>
      <c r="R385" s="381"/>
      <c r="W385" s="90">
        <f t="shared" ref="W385" si="1424">IF(X382&lt;&gt;0,X385/X382,0)</f>
        <v>0</v>
      </c>
      <c r="X385" s="166">
        <f>ROUND((AC385+AD385/2)*HLOOKUP(X322,Grund_zins,2,FALSE),2)</f>
        <v>0</v>
      </c>
      <c r="Z385" s="565" t="s">
        <v>397</v>
      </c>
      <c r="AC385" s="166">
        <f>SUMIF($D$5:$D$319,"=sos",AC5:AC319)*HLOOKUP(X322,Verteil_rwst,15,FALSE)+SUMIF($D$5:$D$319,"=som",AC5:AC319)*HLOOKUP(X322,Verteil_rwst,16,FALSE)+SUMIF($D$5:$D$319,"=sor",AC5:AC319)*HLOOKUP(X322,Verteil_rwst,17,FALSE)+SUMIF($D$5:$D$319,"=soz",AC5:AC319)*HLOOKUP(X322,Verteil_rwst,18,FALSE)</f>
        <v>0</v>
      </c>
      <c r="AD385" s="166">
        <f>SUMIF($D$5:$D$319,"=sos",AD5:AD319)*HLOOKUP(X322,Verteil_rwst,15,FALSE)+SUMIF($D$5:$D$319,"=som",AD5:AD319)*HLOOKUP(X322,Verteil_rwst,16,FALSE)+SUMIF($D$5:$D$319,"=sor",AD5:AD319)*HLOOKUP(X322,Verteil_rwst,17,FALSE)+SUMIF($D$5:$D$319,"=soz",AD5:AD319)*HLOOKUP(X322,Verteil_rwst,18,FALSE)</f>
        <v>0</v>
      </c>
      <c r="AE385" s="381"/>
      <c r="AJ385" s="90">
        <f t="shared" ref="AJ385" si="1425">IF(AK382&lt;&gt;0,AK385/AK382,0)</f>
        <v>0</v>
      </c>
      <c r="AK385" s="166">
        <f>ROUND((AP385+AQ385/2)*HLOOKUP(AK322,Grund_zins,2,FALSE),2)</f>
        <v>0</v>
      </c>
      <c r="AM385" s="565" t="s">
        <v>397</v>
      </c>
      <c r="AP385" s="166">
        <f>SUMIF($D$5:$D$319,"=sos",AP5:AP319)*HLOOKUP(AK322,Verteil_rwst,15,FALSE)+SUMIF($D$5:$D$319,"=som",AP5:AP319)*HLOOKUP(AK322,Verteil_rwst,16,FALSE)+SUMIF($D$5:$D$319,"=sor",AP5:AP319)*HLOOKUP(AK322,Verteil_rwst,17,FALSE)+SUMIF($D$5:$D$319,"=soz",AP5:AP319)*HLOOKUP(AK322,Verteil_rwst,18,FALSE)</f>
        <v>0</v>
      </c>
      <c r="AQ385" s="166">
        <f>SUMIF($D$5:$D$319,"=sos",AQ5:AQ319)*HLOOKUP(AK322,Verteil_rwst,15,FALSE)+SUMIF($D$5:$D$319,"=som",AQ5:AQ319)*HLOOKUP(AK322,Verteil_rwst,16,FALSE)+SUMIF($D$5:$D$319,"=sor",AQ5:AQ319)*HLOOKUP(AK322,Verteil_rwst,17,FALSE)+SUMIF($D$5:$D$319,"=soz",AQ5:AQ319)*HLOOKUP(AK322,Verteil_rwst,18,FALSE)</f>
        <v>0</v>
      </c>
      <c r="AR385" s="381"/>
      <c r="AW385" s="90">
        <f t="shared" ref="AW385" si="1426">IF(AX382&lt;&gt;0,AX385/AX382,0)</f>
        <v>0</v>
      </c>
      <c r="AX385" s="166">
        <f>ROUND((BC385+BD385/2)*HLOOKUP(AX322,Grund_zins,2,FALSE),2)</f>
        <v>0</v>
      </c>
      <c r="AZ385" s="565" t="s">
        <v>397</v>
      </c>
      <c r="BC385" s="166">
        <f>SUMIF($D$5:$D$319,"=sos",BC5:BC319)*HLOOKUP(AX322,Verteil_rwst,15,FALSE)+SUMIF($D$5:$D$319,"=som",BC5:BC319)*HLOOKUP(AX322,Verteil_rwst,16,FALSE)+SUMIF($D$5:$D$319,"=sor",BC5:BC319)*HLOOKUP(AX322,Verteil_rwst,17,FALSE)+SUMIF($D$5:$D$319,"=soz",BC5:BC319)*HLOOKUP(AX322,Verteil_rwst,18,FALSE)</f>
        <v>0</v>
      </c>
      <c r="BD385" s="166">
        <f>SUMIF($D$5:$D$319,"=sos",BD5:BD319)*HLOOKUP(AX322,Verteil_rwst,15,FALSE)+SUMIF($D$5:$D$319,"=som",BD5:BD319)*HLOOKUP(AX322,Verteil_rwst,16,FALSE)+SUMIF($D$5:$D$319,"=sor",BD5:BD319)*HLOOKUP(AX322,Verteil_rwst,17,FALSE)+SUMIF($D$5:$D$319,"=soz",BD5:BD319)*HLOOKUP(AX322,Verteil_rwst,18,FALSE)</f>
        <v>0</v>
      </c>
      <c r="BE385" s="381"/>
      <c r="BJ385" s="90">
        <f t="shared" ref="BJ385" si="1427">IF(BK382&lt;&gt;0,BK385/BK382,0)</f>
        <v>0</v>
      </c>
      <c r="BK385" s="166">
        <f>ROUND((BP385+BQ385/2)*HLOOKUP(BK322,Grund_zins,2,FALSE),2)</f>
        <v>0</v>
      </c>
      <c r="BM385" s="565" t="s">
        <v>397</v>
      </c>
      <c r="BP385" s="166">
        <f>SUMIF($D$5:$D$319,"=sos",BP5:BP319)*HLOOKUP(BK322,Verteil_rwst,15,FALSE)+SUMIF($D$5:$D$319,"=som",BP5:BP319)*HLOOKUP(BK322,Verteil_rwst,16,FALSE)+SUMIF($D$5:$D$319,"=sor",BP5:BP319)*HLOOKUP(BK322,Verteil_rwst,17,FALSE)+SUMIF($D$5:$D$319,"=soz",BP5:BP319)*HLOOKUP(BK322,Verteil_rwst,18,FALSE)</f>
        <v>0</v>
      </c>
      <c r="BQ385" s="166">
        <f>SUMIF($D$5:$D$319,"=sos",BQ5:BQ319)*HLOOKUP(BK322,Verteil_rwst,15,FALSE)+SUMIF($D$5:$D$319,"=som",BQ5:BQ319)*HLOOKUP(BK322,Verteil_rwst,16,FALSE)+SUMIF($D$5:$D$319,"=sor",BQ5:BQ319)*HLOOKUP(BK322,Verteil_rwst,17,FALSE)+SUMIF($D$5:$D$319,"=soz",BQ5:BQ319)*HLOOKUP(BK322,Verteil_rwst,18,FALSE)</f>
        <v>0</v>
      </c>
      <c r="BR385" s="381"/>
      <c r="BW385" s="90">
        <f t="shared" ref="BW385" si="1428">IF(BX382&lt;&gt;0,BX385/BX382,0)</f>
        <v>0</v>
      </c>
      <c r="BX385" s="166">
        <f>ROUND((CC385+CD385/2)*HLOOKUP(BX322,Grund_zins,2,FALSE),2)</f>
        <v>0</v>
      </c>
      <c r="BZ385" s="565" t="s">
        <v>397</v>
      </c>
      <c r="CC385" s="166">
        <f>SUMIF($D$5:$D$319,"=sos",CC5:CC319)*HLOOKUP(BX322,Verteil_rwst,15,FALSE)+SUMIF($D$5:$D$319,"=som",CC5:CC319)*HLOOKUP(BX322,Verteil_rwst,16,FALSE)+SUMIF($D$5:$D$319,"=sor",CC5:CC319)*HLOOKUP(BX322,Verteil_rwst,17,FALSE)+SUMIF($D$5:$D$319,"=soz",CC5:CC319)*HLOOKUP(BX322,Verteil_rwst,18,FALSE)</f>
        <v>0</v>
      </c>
      <c r="CD385" s="166">
        <f>SUMIF($D$5:$D$319,"=sos",CD5:CD319)*HLOOKUP(BX322,Verteil_rwst,15,FALSE)+SUMIF($D$5:$D$319,"=som",CD5:CD319)*HLOOKUP(BX322,Verteil_rwst,16,FALSE)+SUMIF($D$5:$D$319,"=sor",CD5:CD319)*HLOOKUP(BX322,Verteil_rwst,17,FALSE)+SUMIF($D$5:$D$319,"=soz",CD5:CD319)*HLOOKUP(BX322,Verteil_rwst,18,FALSE)</f>
        <v>0</v>
      </c>
      <c r="CE385" s="381"/>
      <c r="CJ385" s="90">
        <f t="shared" ref="CJ385" si="1429">IF(CK382&lt;&gt;0,CK385/CK382,0)</f>
        <v>0</v>
      </c>
      <c r="CK385" s="166">
        <f>ROUND((CP385+CQ385/2)*HLOOKUP(CK322,Grund_zins,2,FALSE),2)</f>
        <v>0</v>
      </c>
      <c r="CM385" s="565" t="s">
        <v>397</v>
      </c>
      <c r="CP385" s="166">
        <f>SUMIF($D$5:$D$319,"=sos",CP5:CP319)*HLOOKUP(CK322,Verteil_rwst,15,FALSE)+SUMIF($D$5:$D$319,"=som",CP5:CP319)*HLOOKUP(CK322,Verteil_rwst,16,FALSE)+SUMIF($D$5:$D$319,"=sor",CP5:CP319)*HLOOKUP(CK322,Verteil_rwst,17,FALSE)+SUMIF($D$5:$D$319,"=soz",CP5:CP319)*HLOOKUP(CK322,Verteil_rwst,18,FALSE)</f>
        <v>0</v>
      </c>
      <c r="CQ385" s="166">
        <f>SUMIF($D$5:$D$319,"=sos",CQ5:CQ319)*HLOOKUP(CK322,Verteil_rwst,15,FALSE)+SUMIF($D$5:$D$319,"=som",CQ5:CQ319)*HLOOKUP(CK322,Verteil_rwst,16,FALSE)+SUMIF($D$5:$D$319,"=sor",CQ5:CQ319)*HLOOKUP(CK322,Verteil_rwst,17,FALSE)+SUMIF($D$5:$D$319,"=soz",CQ5:CQ319)*HLOOKUP(CK322,Verteil_rwst,18,FALSE)</f>
        <v>0</v>
      </c>
      <c r="CR385" s="381"/>
      <c r="CW385" s="90">
        <f t="shared" ref="CW385" si="1430">IF(CX382&lt;&gt;0,CX385/CX382,0)</f>
        <v>0</v>
      </c>
      <c r="CX385" s="166">
        <f>ROUND((DC385+DD385/2)*HLOOKUP(CX322,Grund_zins,2,FALSE),2)</f>
        <v>0</v>
      </c>
      <c r="CZ385" s="565" t="s">
        <v>397</v>
      </c>
      <c r="DC385" s="166">
        <f>SUMIF($D$5:$D$319,"=sos",DC5:DC319)*HLOOKUP(CX322,Verteil_rwst,15,FALSE)+SUMIF($D$5:$D$319,"=som",DC5:DC319)*HLOOKUP(CX322,Verteil_rwst,16,FALSE)+SUMIF($D$5:$D$319,"=sor",DC5:DC319)*HLOOKUP(CX322,Verteil_rwst,17,FALSE)+SUMIF($D$5:$D$319,"=soz",DC5:DC319)*HLOOKUP(CX322,Verteil_rwst,18,FALSE)</f>
        <v>0</v>
      </c>
      <c r="DD385" s="166">
        <f>SUMIF($D$5:$D$319,"=sos",DD5:DD319)*HLOOKUP(CX322,Verteil_rwst,15,FALSE)+SUMIF($D$5:$D$319,"=som",DD5:DD319)*HLOOKUP(CX322,Verteil_rwst,16,FALSE)+SUMIF($D$5:$D$319,"=sor",DD5:DD319)*HLOOKUP(CX322,Verteil_rwst,17,FALSE)+SUMIF($D$5:$D$319,"=soz",DD5:DD319)*HLOOKUP(CX322,Verteil_rwst,18,FALSE)</f>
        <v>0</v>
      </c>
      <c r="DE385" s="381"/>
      <c r="DJ385" s="90">
        <f t="shared" ref="DJ385" si="1431">IF(DK382&lt;&gt;0,DK385/DK382,0)</f>
        <v>0</v>
      </c>
      <c r="DK385" s="166">
        <f>ROUND((DP385+DQ385/2)*HLOOKUP(DK322,Grund_zins,2,FALSE),2)</f>
        <v>0</v>
      </c>
      <c r="DM385" s="565" t="s">
        <v>397</v>
      </c>
      <c r="DP385" s="166">
        <f>SUMIF($D$5:$D$319,"=sos",DP5:DP319)*HLOOKUP(DK322,Verteil_rwst,15,FALSE)+SUMIF($D$5:$D$319,"=som",DP5:DP319)*HLOOKUP(DK322,Verteil_rwst,16,FALSE)+SUMIF($D$5:$D$319,"=sor",DP5:DP319)*HLOOKUP(DK322,Verteil_rwst,17,FALSE)+SUMIF($D$5:$D$319,"=soz",DP5:DP319)*HLOOKUP(DK322,Verteil_rwst,18,FALSE)</f>
        <v>0</v>
      </c>
      <c r="DQ385" s="166">
        <f>SUMIF($D$5:$D$319,"=sos",DQ5:DQ319)*HLOOKUP(DK322,Verteil_rwst,15,FALSE)+SUMIF($D$5:$D$319,"=som",DQ5:DQ319)*HLOOKUP(DK322,Verteil_rwst,16,FALSE)+SUMIF($D$5:$D$319,"=sor",DQ5:DQ319)*HLOOKUP(DK322,Verteil_rwst,17,FALSE)+SUMIF($D$5:$D$319,"=soz",DQ5:DQ319)*HLOOKUP(DK322,Verteil_rwst,18,FALSE)</f>
        <v>0</v>
      </c>
      <c r="DR385" s="381"/>
      <c r="DW385" s="90">
        <f t="shared" ref="DW385" si="1432">IF(DX382&lt;&gt;0,DX385/DX382,0)</f>
        <v>0</v>
      </c>
      <c r="DX385" s="166">
        <f>ROUND((EC385+ED385/2)*HLOOKUP(DX322,Grund_zins,2,FALSE),2)</f>
        <v>0</v>
      </c>
      <c r="DZ385" s="565" t="s">
        <v>397</v>
      </c>
      <c r="EC385" s="166">
        <f>SUMIF($D$5:$D$319,"=sos",EC5:EC319)*HLOOKUP(DX322,Verteil_rwst,15,FALSE)+SUMIF($D$5:$D$319,"=som",EC5:EC319)*HLOOKUP(DX322,Verteil_rwst,16,FALSE)+SUMIF($D$5:$D$319,"=sor",EC5:EC319)*HLOOKUP(DX322,Verteil_rwst,17,FALSE)+SUMIF($D$5:$D$319,"=soz",EC5:EC319)*HLOOKUP(DX322,Verteil_rwst,18,FALSE)</f>
        <v>0</v>
      </c>
      <c r="ED385" s="166">
        <f>SUMIF($D$5:$D$319,"=sos",ED5:ED319)*HLOOKUP(DX322,Verteil_rwst,15,FALSE)+SUMIF($D$5:$D$319,"=som",ED5:ED319)*HLOOKUP(DX322,Verteil_rwst,16,FALSE)+SUMIF($D$5:$D$319,"=sor",ED5:ED319)*HLOOKUP(DX322,Verteil_rwst,17,FALSE)+SUMIF($D$5:$D$319,"=soz",ED5:ED319)*HLOOKUP(DX322,Verteil_rwst,18,FALSE)</f>
        <v>0</v>
      </c>
    </row>
    <row r="386" spans="1:134" s="10" customFormat="1" ht="15" customHeight="1" x14ac:dyDescent="0.35">
      <c r="A386" s="564" t="s">
        <v>400</v>
      </c>
      <c r="Q386" s="225">
        <v>65</v>
      </c>
      <c r="R386" s="381"/>
      <c r="W386" s="90">
        <f t="shared" ref="W386" si="1433">SUM(W387:W389)</f>
        <v>0</v>
      </c>
      <c r="X386" s="166">
        <f>ROUND((AC386+AD386/2)*HLOOKUP(X322,Grund_zins,2,FALSE),2)</f>
        <v>0</v>
      </c>
      <c r="Z386" s="564" t="s">
        <v>400</v>
      </c>
      <c r="AC386" s="166">
        <f>SUMIF($D$5:$D$319,"=has",AC5:AC319)+SUMIF($D$5:$D$319,"=ham",AC5:AC319)+SUMIF($D$5:$D$319,"=har",AC5:AC319)+SUMIF($D$5:$D$319,"=haz",AC5:AC319)</f>
        <v>0</v>
      </c>
      <c r="AD386" s="166">
        <f>SUMIF($D$5:$D$319,"=has",AD5:AD319)+SUMIF($D$5:$D$319,"=ham",AD5:AD319)+SUMIF($D$5:$D$319,"=har",AD5:AD319)+SUMIF($D$5:$D$319,"=haz",AD5:AD319)</f>
        <v>0</v>
      </c>
      <c r="AE386" s="381"/>
      <c r="AJ386" s="90">
        <f t="shared" ref="AJ386" si="1434">SUM(AJ387:AJ389)</f>
        <v>0</v>
      </c>
      <c r="AK386" s="166">
        <f>ROUND((AP386+AQ386/2)*HLOOKUP(AK322,Grund_zins,2,FALSE),2)</f>
        <v>0</v>
      </c>
      <c r="AM386" s="564" t="s">
        <v>400</v>
      </c>
      <c r="AP386" s="166">
        <f>SUMIF($D$5:$D$319,"=has",AP5:AP319)+SUMIF($D$5:$D$319,"=ham",AP5:AP319)+SUMIF($D$5:$D$319,"=har",AP5:AP319)+SUMIF($D$5:$D$319,"=haz",AP5:AP319)</f>
        <v>0</v>
      </c>
      <c r="AQ386" s="166">
        <f>SUMIF($D$5:$D$319,"=has",AQ5:AQ319)+SUMIF($D$5:$D$319,"=ham",AQ5:AQ319)+SUMIF($D$5:$D$319,"=har",AQ5:AQ319)+SUMIF($D$5:$D$319,"=haz",AQ5:AQ319)</f>
        <v>0</v>
      </c>
      <c r="AR386" s="381"/>
      <c r="AW386" s="90">
        <f t="shared" ref="AW386" si="1435">SUM(AW387:AW389)</f>
        <v>0</v>
      </c>
      <c r="AX386" s="166">
        <f>ROUND((BC386+BD386/2)*HLOOKUP(AX322,Grund_zins,2,FALSE),2)</f>
        <v>0</v>
      </c>
      <c r="AZ386" s="564" t="s">
        <v>400</v>
      </c>
      <c r="BC386" s="166">
        <f>SUMIF($D$5:$D$319,"=has",BC5:BC319)+SUMIF($D$5:$D$319,"=ham",BC5:BC319)+SUMIF($D$5:$D$319,"=har",BC5:BC319)+SUMIF($D$5:$D$319,"=haz",BC5:BC319)</f>
        <v>0</v>
      </c>
      <c r="BD386" s="166">
        <f>SUMIF($D$5:$D$319,"=has",BD5:BD319)+SUMIF($D$5:$D$319,"=ham",BD5:BD319)+SUMIF($D$5:$D$319,"=har",BD5:BD319)+SUMIF($D$5:$D$319,"=haz",BD5:BD319)</f>
        <v>0</v>
      </c>
      <c r="BE386" s="381"/>
      <c r="BJ386" s="90">
        <f t="shared" ref="BJ386" si="1436">SUM(BJ387:BJ389)</f>
        <v>0</v>
      </c>
      <c r="BK386" s="166">
        <f>ROUND((BP386+BQ386/2)*HLOOKUP(BK322,Grund_zins,2,FALSE),2)</f>
        <v>0</v>
      </c>
      <c r="BM386" s="564" t="s">
        <v>400</v>
      </c>
      <c r="BP386" s="166">
        <f>SUMIF($D$5:$D$319,"=has",BP5:BP319)+SUMIF($D$5:$D$319,"=ham",BP5:BP319)+SUMIF($D$5:$D$319,"=har",BP5:BP319)+SUMIF($D$5:$D$319,"=haz",BP5:BP319)</f>
        <v>0</v>
      </c>
      <c r="BQ386" s="166">
        <f>SUMIF($D$5:$D$319,"=has",BQ5:BQ319)+SUMIF($D$5:$D$319,"=ham",BQ5:BQ319)+SUMIF($D$5:$D$319,"=har",BQ5:BQ319)+SUMIF($D$5:$D$319,"=haz",BQ5:BQ319)</f>
        <v>0</v>
      </c>
      <c r="BR386" s="381"/>
      <c r="BW386" s="90">
        <f t="shared" ref="BW386" si="1437">SUM(BW387:BW389)</f>
        <v>0</v>
      </c>
      <c r="BX386" s="166">
        <f>ROUND((CC386+CD386/2)*HLOOKUP(BX322,Grund_zins,2,FALSE),2)</f>
        <v>0</v>
      </c>
      <c r="BZ386" s="564" t="s">
        <v>400</v>
      </c>
      <c r="CC386" s="166">
        <f>SUMIF($D$5:$D$319,"=has",CC5:CC319)+SUMIF($D$5:$D$319,"=ham",CC5:CC319)+SUMIF($D$5:$D$319,"=har",CC5:CC319)+SUMIF($D$5:$D$319,"=haz",CC5:CC319)</f>
        <v>0</v>
      </c>
      <c r="CD386" s="166">
        <f>SUMIF($D$5:$D$319,"=has",CD5:CD319)+SUMIF($D$5:$D$319,"=ham",CD5:CD319)+SUMIF($D$5:$D$319,"=har",CD5:CD319)+SUMIF($D$5:$D$319,"=haz",CD5:CD319)</f>
        <v>0</v>
      </c>
      <c r="CE386" s="381"/>
      <c r="CJ386" s="90">
        <f t="shared" ref="CJ386" si="1438">SUM(CJ387:CJ389)</f>
        <v>0</v>
      </c>
      <c r="CK386" s="166">
        <f>ROUND((CP386+CQ386/2)*HLOOKUP(CK322,Grund_zins,2,FALSE),2)</f>
        <v>0</v>
      </c>
      <c r="CM386" s="564" t="s">
        <v>400</v>
      </c>
      <c r="CP386" s="166">
        <f>SUMIF($D$5:$D$319,"=has",CP5:CP319)+SUMIF($D$5:$D$319,"=ham",CP5:CP319)+SUMIF($D$5:$D$319,"=har",CP5:CP319)+SUMIF($D$5:$D$319,"=haz",CP5:CP319)</f>
        <v>0</v>
      </c>
      <c r="CQ386" s="166">
        <f>SUMIF($D$5:$D$319,"=has",CQ5:CQ319)+SUMIF($D$5:$D$319,"=ham",CQ5:CQ319)+SUMIF($D$5:$D$319,"=har",CQ5:CQ319)+SUMIF($D$5:$D$319,"=haz",CQ5:CQ319)</f>
        <v>0</v>
      </c>
      <c r="CR386" s="381"/>
      <c r="CW386" s="90">
        <f t="shared" ref="CW386" si="1439">SUM(CW387:CW389)</f>
        <v>0</v>
      </c>
      <c r="CX386" s="166">
        <f>ROUND((DC386+DD386/2)*HLOOKUP(CX322,Grund_zins,2,FALSE),2)</f>
        <v>0</v>
      </c>
      <c r="CZ386" s="564" t="s">
        <v>400</v>
      </c>
      <c r="DC386" s="166">
        <f>SUMIF($D$5:$D$319,"=has",DC5:DC319)+SUMIF($D$5:$D$319,"=ham",DC5:DC319)+SUMIF($D$5:$D$319,"=har",DC5:DC319)+SUMIF($D$5:$D$319,"=haz",DC5:DC319)</f>
        <v>0</v>
      </c>
      <c r="DD386" s="166">
        <f>SUMIF($D$5:$D$319,"=has",DD5:DD319)+SUMIF($D$5:$D$319,"=ham",DD5:DD319)+SUMIF($D$5:$D$319,"=har",DD5:DD319)+SUMIF($D$5:$D$319,"=haz",DD5:DD319)</f>
        <v>0</v>
      </c>
      <c r="DE386" s="381"/>
      <c r="DJ386" s="90">
        <f t="shared" ref="DJ386" si="1440">SUM(DJ387:DJ389)</f>
        <v>0</v>
      </c>
      <c r="DK386" s="166">
        <f>ROUND((DP386+DQ386/2)*HLOOKUP(DK322,Grund_zins,2,FALSE),2)</f>
        <v>0</v>
      </c>
      <c r="DM386" s="564" t="s">
        <v>400</v>
      </c>
      <c r="DP386" s="166">
        <f>SUMIF($D$5:$D$319,"=has",DP5:DP319)+SUMIF($D$5:$D$319,"=ham",DP5:DP319)+SUMIF($D$5:$D$319,"=har",DP5:DP319)+SUMIF($D$5:$D$319,"=haz",DP5:DP319)</f>
        <v>0</v>
      </c>
      <c r="DQ386" s="166">
        <f>SUMIF($D$5:$D$319,"=has",DQ5:DQ319)+SUMIF($D$5:$D$319,"=ham",DQ5:DQ319)+SUMIF($D$5:$D$319,"=har",DQ5:DQ319)+SUMIF($D$5:$D$319,"=haz",DQ5:DQ319)</f>
        <v>0</v>
      </c>
      <c r="DR386" s="381"/>
      <c r="DW386" s="90">
        <f t="shared" ref="DW386" si="1441">SUM(DW387:DW389)</f>
        <v>0</v>
      </c>
      <c r="DX386" s="166">
        <f>ROUND((EC386+ED386/2)*HLOOKUP(DX322,Grund_zins,2,FALSE),2)</f>
        <v>0</v>
      </c>
      <c r="DZ386" s="564" t="s">
        <v>400</v>
      </c>
      <c r="EC386" s="166">
        <f>SUMIF($D$5:$D$319,"=has",EC5:EC319)+SUMIF($D$5:$D$319,"=ham",EC5:EC319)+SUMIF($D$5:$D$319,"=har",EC5:EC319)+SUMIF($D$5:$D$319,"=haz",EC5:EC319)</f>
        <v>0</v>
      </c>
      <c r="ED386" s="166">
        <f>SUMIF($D$5:$D$319,"=has",ED5:ED319)+SUMIF($D$5:$D$319,"=ham",ED5:ED319)+SUMIF($D$5:$D$319,"=har",ED5:ED319)+SUMIF($D$5:$D$319,"=haz",ED5:ED319)</f>
        <v>0</v>
      </c>
    </row>
    <row r="387" spans="1:134" s="10" customFormat="1" ht="15" customHeight="1" x14ac:dyDescent="0.35">
      <c r="A387" s="565" t="s">
        <v>169</v>
      </c>
      <c r="Q387" s="225">
        <v>66</v>
      </c>
      <c r="R387" s="381"/>
      <c r="W387" s="90">
        <f t="shared" ref="W387" si="1442">IF(X386&lt;&gt;0,X387/X386,0)</f>
        <v>0</v>
      </c>
      <c r="X387" s="166">
        <f>ROUND((AC387+AD387/2)*HLOOKUP(X322,Grund_zins,2,FALSE),2)</f>
        <v>0</v>
      </c>
      <c r="Z387" s="565" t="s">
        <v>169</v>
      </c>
      <c r="AC387" s="166">
        <f>SUMIF($D$5:$D$319,"=has",AC5:AC319)*HLOOKUP(X322,Verteil_sw,22,FALSE)+SUMIF($D$5:$D$319,"=ham",AC5:AC319)*HLOOKUP(X322,Verteil_sw,23,FALSE)+SUMIF($D$5:$D$319,"=har",AC5:AC319)*HLOOKUP(X322,Verteil_sw,24,FALSE)+SUMIF($D$5:$D$319,"=haz",AC5:AC319)*HLOOKUP(X322,Verteil_sw,25,FALSE)</f>
        <v>0</v>
      </c>
      <c r="AD387" s="166">
        <f>SUMIF($D$5:$D$319,"=has",AD5:AD319)*HLOOKUP(X322,Verteil_sw,22,FALSE)+SUMIF($D$5:$D$319,"=ham",AD5:AD319)*HLOOKUP(X322,Verteil_sw,23,FALSE)+SUMIF($D$5:$D$319,"=har",AD5:AD319)*HLOOKUP(X322,Verteil_sw,24,FALSE)+SUMIF($D$5:$D$319,"=haz",AD5:AD319)*HLOOKUP(X322,Verteil_sw,25,FALSE)</f>
        <v>0</v>
      </c>
      <c r="AE387" s="381"/>
      <c r="AJ387" s="90">
        <f t="shared" ref="AJ387" si="1443">IF(AK386&lt;&gt;0,AK387/AK386,0)</f>
        <v>0</v>
      </c>
      <c r="AK387" s="166">
        <f>ROUND((AP387+AQ387/2)*HLOOKUP(AK322,Grund_zins,2,FALSE),2)</f>
        <v>0</v>
      </c>
      <c r="AM387" s="565" t="s">
        <v>169</v>
      </c>
      <c r="AP387" s="166">
        <f>SUMIF($D$5:$D$319,"=has",AP5:AP319)*HLOOKUP(AK322,Verteil_sw,22,FALSE)+SUMIF($D$5:$D$319,"=ham",AP5:AP319)*HLOOKUP(AK322,Verteil_sw,23,FALSE)+SUMIF($D$5:$D$319,"=har",AP5:AP319)*HLOOKUP(AK322,Verteil_sw,24,FALSE)+SUMIF($D$5:$D$319,"=haz",AP5:AP319)*HLOOKUP(AK322,Verteil_sw,25,FALSE)</f>
        <v>0</v>
      </c>
      <c r="AQ387" s="166">
        <f>SUMIF($D$5:$D$319,"=has",AQ5:AQ319)*HLOOKUP(AK322,Verteil_sw,22,FALSE)+SUMIF($D$5:$D$319,"=ham",AQ5:AQ319)*HLOOKUP(AK322,Verteil_sw,23,FALSE)+SUMIF($D$5:$D$319,"=har",AQ5:AQ319)*HLOOKUP(AK322,Verteil_sw,24,FALSE)+SUMIF($D$5:$D$319,"=haz",AQ5:AQ319)*HLOOKUP(AK322,Verteil_sw,25,FALSE)</f>
        <v>0</v>
      </c>
      <c r="AR387" s="381"/>
      <c r="AW387" s="90">
        <f t="shared" ref="AW387" si="1444">IF(AX386&lt;&gt;0,AX387/AX386,0)</f>
        <v>0</v>
      </c>
      <c r="AX387" s="166">
        <f>ROUND((BC387+BD387/2)*HLOOKUP(AX322,Grund_zins,2,FALSE),2)</f>
        <v>0</v>
      </c>
      <c r="AZ387" s="565" t="s">
        <v>169</v>
      </c>
      <c r="BC387" s="166">
        <f>SUMIF($D$5:$D$319,"=has",BC5:BC319)*HLOOKUP(AX322,Verteil_sw,22,FALSE)+SUMIF($D$5:$D$319,"=ham",BC5:BC319)*HLOOKUP(AX322,Verteil_sw,23,FALSE)+SUMIF($D$5:$D$319,"=har",BC5:BC319)*HLOOKUP(AX322,Verteil_sw,24,FALSE)+SUMIF($D$5:$D$319,"=haz",BC5:BC319)*HLOOKUP(AX322,Verteil_sw,25,FALSE)</f>
        <v>0</v>
      </c>
      <c r="BD387" s="166">
        <f>SUMIF($D$5:$D$319,"=has",BD5:BD319)*HLOOKUP(AX322,Verteil_sw,22,FALSE)+SUMIF($D$5:$D$319,"=ham",BD5:BD319)*HLOOKUP(AX322,Verteil_sw,23,FALSE)+SUMIF($D$5:$D$319,"=har",BD5:BD319)*HLOOKUP(AX322,Verteil_sw,24,FALSE)+SUMIF($D$5:$D$319,"=haz",BD5:BD319)*HLOOKUP(AX322,Verteil_sw,25,FALSE)</f>
        <v>0</v>
      </c>
      <c r="BE387" s="381"/>
      <c r="BJ387" s="90">
        <f t="shared" ref="BJ387" si="1445">IF(BK386&lt;&gt;0,BK387/BK386,0)</f>
        <v>0</v>
      </c>
      <c r="BK387" s="166">
        <f>ROUND((BP387+BQ387/2)*HLOOKUP(BK322,Grund_zins,2,FALSE),2)</f>
        <v>0</v>
      </c>
      <c r="BM387" s="565" t="s">
        <v>169</v>
      </c>
      <c r="BP387" s="166">
        <f>SUMIF($D$5:$D$319,"=has",BP5:BP319)*HLOOKUP(BK322,Verteil_sw,22,FALSE)+SUMIF($D$5:$D$319,"=ham",BP5:BP319)*HLOOKUP(BK322,Verteil_sw,23,FALSE)+SUMIF($D$5:$D$319,"=har",BP5:BP319)*HLOOKUP(BK322,Verteil_sw,24,FALSE)+SUMIF($D$5:$D$319,"=haz",BP5:BP319)*HLOOKUP(BK322,Verteil_sw,25,FALSE)</f>
        <v>0</v>
      </c>
      <c r="BQ387" s="166">
        <f>SUMIF($D$5:$D$319,"=has",BQ5:BQ319)*HLOOKUP(BK322,Verteil_sw,22,FALSE)+SUMIF($D$5:$D$319,"=ham",BQ5:BQ319)*HLOOKUP(BK322,Verteil_sw,23,FALSE)+SUMIF($D$5:$D$319,"=har",BQ5:BQ319)*HLOOKUP(BK322,Verteil_sw,24,FALSE)+SUMIF($D$5:$D$319,"=haz",BQ5:BQ319)*HLOOKUP(BK322,Verteil_sw,25,FALSE)</f>
        <v>0</v>
      </c>
      <c r="BR387" s="381"/>
      <c r="BW387" s="90">
        <f t="shared" ref="BW387" si="1446">IF(BX386&lt;&gt;0,BX387/BX386,0)</f>
        <v>0</v>
      </c>
      <c r="BX387" s="166">
        <f>ROUND((CC387+CD387/2)*HLOOKUP(BX322,Grund_zins,2,FALSE),2)</f>
        <v>0</v>
      </c>
      <c r="BZ387" s="565" t="s">
        <v>169</v>
      </c>
      <c r="CC387" s="166">
        <f>SUMIF($D$5:$D$319,"=has",CC5:CC319)*HLOOKUP(BX322,Verteil_sw,22,FALSE)+SUMIF($D$5:$D$319,"=ham",CC5:CC319)*HLOOKUP(BX322,Verteil_sw,23,FALSE)+SUMIF($D$5:$D$319,"=har",CC5:CC319)*HLOOKUP(BX322,Verteil_sw,24,FALSE)+SUMIF($D$5:$D$319,"=haz",CC5:CC319)*HLOOKUP(BX322,Verteil_sw,25,FALSE)</f>
        <v>0</v>
      </c>
      <c r="CD387" s="166">
        <f>SUMIF($D$5:$D$319,"=has",CD5:CD319)*HLOOKUP(BX322,Verteil_sw,22,FALSE)+SUMIF($D$5:$D$319,"=ham",CD5:CD319)*HLOOKUP(BX322,Verteil_sw,23,FALSE)+SUMIF($D$5:$D$319,"=har",CD5:CD319)*HLOOKUP(BX322,Verteil_sw,24,FALSE)+SUMIF($D$5:$D$319,"=haz",CD5:CD319)*HLOOKUP(BX322,Verteil_sw,25,FALSE)</f>
        <v>0</v>
      </c>
      <c r="CE387" s="381"/>
      <c r="CJ387" s="90">
        <f t="shared" ref="CJ387" si="1447">IF(CK386&lt;&gt;0,CK387/CK386,0)</f>
        <v>0</v>
      </c>
      <c r="CK387" s="166">
        <f>ROUND((CP387+CQ387/2)*HLOOKUP(CK322,Grund_zins,2,FALSE),2)</f>
        <v>0</v>
      </c>
      <c r="CM387" s="565" t="s">
        <v>169</v>
      </c>
      <c r="CP387" s="166">
        <f>SUMIF($D$5:$D$319,"=has",CP5:CP319)*HLOOKUP(CK322,Verteil_sw,22,FALSE)+SUMIF($D$5:$D$319,"=ham",CP5:CP319)*HLOOKUP(CK322,Verteil_sw,23,FALSE)+SUMIF($D$5:$D$319,"=har",CP5:CP319)*HLOOKUP(CK322,Verteil_sw,24,FALSE)+SUMIF($D$5:$D$319,"=haz",CP5:CP319)*HLOOKUP(CK322,Verteil_sw,25,FALSE)</f>
        <v>0</v>
      </c>
      <c r="CQ387" s="166">
        <f>SUMIF($D$5:$D$319,"=has",CQ5:CQ319)*HLOOKUP(CK322,Verteil_sw,22,FALSE)+SUMIF($D$5:$D$319,"=ham",CQ5:CQ319)*HLOOKUP(CK322,Verteil_sw,23,FALSE)+SUMIF($D$5:$D$319,"=har",CQ5:CQ319)*HLOOKUP(CK322,Verteil_sw,24,FALSE)+SUMIF($D$5:$D$319,"=haz",CQ5:CQ319)*HLOOKUP(CK322,Verteil_sw,25,FALSE)</f>
        <v>0</v>
      </c>
      <c r="CR387" s="381"/>
      <c r="CW387" s="90">
        <f t="shared" ref="CW387" si="1448">IF(CX386&lt;&gt;0,CX387/CX386,0)</f>
        <v>0</v>
      </c>
      <c r="CX387" s="166">
        <f>ROUND((DC387+DD387/2)*HLOOKUP(CX322,Grund_zins,2,FALSE),2)</f>
        <v>0</v>
      </c>
      <c r="CZ387" s="565" t="s">
        <v>169</v>
      </c>
      <c r="DC387" s="166">
        <f>SUMIF($D$5:$D$319,"=has",DC5:DC319)*HLOOKUP(CX322,Verteil_sw,22,FALSE)+SUMIF($D$5:$D$319,"=ham",DC5:DC319)*HLOOKUP(CX322,Verteil_sw,23,FALSE)+SUMIF($D$5:$D$319,"=har",DC5:DC319)*HLOOKUP(CX322,Verteil_sw,24,FALSE)+SUMIF($D$5:$D$319,"=haz",DC5:DC319)*HLOOKUP(CX322,Verteil_sw,25,FALSE)</f>
        <v>0</v>
      </c>
      <c r="DD387" s="166">
        <f>SUMIF($D$5:$D$319,"=has",DD5:DD319)*HLOOKUP(CX322,Verteil_sw,22,FALSE)+SUMIF($D$5:$D$319,"=ham",DD5:DD319)*HLOOKUP(CX322,Verteil_sw,23,FALSE)+SUMIF($D$5:$D$319,"=har",DD5:DD319)*HLOOKUP(CX322,Verteil_sw,24,FALSE)+SUMIF($D$5:$D$319,"=haz",DD5:DD319)*HLOOKUP(CX322,Verteil_sw,25,FALSE)</f>
        <v>0</v>
      </c>
      <c r="DE387" s="381"/>
      <c r="DJ387" s="90">
        <f t="shared" ref="DJ387" si="1449">IF(DK386&lt;&gt;0,DK387/DK386,0)</f>
        <v>0</v>
      </c>
      <c r="DK387" s="166">
        <f>ROUND((DP387+DQ387/2)*HLOOKUP(DK322,Grund_zins,2,FALSE),2)</f>
        <v>0</v>
      </c>
      <c r="DM387" s="565" t="s">
        <v>169</v>
      </c>
      <c r="DP387" s="166">
        <f>SUMIF($D$5:$D$319,"=has",DP5:DP319)*HLOOKUP(DK322,Verteil_sw,22,FALSE)+SUMIF($D$5:$D$319,"=ham",DP5:DP319)*HLOOKUP(DK322,Verteil_sw,23,FALSE)+SUMIF($D$5:$D$319,"=har",DP5:DP319)*HLOOKUP(DK322,Verteil_sw,24,FALSE)+SUMIF($D$5:$D$319,"=haz",DP5:DP319)*HLOOKUP(DK322,Verteil_sw,25,FALSE)</f>
        <v>0</v>
      </c>
      <c r="DQ387" s="166">
        <f>SUMIF($D$5:$D$319,"=has",DQ5:DQ319)*HLOOKUP(DK322,Verteil_sw,22,FALSE)+SUMIF($D$5:$D$319,"=ham",DQ5:DQ319)*HLOOKUP(DK322,Verteil_sw,23,FALSE)+SUMIF($D$5:$D$319,"=har",DQ5:DQ319)*HLOOKUP(DK322,Verteil_sw,24,FALSE)+SUMIF($D$5:$D$319,"=haz",DQ5:DQ319)*HLOOKUP(DK322,Verteil_sw,25,FALSE)</f>
        <v>0</v>
      </c>
      <c r="DR387" s="381"/>
      <c r="DW387" s="90">
        <f t="shared" ref="DW387" si="1450">IF(DX386&lt;&gt;0,DX387/DX386,0)</f>
        <v>0</v>
      </c>
      <c r="DX387" s="166">
        <f>ROUND((EC387+ED387/2)*HLOOKUP(DX322,Grund_zins,2,FALSE),2)</f>
        <v>0</v>
      </c>
      <c r="DZ387" s="565" t="s">
        <v>169</v>
      </c>
      <c r="EC387" s="166">
        <f>SUMIF($D$5:$D$319,"=has",EC5:EC319)*HLOOKUP(DX322,Verteil_sw,22,FALSE)+SUMIF($D$5:$D$319,"=ham",EC5:EC319)*HLOOKUP(DX322,Verteil_sw,23,FALSE)+SUMIF($D$5:$D$319,"=har",EC5:EC319)*HLOOKUP(DX322,Verteil_sw,24,FALSE)+SUMIF($D$5:$D$319,"=haz",EC5:EC319)*HLOOKUP(DX322,Verteil_sw,25,FALSE)</f>
        <v>0</v>
      </c>
      <c r="ED387" s="166">
        <f>SUMIF($D$5:$D$319,"=has",ED5:ED319)*HLOOKUP(DX322,Verteil_sw,22,FALSE)+SUMIF($D$5:$D$319,"=ham",ED5:ED319)*HLOOKUP(DX322,Verteil_sw,23,FALSE)+SUMIF($D$5:$D$319,"=har",ED5:ED319)*HLOOKUP(DX322,Verteil_sw,24,FALSE)+SUMIF($D$5:$D$319,"=haz",ED5:ED319)*HLOOKUP(DX322,Verteil_sw,25,FALSE)</f>
        <v>0</v>
      </c>
    </row>
    <row r="388" spans="1:134" s="10" customFormat="1" ht="15" customHeight="1" x14ac:dyDescent="0.35">
      <c r="A388" s="565" t="s">
        <v>396</v>
      </c>
      <c r="Q388" s="225">
        <v>67</v>
      </c>
      <c r="R388" s="381"/>
      <c r="W388" s="90">
        <f t="shared" ref="W388" si="1451">IF(X386&lt;&gt;0,X388/X386,0)</f>
        <v>0</v>
      </c>
      <c r="X388" s="166">
        <f>ROUND((AC388+AD388/2)*HLOOKUP(X322,Grund_zins,2,FALSE),2)</f>
        <v>0</v>
      </c>
      <c r="Z388" s="565" t="s">
        <v>396</v>
      </c>
      <c r="AC388" s="166">
        <f>SUMIF($D$5:$D$319,"=has",AC5:AC319)*HLOOKUP(X322,Verteil_rwgr,21,FALSE)+SUMIF($D$5:$D$319,"=ham",AC5:AC319)*HLOOKUP(X322,Verteil_rwgr,22,FALSE)+SUMIF($D$5:$D$319,"=har",AC5:AC319)*HLOOKUP(X322,Verteil_rwgr,23,FALSE)+SUMIF($D$5:$D$319,"=haz",AC5:AC319)*HLOOKUP(X322,Verteil_rwgr,24,FALSE)</f>
        <v>0</v>
      </c>
      <c r="AD388" s="166">
        <f>SUMIF($D$5:$D$319,"=has",AD5:AD319)*HLOOKUP(X322,Verteil_rwgr,21,FALSE)+SUMIF($D$5:$D$319,"=ham",AD5:AD319)*HLOOKUP(X322,Verteil_rwgr,22,FALSE)+SUMIF($D$5:$D$319,"=har",AD5:AD319)*HLOOKUP(X322,Verteil_rwgr,23,FALSE)+SUMIF($D$5:$D$319,"=haz",AD5:AD319)*HLOOKUP(X322,Verteil_rwgr,24,FALSE)</f>
        <v>0</v>
      </c>
      <c r="AE388" s="381"/>
      <c r="AJ388" s="90">
        <f t="shared" ref="AJ388" si="1452">IF(AK386&lt;&gt;0,AK388/AK386,0)</f>
        <v>0</v>
      </c>
      <c r="AK388" s="166">
        <f>ROUND((AP388+AQ388/2)*HLOOKUP(AK322,Grund_zins,2,FALSE),2)</f>
        <v>0</v>
      </c>
      <c r="AM388" s="565" t="s">
        <v>396</v>
      </c>
      <c r="AP388" s="166">
        <f>SUMIF($D$5:$D$319,"=has",AP5:AP319)*HLOOKUP(AK322,Verteil_rwgr,21,FALSE)+SUMIF($D$5:$D$319,"=ham",AP5:AP319)*HLOOKUP(AK322,Verteil_rwgr,22,FALSE)+SUMIF($D$5:$D$319,"=har",AP5:AP319)*HLOOKUP(AK322,Verteil_rwgr,23,FALSE)+SUMIF($D$5:$D$319,"=haz",AP5:AP319)*HLOOKUP(AK322,Verteil_rwgr,24,FALSE)</f>
        <v>0</v>
      </c>
      <c r="AQ388" s="166">
        <f>SUMIF($D$5:$D$319,"=has",AQ5:AQ319)*HLOOKUP(AK322,Verteil_rwgr,21,FALSE)+SUMIF($D$5:$D$319,"=ham",AQ5:AQ319)*HLOOKUP(AK322,Verteil_rwgr,22,FALSE)+SUMIF($D$5:$D$319,"=har",AQ5:AQ319)*HLOOKUP(AK322,Verteil_rwgr,23,FALSE)+SUMIF($D$5:$D$319,"=haz",AQ5:AQ319)*HLOOKUP(AK322,Verteil_rwgr,24,FALSE)</f>
        <v>0</v>
      </c>
      <c r="AR388" s="381"/>
      <c r="AW388" s="90">
        <f t="shared" ref="AW388" si="1453">IF(AX386&lt;&gt;0,AX388/AX386,0)</f>
        <v>0</v>
      </c>
      <c r="AX388" s="166">
        <f>ROUND((BC388+BD388/2)*HLOOKUP(AX322,Grund_zins,2,FALSE),2)</f>
        <v>0</v>
      </c>
      <c r="AZ388" s="565" t="s">
        <v>396</v>
      </c>
      <c r="BC388" s="166">
        <f>SUMIF($D$5:$D$319,"=has",BC5:BC319)*HLOOKUP(AX322,Verteil_rwgr,21,FALSE)+SUMIF($D$5:$D$319,"=ham",BC5:BC319)*HLOOKUP(AX322,Verteil_rwgr,22,FALSE)+SUMIF($D$5:$D$319,"=har",BC5:BC319)*HLOOKUP(AX322,Verteil_rwgr,23,FALSE)+SUMIF($D$5:$D$319,"=haz",BC5:BC319)*HLOOKUP(AX322,Verteil_rwgr,24,FALSE)</f>
        <v>0</v>
      </c>
      <c r="BD388" s="166">
        <f>SUMIF($D$5:$D$319,"=has",BD5:BD319)*HLOOKUP(AX322,Verteil_rwgr,21,FALSE)+SUMIF($D$5:$D$319,"=ham",BD5:BD319)*HLOOKUP(AX322,Verteil_rwgr,22,FALSE)+SUMIF($D$5:$D$319,"=har",BD5:BD319)*HLOOKUP(AX322,Verteil_rwgr,23,FALSE)+SUMIF($D$5:$D$319,"=haz",BD5:BD319)*HLOOKUP(AX322,Verteil_rwgr,24,FALSE)</f>
        <v>0</v>
      </c>
      <c r="BE388" s="381"/>
      <c r="BJ388" s="90">
        <f t="shared" ref="BJ388" si="1454">IF(BK386&lt;&gt;0,BK388/BK386,0)</f>
        <v>0</v>
      </c>
      <c r="BK388" s="166">
        <f>ROUND((BP388+BQ388/2)*HLOOKUP(BK322,Grund_zins,2,FALSE),2)</f>
        <v>0</v>
      </c>
      <c r="BM388" s="565" t="s">
        <v>396</v>
      </c>
      <c r="BP388" s="166">
        <f>SUMIF($D$5:$D$319,"=has",BP5:BP319)*HLOOKUP(BK322,Verteil_rwgr,21,FALSE)+SUMIF($D$5:$D$319,"=ham",BP5:BP319)*HLOOKUP(BK322,Verteil_rwgr,22,FALSE)+SUMIF($D$5:$D$319,"=har",BP5:BP319)*HLOOKUP(BK322,Verteil_rwgr,23,FALSE)+SUMIF($D$5:$D$319,"=haz",BP5:BP319)*HLOOKUP(BK322,Verteil_rwgr,24,FALSE)</f>
        <v>0</v>
      </c>
      <c r="BQ388" s="166">
        <f>SUMIF($D$5:$D$319,"=has",BQ5:BQ319)*HLOOKUP(BK322,Verteil_rwgr,21,FALSE)+SUMIF($D$5:$D$319,"=ham",BQ5:BQ319)*HLOOKUP(BK322,Verteil_rwgr,22,FALSE)+SUMIF($D$5:$D$319,"=har",BQ5:BQ319)*HLOOKUP(BK322,Verteil_rwgr,23,FALSE)+SUMIF($D$5:$D$319,"=haz",BQ5:BQ319)*HLOOKUP(BK322,Verteil_rwgr,24,FALSE)</f>
        <v>0</v>
      </c>
      <c r="BR388" s="381"/>
      <c r="BW388" s="90">
        <f t="shared" ref="BW388" si="1455">IF(BX386&lt;&gt;0,BX388/BX386,0)</f>
        <v>0</v>
      </c>
      <c r="BX388" s="166">
        <f>ROUND((CC388+CD388/2)*HLOOKUP(BX322,Grund_zins,2,FALSE),2)</f>
        <v>0</v>
      </c>
      <c r="BZ388" s="565" t="s">
        <v>396</v>
      </c>
      <c r="CC388" s="166">
        <f>SUMIF($D$5:$D$319,"=has",CC5:CC319)*HLOOKUP(BX322,Verteil_rwgr,21,FALSE)+SUMIF($D$5:$D$319,"=ham",CC5:CC319)*HLOOKUP(BX322,Verteil_rwgr,22,FALSE)+SUMIF($D$5:$D$319,"=har",CC5:CC319)*HLOOKUP(BX322,Verteil_rwgr,23,FALSE)+SUMIF($D$5:$D$319,"=haz",CC5:CC319)*HLOOKUP(BX322,Verteil_rwgr,24,FALSE)</f>
        <v>0</v>
      </c>
      <c r="CD388" s="166">
        <f>SUMIF($D$5:$D$319,"=has",CD5:CD319)*HLOOKUP(BX322,Verteil_rwgr,21,FALSE)+SUMIF($D$5:$D$319,"=ham",CD5:CD319)*HLOOKUP(BX322,Verteil_rwgr,22,FALSE)+SUMIF($D$5:$D$319,"=har",CD5:CD319)*HLOOKUP(BX322,Verteil_rwgr,23,FALSE)+SUMIF($D$5:$D$319,"=haz",CD5:CD319)*HLOOKUP(BX322,Verteil_rwgr,24,FALSE)</f>
        <v>0</v>
      </c>
      <c r="CE388" s="381"/>
      <c r="CJ388" s="90">
        <f t="shared" ref="CJ388" si="1456">IF(CK386&lt;&gt;0,CK388/CK386,0)</f>
        <v>0</v>
      </c>
      <c r="CK388" s="166">
        <f>ROUND((CP388+CQ388/2)*HLOOKUP(CK322,Grund_zins,2,FALSE),2)</f>
        <v>0</v>
      </c>
      <c r="CM388" s="565" t="s">
        <v>396</v>
      </c>
      <c r="CP388" s="166">
        <f>SUMIF($D$5:$D$319,"=has",CP5:CP319)*HLOOKUP(CK322,Verteil_rwgr,21,FALSE)+SUMIF($D$5:$D$319,"=ham",CP5:CP319)*HLOOKUP(CK322,Verteil_rwgr,22,FALSE)+SUMIF($D$5:$D$319,"=har",CP5:CP319)*HLOOKUP(CK322,Verteil_rwgr,23,FALSE)+SUMIF($D$5:$D$319,"=haz",CP5:CP319)*HLOOKUP(CK322,Verteil_rwgr,24,FALSE)</f>
        <v>0</v>
      </c>
      <c r="CQ388" s="166">
        <f>SUMIF($D$5:$D$319,"=has",CQ5:CQ319)*HLOOKUP(CK322,Verteil_rwgr,21,FALSE)+SUMIF($D$5:$D$319,"=ham",CQ5:CQ319)*HLOOKUP(CK322,Verteil_rwgr,22,FALSE)+SUMIF($D$5:$D$319,"=har",CQ5:CQ319)*HLOOKUP(CK322,Verteil_rwgr,23,FALSE)+SUMIF($D$5:$D$319,"=haz",CQ5:CQ319)*HLOOKUP(CK322,Verteil_rwgr,24,FALSE)</f>
        <v>0</v>
      </c>
      <c r="CR388" s="381"/>
      <c r="CW388" s="90">
        <f t="shared" ref="CW388" si="1457">IF(CX386&lt;&gt;0,CX388/CX386,0)</f>
        <v>0</v>
      </c>
      <c r="CX388" s="166">
        <f>ROUND((DC388+DD388/2)*HLOOKUP(CX322,Grund_zins,2,FALSE),2)</f>
        <v>0</v>
      </c>
      <c r="CZ388" s="565" t="s">
        <v>396</v>
      </c>
      <c r="DC388" s="166">
        <f>SUMIF($D$5:$D$319,"=has",DC5:DC319)*HLOOKUP(CX322,Verteil_rwgr,21,FALSE)+SUMIF($D$5:$D$319,"=ham",DC5:DC319)*HLOOKUP(CX322,Verteil_rwgr,22,FALSE)+SUMIF($D$5:$D$319,"=har",DC5:DC319)*HLOOKUP(CX322,Verteil_rwgr,23,FALSE)+SUMIF($D$5:$D$319,"=haz",DC5:DC319)*HLOOKUP(CX322,Verteil_rwgr,24,FALSE)</f>
        <v>0</v>
      </c>
      <c r="DD388" s="166">
        <f>SUMIF($D$5:$D$319,"=has",DD5:DD319)*HLOOKUP(CX322,Verteil_rwgr,21,FALSE)+SUMIF($D$5:$D$319,"=ham",DD5:DD319)*HLOOKUP(CX322,Verteil_rwgr,22,FALSE)+SUMIF($D$5:$D$319,"=har",DD5:DD319)*HLOOKUP(CX322,Verteil_rwgr,23,FALSE)+SUMIF($D$5:$D$319,"=haz",DD5:DD319)*HLOOKUP(CX322,Verteil_rwgr,24,FALSE)</f>
        <v>0</v>
      </c>
      <c r="DE388" s="381"/>
      <c r="DJ388" s="90">
        <f t="shared" ref="DJ388" si="1458">IF(DK386&lt;&gt;0,DK388/DK386,0)</f>
        <v>0</v>
      </c>
      <c r="DK388" s="166">
        <f>ROUND((DP388+DQ388/2)*HLOOKUP(DK322,Grund_zins,2,FALSE),2)</f>
        <v>0</v>
      </c>
      <c r="DM388" s="565" t="s">
        <v>396</v>
      </c>
      <c r="DP388" s="166">
        <f>SUMIF($D$5:$D$319,"=has",DP5:DP319)*HLOOKUP(DK322,Verteil_rwgr,21,FALSE)+SUMIF($D$5:$D$319,"=ham",DP5:DP319)*HLOOKUP(DK322,Verteil_rwgr,22,FALSE)+SUMIF($D$5:$D$319,"=har",DP5:DP319)*HLOOKUP(DK322,Verteil_rwgr,23,FALSE)+SUMIF($D$5:$D$319,"=haz",DP5:DP319)*HLOOKUP(DK322,Verteil_rwgr,24,FALSE)</f>
        <v>0</v>
      </c>
      <c r="DQ388" s="166">
        <f>SUMIF($D$5:$D$319,"=has",DQ5:DQ319)*HLOOKUP(DK322,Verteil_rwgr,21,FALSE)+SUMIF($D$5:$D$319,"=ham",DQ5:DQ319)*HLOOKUP(DK322,Verteil_rwgr,22,FALSE)+SUMIF($D$5:$D$319,"=har",DQ5:DQ319)*HLOOKUP(DK322,Verteil_rwgr,23,FALSE)+SUMIF($D$5:$D$319,"=haz",DQ5:DQ319)*HLOOKUP(DK322,Verteil_rwgr,24,FALSE)</f>
        <v>0</v>
      </c>
      <c r="DR388" s="381"/>
      <c r="DW388" s="90">
        <f t="shared" ref="DW388" si="1459">IF(DX386&lt;&gt;0,DX388/DX386,0)</f>
        <v>0</v>
      </c>
      <c r="DX388" s="166">
        <f>ROUND((EC388+ED388/2)*HLOOKUP(DX322,Grund_zins,2,FALSE),2)</f>
        <v>0</v>
      </c>
      <c r="DZ388" s="565" t="s">
        <v>396</v>
      </c>
      <c r="EC388" s="166">
        <f>SUMIF($D$5:$D$319,"=has",EC5:EC319)*HLOOKUP(DX322,Verteil_rwgr,21,FALSE)+SUMIF($D$5:$D$319,"=ham",EC5:EC319)*HLOOKUP(DX322,Verteil_rwgr,22,FALSE)+SUMIF($D$5:$D$319,"=har",EC5:EC319)*HLOOKUP(DX322,Verteil_rwgr,23,FALSE)+SUMIF($D$5:$D$319,"=haz",EC5:EC319)*HLOOKUP(DX322,Verteil_rwgr,24,FALSE)</f>
        <v>0</v>
      </c>
      <c r="ED388" s="166">
        <f>SUMIF($D$5:$D$319,"=has",ED5:ED319)*HLOOKUP(DX322,Verteil_rwgr,21,FALSE)+SUMIF($D$5:$D$319,"=ham",ED5:ED319)*HLOOKUP(DX322,Verteil_rwgr,22,FALSE)+SUMIF($D$5:$D$319,"=har",ED5:ED319)*HLOOKUP(DX322,Verteil_rwgr,23,FALSE)+SUMIF($D$5:$D$319,"=haz",ED5:ED319)*HLOOKUP(DX322,Verteil_rwgr,24,FALSE)</f>
        <v>0</v>
      </c>
    </row>
    <row r="389" spans="1:134" s="10" customFormat="1" ht="15" customHeight="1" x14ac:dyDescent="0.35">
      <c r="A389" s="565" t="s">
        <v>397</v>
      </c>
      <c r="Q389" s="225">
        <v>68</v>
      </c>
      <c r="R389" s="381"/>
      <c r="W389" s="90">
        <f t="shared" ref="W389" si="1460">IF(X386&lt;&gt;0,X389/X386,0)</f>
        <v>0</v>
      </c>
      <c r="X389" s="166">
        <f>ROUND((AC389+AD389/2)*HLOOKUP(X322,Grund_zins,2,FALSE),2)</f>
        <v>0</v>
      </c>
      <c r="Z389" s="565" t="s">
        <v>397</v>
      </c>
      <c r="AC389" s="166">
        <f>SUMIF($D$5:$D$319,"=has",AC5:AC319)*HLOOKUP(X322,Verteil_rwst,20,FALSE)+SUMIF($D$5:$D$319,"=ham",AC5:AC319)*HLOOKUP(X322,Verteil_rwst,21,FALSE)+SUMIF($D$5:$D$319,"=har",AC5:AC319)*HLOOKUP(X322,Verteil_rwst,22,FALSE)+SUMIF($D$5:$D$319,"=haz",AC5:AC319)*HLOOKUP(X322,Verteil_rwst,23,FALSE)</f>
        <v>0</v>
      </c>
      <c r="AD389" s="166">
        <f>SUMIF($D$5:$D$319,"=has",AD5:AD319)*HLOOKUP(X322,Verteil_rwst,20,FALSE)+SUMIF($D$5:$D$319,"=ham",AD5:AD319)*HLOOKUP(X322,Verteil_rwst,21,FALSE)+SUMIF($D$5:$D$319,"=har",AD5:AD319)*HLOOKUP(X322,Verteil_rwst,22,FALSE)+SUMIF($D$5:$D$319,"=haz",AD5:AD319)*HLOOKUP(X322,Verteil_rwst,23,FALSE)</f>
        <v>0</v>
      </c>
      <c r="AE389" s="381"/>
      <c r="AJ389" s="90">
        <f t="shared" ref="AJ389" si="1461">IF(AK386&lt;&gt;0,AK389/AK386,0)</f>
        <v>0</v>
      </c>
      <c r="AK389" s="166">
        <f>ROUND((AP389+AQ389/2)*HLOOKUP(AK322,Grund_zins,2,FALSE),2)</f>
        <v>0</v>
      </c>
      <c r="AM389" s="565" t="s">
        <v>397</v>
      </c>
      <c r="AP389" s="166">
        <f>SUMIF($D$5:$D$319,"=has",AP5:AP319)*HLOOKUP(AK322,Verteil_rwst,20,FALSE)+SUMIF($D$5:$D$319,"=ham",AP5:AP319)*HLOOKUP(AK322,Verteil_rwst,21,FALSE)+SUMIF($D$5:$D$319,"=har",AP5:AP319)*HLOOKUP(AK322,Verteil_rwst,22,FALSE)+SUMIF($D$5:$D$319,"=haz",AP5:AP319)*HLOOKUP(AK322,Verteil_rwst,23,FALSE)</f>
        <v>0</v>
      </c>
      <c r="AQ389" s="166">
        <f>SUMIF($D$5:$D$319,"=has",AQ5:AQ319)*HLOOKUP(AK322,Verteil_rwst,20,FALSE)+SUMIF($D$5:$D$319,"=ham",AQ5:AQ319)*HLOOKUP(AK322,Verteil_rwst,21,FALSE)+SUMIF($D$5:$D$319,"=har",AQ5:AQ319)*HLOOKUP(AK322,Verteil_rwst,22,FALSE)+SUMIF($D$5:$D$319,"=haz",AQ5:AQ319)*HLOOKUP(AK322,Verteil_rwst,23,FALSE)</f>
        <v>0</v>
      </c>
      <c r="AR389" s="381"/>
      <c r="AW389" s="90">
        <f t="shared" ref="AW389" si="1462">IF(AX386&lt;&gt;0,AX389/AX386,0)</f>
        <v>0</v>
      </c>
      <c r="AX389" s="166">
        <f>ROUND((BC389+BD389/2)*HLOOKUP(AX322,Grund_zins,2,FALSE),2)</f>
        <v>0</v>
      </c>
      <c r="AZ389" s="565" t="s">
        <v>397</v>
      </c>
      <c r="BC389" s="166">
        <f>SUMIF($D$5:$D$319,"=has",BC5:BC319)*HLOOKUP(AX322,Verteil_rwst,20,FALSE)+SUMIF($D$5:$D$319,"=ham",BC5:BC319)*HLOOKUP(AX322,Verteil_rwst,21,FALSE)+SUMIF($D$5:$D$319,"=har",BC5:BC319)*HLOOKUP(AX322,Verteil_rwst,22,FALSE)+SUMIF($D$5:$D$319,"=haz",BC5:BC319)*HLOOKUP(AX322,Verteil_rwst,23,FALSE)</f>
        <v>0</v>
      </c>
      <c r="BD389" s="166">
        <f>SUMIF($D$5:$D$319,"=has",BD5:BD319)*HLOOKUP(AX322,Verteil_rwst,20,FALSE)+SUMIF($D$5:$D$319,"=ham",BD5:BD319)*HLOOKUP(AX322,Verteil_rwst,21,FALSE)+SUMIF($D$5:$D$319,"=har",BD5:BD319)*HLOOKUP(AX322,Verteil_rwst,22,FALSE)+SUMIF($D$5:$D$319,"=haz",BD5:BD319)*HLOOKUP(AX322,Verteil_rwst,23,FALSE)</f>
        <v>0</v>
      </c>
      <c r="BE389" s="381"/>
      <c r="BJ389" s="90">
        <f t="shared" ref="BJ389" si="1463">IF(BK386&lt;&gt;0,BK389/BK386,0)</f>
        <v>0</v>
      </c>
      <c r="BK389" s="166">
        <f>ROUND((BP389+BQ389/2)*HLOOKUP(BK322,Grund_zins,2,FALSE),2)</f>
        <v>0</v>
      </c>
      <c r="BM389" s="565" t="s">
        <v>397</v>
      </c>
      <c r="BP389" s="166">
        <f>SUMIF($D$5:$D$319,"=has",BP5:BP319)*HLOOKUP(BK322,Verteil_rwst,20,FALSE)+SUMIF($D$5:$D$319,"=ham",BP5:BP319)*HLOOKUP(BK322,Verteil_rwst,21,FALSE)+SUMIF($D$5:$D$319,"=har",BP5:BP319)*HLOOKUP(BK322,Verteil_rwst,22,FALSE)+SUMIF($D$5:$D$319,"=haz",BP5:BP319)*HLOOKUP(BK322,Verteil_rwst,23,FALSE)</f>
        <v>0</v>
      </c>
      <c r="BQ389" s="166">
        <f>SUMIF($D$5:$D$319,"=has",BQ5:BQ319)*HLOOKUP(BK322,Verteil_rwst,20,FALSE)+SUMIF($D$5:$D$319,"=ham",BQ5:BQ319)*HLOOKUP(BK322,Verteil_rwst,21,FALSE)+SUMIF($D$5:$D$319,"=har",BQ5:BQ319)*HLOOKUP(BK322,Verteil_rwst,22,FALSE)+SUMIF($D$5:$D$319,"=haz",BQ5:BQ319)*HLOOKUP(BK322,Verteil_rwst,23,FALSE)</f>
        <v>0</v>
      </c>
      <c r="BR389" s="381"/>
      <c r="BW389" s="90">
        <f t="shared" ref="BW389" si="1464">IF(BX386&lt;&gt;0,BX389/BX386,0)</f>
        <v>0</v>
      </c>
      <c r="BX389" s="166">
        <f>ROUND((CC389+CD389/2)*HLOOKUP(BX322,Grund_zins,2,FALSE),2)</f>
        <v>0</v>
      </c>
      <c r="BZ389" s="565" t="s">
        <v>397</v>
      </c>
      <c r="CC389" s="166">
        <f>SUMIF($D$5:$D$319,"=has",CC5:CC319)*HLOOKUP(BX322,Verteil_rwst,20,FALSE)+SUMIF($D$5:$D$319,"=ham",CC5:CC319)*HLOOKUP(BX322,Verteil_rwst,21,FALSE)+SUMIF($D$5:$D$319,"=har",CC5:CC319)*HLOOKUP(BX322,Verteil_rwst,22,FALSE)+SUMIF($D$5:$D$319,"=haz",CC5:CC319)*HLOOKUP(BX322,Verteil_rwst,23,FALSE)</f>
        <v>0</v>
      </c>
      <c r="CD389" s="166">
        <f>SUMIF($D$5:$D$319,"=has",CD5:CD319)*HLOOKUP(BX322,Verteil_rwst,20,FALSE)+SUMIF($D$5:$D$319,"=ham",CD5:CD319)*HLOOKUP(BX322,Verteil_rwst,21,FALSE)+SUMIF($D$5:$D$319,"=har",CD5:CD319)*HLOOKUP(BX322,Verteil_rwst,22,FALSE)+SUMIF($D$5:$D$319,"=haz",CD5:CD319)*HLOOKUP(BX322,Verteil_rwst,23,FALSE)</f>
        <v>0</v>
      </c>
      <c r="CE389" s="381"/>
      <c r="CJ389" s="90">
        <f t="shared" ref="CJ389" si="1465">IF(CK386&lt;&gt;0,CK389/CK386,0)</f>
        <v>0</v>
      </c>
      <c r="CK389" s="166">
        <f>ROUND((CP389+CQ389/2)*HLOOKUP(CK322,Grund_zins,2,FALSE),2)</f>
        <v>0</v>
      </c>
      <c r="CM389" s="565" t="s">
        <v>397</v>
      </c>
      <c r="CP389" s="166">
        <f>SUMIF($D$5:$D$319,"=has",CP5:CP319)*HLOOKUP(CK322,Verteil_rwst,20,FALSE)+SUMIF($D$5:$D$319,"=ham",CP5:CP319)*HLOOKUP(CK322,Verteil_rwst,21,FALSE)+SUMIF($D$5:$D$319,"=har",CP5:CP319)*HLOOKUP(CK322,Verteil_rwst,22,FALSE)+SUMIF($D$5:$D$319,"=haz",CP5:CP319)*HLOOKUP(CK322,Verteil_rwst,23,FALSE)</f>
        <v>0</v>
      </c>
      <c r="CQ389" s="166">
        <f>SUMIF($D$5:$D$319,"=has",CQ5:CQ319)*HLOOKUP(CK322,Verteil_rwst,20,FALSE)+SUMIF($D$5:$D$319,"=ham",CQ5:CQ319)*HLOOKUP(CK322,Verteil_rwst,21,FALSE)+SUMIF($D$5:$D$319,"=har",CQ5:CQ319)*HLOOKUP(CK322,Verteil_rwst,22,FALSE)+SUMIF($D$5:$D$319,"=haz",CQ5:CQ319)*HLOOKUP(CK322,Verteil_rwst,23,FALSE)</f>
        <v>0</v>
      </c>
      <c r="CR389" s="381"/>
      <c r="CW389" s="90">
        <f t="shared" ref="CW389" si="1466">IF(CX386&lt;&gt;0,CX389/CX386,0)</f>
        <v>0</v>
      </c>
      <c r="CX389" s="166">
        <f>ROUND((DC389+DD389/2)*HLOOKUP(CX322,Grund_zins,2,FALSE),2)</f>
        <v>0</v>
      </c>
      <c r="CZ389" s="565" t="s">
        <v>397</v>
      </c>
      <c r="DC389" s="166">
        <f>SUMIF($D$5:$D$319,"=has",DC5:DC319)*HLOOKUP(CX322,Verteil_rwst,20,FALSE)+SUMIF($D$5:$D$319,"=ham",DC5:DC319)*HLOOKUP(CX322,Verteil_rwst,21,FALSE)+SUMIF($D$5:$D$319,"=har",DC5:DC319)*HLOOKUP(CX322,Verteil_rwst,22,FALSE)+SUMIF($D$5:$D$319,"=haz",DC5:DC319)*HLOOKUP(CX322,Verteil_rwst,23,FALSE)</f>
        <v>0</v>
      </c>
      <c r="DD389" s="166">
        <f>SUMIF($D$5:$D$319,"=has",DD5:DD319)*HLOOKUP(CX322,Verteil_rwst,20,FALSE)+SUMIF($D$5:$D$319,"=ham",DD5:DD319)*HLOOKUP(CX322,Verteil_rwst,21,FALSE)+SUMIF($D$5:$D$319,"=har",DD5:DD319)*HLOOKUP(CX322,Verteil_rwst,22,FALSE)+SUMIF($D$5:$D$319,"=haz",DD5:DD319)*HLOOKUP(CX322,Verteil_rwst,23,FALSE)</f>
        <v>0</v>
      </c>
      <c r="DE389" s="381"/>
      <c r="DJ389" s="90">
        <f t="shared" ref="DJ389" si="1467">IF(DK386&lt;&gt;0,DK389/DK386,0)</f>
        <v>0</v>
      </c>
      <c r="DK389" s="166">
        <f>ROUND((DP389+DQ389/2)*HLOOKUP(DK322,Grund_zins,2,FALSE),2)</f>
        <v>0</v>
      </c>
      <c r="DM389" s="565" t="s">
        <v>397</v>
      </c>
      <c r="DP389" s="166">
        <f>SUMIF($D$5:$D$319,"=has",DP5:DP319)*HLOOKUP(DK322,Verteil_rwst,20,FALSE)+SUMIF($D$5:$D$319,"=ham",DP5:DP319)*HLOOKUP(DK322,Verteil_rwst,21,FALSE)+SUMIF($D$5:$D$319,"=har",DP5:DP319)*HLOOKUP(DK322,Verteil_rwst,22,FALSE)+SUMIF($D$5:$D$319,"=haz",DP5:DP319)*HLOOKUP(DK322,Verteil_rwst,23,FALSE)</f>
        <v>0</v>
      </c>
      <c r="DQ389" s="166">
        <f>SUMIF($D$5:$D$319,"=has",DQ5:DQ319)*HLOOKUP(DK322,Verteil_rwst,20,FALSE)+SUMIF($D$5:$D$319,"=ham",DQ5:DQ319)*HLOOKUP(DK322,Verteil_rwst,21,FALSE)+SUMIF($D$5:$D$319,"=har",DQ5:DQ319)*HLOOKUP(DK322,Verteil_rwst,22,FALSE)+SUMIF($D$5:$D$319,"=haz",DQ5:DQ319)*HLOOKUP(DK322,Verteil_rwst,23,FALSE)</f>
        <v>0</v>
      </c>
      <c r="DR389" s="381"/>
      <c r="DW389" s="90">
        <f t="shared" ref="DW389" si="1468">IF(DX386&lt;&gt;0,DX389/DX386,0)</f>
        <v>0</v>
      </c>
      <c r="DX389" s="166">
        <f>ROUND((EC389+ED389/2)*HLOOKUP(DX322,Grund_zins,2,FALSE),2)</f>
        <v>0</v>
      </c>
      <c r="DZ389" s="565" t="s">
        <v>397</v>
      </c>
      <c r="EC389" s="166">
        <f>SUMIF($D$5:$D$319,"=has",EC5:EC319)*HLOOKUP(DX322,Verteil_rwst,20,FALSE)+SUMIF($D$5:$D$319,"=ham",EC5:EC319)*HLOOKUP(DX322,Verteil_rwst,21,FALSE)+SUMIF($D$5:$D$319,"=har",EC5:EC319)*HLOOKUP(DX322,Verteil_rwst,22,FALSE)+SUMIF($D$5:$D$319,"=haz",EC5:EC319)*HLOOKUP(DX322,Verteil_rwst,23,FALSE)</f>
        <v>0</v>
      </c>
      <c r="ED389" s="166">
        <f>SUMIF($D$5:$D$319,"=has",ED5:ED319)*HLOOKUP(DX322,Verteil_rwst,20,FALSE)+SUMIF($D$5:$D$319,"=ham",ED5:ED319)*HLOOKUP(DX322,Verteil_rwst,21,FALSE)+SUMIF($D$5:$D$319,"=har",ED5:ED319)*HLOOKUP(DX322,Verteil_rwst,22,FALSE)+SUMIF($D$5:$D$319,"=haz",ED5:ED319)*HLOOKUP(DX322,Verteil_rwst,23,FALSE)</f>
        <v>0</v>
      </c>
    </row>
    <row r="390" spans="1:134" s="10" customFormat="1" ht="15" customHeight="1" x14ac:dyDescent="0.35">
      <c r="A390" s="564" t="s">
        <v>401</v>
      </c>
      <c r="Q390" s="225">
        <v>69</v>
      </c>
      <c r="R390" s="381"/>
      <c r="W390" s="90">
        <f t="shared" ref="W390" si="1469">SUM(W391:W393)</f>
        <v>0</v>
      </c>
      <c r="X390" s="166">
        <f>ROUND((AC390+AD390/2)*HLOOKUP(X322,Grund_zins,2,FALSE),2)</f>
        <v>0</v>
      </c>
      <c r="Z390" s="564" t="s">
        <v>401</v>
      </c>
      <c r="AC390" s="166">
        <f>SUMIF($D$5:$D$319,"=sas",AC5:AC319)+SUMIF($D$5:$D$319,"=sam",AC5:AC319)+SUMIF($D$5:$D$319,"=sar",AC5:AC319)+SUMIF($D$5:$D$319,"=saz",AC5:AC319)</f>
        <v>0</v>
      </c>
      <c r="AD390" s="166">
        <f>SUMIF($D$5:$D$319,"=sas",AD5:AD319)+SUMIF($D$5:$D$319,"=sam",AD5:AD319)+SUMIF($D$5:$D$319,"=sar",AD5:AD319)+SUMIF($D$5:$D$319,"=saz",AD5:AD319)</f>
        <v>0</v>
      </c>
      <c r="AE390" s="381"/>
      <c r="AJ390" s="90">
        <f t="shared" ref="AJ390" si="1470">SUM(AJ391:AJ393)</f>
        <v>0</v>
      </c>
      <c r="AK390" s="166">
        <f>ROUND((AP390+AQ390/2)*HLOOKUP(AK322,Grund_zins,2,FALSE),2)</f>
        <v>0</v>
      </c>
      <c r="AM390" s="564" t="s">
        <v>401</v>
      </c>
      <c r="AP390" s="166">
        <f>SUMIF($D$5:$D$319,"=sas",AP5:AP319)+SUMIF($D$5:$D$319,"=sam",AP5:AP319)+SUMIF($D$5:$D$319,"=sar",AP5:AP319)+SUMIF($D$5:$D$319,"=saz",AP5:AP319)</f>
        <v>0</v>
      </c>
      <c r="AQ390" s="166">
        <f>SUMIF($D$5:$D$319,"=sas",AQ5:AQ319)+SUMIF($D$5:$D$319,"=sam",AQ5:AQ319)+SUMIF($D$5:$D$319,"=sar",AQ5:AQ319)+SUMIF($D$5:$D$319,"=saz",AQ5:AQ319)</f>
        <v>0</v>
      </c>
      <c r="AR390" s="381"/>
      <c r="AW390" s="90">
        <f t="shared" ref="AW390" si="1471">SUM(AW391:AW393)</f>
        <v>0</v>
      </c>
      <c r="AX390" s="166">
        <f>ROUND((BC390+BD390/2)*HLOOKUP(AX322,Grund_zins,2,FALSE),2)</f>
        <v>0</v>
      </c>
      <c r="AZ390" s="564" t="s">
        <v>401</v>
      </c>
      <c r="BC390" s="166">
        <f>SUMIF($D$5:$D$319,"=sas",BC5:BC319)+SUMIF($D$5:$D$319,"=sam",BC5:BC319)+SUMIF($D$5:$D$319,"=sar",BC5:BC319)+SUMIF($D$5:$D$319,"=saz",BC5:BC319)</f>
        <v>0</v>
      </c>
      <c r="BD390" s="166">
        <f>SUMIF($D$5:$D$319,"=sas",BD5:BD319)+SUMIF($D$5:$D$319,"=sam",BD5:BD319)+SUMIF($D$5:$D$319,"=sar",BD5:BD319)+SUMIF($D$5:$D$319,"=saz",BD5:BD319)</f>
        <v>0</v>
      </c>
      <c r="BE390" s="381"/>
      <c r="BJ390" s="90">
        <f t="shared" ref="BJ390" si="1472">SUM(BJ391:BJ393)</f>
        <v>0</v>
      </c>
      <c r="BK390" s="166">
        <f>ROUND((BP390+BQ390/2)*HLOOKUP(BK322,Grund_zins,2,FALSE),2)</f>
        <v>0</v>
      </c>
      <c r="BM390" s="564" t="s">
        <v>401</v>
      </c>
      <c r="BP390" s="166">
        <f>SUMIF($D$5:$D$319,"=sas",BP5:BP319)+SUMIF($D$5:$D$319,"=sam",BP5:BP319)+SUMIF($D$5:$D$319,"=sar",BP5:BP319)+SUMIF($D$5:$D$319,"=saz",BP5:BP319)</f>
        <v>0</v>
      </c>
      <c r="BQ390" s="166">
        <f>SUMIF($D$5:$D$319,"=sas",BQ5:BQ319)+SUMIF($D$5:$D$319,"=sam",BQ5:BQ319)+SUMIF($D$5:$D$319,"=sar",BQ5:BQ319)+SUMIF($D$5:$D$319,"=saz",BQ5:BQ319)</f>
        <v>0</v>
      </c>
      <c r="BR390" s="381"/>
      <c r="BW390" s="90">
        <f t="shared" ref="BW390" si="1473">SUM(BW391:BW393)</f>
        <v>0</v>
      </c>
      <c r="BX390" s="166">
        <f>ROUND((CC390+CD390/2)*HLOOKUP(BX322,Grund_zins,2,FALSE),2)</f>
        <v>0</v>
      </c>
      <c r="BZ390" s="564" t="s">
        <v>401</v>
      </c>
      <c r="CC390" s="166">
        <f>SUMIF($D$5:$D$319,"=sas",CC5:CC319)+SUMIF($D$5:$D$319,"=sam",CC5:CC319)+SUMIF($D$5:$D$319,"=sar",CC5:CC319)+SUMIF($D$5:$D$319,"=saz",CC5:CC319)</f>
        <v>0</v>
      </c>
      <c r="CD390" s="166">
        <f>SUMIF($D$5:$D$319,"=sas",CD5:CD319)+SUMIF($D$5:$D$319,"=sam",CD5:CD319)+SUMIF($D$5:$D$319,"=sar",CD5:CD319)+SUMIF($D$5:$D$319,"=saz",CD5:CD319)</f>
        <v>0</v>
      </c>
      <c r="CE390" s="381"/>
      <c r="CJ390" s="90">
        <f t="shared" ref="CJ390" si="1474">SUM(CJ391:CJ393)</f>
        <v>0</v>
      </c>
      <c r="CK390" s="166">
        <f>ROUND((CP390+CQ390/2)*HLOOKUP(CK322,Grund_zins,2,FALSE),2)</f>
        <v>0</v>
      </c>
      <c r="CM390" s="564" t="s">
        <v>401</v>
      </c>
      <c r="CP390" s="166">
        <f>SUMIF($D$5:$D$319,"=sas",CP5:CP319)+SUMIF($D$5:$D$319,"=sam",CP5:CP319)+SUMIF($D$5:$D$319,"=sar",CP5:CP319)+SUMIF($D$5:$D$319,"=saz",CP5:CP319)</f>
        <v>0</v>
      </c>
      <c r="CQ390" s="166">
        <f>SUMIF($D$5:$D$319,"=sas",CQ5:CQ319)+SUMIF($D$5:$D$319,"=sam",CQ5:CQ319)+SUMIF($D$5:$D$319,"=sar",CQ5:CQ319)+SUMIF($D$5:$D$319,"=saz",CQ5:CQ319)</f>
        <v>0</v>
      </c>
      <c r="CR390" s="381"/>
      <c r="CW390" s="90">
        <f t="shared" ref="CW390" si="1475">SUM(CW391:CW393)</f>
        <v>0</v>
      </c>
      <c r="CX390" s="166">
        <f>ROUND((DC390+DD390/2)*HLOOKUP(CX322,Grund_zins,2,FALSE),2)</f>
        <v>0</v>
      </c>
      <c r="CZ390" s="564" t="s">
        <v>401</v>
      </c>
      <c r="DC390" s="166">
        <f>SUMIF($D$5:$D$319,"=sas",DC5:DC319)+SUMIF($D$5:$D$319,"=sam",DC5:DC319)+SUMIF($D$5:$D$319,"=sar",DC5:DC319)+SUMIF($D$5:$D$319,"=saz",DC5:DC319)</f>
        <v>0</v>
      </c>
      <c r="DD390" s="166">
        <f>SUMIF($D$5:$D$319,"=sas",DD5:DD319)+SUMIF($D$5:$D$319,"=sam",DD5:DD319)+SUMIF($D$5:$D$319,"=sar",DD5:DD319)+SUMIF($D$5:$D$319,"=saz",DD5:DD319)</f>
        <v>0</v>
      </c>
      <c r="DE390" s="381"/>
      <c r="DJ390" s="90">
        <f t="shared" ref="DJ390" si="1476">SUM(DJ391:DJ393)</f>
        <v>0</v>
      </c>
      <c r="DK390" s="166">
        <f>ROUND((DP390+DQ390/2)*HLOOKUP(DK322,Grund_zins,2,FALSE),2)</f>
        <v>0</v>
      </c>
      <c r="DM390" s="564" t="s">
        <v>401</v>
      </c>
      <c r="DP390" s="166">
        <f>SUMIF($D$5:$D$319,"=sas",DP5:DP319)+SUMIF($D$5:$D$319,"=sam",DP5:DP319)+SUMIF($D$5:$D$319,"=sar",DP5:DP319)+SUMIF($D$5:$D$319,"=saz",DP5:DP319)</f>
        <v>0</v>
      </c>
      <c r="DQ390" s="166">
        <f>SUMIF($D$5:$D$319,"=sas",DQ5:DQ319)+SUMIF($D$5:$D$319,"=sam",DQ5:DQ319)+SUMIF($D$5:$D$319,"=sar",DQ5:DQ319)+SUMIF($D$5:$D$319,"=saz",DQ5:DQ319)</f>
        <v>0</v>
      </c>
      <c r="DR390" s="381"/>
      <c r="DW390" s="90">
        <f t="shared" ref="DW390" si="1477">SUM(DW391:DW393)</f>
        <v>0</v>
      </c>
      <c r="DX390" s="166">
        <f>ROUND((EC390+ED390/2)*HLOOKUP(DX322,Grund_zins,2,FALSE),2)</f>
        <v>0</v>
      </c>
      <c r="DZ390" s="564" t="s">
        <v>401</v>
      </c>
      <c r="EC390" s="166">
        <f>SUMIF($D$5:$D$319,"=sas",EC5:EC319)+SUMIF($D$5:$D$319,"=sam",EC5:EC319)+SUMIF($D$5:$D$319,"=sar",EC5:EC319)+SUMIF($D$5:$D$319,"=saz",EC5:EC319)</f>
        <v>0</v>
      </c>
      <c r="ED390" s="166">
        <f>SUMIF($D$5:$D$319,"=sas",ED5:ED319)+SUMIF($D$5:$D$319,"=sam",ED5:ED319)+SUMIF($D$5:$D$319,"=sar",ED5:ED319)+SUMIF($D$5:$D$319,"=saz",ED5:ED319)</f>
        <v>0</v>
      </c>
    </row>
    <row r="391" spans="1:134" s="10" customFormat="1" ht="15" customHeight="1" x14ac:dyDescent="0.35">
      <c r="A391" s="565" t="s">
        <v>169</v>
      </c>
      <c r="Q391" s="225">
        <v>70</v>
      </c>
      <c r="R391" s="381"/>
      <c r="W391" s="90">
        <f t="shared" ref="W391" si="1478">IF(X390&lt;&gt;0,X391/X390,0)</f>
        <v>0</v>
      </c>
      <c r="X391" s="166">
        <f>ROUND((AC391+AD391/2)*HLOOKUP(X322,Grund_zins,2,FALSE),2)</f>
        <v>0</v>
      </c>
      <c r="Z391" s="565" t="s">
        <v>169</v>
      </c>
      <c r="AC391" s="166">
        <f>SUMIF($D$5:$D$319,"=sas",AC5:AC319)*HLOOKUP(X322,Verteil_sw,27,FALSE)+SUMIF($D$5:$D$319,"=sam",AC5:AC319)*HLOOKUP(X322,Verteil_sw,28,FALSE)+SUMIF($D$5:$D$319,"=sar",AC5:AC319)*HLOOKUP(X322,Verteil_sw,29,FALSE)+SUMIF($D$5:$D$319,"=saz",AC5:AC319)*HLOOKUP(X322,Verteil_sw,30,FALSE)</f>
        <v>0</v>
      </c>
      <c r="AD391" s="166">
        <f>SUMIF($D$5:$D$319,"=sas",AD5:AD319)*HLOOKUP(X322,Verteil_sw,27,FALSE)+SUMIF($D$5:$D$319,"=sam",AD5:AD319)*HLOOKUP(X322,Verteil_sw,28,FALSE)+SUMIF($D$5:$D$319,"=sar",AD5:AD319)*HLOOKUP(X322,Verteil_sw,29,FALSE)+SUMIF($D$5:$D$319,"=saz",AD5:AD319)*HLOOKUP(X322,Verteil_sw,30,FALSE)</f>
        <v>0</v>
      </c>
      <c r="AE391" s="381"/>
      <c r="AJ391" s="90">
        <f t="shared" ref="AJ391" si="1479">IF(AK390&lt;&gt;0,AK391/AK390,0)</f>
        <v>0</v>
      </c>
      <c r="AK391" s="166">
        <f>ROUND((AP391+AQ391/2)*HLOOKUP(AK322,Grund_zins,2,FALSE),2)</f>
        <v>0</v>
      </c>
      <c r="AM391" s="565" t="s">
        <v>169</v>
      </c>
      <c r="AP391" s="166">
        <f>SUMIF($D$5:$D$319,"=sas",AP5:AP319)*HLOOKUP(AK322,Verteil_sw,27,FALSE)+SUMIF($D$5:$D$319,"=sam",AP5:AP319)*HLOOKUP(AK322,Verteil_sw,28,FALSE)+SUMIF($D$5:$D$319,"=sar",AP5:AP319)*HLOOKUP(AK322,Verteil_sw,29,FALSE)+SUMIF($D$5:$D$319,"=saz",AP5:AP319)*HLOOKUP(AK322,Verteil_sw,30,FALSE)</f>
        <v>0</v>
      </c>
      <c r="AQ391" s="166">
        <f>SUMIF($D$5:$D$319,"=sas",AQ5:AQ319)*HLOOKUP(AK322,Verteil_sw,27,FALSE)+SUMIF($D$5:$D$319,"=sam",AQ5:AQ319)*HLOOKUP(AK322,Verteil_sw,28,FALSE)+SUMIF($D$5:$D$319,"=sar",AQ5:AQ319)*HLOOKUP(AK322,Verteil_sw,29,FALSE)+SUMIF($D$5:$D$319,"=saz",AQ5:AQ319)*HLOOKUP(AK322,Verteil_sw,30,FALSE)</f>
        <v>0</v>
      </c>
      <c r="AR391" s="381"/>
      <c r="AW391" s="90">
        <f t="shared" ref="AW391" si="1480">IF(AX390&lt;&gt;0,AX391/AX390,0)</f>
        <v>0</v>
      </c>
      <c r="AX391" s="166">
        <f>ROUND((BC391+BD391/2)*HLOOKUP(AX322,Grund_zins,2,FALSE),2)</f>
        <v>0</v>
      </c>
      <c r="AZ391" s="565" t="s">
        <v>169</v>
      </c>
      <c r="BC391" s="166">
        <f>SUMIF($D$5:$D$319,"=sas",BC5:BC319)*HLOOKUP(AX322,Verteil_sw,27,FALSE)+SUMIF($D$5:$D$319,"=sam",BC5:BC319)*HLOOKUP(AX322,Verteil_sw,28,FALSE)+SUMIF($D$5:$D$319,"=sar",BC5:BC319)*HLOOKUP(AX322,Verteil_sw,29,FALSE)+SUMIF($D$5:$D$319,"=saz",BC5:BC319)*HLOOKUP(AX322,Verteil_sw,30,FALSE)</f>
        <v>0</v>
      </c>
      <c r="BD391" s="166">
        <f>SUMIF($D$5:$D$319,"=sas",BD5:BD319)*HLOOKUP(AX322,Verteil_sw,27,FALSE)+SUMIF($D$5:$D$319,"=sam",BD5:BD319)*HLOOKUP(AX322,Verteil_sw,28,FALSE)+SUMIF($D$5:$D$319,"=sar",BD5:BD319)*HLOOKUP(AX322,Verteil_sw,29,FALSE)+SUMIF($D$5:$D$319,"=saz",BD5:BD319)*HLOOKUP(AX322,Verteil_sw,30,FALSE)</f>
        <v>0</v>
      </c>
      <c r="BE391" s="381"/>
      <c r="BJ391" s="90">
        <f t="shared" ref="BJ391" si="1481">IF(BK390&lt;&gt;0,BK391/BK390,0)</f>
        <v>0</v>
      </c>
      <c r="BK391" s="166">
        <f>ROUND((BP391+BQ391/2)*HLOOKUP(BK322,Grund_zins,2,FALSE),2)</f>
        <v>0</v>
      </c>
      <c r="BM391" s="565" t="s">
        <v>169</v>
      </c>
      <c r="BP391" s="166">
        <f>SUMIF($D$5:$D$319,"=sas",BP5:BP319)*HLOOKUP(BK322,Verteil_sw,27,FALSE)+SUMIF($D$5:$D$319,"=sam",BP5:BP319)*HLOOKUP(BK322,Verteil_sw,28,FALSE)+SUMIF($D$5:$D$319,"=sar",BP5:BP319)*HLOOKUP(BK322,Verteil_sw,29,FALSE)+SUMIF($D$5:$D$319,"=saz",BP5:BP319)*HLOOKUP(BK322,Verteil_sw,30,FALSE)</f>
        <v>0</v>
      </c>
      <c r="BQ391" s="166">
        <f>SUMIF($D$5:$D$319,"=sas",BQ5:BQ319)*HLOOKUP(BK322,Verteil_sw,27,FALSE)+SUMIF($D$5:$D$319,"=sam",BQ5:BQ319)*HLOOKUP(BK322,Verteil_sw,28,FALSE)+SUMIF($D$5:$D$319,"=sar",BQ5:BQ319)*HLOOKUP(BK322,Verteil_sw,29,FALSE)+SUMIF($D$5:$D$319,"=saz",BQ5:BQ319)*HLOOKUP(BK322,Verteil_sw,30,FALSE)</f>
        <v>0</v>
      </c>
      <c r="BR391" s="381"/>
      <c r="BW391" s="90">
        <f t="shared" ref="BW391" si="1482">IF(BX390&lt;&gt;0,BX391/BX390,0)</f>
        <v>0</v>
      </c>
      <c r="BX391" s="166">
        <f>ROUND((CC391+CD391/2)*HLOOKUP(BX322,Grund_zins,2,FALSE),2)</f>
        <v>0</v>
      </c>
      <c r="BZ391" s="565" t="s">
        <v>169</v>
      </c>
      <c r="CC391" s="166">
        <f>SUMIF($D$5:$D$319,"=sas",CC5:CC319)*HLOOKUP(BX322,Verteil_sw,27,FALSE)+SUMIF($D$5:$D$319,"=sam",CC5:CC319)*HLOOKUP(BX322,Verteil_sw,28,FALSE)+SUMIF($D$5:$D$319,"=sar",CC5:CC319)*HLOOKUP(BX322,Verteil_sw,29,FALSE)+SUMIF($D$5:$D$319,"=saz",CC5:CC319)*HLOOKUP(BX322,Verteil_sw,30,FALSE)</f>
        <v>0</v>
      </c>
      <c r="CD391" s="166">
        <f>SUMIF($D$5:$D$319,"=sas",CD5:CD319)*HLOOKUP(BX322,Verteil_sw,27,FALSE)+SUMIF($D$5:$D$319,"=sam",CD5:CD319)*HLOOKUP(BX322,Verteil_sw,28,FALSE)+SUMIF($D$5:$D$319,"=sar",CD5:CD319)*HLOOKUP(BX322,Verteil_sw,29,FALSE)+SUMIF($D$5:$D$319,"=saz",CD5:CD319)*HLOOKUP(BX322,Verteil_sw,30,FALSE)</f>
        <v>0</v>
      </c>
      <c r="CE391" s="381"/>
      <c r="CJ391" s="90">
        <f t="shared" ref="CJ391" si="1483">IF(CK390&lt;&gt;0,CK391/CK390,0)</f>
        <v>0</v>
      </c>
      <c r="CK391" s="166">
        <f>ROUND((CP391+CQ391/2)*HLOOKUP(CK322,Grund_zins,2,FALSE),2)</f>
        <v>0</v>
      </c>
      <c r="CM391" s="565" t="s">
        <v>169</v>
      </c>
      <c r="CP391" s="166">
        <f>SUMIF($D$5:$D$319,"=sas",CP5:CP319)*HLOOKUP(CK322,Verteil_sw,27,FALSE)+SUMIF($D$5:$D$319,"=sam",CP5:CP319)*HLOOKUP(CK322,Verteil_sw,28,FALSE)+SUMIF($D$5:$D$319,"=sar",CP5:CP319)*HLOOKUP(CK322,Verteil_sw,29,FALSE)+SUMIF($D$5:$D$319,"=saz",CP5:CP319)*HLOOKUP(CK322,Verteil_sw,30,FALSE)</f>
        <v>0</v>
      </c>
      <c r="CQ391" s="166">
        <f>SUMIF($D$5:$D$319,"=sas",CQ5:CQ319)*HLOOKUP(CK322,Verteil_sw,27,FALSE)+SUMIF($D$5:$D$319,"=sam",CQ5:CQ319)*HLOOKUP(CK322,Verteil_sw,28,FALSE)+SUMIF($D$5:$D$319,"=sar",CQ5:CQ319)*HLOOKUP(CK322,Verteil_sw,29,FALSE)+SUMIF($D$5:$D$319,"=saz",CQ5:CQ319)*HLOOKUP(CK322,Verteil_sw,30,FALSE)</f>
        <v>0</v>
      </c>
      <c r="CR391" s="381"/>
      <c r="CW391" s="90">
        <f t="shared" ref="CW391" si="1484">IF(CX390&lt;&gt;0,CX391/CX390,0)</f>
        <v>0</v>
      </c>
      <c r="CX391" s="166">
        <f>ROUND((DC391+DD391/2)*HLOOKUP(CX322,Grund_zins,2,FALSE),2)</f>
        <v>0</v>
      </c>
      <c r="CZ391" s="565" t="s">
        <v>169</v>
      </c>
      <c r="DC391" s="166">
        <f>SUMIF($D$5:$D$319,"=sas",DC5:DC319)*HLOOKUP(CX322,Verteil_sw,27,FALSE)+SUMIF($D$5:$D$319,"=sam",DC5:DC319)*HLOOKUP(CX322,Verteil_sw,28,FALSE)+SUMIF($D$5:$D$319,"=sar",DC5:DC319)*HLOOKUP(CX322,Verteil_sw,29,FALSE)+SUMIF($D$5:$D$319,"=saz",DC5:DC319)*HLOOKUP(CX322,Verteil_sw,30,FALSE)</f>
        <v>0</v>
      </c>
      <c r="DD391" s="166">
        <f>SUMIF($D$5:$D$319,"=sas",DD5:DD319)*HLOOKUP(CX322,Verteil_sw,27,FALSE)+SUMIF($D$5:$D$319,"=sam",DD5:DD319)*HLOOKUP(CX322,Verteil_sw,28,FALSE)+SUMIF($D$5:$D$319,"=sar",DD5:DD319)*HLOOKUP(CX322,Verteil_sw,29,FALSE)+SUMIF($D$5:$D$319,"=saz",DD5:DD319)*HLOOKUP(CX322,Verteil_sw,30,FALSE)</f>
        <v>0</v>
      </c>
      <c r="DE391" s="381"/>
      <c r="DJ391" s="90">
        <f t="shared" ref="DJ391" si="1485">IF(DK390&lt;&gt;0,DK391/DK390,0)</f>
        <v>0</v>
      </c>
      <c r="DK391" s="166">
        <f>ROUND((DP391+DQ391/2)*HLOOKUP(DK322,Grund_zins,2,FALSE),2)</f>
        <v>0</v>
      </c>
      <c r="DM391" s="565" t="s">
        <v>169</v>
      </c>
      <c r="DP391" s="166">
        <f>SUMIF($D$5:$D$319,"=sas",DP5:DP319)*HLOOKUP(DK322,Verteil_sw,27,FALSE)+SUMIF($D$5:$D$319,"=sam",DP5:DP319)*HLOOKUP(DK322,Verteil_sw,28,FALSE)+SUMIF($D$5:$D$319,"=sar",DP5:DP319)*HLOOKUP(DK322,Verteil_sw,29,FALSE)+SUMIF($D$5:$D$319,"=saz",DP5:DP319)*HLOOKUP(DK322,Verteil_sw,30,FALSE)</f>
        <v>0</v>
      </c>
      <c r="DQ391" s="166">
        <f>SUMIF($D$5:$D$319,"=sas",DQ5:DQ319)*HLOOKUP(DK322,Verteil_sw,27,FALSE)+SUMIF($D$5:$D$319,"=sam",DQ5:DQ319)*HLOOKUP(DK322,Verteil_sw,28,FALSE)+SUMIF($D$5:$D$319,"=sar",DQ5:DQ319)*HLOOKUP(DK322,Verteil_sw,29,FALSE)+SUMIF($D$5:$D$319,"=saz",DQ5:DQ319)*HLOOKUP(DK322,Verteil_sw,30,FALSE)</f>
        <v>0</v>
      </c>
      <c r="DR391" s="381"/>
      <c r="DW391" s="90">
        <f t="shared" ref="DW391" si="1486">IF(DX390&lt;&gt;0,DX391/DX390,0)</f>
        <v>0</v>
      </c>
      <c r="DX391" s="166">
        <f>ROUND((EC391+ED391/2)*HLOOKUP(DX322,Grund_zins,2,FALSE),2)</f>
        <v>0</v>
      </c>
      <c r="DZ391" s="565" t="s">
        <v>169</v>
      </c>
      <c r="EC391" s="166">
        <f>SUMIF($D$5:$D$319,"=sas",EC5:EC319)*HLOOKUP(DX322,Verteil_sw,27,FALSE)+SUMIF($D$5:$D$319,"=sam",EC5:EC319)*HLOOKUP(DX322,Verteil_sw,28,FALSE)+SUMIF($D$5:$D$319,"=sar",EC5:EC319)*HLOOKUP(DX322,Verteil_sw,29,FALSE)+SUMIF($D$5:$D$319,"=saz",EC5:EC319)*HLOOKUP(DX322,Verteil_sw,30,FALSE)</f>
        <v>0</v>
      </c>
      <c r="ED391" s="166">
        <f>SUMIF($D$5:$D$319,"=sas",ED5:ED319)*HLOOKUP(DX322,Verteil_sw,27,FALSE)+SUMIF($D$5:$D$319,"=sam",ED5:ED319)*HLOOKUP(DX322,Verteil_sw,28,FALSE)+SUMIF($D$5:$D$319,"=sar",ED5:ED319)*HLOOKUP(DX322,Verteil_sw,29,FALSE)+SUMIF($D$5:$D$319,"=saz",ED5:ED319)*HLOOKUP(DX322,Verteil_sw,30,FALSE)</f>
        <v>0</v>
      </c>
    </row>
    <row r="392" spans="1:134" s="10" customFormat="1" ht="15" customHeight="1" x14ac:dyDescent="0.35">
      <c r="A392" s="565" t="s">
        <v>178</v>
      </c>
      <c r="Q392" s="225">
        <v>71</v>
      </c>
      <c r="R392" s="381"/>
      <c r="W392" s="90">
        <f t="shared" ref="W392" si="1487">IF(X390&lt;&gt;0,X392/X390,0)</f>
        <v>0</v>
      </c>
      <c r="X392" s="166">
        <f>ROUND((AC392+AD392/2)*HLOOKUP(X322,Grund_zins,2,FALSE),2)</f>
        <v>0</v>
      </c>
      <c r="Z392" s="565" t="s">
        <v>178</v>
      </c>
      <c r="AC392" s="166">
        <f>SUMIF($D$5:$D$319,"=sas",AC5:AC319)*HLOOKUP(X322,Verteil_rwgr,26,FALSE)+SUMIF($D$5:$D$319,"=sam",AC5:AC319)*HLOOKUP(X322,Verteil_rwgr,27,FALSE)+SUMIF($D$5:$D$319,"=sar",AC5:AC319)*HLOOKUP(X322,Verteil_rwgr,28,FALSE)+SUMIF($D$5:$D$319,"=saz",AC5:AC319)*HLOOKUP(X322,Verteil_rwgr,29,FALSE)</f>
        <v>0</v>
      </c>
      <c r="AD392" s="166">
        <f>SUMIF($D$5:$D$319,"=sas",AD5:AD319)*HLOOKUP(X322,Verteil_rwgr,26,FALSE)+SUMIF($D$5:$D$319,"=sam",AD5:AD319)*HLOOKUP(X322,Verteil_rwgr,27,FALSE)+SUMIF($D$5:$D$319,"=sar",AD5:AD319)*HLOOKUP(X322,Verteil_rwgr,28,FALSE)+SUMIF($D$5:$D$319,"=saz",AD5:AD319)*HLOOKUP(X322,Verteil_rwgr,29,FALSE)</f>
        <v>0</v>
      </c>
      <c r="AE392" s="381"/>
      <c r="AJ392" s="90">
        <f t="shared" ref="AJ392" si="1488">IF(AK390&lt;&gt;0,AK392/AK390,0)</f>
        <v>0</v>
      </c>
      <c r="AK392" s="166">
        <f>ROUND((AP392+AQ392/2)*HLOOKUP(AK322,Grund_zins,2,FALSE),2)</f>
        <v>0</v>
      </c>
      <c r="AM392" s="565" t="s">
        <v>178</v>
      </c>
      <c r="AP392" s="166">
        <f>SUMIF($D$5:$D$319,"=sas",AP5:AP319)*HLOOKUP(AK322,Verteil_rwgr,26,FALSE)+SUMIF($D$5:$D$319,"=sam",AP5:AP319)*HLOOKUP(AK322,Verteil_rwgr,27,FALSE)+SUMIF($D$5:$D$319,"=sar",AP5:AP319)*HLOOKUP(AK322,Verteil_rwgr,28,FALSE)+SUMIF($D$5:$D$319,"=saz",AP5:AP319)*HLOOKUP(AK322,Verteil_rwgr,29,FALSE)</f>
        <v>0</v>
      </c>
      <c r="AQ392" s="166">
        <f>SUMIF($D$5:$D$319,"=sas",AQ5:AQ319)*HLOOKUP(AK322,Verteil_rwgr,26,FALSE)+SUMIF($D$5:$D$319,"=sam",AQ5:AQ319)*HLOOKUP(AK322,Verteil_rwgr,27,FALSE)+SUMIF($D$5:$D$319,"=sar",AQ5:AQ319)*HLOOKUP(AK322,Verteil_rwgr,28,FALSE)+SUMIF($D$5:$D$319,"=saz",AQ5:AQ319)*HLOOKUP(AK322,Verteil_rwgr,29,FALSE)</f>
        <v>0</v>
      </c>
      <c r="AR392" s="381"/>
      <c r="AW392" s="90">
        <f t="shared" ref="AW392" si="1489">IF(AX390&lt;&gt;0,AX392/AX390,0)</f>
        <v>0</v>
      </c>
      <c r="AX392" s="166">
        <f>ROUND((BC392+BD392/2)*HLOOKUP(AX322,Grund_zins,2,FALSE),2)</f>
        <v>0</v>
      </c>
      <c r="AZ392" s="565" t="s">
        <v>178</v>
      </c>
      <c r="BC392" s="166">
        <f>SUMIF($D$5:$D$319,"=sas",BC5:BC319)*HLOOKUP(AX322,Verteil_rwgr,26,FALSE)+SUMIF($D$5:$D$319,"=sam",BC5:BC319)*HLOOKUP(AX322,Verteil_rwgr,27,FALSE)+SUMIF($D$5:$D$319,"=sar",BC5:BC319)*HLOOKUP(AX322,Verteil_rwgr,28,FALSE)+SUMIF($D$5:$D$319,"=saz",BC5:BC319)*HLOOKUP(AX322,Verteil_rwgr,29,FALSE)</f>
        <v>0</v>
      </c>
      <c r="BD392" s="166">
        <f>SUMIF($D$5:$D$319,"=sas",BD5:BD319)*HLOOKUP(AX322,Verteil_rwgr,26,FALSE)+SUMIF($D$5:$D$319,"=sam",BD5:BD319)*HLOOKUP(AX322,Verteil_rwgr,27,FALSE)+SUMIF($D$5:$D$319,"=sar",BD5:BD319)*HLOOKUP(AX322,Verteil_rwgr,28,FALSE)+SUMIF($D$5:$D$319,"=saz",BD5:BD319)*HLOOKUP(AX322,Verteil_rwgr,29,FALSE)</f>
        <v>0</v>
      </c>
      <c r="BE392" s="381"/>
      <c r="BJ392" s="90">
        <f t="shared" ref="BJ392" si="1490">IF(BK390&lt;&gt;0,BK392/BK390,0)</f>
        <v>0</v>
      </c>
      <c r="BK392" s="166">
        <f>ROUND((BP392+BQ392/2)*HLOOKUP(BK322,Grund_zins,2,FALSE),2)</f>
        <v>0</v>
      </c>
      <c r="BM392" s="565" t="s">
        <v>178</v>
      </c>
      <c r="BP392" s="166">
        <f>SUMIF($D$5:$D$319,"=sas",BP5:BP319)*HLOOKUP(BK322,Verteil_rwgr,26,FALSE)+SUMIF($D$5:$D$319,"=sam",BP5:BP319)*HLOOKUP(BK322,Verteil_rwgr,27,FALSE)+SUMIF($D$5:$D$319,"=sar",BP5:BP319)*HLOOKUP(BK322,Verteil_rwgr,28,FALSE)+SUMIF($D$5:$D$319,"=saz",BP5:BP319)*HLOOKUP(BK322,Verteil_rwgr,29,FALSE)</f>
        <v>0</v>
      </c>
      <c r="BQ392" s="166">
        <f>SUMIF($D$5:$D$319,"=sas",BQ5:BQ319)*HLOOKUP(BK322,Verteil_rwgr,26,FALSE)+SUMIF($D$5:$D$319,"=sam",BQ5:BQ319)*HLOOKUP(BK322,Verteil_rwgr,27,FALSE)+SUMIF($D$5:$D$319,"=sar",BQ5:BQ319)*HLOOKUP(BK322,Verteil_rwgr,28,FALSE)+SUMIF($D$5:$D$319,"=saz",BQ5:BQ319)*HLOOKUP(BK322,Verteil_rwgr,29,FALSE)</f>
        <v>0</v>
      </c>
      <c r="BR392" s="381"/>
      <c r="BW392" s="90">
        <f t="shared" ref="BW392" si="1491">IF(BX390&lt;&gt;0,BX392/BX390,0)</f>
        <v>0</v>
      </c>
      <c r="BX392" s="166">
        <f>ROUND((CC392+CD392/2)*HLOOKUP(BX322,Grund_zins,2,FALSE),2)</f>
        <v>0</v>
      </c>
      <c r="BZ392" s="565" t="s">
        <v>178</v>
      </c>
      <c r="CC392" s="166">
        <f>SUMIF($D$5:$D$319,"=sas",CC5:CC319)*HLOOKUP(BX322,Verteil_rwgr,26,FALSE)+SUMIF($D$5:$D$319,"=sam",CC5:CC319)*HLOOKUP(BX322,Verteil_rwgr,27,FALSE)+SUMIF($D$5:$D$319,"=sar",CC5:CC319)*HLOOKUP(BX322,Verteil_rwgr,28,FALSE)+SUMIF($D$5:$D$319,"=saz",CC5:CC319)*HLOOKUP(BX322,Verteil_rwgr,29,FALSE)</f>
        <v>0</v>
      </c>
      <c r="CD392" s="166">
        <f>SUMIF($D$5:$D$319,"=sas",CD5:CD319)*HLOOKUP(BX322,Verteil_rwgr,26,FALSE)+SUMIF($D$5:$D$319,"=sam",CD5:CD319)*HLOOKUP(BX322,Verteil_rwgr,27,FALSE)+SUMIF($D$5:$D$319,"=sar",CD5:CD319)*HLOOKUP(BX322,Verteil_rwgr,28,FALSE)+SUMIF($D$5:$D$319,"=saz",CD5:CD319)*HLOOKUP(BX322,Verteil_rwgr,29,FALSE)</f>
        <v>0</v>
      </c>
      <c r="CE392" s="381"/>
      <c r="CJ392" s="90">
        <f t="shared" ref="CJ392" si="1492">IF(CK390&lt;&gt;0,CK392/CK390,0)</f>
        <v>0</v>
      </c>
      <c r="CK392" s="166">
        <f>ROUND((CP392+CQ392/2)*HLOOKUP(CK322,Grund_zins,2,FALSE),2)</f>
        <v>0</v>
      </c>
      <c r="CM392" s="565" t="s">
        <v>178</v>
      </c>
      <c r="CP392" s="166">
        <f>SUMIF($D$5:$D$319,"=sas",CP5:CP319)*HLOOKUP(CK322,Verteil_rwgr,26,FALSE)+SUMIF($D$5:$D$319,"=sam",CP5:CP319)*HLOOKUP(CK322,Verteil_rwgr,27,FALSE)+SUMIF($D$5:$D$319,"=sar",CP5:CP319)*HLOOKUP(CK322,Verteil_rwgr,28,FALSE)+SUMIF($D$5:$D$319,"=saz",CP5:CP319)*HLOOKUP(CK322,Verteil_rwgr,29,FALSE)</f>
        <v>0</v>
      </c>
      <c r="CQ392" s="166">
        <f>SUMIF($D$5:$D$319,"=sas",CQ5:CQ319)*HLOOKUP(CK322,Verteil_rwgr,26,FALSE)+SUMIF($D$5:$D$319,"=sam",CQ5:CQ319)*HLOOKUP(CK322,Verteil_rwgr,27,FALSE)+SUMIF($D$5:$D$319,"=sar",CQ5:CQ319)*HLOOKUP(CK322,Verteil_rwgr,28,FALSE)+SUMIF($D$5:$D$319,"=saz",CQ5:CQ319)*HLOOKUP(CK322,Verteil_rwgr,29,FALSE)</f>
        <v>0</v>
      </c>
      <c r="CR392" s="381"/>
      <c r="CW392" s="90">
        <f t="shared" ref="CW392" si="1493">IF(CX390&lt;&gt;0,CX392/CX390,0)</f>
        <v>0</v>
      </c>
      <c r="CX392" s="166">
        <f>ROUND((DC392+DD392/2)*HLOOKUP(CX322,Grund_zins,2,FALSE),2)</f>
        <v>0</v>
      </c>
      <c r="CZ392" s="565" t="s">
        <v>178</v>
      </c>
      <c r="DC392" s="166">
        <f>SUMIF($D$5:$D$319,"=sas",DC5:DC319)*HLOOKUP(CX322,Verteil_rwgr,26,FALSE)+SUMIF($D$5:$D$319,"=sam",DC5:DC319)*HLOOKUP(CX322,Verteil_rwgr,27,FALSE)+SUMIF($D$5:$D$319,"=sar",DC5:DC319)*HLOOKUP(CX322,Verteil_rwgr,28,FALSE)+SUMIF($D$5:$D$319,"=saz",DC5:DC319)*HLOOKUP(CX322,Verteil_rwgr,29,FALSE)</f>
        <v>0</v>
      </c>
      <c r="DD392" s="166">
        <f>SUMIF($D$5:$D$319,"=sas",DD5:DD319)*HLOOKUP(CX322,Verteil_rwgr,26,FALSE)+SUMIF($D$5:$D$319,"=sam",DD5:DD319)*HLOOKUP(CX322,Verteil_rwgr,27,FALSE)+SUMIF($D$5:$D$319,"=sar",DD5:DD319)*HLOOKUP(CX322,Verteil_rwgr,28,FALSE)+SUMIF($D$5:$D$319,"=saz",DD5:DD319)*HLOOKUP(CX322,Verteil_rwgr,29,FALSE)</f>
        <v>0</v>
      </c>
      <c r="DE392" s="381"/>
      <c r="DJ392" s="90">
        <f t="shared" ref="DJ392" si="1494">IF(DK390&lt;&gt;0,DK392/DK390,0)</f>
        <v>0</v>
      </c>
      <c r="DK392" s="166">
        <f>ROUND((DP392+DQ392/2)*HLOOKUP(DK322,Grund_zins,2,FALSE),2)</f>
        <v>0</v>
      </c>
      <c r="DM392" s="565" t="s">
        <v>178</v>
      </c>
      <c r="DP392" s="166">
        <f>SUMIF($D$5:$D$319,"=sas",DP5:DP319)*HLOOKUP(DK322,Verteil_rwgr,26,FALSE)+SUMIF($D$5:$D$319,"=sam",DP5:DP319)*HLOOKUP(DK322,Verteil_rwgr,27,FALSE)+SUMIF($D$5:$D$319,"=sar",DP5:DP319)*HLOOKUP(DK322,Verteil_rwgr,28,FALSE)+SUMIF($D$5:$D$319,"=saz",DP5:DP319)*HLOOKUP(DK322,Verteil_rwgr,29,FALSE)</f>
        <v>0</v>
      </c>
      <c r="DQ392" s="166">
        <f>SUMIF($D$5:$D$319,"=sas",DQ5:DQ319)*HLOOKUP(DK322,Verteil_rwgr,26,FALSE)+SUMIF($D$5:$D$319,"=sam",DQ5:DQ319)*HLOOKUP(DK322,Verteil_rwgr,27,FALSE)+SUMIF($D$5:$D$319,"=sar",DQ5:DQ319)*HLOOKUP(DK322,Verteil_rwgr,28,FALSE)+SUMIF($D$5:$D$319,"=saz",DQ5:DQ319)*HLOOKUP(DK322,Verteil_rwgr,29,FALSE)</f>
        <v>0</v>
      </c>
      <c r="DR392" s="381"/>
      <c r="DW392" s="90">
        <f t="shared" ref="DW392" si="1495">IF(DX390&lt;&gt;0,DX392/DX390,0)</f>
        <v>0</v>
      </c>
      <c r="DX392" s="166">
        <f>ROUND((EC392+ED392/2)*HLOOKUP(DX322,Grund_zins,2,FALSE),2)</f>
        <v>0</v>
      </c>
      <c r="DZ392" s="565" t="s">
        <v>178</v>
      </c>
      <c r="EC392" s="166">
        <f>SUMIF($D$5:$D$319,"=sas",EC5:EC319)*HLOOKUP(DX322,Verteil_rwgr,26,FALSE)+SUMIF($D$5:$D$319,"=sam",EC5:EC319)*HLOOKUP(DX322,Verteil_rwgr,27,FALSE)+SUMIF($D$5:$D$319,"=sar",EC5:EC319)*HLOOKUP(DX322,Verteil_rwgr,28,FALSE)+SUMIF($D$5:$D$319,"=saz",EC5:EC319)*HLOOKUP(DX322,Verteil_rwgr,29,FALSE)</f>
        <v>0</v>
      </c>
      <c r="ED392" s="166">
        <f>SUMIF($D$5:$D$319,"=sas",ED5:ED319)*HLOOKUP(DX322,Verteil_rwgr,26,FALSE)+SUMIF($D$5:$D$319,"=sam",ED5:ED319)*HLOOKUP(DX322,Verteil_rwgr,27,FALSE)+SUMIF($D$5:$D$319,"=sar",ED5:ED319)*HLOOKUP(DX322,Verteil_rwgr,28,FALSE)+SUMIF($D$5:$D$319,"=saz",ED5:ED319)*HLOOKUP(DX322,Verteil_rwgr,29,FALSE)</f>
        <v>0</v>
      </c>
    </row>
    <row r="393" spans="1:134" s="10" customFormat="1" ht="15" customHeight="1" x14ac:dyDescent="0.35">
      <c r="A393" s="565" t="s">
        <v>179</v>
      </c>
      <c r="Q393" s="225">
        <v>72</v>
      </c>
      <c r="R393" s="381"/>
      <c r="W393" s="90">
        <f t="shared" ref="W393" si="1496">IF(X390&lt;&gt;0,X393/X390,0)</f>
        <v>0</v>
      </c>
      <c r="X393" s="166">
        <f>ROUND((AC393+AD393/2)*HLOOKUP(X322,Grund_zins,2,FALSE),2)</f>
        <v>0</v>
      </c>
      <c r="Z393" s="565" t="s">
        <v>179</v>
      </c>
      <c r="AC393" s="166">
        <f>SUMIF($D$5:$D$319,"=sas",AC5:AC319)*HLOOKUP(X322,Verteil_rwst,25,FALSE)+SUMIF($D$5:$D$319,"=sam",AC5:AC319)*HLOOKUP(X322,Verteil_rwst,26,FALSE)+SUMIF($D$5:$D$319,"=sar",AC5:AC319)*HLOOKUP(X322,Verteil_rwst,27,FALSE)+SUMIF($D$5:$D$319,"=saz",AC5:AC319)*HLOOKUP(X322,Verteil_rwst,28,FALSE)</f>
        <v>0</v>
      </c>
      <c r="AD393" s="166">
        <f>SUMIF($D$5:$D$319,"=sas",AD5:AD319)*HLOOKUP(X322,Verteil_rwst,25,FALSE)+SUMIF($D$5:$D$319,"=sam",AD5:AD319)*HLOOKUP(X322,Verteil_rwst,26,FALSE)+SUMIF($D$5:$D$319,"=sar",AD5:AD319)*HLOOKUP(X322,Verteil_rwst,27,FALSE)+SUMIF($D$5:$D$319,"=saz",AD5:AD319)*HLOOKUP(X322,Verteil_rwst,28,FALSE)</f>
        <v>0</v>
      </c>
      <c r="AE393" s="381"/>
      <c r="AJ393" s="90">
        <f t="shared" ref="AJ393" si="1497">IF(AK390&lt;&gt;0,AK393/AK390,0)</f>
        <v>0</v>
      </c>
      <c r="AK393" s="166">
        <f>ROUND((AP393+AQ393/2)*HLOOKUP(AK322,Grund_zins,2,FALSE),2)</f>
        <v>0</v>
      </c>
      <c r="AM393" s="565" t="s">
        <v>179</v>
      </c>
      <c r="AP393" s="166">
        <f>SUMIF($D$5:$D$319,"=sas",AP5:AP319)*HLOOKUP(AK322,Verteil_rwst,25,FALSE)+SUMIF($D$5:$D$319,"=sam",AP5:AP319)*HLOOKUP(AK322,Verteil_rwst,26,FALSE)+SUMIF($D$5:$D$319,"=sar",AP5:AP319)*HLOOKUP(AK322,Verteil_rwst,27,FALSE)+SUMIF($D$5:$D$319,"=saz",AP5:AP319)*HLOOKUP(AK322,Verteil_rwst,28,FALSE)</f>
        <v>0</v>
      </c>
      <c r="AQ393" s="166">
        <f>SUMIF($D$5:$D$319,"=sas",AQ5:AQ319)*HLOOKUP(AK322,Verteil_rwst,25,FALSE)+SUMIF($D$5:$D$319,"=sam",AQ5:AQ319)*HLOOKUP(AK322,Verteil_rwst,26,FALSE)+SUMIF($D$5:$D$319,"=sar",AQ5:AQ319)*HLOOKUP(AK322,Verteil_rwst,27,FALSE)+SUMIF($D$5:$D$319,"=saz",AQ5:AQ319)*HLOOKUP(AK322,Verteil_rwst,28,FALSE)</f>
        <v>0</v>
      </c>
      <c r="AR393" s="381"/>
      <c r="AW393" s="90">
        <f t="shared" ref="AW393" si="1498">IF(AX390&lt;&gt;0,AX393/AX390,0)</f>
        <v>0</v>
      </c>
      <c r="AX393" s="166">
        <f>ROUND((BC393+BD393/2)*HLOOKUP(AX322,Grund_zins,2,FALSE),2)</f>
        <v>0</v>
      </c>
      <c r="AZ393" s="565" t="s">
        <v>179</v>
      </c>
      <c r="BC393" s="166">
        <f>SUMIF($D$5:$D$319,"=sas",BC5:BC319)*HLOOKUP(AX322,Verteil_rwst,25,FALSE)+SUMIF($D$5:$D$319,"=sam",BC5:BC319)*HLOOKUP(AX322,Verteil_rwst,26,FALSE)+SUMIF($D$5:$D$319,"=sar",BC5:BC319)*HLOOKUP(AX322,Verteil_rwst,27,FALSE)+SUMIF($D$5:$D$319,"=saz",BC5:BC319)*HLOOKUP(AX322,Verteil_rwst,28,FALSE)</f>
        <v>0</v>
      </c>
      <c r="BD393" s="166">
        <f>SUMIF($D$5:$D$319,"=sas",BD5:BD319)*HLOOKUP(AX322,Verteil_rwst,25,FALSE)+SUMIF($D$5:$D$319,"=sam",BD5:BD319)*HLOOKUP(AX322,Verteil_rwst,26,FALSE)+SUMIF($D$5:$D$319,"=sar",BD5:BD319)*HLOOKUP(AX322,Verteil_rwst,27,FALSE)+SUMIF($D$5:$D$319,"=saz",BD5:BD319)*HLOOKUP(AX322,Verteil_rwst,28,FALSE)</f>
        <v>0</v>
      </c>
      <c r="BE393" s="381"/>
      <c r="BJ393" s="90">
        <f t="shared" ref="BJ393" si="1499">IF(BK390&lt;&gt;0,BK393/BK390,0)</f>
        <v>0</v>
      </c>
      <c r="BK393" s="166">
        <f>ROUND((BP393+BQ393/2)*HLOOKUP(BK322,Grund_zins,2,FALSE),2)</f>
        <v>0</v>
      </c>
      <c r="BM393" s="565" t="s">
        <v>179</v>
      </c>
      <c r="BP393" s="166">
        <f>SUMIF($D$5:$D$319,"=sas",BP5:BP319)*HLOOKUP(BK322,Verteil_rwst,25,FALSE)+SUMIF($D$5:$D$319,"=sam",BP5:BP319)*HLOOKUP(BK322,Verteil_rwst,26,FALSE)+SUMIF($D$5:$D$319,"=sar",BP5:BP319)*HLOOKUP(BK322,Verteil_rwst,27,FALSE)+SUMIF($D$5:$D$319,"=saz",BP5:BP319)*HLOOKUP(BK322,Verteil_rwst,28,FALSE)</f>
        <v>0</v>
      </c>
      <c r="BQ393" s="166">
        <f>SUMIF($D$5:$D$319,"=sas",BQ5:BQ319)*HLOOKUP(BK322,Verteil_rwst,25,FALSE)+SUMIF($D$5:$D$319,"=sam",BQ5:BQ319)*HLOOKUP(BK322,Verteil_rwst,26,FALSE)+SUMIF($D$5:$D$319,"=sar",BQ5:BQ319)*HLOOKUP(BK322,Verteil_rwst,27,FALSE)+SUMIF($D$5:$D$319,"=saz",BQ5:BQ319)*HLOOKUP(BK322,Verteil_rwst,28,FALSE)</f>
        <v>0</v>
      </c>
      <c r="BR393" s="381"/>
      <c r="BW393" s="90">
        <f t="shared" ref="BW393" si="1500">IF(BX390&lt;&gt;0,BX393/BX390,0)</f>
        <v>0</v>
      </c>
      <c r="BX393" s="166">
        <f>ROUND((CC393+CD393/2)*HLOOKUP(BX322,Grund_zins,2,FALSE),2)</f>
        <v>0</v>
      </c>
      <c r="BZ393" s="565" t="s">
        <v>179</v>
      </c>
      <c r="CC393" s="166">
        <f>SUMIF($D$5:$D$319,"=sas",CC5:CC319)*HLOOKUP(BX322,Verteil_rwst,25,FALSE)+SUMIF($D$5:$D$319,"=sam",CC5:CC319)*HLOOKUP(BX322,Verteil_rwst,26,FALSE)+SUMIF($D$5:$D$319,"=sar",CC5:CC319)*HLOOKUP(BX322,Verteil_rwst,27,FALSE)+SUMIF($D$5:$D$319,"=saz",CC5:CC319)*HLOOKUP(BX322,Verteil_rwst,28,FALSE)</f>
        <v>0</v>
      </c>
      <c r="CD393" s="166">
        <f>SUMIF($D$5:$D$319,"=sas",CD5:CD319)*HLOOKUP(BX322,Verteil_rwst,25,FALSE)+SUMIF($D$5:$D$319,"=sam",CD5:CD319)*HLOOKUP(BX322,Verteil_rwst,26,FALSE)+SUMIF($D$5:$D$319,"=sar",CD5:CD319)*HLOOKUP(BX322,Verteil_rwst,27,FALSE)+SUMIF($D$5:$D$319,"=saz",CD5:CD319)*HLOOKUP(BX322,Verteil_rwst,28,FALSE)</f>
        <v>0</v>
      </c>
      <c r="CE393" s="381"/>
      <c r="CJ393" s="90">
        <f t="shared" ref="CJ393" si="1501">IF(CK390&lt;&gt;0,CK393/CK390,0)</f>
        <v>0</v>
      </c>
      <c r="CK393" s="166">
        <f>ROUND((CP393+CQ393/2)*HLOOKUP(CK322,Grund_zins,2,FALSE),2)</f>
        <v>0</v>
      </c>
      <c r="CM393" s="565" t="s">
        <v>179</v>
      </c>
      <c r="CP393" s="166">
        <f>SUMIF($D$5:$D$319,"=sas",CP5:CP319)*HLOOKUP(CK322,Verteil_rwst,25,FALSE)+SUMIF($D$5:$D$319,"=sam",CP5:CP319)*HLOOKUP(CK322,Verteil_rwst,26,FALSE)+SUMIF($D$5:$D$319,"=sar",CP5:CP319)*HLOOKUP(CK322,Verteil_rwst,27,FALSE)+SUMIF($D$5:$D$319,"=saz",CP5:CP319)*HLOOKUP(CK322,Verteil_rwst,28,FALSE)</f>
        <v>0</v>
      </c>
      <c r="CQ393" s="166">
        <f>SUMIF($D$5:$D$319,"=sas",CQ5:CQ319)*HLOOKUP(CK322,Verteil_rwst,25,FALSE)+SUMIF($D$5:$D$319,"=sam",CQ5:CQ319)*HLOOKUP(CK322,Verteil_rwst,26,FALSE)+SUMIF($D$5:$D$319,"=sar",CQ5:CQ319)*HLOOKUP(CK322,Verteil_rwst,27,FALSE)+SUMIF($D$5:$D$319,"=saz",CQ5:CQ319)*HLOOKUP(CK322,Verteil_rwst,28,FALSE)</f>
        <v>0</v>
      </c>
      <c r="CR393" s="381"/>
      <c r="CW393" s="90">
        <f t="shared" ref="CW393" si="1502">IF(CX390&lt;&gt;0,CX393/CX390,0)</f>
        <v>0</v>
      </c>
      <c r="CX393" s="166">
        <f>ROUND((DC393+DD393/2)*HLOOKUP(CX322,Grund_zins,2,FALSE),2)</f>
        <v>0</v>
      </c>
      <c r="CZ393" s="565" t="s">
        <v>179</v>
      </c>
      <c r="DC393" s="166">
        <f>SUMIF($D$5:$D$319,"=sas",DC5:DC319)*HLOOKUP(CX322,Verteil_rwst,25,FALSE)+SUMIF($D$5:$D$319,"=sam",DC5:DC319)*HLOOKUP(CX322,Verteil_rwst,26,FALSE)+SUMIF($D$5:$D$319,"=sar",DC5:DC319)*HLOOKUP(CX322,Verteil_rwst,27,FALSE)+SUMIF($D$5:$D$319,"=saz",DC5:DC319)*HLOOKUP(CX322,Verteil_rwst,28,FALSE)</f>
        <v>0</v>
      </c>
      <c r="DD393" s="166">
        <f>SUMIF($D$5:$D$319,"=sas",DD5:DD319)*HLOOKUP(CX322,Verteil_rwst,25,FALSE)+SUMIF($D$5:$D$319,"=sam",DD5:DD319)*HLOOKUP(CX322,Verteil_rwst,26,FALSE)+SUMIF($D$5:$D$319,"=sar",DD5:DD319)*HLOOKUP(CX322,Verteil_rwst,27,FALSE)+SUMIF($D$5:$D$319,"=saz",DD5:DD319)*HLOOKUP(CX322,Verteil_rwst,28,FALSE)</f>
        <v>0</v>
      </c>
      <c r="DE393" s="381"/>
      <c r="DJ393" s="90">
        <f t="shared" ref="DJ393" si="1503">IF(DK390&lt;&gt;0,DK393/DK390,0)</f>
        <v>0</v>
      </c>
      <c r="DK393" s="166">
        <f>ROUND((DP393+DQ393/2)*HLOOKUP(DK322,Grund_zins,2,FALSE),2)</f>
        <v>0</v>
      </c>
      <c r="DM393" s="565" t="s">
        <v>179</v>
      </c>
      <c r="DP393" s="166">
        <f>SUMIF($D$5:$D$319,"=sas",DP5:DP319)*HLOOKUP(DK322,Verteil_rwst,25,FALSE)+SUMIF($D$5:$D$319,"=sam",DP5:DP319)*HLOOKUP(DK322,Verteil_rwst,26,FALSE)+SUMIF($D$5:$D$319,"=sar",DP5:DP319)*HLOOKUP(DK322,Verteil_rwst,27,FALSE)+SUMIF($D$5:$D$319,"=saz",DP5:DP319)*HLOOKUP(DK322,Verteil_rwst,28,FALSE)</f>
        <v>0</v>
      </c>
      <c r="DQ393" s="166">
        <f>SUMIF($D$5:$D$319,"=sas",DQ5:DQ319)*HLOOKUP(DK322,Verteil_rwst,25,FALSE)+SUMIF($D$5:$D$319,"=sam",DQ5:DQ319)*HLOOKUP(DK322,Verteil_rwst,26,FALSE)+SUMIF($D$5:$D$319,"=sar",DQ5:DQ319)*HLOOKUP(DK322,Verteil_rwst,27,FALSE)+SUMIF($D$5:$D$319,"=saz",DQ5:DQ319)*HLOOKUP(DK322,Verteil_rwst,28,FALSE)</f>
        <v>0</v>
      </c>
      <c r="DR393" s="381"/>
      <c r="DW393" s="90">
        <f t="shared" ref="DW393" si="1504">IF(DX390&lt;&gt;0,DX393/DX390,0)</f>
        <v>0</v>
      </c>
      <c r="DX393" s="166">
        <f>ROUND((EC393+ED393/2)*HLOOKUP(DX322,Grund_zins,2,FALSE),2)</f>
        <v>0</v>
      </c>
      <c r="DZ393" s="565" t="s">
        <v>179</v>
      </c>
      <c r="EC393" s="166">
        <f>SUMIF($D$5:$D$319,"=sas",EC5:EC319)*HLOOKUP(DX322,Verteil_rwst,25,FALSE)+SUMIF($D$5:$D$319,"=sam",EC5:EC319)*HLOOKUP(DX322,Verteil_rwst,26,FALSE)+SUMIF($D$5:$D$319,"=sar",EC5:EC319)*HLOOKUP(DX322,Verteil_rwst,27,FALSE)+SUMIF($D$5:$D$319,"=saz",EC5:EC319)*HLOOKUP(DX322,Verteil_rwst,28,FALSE)</f>
        <v>0</v>
      </c>
      <c r="ED393" s="166">
        <f>SUMIF($D$5:$D$319,"=sas",ED5:ED319)*HLOOKUP(DX322,Verteil_rwst,25,FALSE)+SUMIF($D$5:$D$319,"=sam",ED5:ED319)*HLOOKUP(DX322,Verteil_rwst,26,FALSE)+SUMIF($D$5:$D$319,"=sar",ED5:ED319)*HLOOKUP(DX322,Verteil_rwst,27,FALSE)+SUMIF($D$5:$D$319,"=saz",ED5:ED319)*HLOOKUP(DX322,Verteil_rwst,28,FALSE)</f>
        <v>0</v>
      </c>
    </row>
    <row r="394" spans="1:134" s="10" customFormat="1" ht="15" customHeight="1" x14ac:dyDescent="0.35">
      <c r="A394" s="564" t="s">
        <v>402</v>
      </c>
      <c r="Q394" s="225">
        <v>73</v>
      </c>
      <c r="R394" s="381"/>
      <c r="W394" s="90">
        <f t="shared" ref="W394" si="1505">SUM(W395:W397)</f>
        <v>0</v>
      </c>
      <c r="X394" s="54">
        <f>ROUND(X374+X378+X382+X386+X390,2)</f>
        <v>0</v>
      </c>
      <c r="Z394" s="564" t="s">
        <v>402</v>
      </c>
      <c r="AC394" s="166">
        <f>ROUND(AC374+AC378+AC382+AC386+AC390,2)</f>
        <v>0</v>
      </c>
      <c r="AD394" s="166">
        <f>ROUND(AD374+AD378+AD382+AD386+AD390,2)</f>
        <v>0</v>
      </c>
      <c r="AE394" s="381"/>
      <c r="AJ394" s="90">
        <f t="shared" ref="AJ394" si="1506">SUM(AJ395:AJ397)</f>
        <v>0</v>
      </c>
      <c r="AK394" s="54">
        <f>ROUND(AK374+AK378+AK382+AK386+AK390,2)</f>
        <v>0</v>
      </c>
      <c r="AM394" s="564" t="s">
        <v>402</v>
      </c>
      <c r="AP394" s="166">
        <f>ROUND(AP374+AP378+AP382+AP386+AP390,2)</f>
        <v>0</v>
      </c>
      <c r="AQ394" s="166">
        <f>ROUND(AQ374+AQ378+AQ382+AQ386+AQ390,2)</f>
        <v>0</v>
      </c>
      <c r="AR394" s="381"/>
      <c r="AW394" s="90">
        <f t="shared" ref="AW394" si="1507">SUM(AW395:AW397)</f>
        <v>0</v>
      </c>
      <c r="AX394" s="54">
        <f>ROUND(AX374+AX378+AX382+AX386+AX390,2)</f>
        <v>0</v>
      </c>
      <c r="AZ394" s="564" t="s">
        <v>402</v>
      </c>
      <c r="BC394" s="166">
        <f>ROUND(BC374+BC378+BC382+BC386+BC390,2)</f>
        <v>0</v>
      </c>
      <c r="BD394" s="166">
        <f>ROUND(BD374+BD378+BD382+BD386+BD390,2)</f>
        <v>0</v>
      </c>
      <c r="BE394" s="381"/>
      <c r="BJ394" s="90">
        <f t="shared" ref="BJ394" si="1508">SUM(BJ395:BJ397)</f>
        <v>0</v>
      </c>
      <c r="BK394" s="54">
        <f>ROUND(BK374+BK378+BK382+BK386+BK390,2)</f>
        <v>0</v>
      </c>
      <c r="BM394" s="564" t="s">
        <v>402</v>
      </c>
      <c r="BP394" s="166">
        <f>ROUND(BP374+BP378+BP382+BP386+BP390,2)</f>
        <v>0</v>
      </c>
      <c r="BQ394" s="166">
        <f>ROUND(BQ374+BQ378+BQ382+BQ386+BQ390,2)</f>
        <v>0</v>
      </c>
      <c r="BR394" s="381"/>
      <c r="BW394" s="90">
        <f t="shared" ref="BW394" si="1509">SUM(BW395:BW397)</f>
        <v>0</v>
      </c>
      <c r="BX394" s="54">
        <f>ROUND(BX374+BX378+BX382+BX386+BX390,2)</f>
        <v>0</v>
      </c>
      <c r="BZ394" s="564" t="s">
        <v>402</v>
      </c>
      <c r="CC394" s="166">
        <f>ROUND(CC374+CC378+CC382+CC386+CC390,2)</f>
        <v>0</v>
      </c>
      <c r="CD394" s="166">
        <f>ROUND(CD374+CD378+CD382+CD386+CD390,2)</f>
        <v>0</v>
      </c>
      <c r="CE394" s="381"/>
      <c r="CJ394" s="90">
        <f t="shared" ref="CJ394" si="1510">SUM(CJ395:CJ397)</f>
        <v>0</v>
      </c>
      <c r="CK394" s="54">
        <f>ROUND(CK374+CK378+CK382+CK386+CK390,2)</f>
        <v>0</v>
      </c>
      <c r="CM394" s="564" t="s">
        <v>402</v>
      </c>
      <c r="CP394" s="166">
        <f>ROUND(CP374+CP378+CP382+CP386+CP390,2)</f>
        <v>0</v>
      </c>
      <c r="CQ394" s="166">
        <f>ROUND(CQ374+CQ378+CQ382+CQ386+CQ390,2)</f>
        <v>0</v>
      </c>
      <c r="CR394" s="381"/>
      <c r="CW394" s="90">
        <f t="shared" ref="CW394" si="1511">SUM(CW395:CW397)</f>
        <v>0</v>
      </c>
      <c r="CX394" s="54">
        <f>ROUND(CX374+CX378+CX382+CX386+CX390,2)</f>
        <v>0</v>
      </c>
      <c r="CZ394" s="564" t="s">
        <v>402</v>
      </c>
      <c r="DC394" s="166">
        <f>ROUND(DC374+DC378+DC382+DC386+DC390,2)</f>
        <v>0</v>
      </c>
      <c r="DD394" s="166">
        <f>ROUND(DD374+DD378+DD382+DD386+DD390,2)</f>
        <v>0</v>
      </c>
      <c r="DE394" s="381"/>
      <c r="DJ394" s="90">
        <f t="shared" ref="DJ394" si="1512">SUM(DJ395:DJ397)</f>
        <v>0</v>
      </c>
      <c r="DK394" s="54">
        <f>ROUND(DK374+DK378+DK382+DK386+DK390,2)</f>
        <v>0</v>
      </c>
      <c r="DM394" s="564" t="s">
        <v>402</v>
      </c>
      <c r="DP394" s="166">
        <f>ROUND(DP374+DP378+DP382+DP386+DP390,2)</f>
        <v>0</v>
      </c>
      <c r="DQ394" s="166">
        <f>ROUND(DQ374+DQ378+DQ382+DQ386+DQ390,2)</f>
        <v>0</v>
      </c>
      <c r="DR394" s="381"/>
      <c r="DW394" s="90">
        <f t="shared" ref="DW394" si="1513">SUM(DW395:DW397)</f>
        <v>0</v>
      </c>
      <c r="DX394" s="54">
        <f>ROUND(DX374+DX378+DX382+DX386+DX390,2)</f>
        <v>0</v>
      </c>
      <c r="DZ394" s="564" t="s">
        <v>402</v>
      </c>
      <c r="EC394" s="166">
        <f>ROUND(EC374+EC378+EC382+EC386+EC390,2)</f>
        <v>0</v>
      </c>
      <c r="ED394" s="166">
        <f>ROUND(ED374+ED378+ED382+ED386+ED390,2)</f>
        <v>0</v>
      </c>
    </row>
    <row r="395" spans="1:134" s="10" customFormat="1" ht="15" customHeight="1" x14ac:dyDescent="0.35">
      <c r="A395" s="565" t="s">
        <v>169</v>
      </c>
      <c r="Q395" s="225">
        <v>74</v>
      </c>
      <c r="R395" s="381"/>
      <c r="W395" s="90">
        <f t="shared" ref="W395" si="1514">IF(X394&lt;&gt;0,X395/X394,0)</f>
        <v>0</v>
      </c>
      <c r="X395" s="54">
        <f t="shared" ref="X395:X397" si="1515">ROUND(X375+X379+X383+X387+X391,2)</f>
        <v>0</v>
      </c>
      <c r="Z395" s="565" t="s">
        <v>169</v>
      </c>
      <c r="AC395" s="166">
        <f t="shared" ref="AC395:AD397" si="1516">ROUND(AC375+AC379+AC383+AC387+AC391,2)</f>
        <v>0</v>
      </c>
      <c r="AD395" s="166">
        <f>ROUND(AD375+AD379+AD383+AD387+AD391,2)</f>
        <v>0</v>
      </c>
      <c r="AE395" s="381"/>
      <c r="AJ395" s="90">
        <f t="shared" ref="AJ395" si="1517">IF(AK394&lt;&gt;0,AK395/AK394,0)</f>
        <v>0</v>
      </c>
      <c r="AK395" s="54">
        <f t="shared" ref="AK395:AK397" si="1518">ROUND(AK375+AK379+AK383+AK387+AK391,2)</f>
        <v>0</v>
      </c>
      <c r="AM395" s="565" t="s">
        <v>169</v>
      </c>
      <c r="AP395" s="166">
        <f t="shared" ref="AP395" si="1519">ROUND(AP375+AP379+AP383+AP387+AP391,2)</f>
        <v>0</v>
      </c>
      <c r="AQ395" s="166">
        <f>ROUND(AQ375+AQ379+AQ383+AQ387+AQ391,2)</f>
        <v>0</v>
      </c>
      <c r="AR395" s="381"/>
      <c r="AW395" s="90">
        <f t="shared" ref="AW395" si="1520">IF(AX394&lt;&gt;0,AX395/AX394,0)</f>
        <v>0</v>
      </c>
      <c r="AX395" s="54">
        <f t="shared" ref="AX395:AX397" si="1521">ROUND(AX375+AX379+AX383+AX387+AX391,2)</f>
        <v>0</v>
      </c>
      <c r="AZ395" s="565" t="s">
        <v>169</v>
      </c>
      <c r="BC395" s="166">
        <f t="shared" ref="BC395" si="1522">ROUND(BC375+BC379+BC383+BC387+BC391,2)</f>
        <v>0</v>
      </c>
      <c r="BD395" s="166">
        <f>ROUND(BD375+BD379+BD383+BD387+BD391,2)</f>
        <v>0</v>
      </c>
      <c r="BE395" s="381"/>
      <c r="BJ395" s="90">
        <f t="shared" ref="BJ395" si="1523">IF(BK394&lt;&gt;0,BK395/BK394,0)</f>
        <v>0</v>
      </c>
      <c r="BK395" s="54">
        <f t="shared" ref="BK395:BK397" si="1524">ROUND(BK375+BK379+BK383+BK387+BK391,2)</f>
        <v>0</v>
      </c>
      <c r="BM395" s="565" t="s">
        <v>169</v>
      </c>
      <c r="BP395" s="166">
        <f t="shared" ref="BP395" si="1525">ROUND(BP375+BP379+BP383+BP387+BP391,2)</f>
        <v>0</v>
      </c>
      <c r="BQ395" s="166">
        <f>ROUND(BQ375+BQ379+BQ383+BQ387+BQ391,2)</f>
        <v>0</v>
      </c>
      <c r="BR395" s="381"/>
      <c r="BW395" s="90">
        <f t="shared" ref="BW395" si="1526">IF(BX394&lt;&gt;0,BX395/BX394,0)</f>
        <v>0</v>
      </c>
      <c r="BX395" s="54">
        <f t="shared" ref="BX395:BX397" si="1527">ROUND(BX375+BX379+BX383+BX387+BX391,2)</f>
        <v>0</v>
      </c>
      <c r="BZ395" s="565" t="s">
        <v>169</v>
      </c>
      <c r="CC395" s="166">
        <f t="shared" ref="CC395" si="1528">ROUND(CC375+CC379+CC383+CC387+CC391,2)</f>
        <v>0</v>
      </c>
      <c r="CD395" s="166">
        <f>ROUND(CD375+CD379+CD383+CD387+CD391,2)</f>
        <v>0</v>
      </c>
      <c r="CE395" s="381"/>
      <c r="CJ395" s="90">
        <f t="shared" ref="CJ395" si="1529">IF(CK394&lt;&gt;0,CK395/CK394,0)</f>
        <v>0</v>
      </c>
      <c r="CK395" s="54">
        <f t="shared" ref="CK395:CK397" si="1530">ROUND(CK375+CK379+CK383+CK387+CK391,2)</f>
        <v>0</v>
      </c>
      <c r="CM395" s="565" t="s">
        <v>169</v>
      </c>
      <c r="CP395" s="166">
        <f t="shared" ref="CP395" si="1531">ROUND(CP375+CP379+CP383+CP387+CP391,2)</f>
        <v>0</v>
      </c>
      <c r="CQ395" s="166">
        <f>ROUND(CQ375+CQ379+CQ383+CQ387+CQ391,2)</f>
        <v>0</v>
      </c>
      <c r="CR395" s="381"/>
      <c r="CW395" s="90">
        <f t="shared" ref="CW395" si="1532">IF(CX394&lt;&gt;0,CX395/CX394,0)</f>
        <v>0</v>
      </c>
      <c r="CX395" s="54">
        <f t="shared" ref="CX395:CX397" si="1533">ROUND(CX375+CX379+CX383+CX387+CX391,2)</f>
        <v>0</v>
      </c>
      <c r="CZ395" s="565" t="s">
        <v>169</v>
      </c>
      <c r="DC395" s="166">
        <f t="shared" ref="DC395" si="1534">ROUND(DC375+DC379+DC383+DC387+DC391,2)</f>
        <v>0</v>
      </c>
      <c r="DD395" s="166">
        <f>ROUND(DD375+DD379+DD383+DD387+DD391,2)</f>
        <v>0</v>
      </c>
      <c r="DE395" s="381"/>
      <c r="DJ395" s="90">
        <f t="shared" ref="DJ395" si="1535">IF(DK394&lt;&gt;0,DK395/DK394,0)</f>
        <v>0</v>
      </c>
      <c r="DK395" s="54">
        <f t="shared" ref="DK395:DK397" si="1536">ROUND(DK375+DK379+DK383+DK387+DK391,2)</f>
        <v>0</v>
      </c>
      <c r="DM395" s="565" t="s">
        <v>169</v>
      </c>
      <c r="DP395" s="166">
        <f t="shared" ref="DP395" si="1537">ROUND(DP375+DP379+DP383+DP387+DP391,2)</f>
        <v>0</v>
      </c>
      <c r="DQ395" s="166">
        <f>ROUND(DQ375+DQ379+DQ383+DQ387+DQ391,2)</f>
        <v>0</v>
      </c>
      <c r="DR395" s="381"/>
      <c r="DW395" s="90">
        <f t="shared" ref="DW395" si="1538">IF(DX394&lt;&gt;0,DX395/DX394,0)</f>
        <v>0</v>
      </c>
      <c r="DX395" s="54">
        <f t="shared" ref="DX395:DX397" si="1539">ROUND(DX375+DX379+DX383+DX387+DX391,2)</f>
        <v>0</v>
      </c>
      <c r="DZ395" s="565" t="s">
        <v>169</v>
      </c>
      <c r="EC395" s="166">
        <f t="shared" ref="EC395" si="1540">ROUND(EC375+EC379+EC383+EC387+EC391,2)</f>
        <v>0</v>
      </c>
      <c r="ED395" s="166">
        <f>ROUND(ED375+ED379+ED383+ED387+ED391,2)</f>
        <v>0</v>
      </c>
    </row>
    <row r="396" spans="1:134" s="10" customFormat="1" ht="15" customHeight="1" x14ac:dyDescent="0.35">
      <c r="A396" s="565" t="s">
        <v>396</v>
      </c>
      <c r="Q396" s="225">
        <v>75</v>
      </c>
      <c r="R396" s="381"/>
      <c r="W396" s="90">
        <f t="shared" ref="W396" si="1541">IF(X394&lt;&gt;0,X396/X394,0)</f>
        <v>0</v>
      </c>
      <c r="X396" s="54">
        <f t="shared" si="1515"/>
        <v>0</v>
      </c>
      <c r="Z396" s="565" t="s">
        <v>396</v>
      </c>
      <c r="AC396" s="166">
        <f t="shared" si="1516"/>
        <v>0</v>
      </c>
      <c r="AD396" s="166">
        <f t="shared" si="1516"/>
        <v>0</v>
      </c>
      <c r="AE396" s="381"/>
      <c r="AJ396" s="90">
        <f t="shared" ref="AJ396" si="1542">IF(AK394&lt;&gt;0,AK396/AK394,0)</f>
        <v>0</v>
      </c>
      <c r="AK396" s="54">
        <f t="shared" si="1518"/>
        <v>0</v>
      </c>
      <c r="AM396" s="565" t="s">
        <v>396</v>
      </c>
      <c r="AP396" s="166">
        <f t="shared" ref="AP396:AQ396" si="1543">ROUND(AP376+AP380+AP384+AP388+AP392,2)</f>
        <v>0</v>
      </c>
      <c r="AQ396" s="166">
        <f t="shared" si="1543"/>
        <v>0</v>
      </c>
      <c r="AR396" s="381"/>
      <c r="AW396" s="90">
        <f t="shared" ref="AW396" si="1544">IF(AX394&lt;&gt;0,AX396/AX394,0)</f>
        <v>0</v>
      </c>
      <c r="AX396" s="54">
        <f t="shared" si="1521"/>
        <v>0</v>
      </c>
      <c r="AZ396" s="565" t="s">
        <v>396</v>
      </c>
      <c r="BC396" s="166">
        <f t="shared" ref="BC396:BD396" si="1545">ROUND(BC376+BC380+BC384+BC388+BC392,2)</f>
        <v>0</v>
      </c>
      <c r="BD396" s="166">
        <f t="shared" si="1545"/>
        <v>0</v>
      </c>
      <c r="BE396" s="381"/>
      <c r="BJ396" s="90">
        <f t="shared" ref="BJ396" si="1546">IF(BK394&lt;&gt;0,BK396/BK394,0)</f>
        <v>0</v>
      </c>
      <c r="BK396" s="54">
        <f t="shared" si="1524"/>
        <v>0</v>
      </c>
      <c r="BM396" s="565" t="s">
        <v>396</v>
      </c>
      <c r="BP396" s="166">
        <f t="shared" ref="BP396:BQ396" si="1547">ROUND(BP376+BP380+BP384+BP388+BP392,2)</f>
        <v>0</v>
      </c>
      <c r="BQ396" s="166">
        <f t="shared" si="1547"/>
        <v>0</v>
      </c>
      <c r="BR396" s="381"/>
      <c r="BW396" s="90">
        <f t="shared" ref="BW396" si="1548">IF(BX394&lt;&gt;0,BX396/BX394,0)</f>
        <v>0</v>
      </c>
      <c r="BX396" s="54">
        <f t="shared" si="1527"/>
        <v>0</v>
      </c>
      <c r="BZ396" s="565" t="s">
        <v>396</v>
      </c>
      <c r="CC396" s="166">
        <f t="shared" ref="CC396:CD396" si="1549">ROUND(CC376+CC380+CC384+CC388+CC392,2)</f>
        <v>0</v>
      </c>
      <c r="CD396" s="166">
        <f t="shared" si="1549"/>
        <v>0</v>
      </c>
      <c r="CE396" s="381"/>
      <c r="CJ396" s="90">
        <f t="shared" ref="CJ396" si="1550">IF(CK394&lt;&gt;0,CK396/CK394,0)</f>
        <v>0</v>
      </c>
      <c r="CK396" s="54">
        <f t="shared" si="1530"/>
        <v>0</v>
      </c>
      <c r="CM396" s="565" t="s">
        <v>396</v>
      </c>
      <c r="CP396" s="166">
        <f t="shared" ref="CP396:CQ396" si="1551">ROUND(CP376+CP380+CP384+CP388+CP392,2)</f>
        <v>0</v>
      </c>
      <c r="CQ396" s="166">
        <f t="shared" si="1551"/>
        <v>0</v>
      </c>
      <c r="CR396" s="381"/>
      <c r="CW396" s="90">
        <f t="shared" ref="CW396" si="1552">IF(CX394&lt;&gt;0,CX396/CX394,0)</f>
        <v>0</v>
      </c>
      <c r="CX396" s="54">
        <f t="shared" si="1533"/>
        <v>0</v>
      </c>
      <c r="CZ396" s="565" t="s">
        <v>396</v>
      </c>
      <c r="DC396" s="166">
        <f t="shared" ref="DC396:DD396" si="1553">ROUND(DC376+DC380+DC384+DC388+DC392,2)</f>
        <v>0</v>
      </c>
      <c r="DD396" s="166">
        <f t="shared" si="1553"/>
        <v>0</v>
      </c>
      <c r="DE396" s="381"/>
      <c r="DJ396" s="90">
        <f t="shared" ref="DJ396" si="1554">IF(DK394&lt;&gt;0,DK396/DK394,0)</f>
        <v>0</v>
      </c>
      <c r="DK396" s="54">
        <f t="shared" si="1536"/>
        <v>0</v>
      </c>
      <c r="DM396" s="565" t="s">
        <v>396</v>
      </c>
      <c r="DP396" s="166">
        <f t="shared" ref="DP396:DQ396" si="1555">ROUND(DP376+DP380+DP384+DP388+DP392,2)</f>
        <v>0</v>
      </c>
      <c r="DQ396" s="166">
        <f t="shared" si="1555"/>
        <v>0</v>
      </c>
      <c r="DR396" s="381"/>
      <c r="DW396" s="90">
        <f t="shared" ref="DW396" si="1556">IF(DX394&lt;&gt;0,DX396/DX394,0)</f>
        <v>0</v>
      </c>
      <c r="DX396" s="54">
        <f t="shared" si="1539"/>
        <v>0</v>
      </c>
      <c r="DZ396" s="565" t="s">
        <v>396</v>
      </c>
      <c r="EC396" s="166">
        <f t="shared" ref="EC396:ED396" si="1557">ROUND(EC376+EC380+EC384+EC388+EC392,2)</f>
        <v>0</v>
      </c>
      <c r="ED396" s="166">
        <f t="shared" si="1557"/>
        <v>0</v>
      </c>
    </row>
    <row r="397" spans="1:134" s="10" customFormat="1" ht="15" customHeight="1" x14ac:dyDescent="0.35">
      <c r="A397" s="565" t="s">
        <v>397</v>
      </c>
      <c r="Q397" s="225">
        <v>76</v>
      </c>
      <c r="R397" s="381"/>
      <c r="W397" s="90">
        <f t="shared" ref="W397" si="1558">IF(X394&lt;&gt;0,X397/X394,0)</f>
        <v>0</v>
      </c>
      <c r="X397" s="54">
        <f t="shared" si="1515"/>
        <v>0</v>
      </c>
      <c r="Z397" s="565" t="s">
        <v>397</v>
      </c>
      <c r="AC397" s="166">
        <f t="shared" si="1516"/>
        <v>0</v>
      </c>
      <c r="AD397" s="166">
        <f t="shared" si="1516"/>
        <v>0</v>
      </c>
      <c r="AE397" s="381"/>
      <c r="AJ397" s="90">
        <f t="shared" ref="AJ397" si="1559">IF(AK394&lt;&gt;0,AK397/AK394,0)</f>
        <v>0</v>
      </c>
      <c r="AK397" s="54">
        <f t="shared" si="1518"/>
        <v>0</v>
      </c>
      <c r="AM397" s="565" t="s">
        <v>397</v>
      </c>
      <c r="AP397" s="166">
        <f t="shared" ref="AP397:AQ397" si="1560">ROUND(AP377+AP381+AP385+AP389+AP393,2)</f>
        <v>0</v>
      </c>
      <c r="AQ397" s="166">
        <f t="shared" si="1560"/>
        <v>0</v>
      </c>
      <c r="AR397" s="381"/>
      <c r="AW397" s="90">
        <f t="shared" ref="AW397" si="1561">IF(AX394&lt;&gt;0,AX397/AX394,0)</f>
        <v>0</v>
      </c>
      <c r="AX397" s="54">
        <f t="shared" si="1521"/>
        <v>0</v>
      </c>
      <c r="AZ397" s="565" t="s">
        <v>397</v>
      </c>
      <c r="BC397" s="166">
        <f t="shared" ref="BC397:BD397" si="1562">ROUND(BC377+BC381+BC385+BC389+BC393,2)</f>
        <v>0</v>
      </c>
      <c r="BD397" s="166">
        <f t="shared" si="1562"/>
        <v>0</v>
      </c>
      <c r="BE397" s="381"/>
      <c r="BJ397" s="90">
        <f t="shared" ref="BJ397" si="1563">IF(BK394&lt;&gt;0,BK397/BK394,0)</f>
        <v>0</v>
      </c>
      <c r="BK397" s="54">
        <f t="shared" si="1524"/>
        <v>0</v>
      </c>
      <c r="BM397" s="565" t="s">
        <v>397</v>
      </c>
      <c r="BP397" s="166">
        <f t="shared" ref="BP397:BQ397" si="1564">ROUND(BP377+BP381+BP385+BP389+BP393,2)</f>
        <v>0</v>
      </c>
      <c r="BQ397" s="166">
        <f t="shared" si="1564"/>
        <v>0</v>
      </c>
      <c r="BR397" s="381"/>
      <c r="BW397" s="90">
        <f t="shared" ref="BW397" si="1565">IF(BX394&lt;&gt;0,BX397/BX394,0)</f>
        <v>0</v>
      </c>
      <c r="BX397" s="54">
        <f t="shared" si="1527"/>
        <v>0</v>
      </c>
      <c r="BZ397" s="565" t="s">
        <v>397</v>
      </c>
      <c r="CC397" s="166">
        <f t="shared" ref="CC397:CD397" si="1566">ROUND(CC377+CC381+CC385+CC389+CC393,2)</f>
        <v>0</v>
      </c>
      <c r="CD397" s="166">
        <f t="shared" si="1566"/>
        <v>0</v>
      </c>
      <c r="CE397" s="381"/>
      <c r="CJ397" s="90">
        <f t="shared" ref="CJ397" si="1567">IF(CK394&lt;&gt;0,CK397/CK394,0)</f>
        <v>0</v>
      </c>
      <c r="CK397" s="54">
        <f t="shared" si="1530"/>
        <v>0</v>
      </c>
      <c r="CM397" s="565" t="s">
        <v>397</v>
      </c>
      <c r="CP397" s="166">
        <f t="shared" ref="CP397:CQ397" si="1568">ROUND(CP377+CP381+CP385+CP389+CP393,2)</f>
        <v>0</v>
      </c>
      <c r="CQ397" s="166">
        <f t="shared" si="1568"/>
        <v>0</v>
      </c>
      <c r="CR397" s="381"/>
      <c r="CW397" s="90">
        <f t="shared" ref="CW397" si="1569">IF(CX394&lt;&gt;0,CX397/CX394,0)</f>
        <v>0</v>
      </c>
      <c r="CX397" s="54">
        <f t="shared" si="1533"/>
        <v>0</v>
      </c>
      <c r="CZ397" s="565" t="s">
        <v>397</v>
      </c>
      <c r="DC397" s="166">
        <f t="shared" ref="DC397:DD397" si="1570">ROUND(DC377+DC381+DC385+DC389+DC393,2)</f>
        <v>0</v>
      </c>
      <c r="DD397" s="166">
        <f t="shared" si="1570"/>
        <v>0</v>
      </c>
      <c r="DE397" s="381"/>
      <c r="DJ397" s="90">
        <f t="shared" ref="DJ397" si="1571">IF(DK394&lt;&gt;0,DK397/DK394,0)</f>
        <v>0</v>
      </c>
      <c r="DK397" s="54">
        <f t="shared" si="1536"/>
        <v>0</v>
      </c>
      <c r="DM397" s="565" t="s">
        <v>397</v>
      </c>
      <c r="DP397" s="166">
        <f t="shared" ref="DP397:DQ397" si="1572">ROUND(DP377+DP381+DP385+DP389+DP393,2)</f>
        <v>0</v>
      </c>
      <c r="DQ397" s="166">
        <f t="shared" si="1572"/>
        <v>0</v>
      </c>
      <c r="DR397" s="381"/>
      <c r="DW397" s="90">
        <f t="shared" ref="DW397" si="1573">IF(DX394&lt;&gt;0,DX397/DX394,0)</f>
        <v>0</v>
      </c>
      <c r="DX397" s="54">
        <f t="shared" si="1539"/>
        <v>0</v>
      </c>
      <c r="DZ397" s="565" t="s">
        <v>397</v>
      </c>
      <c r="EC397" s="166">
        <f t="shared" ref="EC397:ED397" si="1574">ROUND(EC377+EC381+EC385+EC389+EC393,2)</f>
        <v>0</v>
      </c>
      <c r="ED397" s="166">
        <f t="shared" si="1574"/>
        <v>0</v>
      </c>
    </row>
    <row r="398" spans="1:134" s="10" customFormat="1" ht="15" customHeight="1" x14ac:dyDescent="0.45">
      <c r="A398" s="92" t="s">
        <v>871</v>
      </c>
      <c r="Q398" s="225">
        <v>77</v>
      </c>
      <c r="R398" s="381"/>
      <c r="Z398" s="79"/>
      <c r="AE398" s="381"/>
      <c r="AM398" s="79"/>
      <c r="AR398" s="381"/>
      <c r="AZ398" s="79"/>
      <c r="BE398" s="381"/>
      <c r="BM398" s="79"/>
      <c r="BR398" s="381"/>
      <c r="BZ398" s="79"/>
      <c r="CE398" s="381"/>
      <c r="CM398" s="79"/>
      <c r="CR398" s="381"/>
      <c r="CZ398" s="79"/>
      <c r="DE398" s="381"/>
      <c r="DM398" s="79"/>
      <c r="DR398" s="381"/>
      <c r="DZ398" s="79"/>
    </row>
    <row r="399" spans="1:134" s="10" customFormat="1" ht="15" customHeight="1" x14ac:dyDescent="0.45">
      <c r="A399" s="79" t="s">
        <v>403</v>
      </c>
      <c r="Q399" s="225">
        <v>78</v>
      </c>
      <c r="R399" s="609" t="s">
        <v>871</v>
      </c>
      <c r="W399" s="90">
        <f t="shared" ref="W399" si="1575">SUM(W400:W402)</f>
        <v>1</v>
      </c>
      <c r="X399" s="54">
        <f>X369+X394</f>
        <v>679355.78</v>
      </c>
      <c r="Z399" s="79" t="s">
        <v>403</v>
      </c>
      <c r="AE399" s="609" t="s">
        <v>871</v>
      </c>
      <c r="AJ399" s="90">
        <f t="shared" ref="AJ399" si="1576">SUM(AJ400:AJ402)</f>
        <v>1.0000000307884966</v>
      </c>
      <c r="AK399" s="54">
        <f>AK369+AK394</f>
        <v>649593.26</v>
      </c>
      <c r="AM399" s="79" t="s">
        <v>403</v>
      </c>
      <c r="AR399" s="609" t="s">
        <v>871</v>
      </c>
      <c r="AW399" s="90">
        <f t="shared" ref="AW399" si="1577">SUM(AW400:AW402)</f>
        <v>0.99999998386945554</v>
      </c>
      <c r="AX399" s="54">
        <f>AX369+AX394</f>
        <v>619941.88</v>
      </c>
      <c r="AZ399" s="79" t="s">
        <v>403</v>
      </c>
      <c r="BE399" s="609" t="s">
        <v>871</v>
      </c>
      <c r="BJ399" s="90">
        <f t="shared" ref="BJ399" si="1578">SUM(BJ400:BJ402)</f>
        <v>0.99999999999999978</v>
      </c>
      <c r="BK399" s="54">
        <f>BK369+BK394</f>
        <v>590428.30000000005</v>
      </c>
      <c r="BM399" s="79" t="s">
        <v>403</v>
      </c>
      <c r="BR399" s="609" t="s">
        <v>871</v>
      </c>
      <c r="BW399" s="90">
        <f t="shared" ref="BW399" si="1579">SUM(BW400:BW402)</f>
        <v>1</v>
      </c>
      <c r="BX399" s="54">
        <f>BX369+BX394</f>
        <v>561203.04</v>
      </c>
      <c r="BZ399" s="79" t="s">
        <v>403</v>
      </c>
      <c r="CE399" s="609" t="s">
        <v>871</v>
      </c>
      <c r="CJ399" s="90">
        <f t="shared" ref="CJ399" si="1580">SUM(CJ400:CJ402)</f>
        <v>1.0000000438222705</v>
      </c>
      <c r="CK399" s="54">
        <f>CK369+CK394</f>
        <v>456388.95</v>
      </c>
      <c r="CM399" s="79" t="s">
        <v>403</v>
      </c>
      <c r="CR399" s="609" t="s">
        <v>871</v>
      </c>
      <c r="CW399" s="90">
        <f t="shared" ref="CW399" si="1581">SUM(CW400:CW402)</f>
        <v>1.000000069438272</v>
      </c>
      <c r="CX399" s="54">
        <f>CX369+CX394</f>
        <v>432038.40000000002</v>
      </c>
      <c r="CZ399" s="79" t="s">
        <v>403</v>
      </c>
      <c r="DE399" s="609" t="s">
        <v>871</v>
      </c>
      <c r="DJ399" s="90">
        <f t="shared" ref="DJ399" si="1582">SUM(DJ400:DJ402)</f>
        <v>1.0000000243343639</v>
      </c>
      <c r="DK399" s="54">
        <f>DK369+DK394</f>
        <v>410941.5</v>
      </c>
      <c r="DM399" s="79" t="s">
        <v>403</v>
      </c>
      <c r="DR399" s="609" t="s">
        <v>871</v>
      </c>
      <c r="DW399" s="90">
        <f t="shared" ref="DW399" si="1583">SUM(DW400:DW402)</f>
        <v>1.0000000508516118</v>
      </c>
      <c r="DX399" s="54">
        <f>DX369+DX394</f>
        <v>393301.2</v>
      </c>
      <c r="DZ399" s="79" t="s">
        <v>403</v>
      </c>
    </row>
    <row r="400" spans="1:134" s="10" customFormat="1" ht="15" customHeight="1" x14ac:dyDescent="0.35">
      <c r="A400" s="563" t="s">
        <v>169</v>
      </c>
      <c r="Q400" s="225">
        <v>79</v>
      </c>
      <c r="R400" s="381"/>
      <c r="W400" s="90">
        <f t="shared" ref="W400" si="1584">IF(X399&lt;&gt;0,X400/X399,0)</f>
        <v>0.72532255484747621</v>
      </c>
      <c r="X400" s="54">
        <f>X370+X395</f>
        <v>492752.07</v>
      </c>
      <c r="Z400" s="563" t="s">
        <v>169</v>
      </c>
      <c r="AE400" s="381"/>
      <c r="AJ400" s="90">
        <f t="shared" ref="AJ400" si="1585">IF(AK399&lt;&gt;0,AK400/AK399,0)</f>
        <v>0.72419509094044476</v>
      </c>
      <c r="AK400" s="54">
        <f>AK370+AK395</f>
        <v>470432.25</v>
      </c>
      <c r="AM400" s="611" t="s">
        <v>169</v>
      </c>
      <c r="AR400" s="381"/>
      <c r="AW400" s="90">
        <f t="shared" ref="AW400" si="1586">IF(AX399&lt;&gt;0,AX400/AX399,0)</f>
        <v>0.72295738432770507</v>
      </c>
      <c r="AX400" s="54">
        <f>AX370+AX395</f>
        <v>448191.56</v>
      </c>
      <c r="AZ400" s="611" t="s">
        <v>169</v>
      </c>
      <c r="BE400" s="381"/>
      <c r="BJ400" s="90">
        <f t="shared" ref="BJ400" si="1587">IF(BK399&lt;&gt;0,BK400/BK399,0)</f>
        <v>0.72157176409057622</v>
      </c>
      <c r="BK400" s="54">
        <f>BK370+BK395</f>
        <v>426036.39</v>
      </c>
      <c r="BM400" s="611" t="s">
        <v>169</v>
      </c>
      <c r="BR400" s="381"/>
      <c r="BW400" s="90">
        <f t="shared" ref="BW400" si="1588">IF(BX399&lt;&gt;0,BX400/BX399,0)</f>
        <v>0.72008824114709002</v>
      </c>
      <c r="BX400" s="54">
        <f>BX370+BX395</f>
        <v>404115.71</v>
      </c>
      <c r="BZ400" s="611" t="s">
        <v>169</v>
      </c>
      <c r="CE400" s="381"/>
      <c r="CJ400" s="90">
        <f t="shared" ref="CJ400" si="1589">IF(CK399&lt;&gt;0,CK400/CK399,0)</f>
        <v>0.71855909307181953</v>
      </c>
      <c r="CK400" s="54">
        <f>CK370+CK395</f>
        <v>327942.43</v>
      </c>
      <c r="CM400" s="611" t="s">
        <v>169</v>
      </c>
      <c r="CR400" s="381"/>
      <c r="CW400" s="90">
        <f t="shared" ref="CW400" si="1590">IF(CX399&lt;&gt;0,CX400/CX399,0)</f>
        <v>0.7168866239667584</v>
      </c>
      <c r="CX400" s="54">
        <f>CX370+CX395</f>
        <v>309722.55</v>
      </c>
      <c r="CZ400" s="611" t="s">
        <v>169</v>
      </c>
      <c r="DE400" s="381"/>
      <c r="DJ400" s="90">
        <f t="shared" ref="DJ400" si="1591">IF(DK399&lt;&gt;0,DK400/DK399,0)</f>
        <v>0.71689457015171254</v>
      </c>
      <c r="DK400" s="54">
        <f>DK370+DK395</f>
        <v>294601.73</v>
      </c>
      <c r="DM400" s="611" t="s">
        <v>169</v>
      </c>
      <c r="DR400" s="381"/>
      <c r="DW400" s="90">
        <f t="shared" ref="DW400" si="1592">IF(DX399&lt;&gt;0,DX400/DX399,0)</f>
        <v>0.71898153374563811</v>
      </c>
      <c r="DX400" s="54">
        <f>DX370+DX395</f>
        <v>282776.3</v>
      </c>
      <c r="DZ400" s="611" t="s">
        <v>169</v>
      </c>
    </row>
    <row r="401" spans="1:130" s="10" customFormat="1" ht="15" customHeight="1" x14ac:dyDescent="0.35">
      <c r="A401" s="563" t="s">
        <v>170</v>
      </c>
      <c r="Q401" s="225">
        <v>80</v>
      </c>
      <c r="R401" s="381"/>
      <c r="W401" s="90">
        <f t="shared" ref="W401" si="1593">IF(X399&lt;&gt;0,X401/X399,0)</f>
        <v>0.14728067817425503</v>
      </c>
      <c r="X401" s="54">
        <f>X371+X396</f>
        <v>100055.98</v>
      </c>
      <c r="Z401" s="563" t="s">
        <v>170</v>
      </c>
      <c r="AE401" s="381"/>
      <c r="AJ401" s="90">
        <f t="shared" ref="AJ401" si="1594">IF(AK399&lt;&gt;0,AK401/AK399,0)</f>
        <v>0.14801868479977764</v>
      </c>
      <c r="AK401" s="54">
        <f>AK371+AK396</f>
        <v>96151.94</v>
      </c>
      <c r="AM401" s="611" t="s">
        <v>170</v>
      </c>
      <c r="AR401" s="381"/>
      <c r="AW401" s="90">
        <f t="shared" ref="AW401" si="1595">IF(AX399&lt;&gt;0,AX401/AX399,0)</f>
        <v>0.14882666097667091</v>
      </c>
      <c r="AX401" s="54">
        <f>AX371+AX396</f>
        <v>92263.88</v>
      </c>
      <c r="AZ401" s="611" t="s">
        <v>170</v>
      </c>
      <c r="BE401" s="381"/>
      <c r="BJ401" s="90">
        <f t="shared" ref="BJ401" si="1596">IF(BK399&lt;&gt;0,BK401/BK399,0)</f>
        <v>0.14972517408125591</v>
      </c>
      <c r="BK401" s="54">
        <f>BK371+BK396</f>
        <v>88401.98</v>
      </c>
      <c r="BM401" s="611" t="s">
        <v>170</v>
      </c>
      <c r="BR401" s="381"/>
      <c r="BW401" s="90">
        <f t="shared" ref="BW401" si="1597">IF(BX399&lt;&gt;0,BX401/BX399,0)</f>
        <v>0.15068875963323364</v>
      </c>
      <c r="BX401" s="54">
        <f>BX371+BX396</f>
        <v>84566.99</v>
      </c>
      <c r="BZ401" s="611" t="s">
        <v>170</v>
      </c>
      <c r="CE401" s="381"/>
      <c r="CJ401" s="90">
        <f t="shared" ref="CJ401" si="1598">IF(CK399&lt;&gt;0,CK401/CK399,0)</f>
        <v>0.15168973744872657</v>
      </c>
      <c r="CK401" s="54">
        <f>CK371+CK396</f>
        <v>69229.52</v>
      </c>
      <c r="CM401" s="611" t="s">
        <v>170</v>
      </c>
      <c r="CR401" s="381"/>
      <c r="CW401" s="90">
        <f t="shared" ref="CW401" si="1599">IF(CX399&lt;&gt;0,CX401/CX399,0)</f>
        <v>0.1527817666207448</v>
      </c>
      <c r="CX401" s="54">
        <f>CX371+CX396</f>
        <v>66007.59</v>
      </c>
      <c r="CZ401" s="611" t="s">
        <v>170</v>
      </c>
      <c r="DE401" s="381"/>
      <c r="DJ401" s="90">
        <f t="shared" ref="DJ401" si="1600">IF(DK399&lt;&gt;0,DK401/DK399,0)</f>
        <v>0.15297296573843236</v>
      </c>
      <c r="DK401" s="54">
        <f>DK371+DK396</f>
        <v>62862.94</v>
      </c>
      <c r="DM401" s="611" t="s">
        <v>170</v>
      </c>
      <c r="DR401" s="381"/>
      <c r="DW401" s="90">
        <f t="shared" ref="DW401" si="1601">IF(DX399&lt;&gt;0,DX401/DX399,0)</f>
        <v>0.15204354830343766</v>
      </c>
      <c r="DX401" s="54">
        <f>DX371+DX396</f>
        <v>59798.91</v>
      </c>
      <c r="DZ401" s="611" t="s">
        <v>170</v>
      </c>
    </row>
    <row r="402" spans="1:130" s="10" customFormat="1" ht="15" customHeight="1" x14ac:dyDescent="0.35">
      <c r="A402" s="563" t="s">
        <v>171</v>
      </c>
      <c r="Q402" s="225">
        <v>81</v>
      </c>
      <c r="R402" s="381"/>
      <c r="W402" s="90">
        <f t="shared" ref="W402" si="1602">IF(X399&lt;&gt;0,X402/X399,0)</f>
        <v>0.12739676697826871</v>
      </c>
      <c r="X402" s="54">
        <f>X372+X397</f>
        <v>86547.73</v>
      </c>
      <c r="Z402" s="563" t="s">
        <v>171</v>
      </c>
      <c r="AE402" s="381"/>
      <c r="AJ402" s="90">
        <f t="shared" ref="AJ402" si="1603">IF(AK399&lt;&gt;0,AK402/AK399,0)</f>
        <v>0.12778625504827434</v>
      </c>
      <c r="AK402" s="54">
        <f>AK372+AK397</f>
        <v>83009.09</v>
      </c>
      <c r="AM402" s="611" t="s">
        <v>171</v>
      </c>
      <c r="AR402" s="381"/>
      <c r="AW402" s="90">
        <f t="shared" ref="AW402" si="1604">IF(AX399&lt;&gt;0,AX402/AX399,0)</f>
        <v>0.12821593856507968</v>
      </c>
      <c r="AX402" s="54">
        <f>AX372+AX397</f>
        <v>79486.429999999993</v>
      </c>
      <c r="AZ402" s="611" t="s">
        <v>171</v>
      </c>
      <c r="BE402" s="381"/>
      <c r="BJ402" s="90">
        <f t="shared" ref="BJ402" si="1605">IF(BK399&lt;&gt;0,BK402/BK399,0)</f>
        <v>0.12870306182816776</v>
      </c>
      <c r="BK402" s="54">
        <f>BK372+BK397</f>
        <v>75989.929999999993</v>
      </c>
      <c r="BM402" s="611" t="s">
        <v>171</v>
      </c>
      <c r="BR402" s="381"/>
      <c r="BW402" s="90">
        <f t="shared" ref="BW402" si="1606">IF(BX399&lt;&gt;0,BX402/BX399,0)</f>
        <v>0.12922299921967634</v>
      </c>
      <c r="BX402" s="54">
        <f>BX372+BX397</f>
        <v>72520.34</v>
      </c>
      <c r="BZ402" s="611" t="s">
        <v>171</v>
      </c>
      <c r="CE402" s="381"/>
      <c r="CJ402" s="90">
        <f t="shared" ref="CJ402" si="1607">IF(CK399&lt;&gt;0,CK402/CK399,0)</f>
        <v>0.12975121330172432</v>
      </c>
      <c r="CK402" s="54">
        <f>CK372+CK397</f>
        <v>59217.02</v>
      </c>
      <c r="CM402" s="611" t="s">
        <v>171</v>
      </c>
      <c r="CR402" s="381"/>
      <c r="CW402" s="90">
        <f t="shared" ref="CW402" si="1608">IF(CX399&lt;&gt;0,CX402/CX399,0)</f>
        <v>0.13033167885076882</v>
      </c>
      <c r="CX402" s="54">
        <f>CX372+CX397</f>
        <v>56308.29</v>
      </c>
      <c r="CZ402" s="611" t="s">
        <v>171</v>
      </c>
      <c r="DE402" s="381"/>
      <c r="DJ402" s="90">
        <f t="shared" ref="DJ402" si="1609">IF(DK399&lt;&gt;0,DK402/DK399,0)</f>
        <v>0.13013248844421893</v>
      </c>
      <c r="DK402" s="54">
        <f>DK372+DK397</f>
        <v>53476.84</v>
      </c>
      <c r="DM402" s="611" t="s">
        <v>171</v>
      </c>
      <c r="DR402" s="381"/>
      <c r="DW402" s="90">
        <f t="shared" ref="DW402" si="1610">IF(DX399&lt;&gt;0,DX402/DX399,0)</f>
        <v>0.12897496880253606</v>
      </c>
      <c r="DX402" s="54">
        <f>DX372+DX397</f>
        <v>50726.01</v>
      </c>
      <c r="DZ402" s="611" t="s">
        <v>171</v>
      </c>
    </row>
    <row r="403" spans="1:130" s="10" customFormat="1" ht="15" customHeight="1" x14ac:dyDescent="0.45">
      <c r="A403" s="95" t="s">
        <v>428</v>
      </c>
      <c r="Q403" s="225">
        <v>82</v>
      </c>
      <c r="R403" s="608" t="s">
        <v>1078</v>
      </c>
      <c r="Z403" s="385" t="s">
        <v>890</v>
      </c>
      <c r="AE403" s="608" t="s">
        <v>1078</v>
      </c>
      <c r="AM403" s="385" t="s">
        <v>890</v>
      </c>
      <c r="AR403" s="608" t="s">
        <v>1078</v>
      </c>
      <c r="AZ403" s="385" t="s">
        <v>890</v>
      </c>
      <c r="BE403" s="608" t="s">
        <v>1078</v>
      </c>
      <c r="BM403" s="385" t="s">
        <v>890</v>
      </c>
      <c r="BR403" s="608" t="s">
        <v>1078</v>
      </c>
      <c r="BZ403" s="385" t="s">
        <v>890</v>
      </c>
      <c r="CE403" s="608" t="s">
        <v>1078</v>
      </c>
      <c r="CM403" s="385" t="s">
        <v>890</v>
      </c>
      <c r="CR403" s="608" t="s">
        <v>1078</v>
      </c>
      <c r="CZ403" s="385" t="s">
        <v>890</v>
      </c>
      <c r="DE403" s="608" t="s">
        <v>1078</v>
      </c>
      <c r="DM403" s="385" t="s">
        <v>890</v>
      </c>
      <c r="DR403" s="608" t="s">
        <v>1078</v>
      </c>
      <c r="DZ403" s="385" t="s">
        <v>890</v>
      </c>
    </row>
    <row r="404" spans="1:130" s="10" customFormat="1" ht="15" customHeight="1" x14ac:dyDescent="0.35">
      <c r="A404" s="99" t="s">
        <v>874</v>
      </c>
      <c r="Q404" s="225">
        <v>83</v>
      </c>
      <c r="R404" s="381"/>
      <c r="X404" s="166">
        <f>SUMIF(X5:X319,"&lt;&gt;0",V5:V319)</f>
        <v>31577000</v>
      </c>
      <c r="Z404" s="99" t="str">
        <f>"Anschaffungs-/Herstellungskosten, von denen im Jahr "&amp;X4 &amp;" noch abgeschrieben wird"</f>
        <v>Anschaffungs-/Herstellungskosten, von denen im Jahr 2012 noch abgeschrieben wird</v>
      </c>
      <c r="AE404" s="381"/>
      <c r="AK404" s="166">
        <f>SUMIF(AK5:AK319,"&lt;&gt;0",AI5:AI319)</f>
        <v>31528000</v>
      </c>
      <c r="AM404" s="99" t="str">
        <f>"Anschaffungs-/Herstellungskosten, von denen im Jahr "&amp;AK4 &amp;" noch abgeschrieben wird"</f>
        <v>Anschaffungs-/Herstellungskosten, von denen im Jahr 2013 noch abgeschrieben wird</v>
      </c>
      <c r="AR404" s="381"/>
      <c r="AX404" s="166">
        <f>SUMIF(AX5:AX319,"&lt;&gt;0",AV5:AV319)</f>
        <v>31498000</v>
      </c>
      <c r="AZ404" s="99" t="str">
        <f>"Anschaffungs-/Herstellungskosten, von denen im Jahr "&amp;AX4 &amp;" noch abgeschrieben wird"</f>
        <v>Anschaffungs-/Herstellungskosten, von denen im Jahr 2014 noch abgeschrieben wird</v>
      </c>
      <c r="BE404" s="381"/>
      <c r="BK404" s="166">
        <f>SUMIF(BK5:BK319,"&lt;&gt;0",BI5:BI319)</f>
        <v>31378000</v>
      </c>
      <c r="BM404" s="99" t="str">
        <f>"Anschaffungs-/Herstellungskosten, von denen im Jahr "&amp;BK4 &amp;" noch abgeschrieben wird"</f>
        <v>Anschaffungs-/Herstellungskosten, von denen im Jahr 2015 noch abgeschrieben wird</v>
      </c>
      <c r="BR404" s="381"/>
      <c r="BX404" s="166">
        <f>SUMIF(BX5:BX319,"&lt;&gt;0",BV5:BV319)</f>
        <v>31368000</v>
      </c>
      <c r="BZ404" s="99" t="str">
        <f>"Anschaffungs-/Herstellungskosten, von denen im Jahr "&amp;BX4 &amp;" noch abgeschrieben wird"</f>
        <v>Anschaffungs-/Herstellungskosten, von denen im Jahr 2016 noch abgeschrieben wird</v>
      </c>
      <c r="CE404" s="381"/>
      <c r="CK404" s="166">
        <f>SUMIF(CK5:CK319,"&lt;&gt;0",CI5:CI319)</f>
        <v>31067000</v>
      </c>
      <c r="CM404" s="99" t="str">
        <f>"Anschaffungs-/Herstellungskosten, von denen im Jahr "&amp;CK4 &amp;" noch abgeschrieben wird"</f>
        <v>Anschaffungs-/Herstellungskosten, von denen im Jahr 2017 noch abgeschrieben wird</v>
      </c>
      <c r="CR404" s="381"/>
      <c r="CX404" s="166">
        <f>SUMIF(CX5:CX319,"&lt;&gt;0",CV5:CV319)</f>
        <v>31022000</v>
      </c>
      <c r="CZ404" s="99" t="str">
        <f>"Anschaffungs-/Herstellungskosten, von denen im Jahr "&amp;CX4 &amp;" noch abgeschrieben wird"</f>
        <v>Anschaffungs-/Herstellungskosten, von denen im Jahr 2018 noch abgeschrieben wird</v>
      </c>
      <c r="DE404" s="381"/>
      <c r="DK404" s="166">
        <f>SUMIF(DK5:DK319,"&lt;&gt;0",DI5:DI319)</f>
        <v>28295000</v>
      </c>
      <c r="DM404" s="99" t="str">
        <f>"Anschaffungs-/Herstellungskosten, von denen im Jahr "&amp;DK4 &amp;" noch abgeschrieben wird"</f>
        <v>Anschaffungs-/Herstellungskosten, von denen im Jahr 2019 noch abgeschrieben wird</v>
      </c>
      <c r="DR404" s="381"/>
      <c r="DX404" s="166">
        <f>SUMIF(DX5:DX319,"&lt;&gt;0",DV5:DV319)</f>
        <v>27385000</v>
      </c>
      <c r="DZ404" s="99" t="str">
        <f>"Anschaffungs-/Herstellungskosten, von denen im Jahr "&amp;DX4 &amp;" noch abgeschrieben wird"</f>
        <v>Anschaffungs-/Herstellungskosten, von denen im Jahr 2020 noch abgeschrieben wird</v>
      </c>
    </row>
    <row r="405" spans="1:130" s="10" customFormat="1" ht="15" customHeight="1" x14ac:dyDescent="0.35">
      <c r="A405" s="99" t="s">
        <v>873</v>
      </c>
      <c r="Q405" s="225">
        <v>84</v>
      </c>
      <c r="R405" s="381"/>
      <c r="X405" s="166">
        <f>X404-X406</f>
        <v>24500</v>
      </c>
      <c r="Z405" s="99" t="str">
        <f>" - Anteilige Kürzung, soweit im Jahr "&amp;X4 &amp;" nicht der volle Jahresbetrag abgeschrieben wird "</f>
        <v xml:space="preserve"> - Anteilige Kürzung, soweit im Jahr 2012 nicht der volle Jahresbetrag abgeschrieben wird </v>
      </c>
      <c r="AE405" s="381"/>
      <c r="AK405" s="166">
        <f>AK404-AK406</f>
        <v>15000</v>
      </c>
      <c r="AM405" s="99" t="str">
        <f>" - Anteilige Kürzung, soweit im Jahr "&amp;AK4 &amp;" nicht der volle Jahresbetrag abgeschrieben wird "</f>
        <v xml:space="preserve"> - Anteilige Kürzung, soweit im Jahr 2013 nicht der volle Jahresbetrag abgeschrieben wird </v>
      </c>
      <c r="AR405" s="381"/>
      <c r="AX405" s="166">
        <f>AX404-AX406</f>
        <v>60000</v>
      </c>
      <c r="AZ405" s="99" t="str">
        <f>" - Anteilige Kürzung, soweit im Jahr "&amp;AX4 &amp;" nicht der volle Jahresbetrag abgeschrieben wird "</f>
        <v xml:space="preserve"> - Anteilige Kürzung, soweit im Jahr 2014 nicht der volle Jahresbetrag abgeschrieben wird </v>
      </c>
      <c r="BE405" s="381"/>
      <c r="BK405" s="166">
        <f>BK404-BK406</f>
        <v>5000</v>
      </c>
      <c r="BM405" s="99" t="str">
        <f>" - Anteilige Kürzung, soweit im Jahr "&amp;BK4 &amp;" nicht der volle Jahresbetrag abgeschrieben wird "</f>
        <v xml:space="preserve"> - Anteilige Kürzung, soweit im Jahr 2015 nicht der volle Jahresbetrag abgeschrieben wird </v>
      </c>
      <c r="BR405" s="381"/>
      <c r="BX405" s="166">
        <f>BX404-BX406</f>
        <v>150500</v>
      </c>
      <c r="BZ405" s="99" t="str">
        <f>" - Anteilige Kürzung, soweit im Jahr "&amp;BX4 &amp;" nicht der volle Jahresbetrag abgeschrieben wird "</f>
        <v xml:space="preserve"> - Anteilige Kürzung, soweit im Jahr 2016 nicht der volle Jahresbetrag abgeschrieben wird </v>
      </c>
      <c r="CE405" s="381"/>
      <c r="CK405" s="166">
        <f>CK404-CK406</f>
        <v>22500</v>
      </c>
      <c r="CM405" s="99" t="str">
        <f>" - Anteilige Kürzung, soweit im Jahr "&amp;CK4 &amp;" nicht der volle Jahresbetrag abgeschrieben wird "</f>
        <v xml:space="preserve"> - Anteilige Kürzung, soweit im Jahr 2017 nicht der volle Jahresbetrag abgeschrieben wird </v>
      </c>
      <c r="CR405" s="381"/>
      <c r="CX405" s="166">
        <f>CX404-CX406</f>
        <v>79000.009999997914</v>
      </c>
      <c r="CZ405" s="99" t="str">
        <f>" - Anteilige Kürzung, soweit im Jahr "&amp;CX4 &amp;" nicht der volle Jahresbetrag abgeschrieben wird "</f>
        <v xml:space="preserve"> - Anteilige Kürzung, soweit im Jahr 2018 nicht der volle Jahresbetrag abgeschrieben wird </v>
      </c>
      <c r="DE405" s="381"/>
      <c r="DK405" s="166">
        <f>DK404-DK406</f>
        <v>455000</v>
      </c>
      <c r="DM405" s="99" t="str">
        <f>" - Anteilige Kürzung, soweit im Jahr "&amp;DK4 &amp;" nicht der volle Jahresbetrag abgeschrieben wird "</f>
        <v xml:space="preserve"> - Anteilige Kürzung, soweit im Jahr 2019 nicht der volle Jahresbetrag abgeschrieben wird </v>
      </c>
      <c r="DR405" s="381"/>
      <c r="DX405" s="166">
        <f>DX404-DX406</f>
        <v>0</v>
      </c>
      <c r="DZ405" s="99" t="str">
        <f>" - Anteilige Kürzung, soweit im Jahr "&amp;DX4 &amp;" nicht der volle Jahresbetrag abgeschrieben wird "</f>
        <v xml:space="preserve"> - Anteilige Kürzung, soweit im Jahr 2020 nicht der volle Jahresbetrag abgeschrieben wird </v>
      </c>
    </row>
    <row r="406" spans="1:130" s="10" customFormat="1" ht="15" customHeight="1" x14ac:dyDescent="0.35">
      <c r="A406" s="99" t="s">
        <v>872</v>
      </c>
      <c r="Q406" s="225">
        <v>85</v>
      </c>
      <c r="R406" s="381"/>
      <c r="X406" s="166">
        <f>W320</f>
        <v>31552500</v>
      </c>
      <c r="Z406" s="99" t="str">
        <f>"Maßgebliche Anschaffungs-/Herstellungskosten zur Berechnung des gewichteten Abschreibungssatzes im Jahr "&amp;X4</f>
        <v>Maßgebliche Anschaffungs-/Herstellungskosten zur Berechnung des gewichteten Abschreibungssatzes im Jahr 2012</v>
      </c>
      <c r="AE406" s="381"/>
      <c r="AK406" s="166">
        <f>AJ320</f>
        <v>31513000</v>
      </c>
      <c r="AM406" s="99" t="str">
        <f>"Maßgebliche Anschaffungs-/Herstellungskosten zur Berechnung des gewichteten Abschreibungssatzes im Jahr "&amp;AK4</f>
        <v>Maßgebliche Anschaffungs-/Herstellungskosten zur Berechnung des gewichteten Abschreibungssatzes im Jahr 2013</v>
      </c>
      <c r="AR406" s="381"/>
      <c r="AX406" s="166">
        <f>AW320</f>
        <v>31438000</v>
      </c>
      <c r="AZ406" s="99" t="str">
        <f>"Maßgebliche Anschaffungs-/Herstellungskosten zur Berechnung des gewichteten Abschreibungssatzes im Jahr "&amp;AX4</f>
        <v>Maßgebliche Anschaffungs-/Herstellungskosten zur Berechnung des gewichteten Abschreibungssatzes im Jahr 2014</v>
      </c>
      <c r="BE406" s="381"/>
      <c r="BK406" s="166">
        <f>BJ320</f>
        <v>31373000</v>
      </c>
      <c r="BM406" s="99" t="str">
        <f>"Maßgebliche Anschaffungs-/Herstellungskosten zur Berechnung des gewichteten Abschreibungssatzes im Jahr "&amp;BK4</f>
        <v>Maßgebliche Anschaffungs-/Herstellungskosten zur Berechnung des gewichteten Abschreibungssatzes im Jahr 2015</v>
      </c>
      <c r="BR406" s="381"/>
      <c r="BX406" s="166">
        <f>BW320</f>
        <v>31217500</v>
      </c>
      <c r="BZ406" s="99" t="str">
        <f>"Maßgebliche Anschaffungs-/Herstellungskosten zur Berechnung des gewichteten Abschreibungssatzes im Jahr "&amp;BX4</f>
        <v>Maßgebliche Anschaffungs-/Herstellungskosten zur Berechnung des gewichteten Abschreibungssatzes im Jahr 2016</v>
      </c>
      <c r="CE406" s="381"/>
      <c r="CK406" s="166">
        <f>CJ320</f>
        <v>31044500</v>
      </c>
      <c r="CM406" s="99" t="str">
        <f>"Maßgebliche Anschaffungs-/Herstellungskosten zur Berechnung des gewichteten Abschreibungssatzes im Jahr "&amp;CK4</f>
        <v>Maßgebliche Anschaffungs-/Herstellungskosten zur Berechnung des gewichteten Abschreibungssatzes im Jahr 2017</v>
      </c>
      <c r="CR406" s="381"/>
      <c r="CX406" s="166">
        <f>CW320</f>
        <v>30942999.990000002</v>
      </c>
      <c r="CZ406" s="99" t="str">
        <f>"Maßgebliche Anschaffungs-/Herstellungskosten zur Berechnung des gewichteten Abschreibungssatzes im Jahr "&amp;CX4</f>
        <v>Maßgebliche Anschaffungs-/Herstellungskosten zur Berechnung des gewichteten Abschreibungssatzes im Jahr 2018</v>
      </c>
      <c r="DE406" s="381"/>
      <c r="DK406" s="166">
        <f>DJ320</f>
        <v>27840000</v>
      </c>
      <c r="DM406" s="99" t="str">
        <f>"Maßgebliche Anschaffungs-/Herstellungskosten zur Berechnung des gewichteten Abschreibungssatzes im Jahr "&amp;DK4</f>
        <v>Maßgebliche Anschaffungs-/Herstellungskosten zur Berechnung des gewichteten Abschreibungssatzes im Jahr 2019</v>
      </c>
      <c r="DR406" s="381"/>
      <c r="DX406" s="166">
        <f>DW320</f>
        <v>27385000</v>
      </c>
      <c r="DZ406" s="99" t="str">
        <f>"Maßgebliche Anschaffungs-/Herstellungskosten zur Berechnung des gewichteten Abschreibungssatzes im Jahr "&amp;DX4</f>
        <v>Maßgebliche Anschaffungs-/Herstellungskosten zur Berechnung des gewichteten Abschreibungssatzes im Jahr 2020</v>
      </c>
    </row>
    <row r="407" spans="1:130" s="10" customFormat="1" ht="15" customHeight="1" x14ac:dyDescent="0.35">
      <c r="A407" s="99" t="str">
        <f>"Summe der Abschreibungen im Jahr "&amp;F4</f>
        <v xml:space="preserve">Summe der Abschreibungen im Jahr </v>
      </c>
      <c r="Q407" s="225">
        <v>86</v>
      </c>
      <c r="R407" s="381"/>
      <c r="X407" s="166">
        <f>X320</f>
        <v>851470</v>
      </c>
      <c r="Z407" s="99" t="str">
        <f>"Summe der Abschreibungen im Jahr "&amp;X$4</f>
        <v>Summe der Abschreibungen im Jahr 2012</v>
      </c>
      <c r="AE407" s="381"/>
      <c r="AK407" s="166">
        <f>AK320</f>
        <v>849245</v>
      </c>
      <c r="AM407" s="99" t="str">
        <f>"Summe der Abschreibungen im Jahr "&amp;AK$4</f>
        <v>Summe der Abschreibungen im Jahr 2013</v>
      </c>
      <c r="AR407" s="381"/>
      <c r="AX407" s="166">
        <f>AX320</f>
        <v>845120</v>
      </c>
      <c r="AZ407" s="99" t="str">
        <f>"Summe der Abschreibungen im Jahr "&amp;AX$4</f>
        <v>Summe der Abschreibungen im Jahr 2014</v>
      </c>
      <c r="BE407" s="381"/>
      <c r="BK407" s="166">
        <f>BK320</f>
        <v>841370</v>
      </c>
      <c r="BM407" s="99" t="str">
        <f>"Summe der Abschreibungen im Jahr "&amp;BK$4</f>
        <v>Summe der Abschreibungen im Jahr 2015</v>
      </c>
      <c r="BR407" s="381"/>
      <c r="BX407" s="166">
        <f>BX320</f>
        <v>828645</v>
      </c>
      <c r="BZ407" s="99" t="str">
        <f>"Summe der Abschreibungen im Jahr "&amp;BX$4</f>
        <v>Summe der Abschreibungen im Jahr 2016</v>
      </c>
      <c r="CE407" s="381"/>
      <c r="CK407" s="166">
        <f>CK320</f>
        <v>814170</v>
      </c>
      <c r="CM407" s="99" t="str">
        <f>"Summe der Abschreibungen im Jahr "&amp;CK$4</f>
        <v>Summe der Abschreibungen im Jahr 2017</v>
      </c>
      <c r="CR407" s="381"/>
      <c r="CX407" s="166">
        <f>CX320</f>
        <v>809200</v>
      </c>
      <c r="CZ407" s="99" t="str">
        <f>"Summe der Abschreibungen im Jahr "&amp;CX$4</f>
        <v>Summe der Abschreibungen im Jahr 2018</v>
      </c>
      <c r="DE407" s="381"/>
      <c r="DK407" s="166">
        <f>DK320</f>
        <v>597260</v>
      </c>
      <c r="DM407" s="99" t="str">
        <f>"Summe der Abschreibungen im Jahr "&amp;DK$4</f>
        <v>Summe der Abschreibungen im Jahr 2019</v>
      </c>
      <c r="DR407" s="381"/>
      <c r="DX407" s="166">
        <f>DX320</f>
        <v>578760</v>
      </c>
      <c r="DZ407" s="99" t="str">
        <f>"Summe der Abschreibungen im Jahr "&amp;DX$4</f>
        <v>Summe der Abschreibungen im Jahr 2020</v>
      </c>
    </row>
    <row r="408" spans="1:130" s="10" customFormat="1" ht="15" customHeight="1" x14ac:dyDescent="0.35">
      <c r="A408" s="99" t="s">
        <v>875</v>
      </c>
      <c r="Q408" s="225">
        <v>87</v>
      </c>
      <c r="R408" s="381"/>
      <c r="X408" s="94">
        <f>IF(X406&lt;&gt;0,ROUND(X407/X406,4),0)</f>
        <v>2.7E-2</v>
      </c>
      <c r="Z408" s="99" t="str">
        <f>"Durchschnittlicher Abschreibungssatz im Jahr "&amp;X4</f>
        <v>Durchschnittlicher Abschreibungssatz im Jahr 2012</v>
      </c>
      <c r="AE408" s="381"/>
      <c r="AK408" s="94">
        <f>IF(AK406&lt;&gt;0,ROUND(AK407/AK406,4),0)</f>
        <v>2.69E-2</v>
      </c>
      <c r="AM408" s="99" t="str">
        <f>"Durchschnittlicher Abschreibungssatz im Jahr "&amp;AK4</f>
        <v>Durchschnittlicher Abschreibungssatz im Jahr 2013</v>
      </c>
      <c r="AR408" s="381"/>
      <c r="AX408" s="94">
        <f>IF(AX406&lt;&gt;0,ROUND(AX407/AX406,4),0)</f>
        <v>2.69E-2</v>
      </c>
      <c r="AZ408" s="99" t="str">
        <f>"Durchschnittlicher Abschreibungssatz im Jahr "&amp;AX4</f>
        <v>Durchschnittlicher Abschreibungssatz im Jahr 2014</v>
      </c>
      <c r="BE408" s="381"/>
      <c r="BK408" s="94">
        <f>IF(BK406&lt;&gt;0,ROUND(BK407/BK406,4),0)</f>
        <v>2.6800000000000001E-2</v>
      </c>
      <c r="BM408" s="99" t="str">
        <f>"Durchschnittlicher Abschreibungssatz im Jahr "&amp;BK4</f>
        <v>Durchschnittlicher Abschreibungssatz im Jahr 2015</v>
      </c>
      <c r="BR408" s="381"/>
      <c r="BX408" s="94">
        <f>IF(BX406&lt;&gt;0,ROUND(BX407/BX406,4),0)</f>
        <v>2.6499999999999999E-2</v>
      </c>
      <c r="BZ408" s="99" t="str">
        <f>"Durchschnittlicher Abschreibungssatz im Jahr "&amp;BX4</f>
        <v>Durchschnittlicher Abschreibungssatz im Jahr 2016</v>
      </c>
      <c r="CE408" s="381"/>
      <c r="CK408" s="94">
        <f>IF(CK406&lt;&gt;0,ROUND(CK407/CK406,4),0)</f>
        <v>2.6200000000000001E-2</v>
      </c>
      <c r="CM408" s="99" t="str">
        <f>"Durchschnittlicher Abschreibungssatz im Jahr "&amp;CK4</f>
        <v>Durchschnittlicher Abschreibungssatz im Jahr 2017</v>
      </c>
      <c r="CR408" s="381"/>
      <c r="CX408" s="94">
        <f>IF(CX406&lt;&gt;0,ROUND(CX407/CX406,4),0)</f>
        <v>2.6200000000000001E-2</v>
      </c>
      <c r="CZ408" s="99" t="str">
        <f>"Durchschnittlicher Abschreibungssatz im Jahr "&amp;CX4</f>
        <v>Durchschnittlicher Abschreibungssatz im Jahr 2018</v>
      </c>
      <c r="DE408" s="381"/>
      <c r="DK408" s="94">
        <f>IF(DK406&lt;&gt;0,ROUND(DK407/DK406,4),0)</f>
        <v>2.1499999999999998E-2</v>
      </c>
      <c r="DM408" s="99" t="str">
        <f>"Durchschnittlicher Abschreibungssatz im Jahr "&amp;DK4</f>
        <v>Durchschnittlicher Abschreibungssatz im Jahr 2019</v>
      </c>
      <c r="DR408" s="381"/>
      <c r="DX408" s="94">
        <f>IF(DX406&lt;&gt;0,ROUND(DX407/DX406,4),0)</f>
        <v>2.1100000000000001E-2</v>
      </c>
      <c r="DZ408" s="99" t="str">
        <f>"Durchschnittlicher Abschreibungssatz im Jahr "&amp;DX4</f>
        <v>Durchschnittlicher Abschreibungssatz im Jahr 2020</v>
      </c>
    </row>
    <row r="409" spans="1:130" s="10" customFormat="1" ht="15" customHeight="1" x14ac:dyDescent="0.45">
      <c r="A409" s="396" t="s">
        <v>903</v>
      </c>
      <c r="Q409" s="225">
        <v>88</v>
      </c>
      <c r="R409" s="382" t="s">
        <v>891</v>
      </c>
      <c r="W409" s="567"/>
      <c r="X409" s="166"/>
      <c r="Z409" s="380" t="s">
        <v>903</v>
      </c>
      <c r="AE409" s="382" t="s">
        <v>891</v>
      </c>
      <c r="AJ409" s="567"/>
      <c r="AK409" s="166"/>
      <c r="AM409" s="380" t="s">
        <v>903</v>
      </c>
      <c r="AR409" s="382" t="s">
        <v>891</v>
      </c>
      <c r="AW409" s="567"/>
      <c r="AX409" s="166"/>
      <c r="AZ409" s="380" t="s">
        <v>903</v>
      </c>
      <c r="BE409" s="382" t="s">
        <v>891</v>
      </c>
      <c r="BJ409" s="567"/>
      <c r="BK409" s="166"/>
      <c r="BM409" s="380" t="s">
        <v>903</v>
      </c>
      <c r="BR409" s="382" t="s">
        <v>891</v>
      </c>
      <c r="BW409" s="567"/>
      <c r="BX409" s="166"/>
      <c r="BZ409" s="380" t="s">
        <v>903</v>
      </c>
      <c r="CE409" s="382" t="s">
        <v>891</v>
      </c>
      <c r="CJ409" s="567"/>
      <c r="CK409" s="166"/>
      <c r="CM409" s="380" t="s">
        <v>903</v>
      </c>
      <c r="CR409" s="382" t="s">
        <v>891</v>
      </c>
      <c r="CW409" s="567"/>
      <c r="CX409" s="166"/>
      <c r="CZ409" s="380" t="s">
        <v>903</v>
      </c>
      <c r="DE409" s="382" t="s">
        <v>891</v>
      </c>
      <c r="DJ409" s="567"/>
      <c r="DK409" s="166"/>
      <c r="DM409" s="380" t="s">
        <v>903</v>
      </c>
      <c r="DR409" s="382" t="s">
        <v>891</v>
      </c>
      <c r="DW409" s="567"/>
      <c r="DX409" s="166"/>
      <c r="DZ409" s="380" t="s">
        <v>903</v>
      </c>
    </row>
    <row r="410" spans="1:130" s="10" customFormat="1" ht="15" customHeight="1" x14ac:dyDescent="0.35">
      <c r="A410" s="93" t="s">
        <v>922</v>
      </c>
      <c r="Q410" s="225">
        <v>89</v>
      </c>
      <c r="R410" s="381"/>
      <c r="W410" s="567" t="s">
        <v>887</v>
      </c>
      <c r="X410" s="166">
        <f>V320</f>
        <v>35917300</v>
      </c>
      <c r="Z410" s="93" t="str">
        <f>"Gesamtherstellungskosten bis Ende des Jahres  "&amp;X4</f>
        <v>Gesamtherstellungskosten bis Ende des Jahres  2012</v>
      </c>
      <c r="AE410" s="381"/>
      <c r="AJ410" s="567" t="s">
        <v>887</v>
      </c>
      <c r="AK410" s="166">
        <f>AI320</f>
        <v>35917300</v>
      </c>
      <c r="AM410" s="93" t="str">
        <f>"Gesamtherstellungskosten bis Ende des Jahres  "&amp;AK4</f>
        <v>Gesamtherstellungskosten bis Ende des Jahres  2013</v>
      </c>
      <c r="AR410" s="381"/>
      <c r="AW410" s="567" t="s">
        <v>887</v>
      </c>
      <c r="AX410" s="166">
        <f>AV320</f>
        <v>35917300</v>
      </c>
      <c r="AZ410" s="93" t="str">
        <f>"Gesamtherstellungskosten bis Ende des Jahres  "&amp;AX4</f>
        <v>Gesamtherstellungskosten bis Ende des Jahres  2014</v>
      </c>
      <c r="BE410" s="381"/>
      <c r="BJ410" s="567" t="s">
        <v>887</v>
      </c>
      <c r="BK410" s="166">
        <f>BI320</f>
        <v>35917300</v>
      </c>
      <c r="BM410" s="93" t="str">
        <f>"Gesamtherstellungskosten bis Ende des Jahres  "&amp;BK4</f>
        <v>Gesamtherstellungskosten bis Ende des Jahres  2015</v>
      </c>
      <c r="BR410" s="381"/>
      <c r="BW410" s="567" t="s">
        <v>887</v>
      </c>
      <c r="BX410" s="166">
        <f>BV320</f>
        <v>35917300</v>
      </c>
      <c r="BZ410" s="93" t="str">
        <f>"Gesamtherstellungskosten bis Ende des Jahres  "&amp;BX4</f>
        <v>Gesamtherstellungskosten bis Ende des Jahres  2016</v>
      </c>
      <c r="CE410" s="381"/>
      <c r="CJ410" s="567" t="s">
        <v>887</v>
      </c>
      <c r="CK410" s="166">
        <f>CI320</f>
        <v>35917300</v>
      </c>
      <c r="CM410" s="93" t="str">
        <f>"Gesamtherstellungskosten bis Ende des Jahres  "&amp;CK4</f>
        <v>Gesamtherstellungskosten bis Ende des Jahres  2017</v>
      </c>
      <c r="CR410" s="381"/>
      <c r="CW410" s="567" t="s">
        <v>887</v>
      </c>
      <c r="CX410" s="166">
        <f>CV320</f>
        <v>35917300</v>
      </c>
      <c r="CZ410" s="93" t="str">
        <f>"Gesamtherstellungskosten bis Ende des Jahres  "&amp;CX4</f>
        <v>Gesamtherstellungskosten bis Ende des Jahres  2018</v>
      </c>
      <c r="DE410" s="381"/>
      <c r="DJ410" s="567" t="s">
        <v>887</v>
      </c>
      <c r="DK410" s="166">
        <f>DI320</f>
        <v>35917300</v>
      </c>
      <c r="DM410" s="93" t="str">
        <f>"Gesamtherstellungskosten bis Ende des Jahres  "&amp;DK4</f>
        <v>Gesamtherstellungskosten bis Ende des Jahres  2019</v>
      </c>
      <c r="DR410" s="381"/>
      <c r="DW410" s="567" t="s">
        <v>887</v>
      </c>
      <c r="DX410" s="166">
        <f>DV320</f>
        <v>35917300</v>
      </c>
      <c r="DZ410" s="93" t="str">
        <f>"Gesamtherstellungskosten bis Ende des Jahres  "&amp;DX4</f>
        <v>Gesamtherstellungskosten bis Ende des Jahres  2020</v>
      </c>
    </row>
    <row r="411" spans="1:130" s="10" customFormat="1" ht="15" customHeight="1" x14ac:dyDescent="0.35">
      <c r="A411" s="93" t="s">
        <v>884</v>
      </c>
      <c r="Q411" s="225">
        <v>90</v>
      </c>
      <c r="R411" s="381"/>
      <c r="W411" s="166">
        <f>X410-X411</f>
        <v>0</v>
      </c>
      <c r="X411" s="166">
        <f>V344</f>
        <v>35917300</v>
      </c>
      <c r="Z411" s="93" t="s">
        <v>884</v>
      </c>
      <c r="AE411" s="381"/>
      <c r="AJ411" s="166">
        <f>AK410-AK411</f>
        <v>0</v>
      </c>
      <c r="AK411" s="166">
        <f>AI344</f>
        <v>35917300</v>
      </c>
      <c r="AM411" s="93" t="s">
        <v>884</v>
      </c>
      <c r="AR411" s="381"/>
      <c r="AW411" s="166">
        <f>AX410-AX411</f>
        <v>0</v>
      </c>
      <c r="AX411" s="166">
        <f>AV344</f>
        <v>35917300</v>
      </c>
      <c r="AZ411" s="93" t="s">
        <v>884</v>
      </c>
      <c r="BE411" s="381"/>
      <c r="BJ411" s="166">
        <f>BK410-BK411</f>
        <v>0</v>
      </c>
      <c r="BK411" s="166">
        <f>BI344</f>
        <v>35917300</v>
      </c>
      <c r="BM411" s="93" t="s">
        <v>884</v>
      </c>
      <c r="BR411" s="381"/>
      <c r="BW411" s="166">
        <f>BX410-BX411</f>
        <v>0</v>
      </c>
      <c r="BX411" s="166">
        <f>BV344</f>
        <v>35917300</v>
      </c>
      <c r="BZ411" s="93" t="s">
        <v>884</v>
      </c>
      <c r="CE411" s="381"/>
      <c r="CJ411" s="166">
        <f>CK410-CK411</f>
        <v>0</v>
      </c>
      <c r="CK411" s="166">
        <f>CI344</f>
        <v>35917300</v>
      </c>
      <c r="CM411" s="93" t="s">
        <v>884</v>
      </c>
      <c r="CR411" s="381"/>
      <c r="CW411" s="166">
        <f>CX410-CX411</f>
        <v>0</v>
      </c>
      <c r="CX411" s="166">
        <f>CV344</f>
        <v>35917300</v>
      </c>
      <c r="CZ411" s="93" t="s">
        <v>884</v>
      </c>
      <c r="DE411" s="381"/>
      <c r="DJ411" s="166">
        <f>DK410-DK411</f>
        <v>0</v>
      </c>
      <c r="DK411" s="166">
        <f>DI344</f>
        <v>35917300</v>
      </c>
      <c r="DM411" s="93" t="s">
        <v>884</v>
      </c>
      <c r="DR411" s="381"/>
      <c r="DW411" s="166">
        <f>DX410-DX411</f>
        <v>0</v>
      </c>
      <c r="DX411" s="166">
        <f>DV344</f>
        <v>35917300</v>
      </c>
      <c r="DZ411" s="93" t="s">
        <v>884</v>
      </c>
    </row>
    <row r="412" spans="1:130" s="10" customFormat="1" ht="15" customHeight="1" x14ac:dyDescent="0.35">
      <c r="A412" s="93" t="s">
        <v>885</v>
      </c>
      <c r="Q412" s="225">
        <v>91</v>
      </c>
      <c r="R412" s="381"/>
      <c r="W412" s="166"/>
      <c r="X412" s="166">
        <f>X320</f>
        <v>851470</v>
      </c>
      <c r="Z412" s="93" t="s">
        <v>885</v>
      </c>
      <c r="AE412" s="381"/>
      <c r="AJ412" s="166"/>
      <c r="AK412" s="166">
        <f>AK320</f>
        <v>849245</v>
      </c>
      <c r="AM412" s="93" t="s">
        <v>885</v>
      </c>
      <c r="AR412" s="381"/>
      <c r="AW412" s="166"/>
      <c r="AX412" s="166">
        <f>AX320</f>
        <v>845120</v>
      </c>
      <c r="AZ412" s="93" t="s">
        <v>885</v>
      </c>
      <c r="BE412" s="381"/>
      <c r="BJ412" s="166"/>
      <c r="BK412" s="166">
        <f>BK320</f>
        <v>841370</v>
      </c>
      <c r="BM412" s="93" t="s">
        <v>885</v>
      </c>
      <c r="BR412" s="381"/>
      <c r="BW412" s="166"/>
      <c r="BX412" s="166">
        <f>BX320</f>
        <v>828645</v>
      </c>
      <c r="BZ412" s="93" t="s">
        <v>885</v>
      </c>
      <c r="CE412" s="381"/>
      <c r="CJ412" s="166"/>
      <c r="CK412" s="166">
        <f>CK320</f>
        <v>814170</v>
      </c>
      <c r="CM412" s="93" t="s">
        <v>885</v>
      </c>
      <c r="CR412" s="381"/>
      <c r="CW412" s="166"/>
      <c r="CX412" s="166">
        <f>CX320</f>
        <v>809200</v>
      </c>
      <c r="CZ412" s="93" t="s">
        <v>885</v>
      </c>
      <c r="DE412" s="381"/>
      <c r="DJ412" s="166"/>
      <c r="DK412" s="166">
        <f>DK320</f>
        <v>597260</v>
      </c>
      <c r="DM412" s="93" t="s">
        <v>885</v>
      </c>
      <c r="DR412" s="381"/>
      <c r="DW412" s="166"/>
      <c r="DX412" s="166">
        <f>DX320</f>
        <v>578760</v>
      </c>
      <c r="DZ412" s="93" t="s">
        <v>885</v>
      </c>
    </row>
    <row r="413" spans="1:130" s="10" customFormat="1" ht="15" customHeight="1" x14ac:dyDescent="0.35">
      <c r="A413" s="93" t="s">
        <v>886</v>
      </c>
      <c r="Q413" s="225">
        <v>92</v>
      </c>
      <c r="R413" s="381"/>
      <c r="W413" s="166">
        <f>X412-X413</f>
        <v>0</v>
      </c>
      <c r="X413" s="166">
        <f>X344</f>
        <v>851470</v>
      </c>
      <c r="Z413" s="93" t="s">
        <v>886</v>
      </c>
      <c r="AE413" s="381"/>
      <c r="AJ413" s="166">
        <f>AK412-AK413</f>
        <v>0</v>
      </c>
      <c r="AK413" s="166">
        <f>AK344</f>
        <v>849245</v>
      </c>
      <c r="AM413" s="93" t="s">
        <v>886</v>
      </c>
      <c r="AR413" s="381"/>
      <c r="AW413" s="166">
        <f>AX412-AX413</f>
        <v>0</v>
      </c>
      <c r="AX413" s="166">
        <f>AX344</f>
        <v>845120</v>
      </c>
      <c r="AZ413" s="93" t="s">
        <v>886</v>
      </c>
      <c r="BE413" s="381"/>
      <c r="BJ413" s="166">
        <f>BK412-BK413</f>
        <v>0</v>
      </c>
      <c r="BK413" s="166">
        <f>BK344</f>
        <v>841370</v>
      </c>
      <c r="BM413" s="93" t="s">
        <v>886</v>
      </c>
      <c r="BR413" s="381"/>
      <c r="BW413" s="166">
        <f>BX412-BX413</f>
        <v>0</v>
      </c>
      <c r="BX413" s="166">
        <f>BX344</f>
        <v>828645</v>
      </c>
      <c r="BZ413" s="93" t="s">
        <v>886</v>
      </c>
      <c r="CE413" s="381"/>
      <c r="CJ413" s="166">
        <f>CK412-CK413</f>
        <v>0</v>
      </c>
      <c r="CK413" s="166">
        <f>CK344</f>
        <v>814170</v>
      </c>
      <c r="CM413" s="93" t="s">
        <v>886</v>
      </c>
      <c r="CR413" s="381"/>
      <c r="CW413" s="166">
        <f>CX412-CX413</f>
        <v>0</v>
      </c>
      <c r="CX413" s="166">
        <f>CX344</f>
        <v>809200</v>
      </c>
      <c r="CZ413" s="93" t="s">
        <v>886</v>
      </c>
      <c r="DE413" s="381"/>
      <c r="DJ413" s="166">
        <f>DK412-DK413</f>
        <v>0</v>
      </c>
      <c r="DK413" s="166">
        <f>DK344</f>
        <v>597260</v>
      </c>
      <c r="DM413" s="93" t="s">
        <v>886</v>
      </c>
      <c r="DR413" s="381"/>
      <c r="DW413" s="166">
        <f>DX412-DX413</f>
        <v>0</v>
      </c>
      <c r="DX413" s="166">
        <f>DX344</f>
        <v>578760</v>
      </c>
      <c r="DZ413" s="93" t="s">
        <v>886</v>
      </c>
    </row>
    <row r="414" spans="1:130" s="10" customFormat="1" ht="15" customHeight="1" x14ac:dyDescent="0.35">
      <c r="A414" s="211" t="s">
        <v>888</v>
      </c>
      <c r="Q414" s="225">
        <v>93</v>
      </c>
      <c r="R414" s="381"/>
      <c r="X414" s="166">
        <f>ROUND((AA320-S320+U320+Y320/2)*HLOOKUP(X322,Grund_zins,2,FALSE),2)+ROUND((AC320*HLOOKUP(X322,Grund_zins,2,FALSE)+AD320*HLOOKUP(X322,Grund_zins,2,FALSE)/2),2)</f>
        <v>679355.78</v>
      </c>
      <c r="Z414" s="211" t="s">
        <v>888</v>
      </c>
      <c r="AE414" s="381"/>
      <c r="AK414" s="166">
        <f>ROUND((AN320-AF320+AH320+AL320/2)*HLOOKUP(AK322,Grund_zins,2,FALSE),2)+ROUND((AP320*HLOOKUP(AK322,Grund_zins,2,FALSE)+AQ320*HLOOKUP(AK322,Grund_zins,2,FALSE)/2),2)</f>
        <v>649593.26</v>
      </c>
      <c r="AM414" s="211" t="s">
        <v>888</v>
      </c>
      <c r="AR414" s="381"/>
      <c r="AX414" s="166">
        <f>ROUND((BA320-AS320+AU320+AY320/2)*HLOOKUP(AX322,Grund_zins,2,FALSE),2)+ROUND((BC320*HLOOKUP(AX322,Grund_zins,2,FALSE)+BD320*HLOOKUP(AX322,Grund_zins,2,FALSE)/2),2)</f>
        <v>619941.88</v>
      </c>
      <c r="AZ414" s="211" t="s">
        <v>888</v>
      </c>
      <c r="BE414" s="381"/>
      <c r="BK414" s="166">
        <f>ROUND((BN320-BF320+BH320+BL320/2)*HLOOKUP(BK322,Grund_zins,2,FALSE),2)+ROUND((BP320*HLOOKUP(BK322,Grund_zins,2,FALSE)+BQ320*HLOOKUP(BK322,Grund_zins,2,FALSE)/2),2)</f>
        <v>590428.30000000005</v>
      </c>
      <c r="BM414" s="211" t="s">
        <v>888</v>
      </c>
      <c r="BR414" s="381"/>
      <c r="BX414" s="166">
        <f>ROUND((CA320-BS320+BU320+BY320/2)*HLOOKUP(BX322,Grund_zins,2,FALSE),2)+ROUND((CC320*HLOOKUP(BX322,Grund_zins,2,FALSE)+CD320*HLOOKUP(BX322,Grund_zins,2,FALSE)/2),2)</f>
        <v>561203.04</v>
      </c>
      <c r="BZ414" s="211" t="s">
        <v>888</v>
      </c>
      <c r="CE414" s="381"/>
      <c r="CK414" s="166">
        <f>ROUND((CN320-CF320+CH320+CL320/2)*HLOOKUP(CK322,Grund_zins,2,FALSE),2)+ROUND((CP320*HLOOKUP(CK322,Grund_zins,2,FALSE)+CQ320*HLOOKUP(CK322,Grund_zins,2,FALSE)/2),2)</f>
        <v>456388.95</v>
      </c>
      <c r="CM414" s="211" t="s">
        <v>888</v>
      </c>
      <c r="CR414" s="381"/>
      <c r="CX414" s="166">
        <f>ROUND((DA320-CS320+CU320+CY320/2)*HLOOKUP(CX322,Grund_zins,2,FALSE),2)+ROUND((DC320*HLOOKUP(CX322,Grund_zins,2,FALSE)+DD320*HLOOKUP(CX322,Grund_zins,2,FALSE)/2),2)</f>
        <v>432038.40000000002</v>
      </c>
      <c r="CZ414" s="211" t="s">
        <v>888</v>
      </c>
      <c r="DE414" s="381"/>
      <c r="DK414" s="166">
        <f>ROUND((DN320-DF320+DH320+DL320/2)*HLOOKUP(DK322,Grund_zins,2,FALSE),2)+ROUND((DP320*HLOOKUP(DK322,Grund_zins,2,FALSE)+DQ320*HLOOKUP(DK322,Grund_zins,2,FALSE)/2),2)</f>
        <v>410941.5</v>
      </c>
      <c r="DM414" s="211" t="s">
        <v>888</v>
      </c>
      <c r="DR414" s="381"/>
      <c r="DX414" s="166">
        <f>ROUND((EA320-DS320+DU320+DY320/2)*HLOOKUP(DX322,Grund_zins,2,FALSE),2)+ROUND((EC320*HLOOKUP(DX322,Grund_zins,2,FALSE)+ED320*HLOOKUP(DX322,Grund_zins,2,FALSE)/2),2)</f>
        <v>393301.2</v>
      </c>
      <c r="DZ414" s="211" t="s">
        <v>888</v>
      </c>
    </row>
    <row r="415" spans="1:130" s="10" customFormat="1" ht="15" customHeight="1" x14ac:dyDescent="0.35">
      <c r="A415" s="93" t="s">
        <v>889</v>
      </c>
      <c r="Q415" s="225">
        <v>94</v>
      </c>
      <c r="R415" s="381"/>
      <c r="W415" s="166">
        <f>X414-X415</f>
        <v>0</v>
      </c>
      <c r="X415" s="166">
        <f>X399</f>
        <v>679355.78</v>
      </c>
      <c r="Z415" s="93" t="s">
        <v>889</v>
      </c>
      <c r="AE415" s="381"/>
      <c r="AJ415" s="166">
        <f>AK414-AK415</f>
        <v>0</v>
      </c>
      <c r="AK415" s="166">
        <f>AK399</f>
        <v>649593.26</v>
      </c>
      <c r="AM415" s="93" t="s">
        <v>889</v>
      </c>
      <c r="AR415" s="381"/>
      <c r="AW415" s="166">
        <f>AX414-AX415</f>
        <v>0</v>
      </c>
      <c r="AX415" s="166">
        <f>AX399</f>
        <v>619941.88</v>
      </c>
      <c r="AZ415" s="93" t="s">
        <v>889</v>
      </c>
      <c r="BE415" s="381"/>
      <c r="BJ415" s="166">
        <f>BK414-BK415</f>
        <v>0</v>
      </c>
      <c r="BK415" s="166">
        <f>BK399</f>
        <v>590428.30000000005</v>
      </c>
      <c r="BM415" s="93" t="s">
        <v>889</v>
      </c>
      <c r="BR415" s="381"/>
      <c r="BW415" s="166">
        <f>BX414-BX415</f>
        <v>0</v>
      </c>
      <c r="BX415" s="166">
        <f>BX399</f>
        <v>561203.04</v>
      </c>
      <c r="BZ415" s="93" t="s">
        <v>889</v>
      </c>
      <c r="CE415" s="381"/>
      <c r="CJ415" s="166">
        <f>CK414-CK415</f>
        <v>0</v>
      </c>
      <c r="CK415" s="166">
        <f>CK399</f>
        <v>456388.95</v>
      </c>
      <c r="CM415" s="93" t="s">
        <v>889</v>
      </c>
      <c r="CR415" s="381"/>
      <c r="CW415" s="166">
        <f>CX414-CX415</f>
        <v>0</v>
      </c>
      <c r="CX415" s="166">
        <f>CX399</f>
        <v>432038.40000000002</v>
      </c>
      <c r="CZ415" s="93" t="s">
        <v>889</v>
      </c>
      <c r="DE415" s="381"/>
      <c r="DJ415" s="166">
        <f>DK414-DK415</f>
        <v>0</v>
      </c>
      <c r="DK415" s="166">
        <f>DK399</f>
        <v>410941.5</v>
      </c>
      <c r="DM415" s="93" t="s">
        <v>889</v>
      </c>
      <c r="DR415" s="381"/>
      <c r="DW415" s="166">
        <f>DX414-DX415</f>
        <v>0</v>
      </c>
      <c r="DX415" s="166">
        <f>DX399</f>
        <v>393301.2</v>
      </c>
      <c r="DZ415" s="93" t="s">
        <v>889</v>
      </c>
    </row>
    <row r="416" spans="1:130" s="10" customFormat="1" ht="18.75" customHeight="1" x14ac:dyDescent="0.45">
      <c r="A416" s="92" t="s">
        <v>404</v>
      </c>
      <c r="Q416" s="225">
        <v>95</v>
      </c>
      <c r="R416" s="609" t="s">
        <v>404</v>
      </c>
      <c r="AE416" s="609" t="s">
        <v>404</v>
      </c>
      <c r="AR416" s="609" t="s">
        <v>404</v>
      </c>
      <c r="BE416" s="609" t="s">
        <v>404</v>
      </c>
      <c r="BR416" s="609" t="s">
        <v>404</v>
      </c>
      <c r="CE416" s="609" t="s">
        <v>404</v>
      </c>
      <c r="CR416" s="609" t="s">
        <v>404</v>
      </c>
      <c r="DE416" s="609" t="s">
        <v>404</v>
      </c>
      <c r="DR416" s="609" t="s">
        <v>404</v>
      </c>
    </row>
    <row r="417" spans="1:130" s="10" customFormat="1" ht="15" customHeight="1" x14ac:dyDescent="0.35">
      <c r="A417" s="562" t="s">
        <v>419</v>
      </c>
      <c r="Q417" s="225">
        <v>96</v>
      </c>
      <c r="R417" s="381"/>
      <c r="W417" s="166"/>
      <c r="Z417" s="562" t="s">
        <v>419</v>
      </c>
      <c r="AE417" s="381"/>
      <c r="AJ417" s="166"/>
      <c r="AM417" s="612" t="s">
        <v>419</v>
      </c>
      <c r="AR417" s="381"/>
      <c r="AW417" s="166"/>
      <c r="AZ417" s="612" t="s">
        <v>419</v>
      </c>
      <c r="BE417" s="381"/>
      <c r="BJ417" s="166"/>
      <c r="BM417" s="612" t="s">
        <v>419</v>
      </c>
      <c r="BR417" s="381"/>
      <c r="BW417" s="166"/>
      <c r="BZ417" s="612" t="s">
        <v>419</v>
      </c>
      <c r="CE417" s="381"/>
      <c r="CJ417" s="166"/>
      <c r="CM417" s="612" t="s">
        <v>419</v>
      </c>
      <c r="CR417" s="381"/>
      <c r="CW417" s="166"/>
      <c r="CZ417" s="612" t="s">
        <v>419</v>
      </c>
      <c r="DE417" s="381"/>
      <c r="DJ417" s="166"/>
      <c r="DM417" s="612" t="s">
        <v>419</v>
      </c>
      <c r="DR417" s="381"/>
      <c r="DW417" s="166"/>
      <c r="DZ417" s="612" t="s">
        <v>419</v>
      </c>
    </row>
    <row r="418" spans="1:130" s="10" customFormat="1" ht="15" customHeight="1" x14ac:dyDescent="0.35">
      <c r="A418" s="211" t="s">
        <v>405</v>
      </c>
      <c r="Q418" s="225">
        <v>97</v>
      </c>
      <c r="R418" s="381"/>
      <c r="V418" s="166">
        <f>SUMIF($D$5:$D$319,"=kas",V5:V319)+SUMIF($D$5:$D$319,"=kam",V5:V319)+SUMIF($D$5:$D$319,"=kar",V5:V319)</f>
        <v>14501000</v>
      </c>
      <c r="X418" s="568">
        <f>SUM(X419:X421)</f>
        <v>0.99999000000000005</v>
      </c>
      <c r="Z418" s="211" t="s">
        <v>827</v>
      </c>
      <c r="AE418" s="381"/>
      <c r="AI418" s="166">
        <f>SUMIF($D$5:$D$319,"=kas",AI5:AI319)+SUMIF($D$5:$D$319,"=kam",AI5:AI319)+SUMIF($D$5:$D$319,"=kar",AI5:AI319)</f>
        <v>14501000</v>
      </c>
      <c r="AK418" s="568">
        <f>SUM(AK419:AK421)</f>
        <v>0.99999000000000005</v>
      </c>
      <c r="AM418" s="211" t="s">
        <v>827</v>
      </c>
      <c r="AR418" s="381"/>
      <c r="AV418" s="166">
        <f>SUMIF($D$5:$D$319,"=kas",AV5:AV319)+SUMIF($D$5:$D$319,"=kam",AV5:AV319)+SUMIF($D$5:$D$319,"=kar",AV5:AV319)</f>
        <v>14501000</v>
      </c>
      <c r="AX418" s="568">
        <f>SUM(AX419:AX421)</f>
        <v>0.99999000000000005</v>
      </c>
      <c r="AZ418" s="211" t="s">
        <v>827</v>
      </c>
      <c r="BE418" s="381"/>
      <c r="BI418" s="166">
        <f>SUMIF($D$5:$D$319,"=kas",BI5:BI319)+SUMIF($D$5:$D$319,"=kam",BI5:BI319)+SUMIF($D$5:$D$319,"=kar",BI5:BI319)</f>
        <v>14501000</v>
      </c>
      <c r="BK418" s="568">
        <f>SUM(BK419:BK421)</f>
        <v>0.99999000000000005</v>
      </c>
      <c r="BM418" s="211" t="s">
        <v>827</v>
      </c>
      <c r="BR418" s="381"/>
      <c r="BV418" s="166">
        <f>SUMIF($D$5:$D$319,"=kas",BV5:BV319)+SUMIF($D$5:$D$319,"=kam",BV5:BV319)+SUMIF($D$5:$D$319,"=kar",BV5:BV319)</f>
        <v>14501000</v>
      </c>
      <c r="BX418" s="568">
        <f>SUM(BX419:BX421)</f>
        <v>0.99999000000000005</v>
      </c>
      <c r="BZ418" s="211" t="s">
        <v>827</v>
      </c>
      <c r="CE418" s="381"/>
      <c r="CI418" s="166">
        <f>SUMIF($D$5:$D$319,"=kas",CI5:CI319)+SUMIF($D$5:$D$319,"=kam",CI5:CI319)+SUMIF($D$5:$D$319,"=kar",CI5:CI319)</f>
        <v>14501000</v>
      </c>
      <c r="CK418" s="568">
        <f>SUM(CK419:CK421)</f>
        <v>0.99999000000000005</v>
      </c>
      <c r="CM418" s="211" t="s">
        <v>827</v>
      </c>
      <c r="CR418" s="381"/>
      <c r="CV418" s="166">
        <f>SUMIF($D$5:$D$319,"=kas",CV5:CV319)+SUMIF($D$5:$D$319,"=kam",CV5:CV319)+SUMIF($D$5:$D$319,"=kar",CV5:CV319)</f>
        <v>14501000</v>
      </c>
      <c r="CX418" s="568">
        <f>SUM(CX419:CX421)</f>
        <v>0.99999000000000005</v>
      </c>
      <c r="CZ418" s="211" t="s">
        <v>827</v>
      </c>
      <c r="DE418" s="381"/>
      <c r="DI418" s="166">
        <f>SUMIF($D$5:$D$319,"=kas",DI5:DI319)+SUMIF($D$5:$D$319,"=kam",DI5:DI319)+SUMIF($D$5:$D$319,"=kar",DI5:DI319)</f>
        <v>14501000</v>
      </c>
      <c r="DK418" s="568">
        <f>SUM(DK419:DK421)</f>
        <v>0.99999000000000005</v>
      </c>
      <c r="DM418" s="211" t="s">
        <v>827</v>
      </c>
      <c r="DR418" s="381"/>
      <c r="DV418" s="166">
        <f>SUMIF($D$5:$D$319,"=kas",DV5:DV319)+SUMIF($D$5:$D$319,"=kam",DV5:DV319)+SUMIF($D$5:$D$319,"=kar",DV5:DV319)</f>
        <v>14501000</v>
      </c>
      <c r="DX418" s="568">
        <f>SUM(DX419:DX421)</f>
        <v>0.99999000000000005</v>
      </c>
      <c r="DZ418" s="211" t="s">
        <v>827</v>
      </c>
    </row>
    <row r="419" spans="1:130" s="10" customFormat="1" ht="15" customHeight="1" x14ac:dyDescent="0.35">
      <c r="A419" s="563" t="s">
        <v>406</v>
      </c>
      <c r="Q419" s="225">
        <v>98</v>
      </c>
      <c r="R419" s="381"/>
      <c r="V419" s="166">
        <f>SUMIF($D$5:$D$319,"=kas",V5:V319)*HLOOKUP(X322,Verteil_sw,6,FALSE)+SUMIF($D$5:$D$319,"=kam",V5:V319)*HLOOKUP(X322,Verteil_sw,7,FALSE)+SUMIF($D$5:$D$319,"=kar",V5:V319)*HLOOKUP(X322,Verteil_sw,8,FALSE)</f>
        <v>7871000</v>
      </c>
      <c r="X419" s="569">
        <f>IF(V418&lt;&gt;0,ROUND(V419/V418,5),0)</f>
        <v>0.54278999999999999</v>
      </c>
      <c r="Z419" s="563" t="s">
        <v>406</v>
      </c>
      <c r="AE419" s="381"/>
      <c r="AI419" s="166">
        <f>SUMIF($D$5:$D$319,"=kas",AI5:AI319)*HLOOKUP(AK322,Verteil_sw,6,FALSE)+SUMIF($D$5:$D$319,"=kam",AI5:AI319)*HLOOKUP(AK322,Verteil_sw,7,FALSE)+SUMIF($D$5:$D$319,"=kar",AI5:AI319)*HLOOKUP(AK322,Verteil_sw,8,FALSE)</f>
        <v>7871000</v>
      </c>
      <c r="AK419" s="569">
        <f>IF(AI418&lt;&gt;0,ROUND(AI419/AI418,5),0)</f>
        <v>0.54278999999999999</v>
      </c>
      <c r="AM419" s="611" t="s">
        <v>406</v>
      </c>
      <c r="AR419" s="381"/>
      <c r="AV419" s="166">
        <f>SUMIF($D$5:$D$319,"=kas",AV5:AV319)*HLOOKUP(AX322,Verteil_sw,6,FALSE)+SUMIF($D$5:$D$319,"=kam",AV5:AV319)*HLOOKUP(AX322,Verteil_sw,7,FALSE)+SUMIF($D$5:$D$319,"=kar",AV5:AV319)*HLOOKUP(AX322,Verteil_sw,8,FALSE)</f>
        <v>7871000</v>
      </c>
      <c r="AX419" s="569">
        <f>IF(AV418&lt;&gt;0,ROUND(AV419/AV418,5),0)</f>
        <v>0.54278999999999999</v>
      </c>
      <c r="AZ419" s="611" t="s">
        <v>406</v>
      </c>
      <c r="BE419" s="381"/>
      <c r="BI419" s="166">
        <f>SUMIF($D$5:$D$319,"=kas",BI5:BI319)*HLOOKUP(BK322,Verteil_sw,6,FALSE)+SUMIF($D$5:$D$319,"=kam",BI5:BI319)*HLOOKUP(BK322,Verteil_sw,7,FALSE)+SUMIF($D$5:$D$319,"=kar",BI5:BI319)*HLOOKUP(BK322,Verteil_sw,8,FALSE)</f>
        <v>7871000</v>
      </c>
      <c r="BK419" s="569">
        <f>IF(BI418&lt;&gt;0,ROUND(BI419/BI418,5),0)</f>
        <v>0.54278999999999999</v>
      </c>
      <c r="BM419" s="611" t="s">
        <v>406</v>
      </c>
      <c r="BR419" s="381"/>
      <c r="BV419" s="166">
        <f>SUMIF($D$5:$D$319,"=kas",BV5:BV319)*HLOOKUP(BX322,Verteil_sw,6,FALSE)+SUMIF($D$5:$D$319,"=kam",BV5:BV319)*HLOOKUP(BX322,Verteil_sw,7,FALSE)+SUMIF($D$5:$D$319,"=kar",BV5:BV319)*HLOOKUP(BX322,Verteil_sw,8,FALSE)</f>
        <v>7871000</v>
      </c>
      <c r="BX419" s="569">
        <f>IF(BV418&lt;&gt;0,ROUND(BV419/BV418,5),0)</f>
        <v>0.54278999999999999</v>
      </c>
      <c r="BZ419" s="611" t="s">
        <v>406</v>
      </c>
      <c r="CE419" s="381"/>
      <c r="CI419" s="166">
        <f>SUMIF($D$5:$D$319,"=kas",CI5:CI319)*HLOOKUP(CK322,Verteil_sw,6,FALSE)+SUMIF($D$5:$D$319,"=kam",CI5:CI319)*HLOOKUP(CK322,Verteil_sw,7,FALSE)+SUMIF($D$5:$D$319,"=kar",CI5:CI319)*HLOOKUP(CK322,Verteil_sw,8,FALSE)</f>
        <v>7871000</v>
      </c>
      <c r="CK419" s="569">
        <f>IF(CI418&lt;&gt;0,ROUND(CI419/CI418,5),0)</f>
        <v>0.54278999999999999</v>
      </c>
      <c r="CM419" s="611" t="s">
        <v>406</v>
      </c>
      <c r="CR419" s="381"/>
      <c r="CV419" s="166">
        <f>SUMIF($D$5:$D$319,"=kas",CV5:CV319)*HLOOKUP(CX322,Verteil_sw,6,FALSE)+SUMIF($D$5:$D$319,"=kam",CV5:CV319)*HLOOKUP(CX322,Verteil_sw,7,FALSE)+SUMIF($D$5:$D$319,"=kar",CV5:CV319)*HLOOKUP(CX322,Verteil_sw,8,FALSE)</f>
        <v>7871000</v>
      </c>
      <c r="CX419" s="569">
        <f>IF(CV418&lt;&gt;0,ROUND(CV419/CV418,5),0)</f>
        <v>0.54278999999999999</v>
      </c>
      <c r="CZ419" s="611" t="s">
        <v>406</v>
      </c>
      <c r="DE419" s="381"/>
      <c r="DI419" s="166">
        <f>SUMIF($D$5:$D$319,"=kas",DI5:DI319)*HLOOKUP(DK322,Verteil_sw,6,FALSE)+SUMIF($D$5:$D$319,"=kam",DI5:DI319)*HLOOKUP(DK322,Verteil_sw,7,FALSE)+SUMIF($D$5:$D$319,"=kar",DI5:DI319)*HLOOKUP(DK322,Verteil_sw,8,FALSE)</f>
        <v>7871000</v>
      </c>
      <c r="DK419" s="569">
        <f>IF(DI418&lt;&gt;0,ROUND(DI419/DI418,5),0)</f>
        <v>0.54278999999999999</v>
      </c>
      <c r="DM419" s="611" t="s">
        <v>406</v>
      </c>
      <c r="DR419" s="381"/>
      <c r="DV419" s="166">
        <f>SUMIF($D$5:$D$319,"=kas",DV5:DV319)*HLOOKUP(DX322,Verteil_sw,6,FALSE)+SUMIF($D$5:$D$319,"=kam",DV5:DV319)*HLOOKUP(DX322,Verteil_sw,7,FALSE)+SUMIF($D$5:$D$319,"=kar",DV5:DV319)*HLOOKUP(DX322,Verteil_sw,8,FALSE)</f>
        <v>7871000</v>
      </c>
      <c r="DX419" s="569">
        <f>IF(DV418&lt;&gt;0,ROUND(DV419/DV418,5),0)</f>
        <v>0.54278999999999999</v>
      </c>
      <c r="DZ419" s="611" t="s">
        <v>406</v>
      </c>
    </row>
    <row r="420" spans="1:130" s="10" customFormat="1" ht="15" customHeight="1" x14ac:dyDescent="0.35">
      <c r="A420" s="563" t="s">
        <v>407</v>
      </c>
      <c r="Q420" s="225">
        <v>99</v>
      </c>
      <c r="R420" s="381"/>
      <c r="V420" s="166">
        <f>SUMIF($D$5:$D$319,"=kas",V5:V319)*HLOOKUP(X322,Verteil_rwgr,5,FALSE)+SUMIF($D$5:$D$319,"=kam",V5:V319)*HLOOKUP(X322,Verteil_rwgr,6,FALSE)+SUMIF($D$5:$D$319,"=kar",V5:V319)*HLOOKUP(X322,Verteil_rwgr,7,FALSE)</f>
        <v>3315000</v>
      </c>
      <c r="X420" s="569">
        <f>IF(V419&lt;&gt;0,ROUND(V420/V418,5),0)</f>
        <v>0.2286</v>
      </c>
      <c r="Z420" s="563" t="s">
        <v>407</v>
      </c>
      <c r="AE420" s="381"/>
      <c r="AI420" s="166">
        <f>SUMIF($D$5:$D$319,"=kas",AI5:AI319)*HLOOKUP(AK322,Verteil_rwgr,5,FALSE)+SUMIF($D$5:$D$319,"=kam",AI5:AI319)*HLOOKUP(AK322,Verteil_rwgr,6,FALSE)+SUMIF($D$5:$D$319,"=kar",AI5:AI319)*HLOOKUP(AK322,Verteil_rwgr,7,FALSE)</f>
        <v>3315000</v>
      </c>
      <c r="AK420" s="569">
        <f>IF(AI419&lt;&gt;0,ROUND(AI420/AI418,5),0)</f>
        <v>0.2286</v>
      </c>
      <c r="AM420" s="611" t="s">
        <v>407</v>
      </c>
      <c r="AR420" s="381"/>
      <c r="AV420" s="166">
        <f>SUMIF($D$5:$D$319,"=kas",AV5:AV319)*HLOOKUP(AX322,Verteil_rwgr,5,FALSE)+SUMIF($D$5:$D$319,"=kam",AV5:AV319)*HLOOKUP(AX322,Verteil_rwgr,6,FALSE)+SUMIF($D$5:$D$319,"=kar",AV5:AV319)*HLOOKUP(AX322,Verteil_rwgr,7,FALSE)</f>
        <v>3315000</v>
      </c>
      <c r="AX420" s="569">
        <f>IF(AV419&lt;&gt;0,ROUND(AV420/AV418,5),0)</f>
        <v>0.2286</v>
      </c>
      <c r="AZ420" s="611" t="s">
        <v>407</v>
      </c>
      <c r="BE420" s="381"/>
      <c r="BI420" s="166">
        <f>SUMIF($D$5:$D$319,"=kas",BI5:BI319)*HLOOKUP(BK322,Verteil_rwgr,5,FALSE)+SUMIF($D$5:$D$319,"=kam",BI5:BI319)*HLOOKUP(BK322,Verteil_rwgr,6,FALSE)+SUMIF($D$5:$D$319,"=kar",BI5:BI319)*HLOOKUP(BK322,Verteil_rwgr,7,FALSE)</f>
        <v>3315000</v>
      </c>
      <c r="BK420" s="569">
        <f>IF(BI419&lt;&gt;0,ROUND(BI420/BI418,5),0)</f>
        <v>0.2286</v>
      </c>
      <c r="BM420" s="611" t="s">
        <v>407</v>
      </c>
      <c r="BR420" s="381"/>
      <c r="BV420" s="166">
        <f>SUMIF($D$5:$D$319,"=kas",BV5:BV319)*HLOOKUP(BX322,Verteil_rwgr,5,FALSE)+SUMIF($D$5:$D$319,"=kam",BV5:BV319)*HLOOKUP(BX322,Verteil_rwgr,6,FALSE)+SUMIF($D$5:$D$319,"=kar",BV5:BV319)*HLOOKUP(BX322,Verteil_rwgr,7,FALSE)</f>
        <v>3315000</v>
      </c>
      <c r="BX420" s="569">
        <f>IF(BV419&lt;&gt;0,ROUND(BV420/BV418,5),0)</f>
        <v>0.2286</v>
      </c>
      <c r="BZ420" s="611" t="s">
        <v>407</v>
      </c>
      <c r="CE420" s="381"/>
      <c r="CI420" s="166">
        <f>SUMIF($D$5:$D$319,"=kas",CI5:CI319)*HLOOKUP(CK322,Verteil_rwgr,5,FALSE)+SUMIF($D$5:$D$319,"=kam",CI5:CI319)*HLOOKUP(CK322,Verteil_rwgr,6,FALSE)+SUMIF($D$5:$D$319,"=kar",CI5:CI319)*HLOOKUP(CK322,Verteil_rwgr,7,FALSE)</f>
        <v>3315000</v>
      </c>
      <c r="CK420" s="569">
        <f>IF(CI419&lt;&gt;0,ROUND(CI420/CI418,5),0)</f>
        <v>0.2286</v>
      </c>
      <c r="CM420" s="611" t="s">
        <v>407</v>
      </c>
      <c r="CR420" s="381"/>
      <c r="CV420" s="166">
        <f>SUMIF($D$5:$D$319,"=kas",CV5:CV319)*HLOOKUP(CX322,Verteil_rwgr,5,FALSE)+SUMIF($D$5:$D$319,"=kam",CV5:CV319)*HLOOKUP(CX322,Verteil_rwgr,6,FALSE)+SUMIF($D$5:$D$319,"=kar",CV5:CV319)*HLOOKUP(CX322,Verteil_rwgr,7,FALSE)</f>
        <v>3315000</v>
      </c>
      <c r="CX420" s="569">
        <f>IF(CV419&lt;&gt;0,ROUND(CV420/CV418,5),0)</f>
        <v>0.2286</v>
      </c>
      <c r="CZ420" s="611" t="s">
        <v>407</v>
      </c>
      <c r="DE420" s="381"/>
      <c r="DI420" s="166">
        <f>SUMIF($D$5:$D$319,"=kas",DI5:DI319)*HLOOKUP(DK322,Verteil_rwgr,5,FALSE)+SUMIF($D$5:$D$319,"=kam",DI5:DI319)*HLOOKUP(DK322,Verteil_rwgr,6,FALSE)+SUMIF($D$5:$D$319,"=kar",DI5:DI319)*HLOOKUP(DK322,Verteil_rwgr,7,FALSE)</f>
        <v>3315000</v>
      </c>
      <c r="DK420" s="569">
        <f>IF(DI419&lt;&gt;0,ROUND(DI420/DI418,5),0)</f>
        <v>0.2286</v>
      </c>
      <c r="DM420" s="611" t="s">
        <v>407</v>
      </c>
      <c r="DR420" s="381"/>
      <c r="DV420" s="166">
        <f>SUMIF($D$5:$D$319,"=kas",DV5:DV319)*HLOOKUP(DX322,Verteil_rwgr,5,FALSE)+SUMIF($D$5:$D$319,"=kam",DV5:DV319)*HLOOKUP(DX322,Verteil_rwgr,6,FALSE)+SUMIF($D$5:$D$319,"=kar",DV5:DV319)*HLOOKUP(DX322,Verteil_rwgr,7,FALSE)</f>
        <v>3315000</v>
      </c>
      <c r="DX420" s="569">
        <f>IF(DV419&lt;&gt;0,ROUND(DV420/DV418,5),0)</f>
        <v>0.2286</v>
      </c>
      <c r="DZ420" s="611" t="s">
        <v>407</v>
      </c>
    </row>
    <row r="421" spans="1:130" s="10" customFormat="1" ht="15" customHeight="1" x14ac:dyDescent="0.35">
      <c r="A421" s="563" t="s">
        <v>408</v>
      </c>
      <c r="Q421" s="225">
        <v>100</v>
      </c>
      <c r="R421" s="381"/>
      <c r="V421" s="166">
        <f>SUMIF($D$5:$D$319,"=kas",V5:V319)*HLOOKUP(X322,Verteil_rwst,4,FALSE)+SUMIF($D$5:$D$319,"=kam",V5:V319)*HLOOKUP(X322,Verteil_rwst,5,FALSE)+SUMIF($D$5:$D$319,"=kar",V5:V319)*HLOOKUP(X322,Verteil_rwst,6,FALSE)</f>
        <v>3315000</v>
      </c>
      <c r="X421" s="569">
        <f>IF(V420&lt;&gt;0,ROUND(V421/V418,5),0)</f>
        <v>0.2286</v>
      </c>
      <c r="Z421" s="563" t="s">
        <v>408</v>
      </c>
      <c r="AE421" s="381"/>
      <c r="AI421" s="166">
        <f>SUMIF($D$5:$D$319,"=kas",AI5:AI319)*HLOOKUP(AK322,Verteil_rwst,4,FALSE)+SUMIF($D$5:$D$319,"=kam",AI5:AI319)*HLOOKUP(AK322,Verteil_rwst,5,FALSE)+SUMIF($D$5:$D$319,"=kar",AI5:AI319)*HLOOKUP(AK322,Verteil_rwst,6,FALSE)</f>
        <v>3315000</v>
      </c>
      <c r="AK421" s="569">
        <f>IF(AI420&lt;&gt;0,ROUND(AI421/AI418,5),0)</f>
        <v>0.2286</v>
      </c>
      <c r="AM421" s="611" t="s">
        <v>408</v>
      </c>
      <c r="AR421" s="381"/>
      <c r="AV421" s="166">
        <f>SUMIF($D$5:$D$319,"=kas",AV5:AV319)*HLOOKUP(AX322,Verteil_rwst,4,FALSE)+SUMIF($D$5:$D$319,"=kam",AV5:AV319)*HLOOKUP(AX322,Verteil_rwst,5,FALSE)+SUMIF($D$5:$D$319,"=kar",AV5:AV319)*HLOOKUP(AX322,Verteil_rwst,6,FALSE)</f>
        <v>3315000</v>
      </c>
      <c r="AX421" s="569">
        <f>IF(AV420&lt;&gt;0,ROUND(AV421/AV418,5),0)</f>
        <v>0.2286</v>
      </c>
      <c r="AZ421" s="611" t="s">
        <v>408</v>
      </c>
      <c r="BE421" s="381"/>
      <c r="BI421" s="166">
        <f>SUMIF($D$5:$D$319,"=kas",BI5:BI319)*HLOOKUP(BK322,Verteil_rwst,4,FALSE)+SUMIF($D$5:$D$319,"=kam",BI5:BI319)*HLOOKUP(BK322,Verteil_rwst,5,FALSE)+SUMIF($D$5:$D$319,"=kar",BI5:BI319)*HLOOKUP(BK322,Verteil_rwst,6,FALSE)</f>
        <v>3315000</v>
      </c>
      <c r="BK421" s="569">
        <f>IF(BI420&lt;&gt;0,ROUND(BI421/BI418,5),0)</f>
        <v>0.2286</v>
      </c>
      <c r="BM421" s="611" t="s">
        <v>408</v>
      </c>
      <c r="BR421" s="381"/>
      <c r="BV421" s="166">
        <f>SUMIF($D$5:$D$319,"=kas",BV5:BV319)*HLOOKUP(BX322,Verteil_rwst,4,FALSE)+SUMIF($D$5:$D$319,"=kam",BV5:BV319)*HLOOKUP(BX322,Verteil_rwst,5,FALSE)+SUMIF($D$5:$D$319,"=kar",BV5:BV319)*HLOOKUP(BX322,Verteil_rwst,6,FALSE)</f>
        <v>3315000</v>
      </c>
      <c r="BX421" s="569">
        <f>IF(BV420&lt;&gt;0,ROUND(BV421/BV418,5),0)</f>
        <v>0.2286</v>
      </c>
      <c r="BZ421" s="611" t="s">
        <v>408</v>
      </c>
      <c r="CE421" s="381"/>
      <c r="CI421" s="166">
        <f>SUMIF($D$5:$D$319,"=kas",CI5:CI319)*HLOOKUP(CK322,Verteil_rwst,4,FALSE)+SUMIF($D$5:$D$319,"=kam",CI5:CI319)*HLOOKUP(CK322,Verteil_rwst,5,FALSE)+SUMIF($D$5:$D$319,"=kar",CI5:CI319)*HLOOKUP(CK322,Verteil_rwst,6,FALSE)</f>
        <v>3315000</v>
      </c>
      <c r="CK421" s="569">
        <f>IF(CI420&lt;&gt;0,ROUND(CI421/CI418,5),0)</f>
        <v>0.2286</v>
      </c>
      <c r="CM421" s="611" t="s">
        <v>408</v>
      </c>
      <c r="CR421" s="381"/>
      <c r="CV421" s="166">
        <f>SUMIF($D$5:$D$319,"=kas",CV5:CV319)*HLOOKUP(CX322,Verteil_rwst,4,FALSE)+SUMIF($D$5:$D$319,"=kam",CV5:CV319)*HLOOKUP(CX322,Verteil_rwst,5,FALSE)+SUMIF($D$5:$D$319,"=kar",CV5:CV319)*HLOOKUP(CX322,Verteil_rwst,6,FALSE)</f>
        <v>3315000</v>
      </c>
      <c r="CX421" s="569">
        <f>IF(CV420&lt;&gt;0,ROUND(CV421/CV418,5),0)</f>
        <v>0.2286</v>
      </c>
      <c r="CZ421" s="611" t="s">
        <v>408</v>
      </c>
      <c r="DE421" s="381"/>
      <c r="DI421" s="166">
        <f>SUMIF($D$5:$D$319,"=kas",DI5:DI319)*HLOOKUP(DK322,Verteil_rwst,4,FALSE)+SUMIF($D$5:$D$319,"=kam",DI5:DI319)*HLOOKUP(DK322,Verteil_rwst,5,FALSE)+SUMIF($D$5:$D$319,"=kar",DI5:DI319)*HLOOKUP(DK322,Verteil_rwst,6,FALSE)</f>
        <v>3315000</v>
      </c>
      <c r="DK421" s="569">
        <f>IF(DI420&lt;&gt;0,ROUND(DI421/DI418,5),0)</f>
        <v>0.2286</v>
      </c>
      <c r="DM421" s="611" t="s">
        <v>408</v>
      </c>
      <c r="DR421" s="381"/>
      <c r="DV421" s="166">
        <f>SUMIF($D$5:$D$319,"=kas",DV5:DV319)*HLOOKUP(DX322,Verteil_rwst,4,FALSE)+SUMIF($D$5:$D$319,"=kam",DV5:DV319)*HLOOKUP(DX322,Verteil_rwst,5,FALSE)+SUMIF($D$5:$D$319,"=kar",DV5:DV319)*HLOOKUP(DX322,Verteil_rwst,6,FALSE)</f>
        <v>3315000</v>
      </c>
      <c r="DX421" s="569">
        <f>IF(DV420&lt;&gt;0,ROUND(DV421/DV418,5),0)</f>
        <v>0.2286</v>
      </c>
      <c r="DZ421" s="611" t="s">
        <v>408</v>
      </c>
    </row>
    <row r="422" spans="1:130" s="10" customFormat="1" ht="15" customHeight="1" x14ac:dyDescent="0.35">
      <c r="A422" s="562" t="s">
        <v>420</v>
      </c>
      <c r="Q422" s="225">
        <v>101</v>
      </c>
      <c r="R422" s="381"/>
      <c r="V422" s="166"/>
      <c r="Z422" s="562" t="s">
        <v>420</v>
      </c>
      <c r="AE422" s="381"/>
      <c r="AI422" s="166"/>
      <c r="AM422" s="612" t="s">
        <v>420</v>
      </c>
      <c r="AR422" s="381"/>
      <c r="AV422" s="166"/>
      <c r="AZ422" s="612" t="s">
        <v>420</v>
      </c>
      <c r="BE422" s="381"/>
      <c r="BI422" s="166"/>
      <c r="BM422" s="612" t="s">
        <v>420</v>
      </c>
      <c r="BR422" s="381"/>
      <c r="BV422" s="166"/>
      <c r="BZ422" s="612" t="s">
        <v>420</v>
      </c>
      <c r="CE422" s="381"/>
      <c r="CI422" s="166"/>
      <c r="CM422" s="612" t="s">
        <v>420</v>
      </c>
      <c r="CR422" s="381"/>
      <c r="CV422" s="166"/>
      <c r="CZ422" s="612" t="s">
        <v>420</v>
      </c>
      <c r="DE422" s="381"/>
      <c r="DI422" s="166"/>
      <c r="DM422" s="612" t="s">
        <v>420</v>
      </c>
      <c r="DR422" s="381"/>
      <c r="DV422" s="166"/>
      <c r="DZ422" s="612" t="s">
        <v>420</v>
      </c>
    </row>
    <row r="423" spans="1:130" s="10" customFormat="1" ht="15" customHeight="1" x14ac:dyDescent="0.35">
      <c r="A423" s="211" t="s">
        <v>409</v>
      </c>
      <c r="Q423" s="225">
        <v>102</v>
      </c>
      <c r="R423" s="381"/>
      <c r="V423" s="166">
        <f>SUMIF($D$5:$D$319,"=klm",V5:V319)+SUMIF($D$5:$D$319,"=kls",V5:V319)+SUMIF($D$5:$D$319,"=klr",V5:V319)+SUMIF($D$5:$D$319,"=klk",V5:V319)</f>
        <v>12663500</v>
      </c>
      <c r="X423" s="568">
        <f>SUM(X424:X426)</f>
        <v>0.99999999999999989</v>
      </c>
      <c r="Z423" s="211" t="s">
        <v>826</v>
      </c>
      <c r="AE423" s="381"/>
      <c r="AI423" s="166">
        <f>SUMIF($D$5:$D$319,"=klm",AI5:AI319)+SUMIF($D$5:$D$319,"=kls",AI5:AI319)+SUMIF($D$5:$D$319,"=klr",AI5:AI319)+SUMIF($D$5:$D$319,"=klk",AI5:AI319)</f>
        <v>12663500</v>
      </c>
      <c r="AK423" s="568">
        <f>SUM(AK424:AK426)</f>
        <v>0.99999999999999989</v>
      </c>
      <c r="AM423" s="211" t="s">
        <v>826</v>
      </c>
      <c r="AR423" s="381"/>
      <c r="AV423" s="166">
        <f>SUMIF($D$5:$D$319,"=klm",AV5:AV319)+SUMIF($D$5:$D$319,"=kls",AV5:AV319)+SUMIF($D$5:$D$319,"=klr",AV5:AV319)+SUMIF($D$5:$D$319,"=klk",AV5:AV319)</f>
        <v>12663500</v>
      </c>
      <c r="AX423" s="568">
        <f>SUM(AX424:AX426)</f>
        <v>0.99999999999999989</v>
      </c>
      <c r="AZ423" s="211" t="s">
        <v>826</v>
      </c>
      <c r="BE423" s="381"/>
      <c r="BI423" s="166">
        <f>SUMIF($D$5:$D$319,"=klm",BI5:BI319)+SUMIF($D$5:$D$319,"=kls",BI5:BI319)+SUMIF($D$5:$D$319,"=klr",BI5:BI319)+SUMIF($D$5:$D$319,"=klk",BI5:BI319)</f>
        <v>12663500</v>
      </c>
      <c r="BK423" s="568">
        <f>SUM(BK424:BK426)</f>
        <v>0.99999999999999989</v>
      </c>
      <c r="BM423" s="211" t="s">
        <v>826</v>
      </c>
      <c r="BR423" s="381"/>
      <c r="BV423" s="166">
        <f>SUMIF($D$5:$D$319,"=klm",BV5:BV319)+SUMIF($D$5:$D$319,"=kls",BV5:BV319)+SUMIF($D$5:$D$319,"=klr",BV5:BV319)+SUMIF($D$5:$D$319,"=klk",BV5:BV319)</f>
        <v>12663500</v>
      </c>
      <c r="BX423" s="568">
        <f>SUM(BX424:BX426)</f>
        <v>0.99999999999999989</v>
      </c>
      <c r="BZ423" s="211" t="s">
        <v>826</v>
      </c>
      <c r="CE423" s="381"/>
      <c r="CI423" s="166">
        <f>SUMIF($D$5:$D$319,"=klm",CI5:CI319)+SUMIF($D$5:$D$319,"=kls",CI5:CI319)+SUMIF($D$5:$D$319,"=klr",CI5:CI319)+SUMIF($D$5:$D$319,"=klk",CI5:CI319)</f>
        <v>12663500</v>
      </c>
      <c r="CK423" s="568">
        <f>SUM(CK424:CK426)</f>
        <v>0.99999999999999989</v>
      </c>
      <c r="CM423" s="211" t="s">
        <v>826</v>
      </c>
      <c r="CR423" s="381"/>
      <c r="CV423" s="166">
        <f>SUMIF($D$5:$D$319,"=klm",CV5:CV319)+SUMIF($D$5:$D$319,"=kls",CV5:CV319)+SUMIF($D$5:$D$319,"=klr",CV5:CV319)+SUMIF($D$5:$D$319,"=klk",CV5:CV319)</f>
        <v>12663500</v>
      </c>
      <c r="CX423" s="568">
        <f>SUM(CX424:CX426)</f>
        <v>0.99999999999999989</v>
      </c>
      <c r="CZ423" s="211" t="s">
        <v>826</v>
      </c>
      <c r="DE423" s="381"/>
      <c r="DI423" s="166">
        <f>SUMIF($D$5:$D$319,"=klm",DI5:DI319)+SUMIF($D$5:$D$319,"=kls",DI5:DI319)+SUMIF($D$5:$D$319,"=klr",DI5:DI319)+SUMIF($D$5:$D$319,"=klk",DI5:DI319)</f>
        <v>12663500</v>
      </c>
      <c r="DK423" s="568">
        <f>SUM(DK424:DK426)</f>
        <v>0.99999999999999989</v>
      </c>
      <c r="DM423" s="211" t="s">
        <v>826</v>
      </c>
      <c r="DR423" s="381"/>
      <c r="DV423" s="166">
        <f>SUMIF($D$5:$D$319,"=klm",DV5:DV319)+SUMIF($D$5:$D$319,"=kls",DV5:DV319)+SUMIF($D$5:$D$319,"=klr",DV5:DV319)+SUMIF($D$5:$D$319,"=klk",DV5:DV319)</f>
        <v>12663500</v>
      </c>
      <c r="DX423" s="568">
        <f>SUM(DX424:DX426)</f>
        <v>0.99999999999999989</v>
      </c>
      <c r="DZ423" s="211" t="s">
        <v>826</v>
      </c>
    </row>
    <row r="424" spans="1:130" s="10" customFormat="1" ht="15" customHeight="1" x14ac:dyDescent="0.35">
      <c r="A424" s="563" t="s">
        <v>406</v>
      </c>
      <c r="Q424" s="225">
        <v>103</v>
      </c>
      <c r="R424" s="381"/>
      <c r="V424" s="166">
        <f>SUMIF($D$5:$D$319,"=kls",V5:V319)*HLOOKUP(X322,Verteil_sw,11,FALSE)+SUMIF($D$5:$D$319,"=klm",V5:V319)*HLOOKUP(X322,Verteil_sw,12,FALSE)+SUMIF($D$5:$D$319,"=klr",V5:V319)*HLOOKUP(X322,Verteil_sw,13,FALSE)+SUMIF($D$5:$D$319,"=klk",V5:V319)*HLOOKUP(X322,Verteil_sw,14,FALSE)</f>
        <v>10908600</v>
      </c>
      <c r="X424" s="569">
        <f>IF(V423&lt;&gt;0,ROUND(V424/V423,5),0)</f>
        <v>0.86141999999999996</v>
      </c>
      <c r="Z424" s="563" t="s">
        <v>406</v>
      </c>
      <c r="AE424" s="381"/>
      <c r="AI424" s="166">
        <f>SUMIF($D$5:$D$319,"=kls",AI5:AI319)*HLOOKUP(AK322,Verteil_sw,11,FALSE)+SUMIF($D$5:$D$319,"=klm",AI5:AI319)*HLOOKUP(AK322,Verteil_sw,12,FALSE)+SUMIF($D$5:$D$319,"=klr",AI5:AI319)*HLOOKUP(AK322,Verteil_sw,13,FALSE)+SUMIF($D$5:$D$319,"=klk",AI5:AI319)*HLOOKUP(AK322,Verteil_sw,14,FALSE)</f>
        <v>10908600</v>
      </c>
      <c r="AK424" s="569">
        <f>IF(AI423&lt;&gt;0,ROUND(AI424/AI423,5),0)</f>
        <v>0.86141999999999996</v>
      </c>
      <c r="AM424" s="611" t="s">
        <v>406</v>
      </c>
      <c r="AR424" s="381"/>
      <c r="AV424" s="166">
        <f>SUMIF($D$5:$D$319,"=kls",AV5:AV319)*HLOOKUP(AX322,Verteil_sw,11,FALSE)+SUMIF($D$5:$D$319,"=klm",AV5:AV319)*HLOOKUP(AX322,Verteil_sw,12,FALSE)+SUMIF($D$5:$D$319,"=klr",AV5:AV319)*HLOOKUP(AX322,Verteil_sw,13,FALSE)+SUMIF($D$5:$D$319,"=klk",AV5:AV319)*HLOOKUP(AX322,Verteil_sw,14,FALSE)</f>
        <v>10908600</v>
      </c>
      <c r="AX424" s="569">
        <f>IF(AV423&lt;&gt;0,ROUND(AV424/AV423,5),0)</f>
        <v>0.86141999999999996</v>
      </c>
      <c r="AZ424" s="611" t="s">
        <v>406</v>
      </c>
      <c r="BE424" s="381"/>
      <c r="BI424" s="166">
        <f>SUMIF($D$5:$D$319,"=kls",BI5:BI319)*HLOOKUP(BK322,Verteil_sw,11,FALSE)+SUMIF($D$5:$D$319,"=klm",BI5:BI319)*HLOOKUP(BK322,Verteil_sw,12,FALSE)+SUMIF($D$5:$D$319,"=klr",BI5:BI319)*HLOOKUP(BK322,Verteil_sw,13,FALSE)+SUMIF($D$5:$D$319,"=klk",BI5:BI319)*HLOOKUP(BK322,Verteil_sw,14,FALSE)</f>
        <v>10908600</v>
      </c>
      <c r="BK424" s="569">
        <f>IF(BI423&lt;&gt;0,ROUND(BI424/BI423,5),0)</f>
        <v>0.86141999999999996</v>
      </c>
      <c r="BM424" s="611" t="s">
        <v>406</v>
      </c>
      <c r="BR424" s="381"/>
      <c r="BV424" s="166">
        <f>SUMIF($D$5:$D$319,"=kls",BV5:BV319)*HLOOKUP(BX322,Verteil_sw,11,FALSE)+SUMIF($D$5:$D$319,"=klm",BV5:BV319)*HLOOKUP(BX322,Verteil_sw,12,FALSE)+SUMIF($D$5:$D$319,"=klr",BV5:BV319)*HLOOKUP(BX322,Verteil_sw,13,FALSE)+SUMIF($D$5:$D$319,"=klk",BV5:BV319)*HLOOKUP(BX322,Verteil_sw,14,FALSE)</f>
        <v>10908600</v>
      </c>
      <c r="BX424" s="569">
        <f>IF(BV423&lt;&gt;0,ROUND(BV424/BV423,5),0)</f>
        <v>0.86141999999999996</v>
      </c>
      <c r="BZ424" s="611" t="s">
        <v>406</v>
      </c>
      <c r="CE424" s="381"/>
      <c r="CI424" s="166">
        <f>SUMIF($D$5:$D$319,"=kls",CI5:CI319)*HLOOKUP(CK322,Verteil_sw,11,FALSE)+SUMIF($D$5:$D$319,"=klm",CI5:CI319)*HLOOKUP(CK322,Verteil_sw,12,FALSE)+SUMIF($D$5:$D$319,"=klr",CI5:CI319)*HLOOKUP(CK322,Verteil_sw,13,FALSE)+SUMIF($D$5:$D$319,"=klk",CI5:CI319)*HLOOKUP(CK322,Verteil_sw,14,FALSE)</f>
        <v>10908600</v>
      </c>
      <c r="CK424" s="569">
        <f>IF(CI423&lt;&gt;0,ROUND(CI424/CI423,5),0)</f>
        <v>0.86141999999999996</v>
      </c>
      <c r="CM424" s="611" t="s">
        <v>406</v>
      </c>
      <c r="CR424" s="381"/>
      <c r="CV424" s="166">
        <f>SUMIF($D$5:$D$319,"=kls",CV5:CV319)*HLOOKUP(CX322,Verteil_sw,11,FALSE)+SUMIF($D$5:$D$319,"=klm",CV5:CV319)*HLOOKUP(CX322,Verteil_sw,12,FALSE)+SUMIF($D$5:$D$319,"=klr",CV5:CV319)*HLOOKUP(CX322,Verteil_sw,13,FALSE)+SUMIF($D$5:$D$319,"=klk",CV5:CV319)*HLOOKUP(CX322,Verteil_sw,14,FALSE)</f>
        <v>10908600</v>
      </c>
      <c r="CX424" s="569">
        <f>IF(CV423&lt;&gt;0,ROUND(CV424/CV423,5),0)</f>
        <v>0.86141999999999996</v>
      </c>
      <c r="CZ424" s="611" t="s">
        <v>406</v>
      </c>
      <c r="DE424" s="381"/>
      <c r="DI424" s="166">
        <f>SUMIF($D$5:$D$319,"=kls",DI5:DI319)*HLOOKUP(DK322,Verteil_sw,11,FALSE)+SUMIF($D$5:$D$319,"=klm",DI5:DI319)*HLOOKUP(DK322,Verteil_sw,12,FALSE)+SUMIF($D$5:$D$319,"=klr",DI5:DI319)*HLOOKUP(DK322,Verteil_sw,13,FALSE)+SUMIF($D$5:$D$319,"=klk",DI5:DI319)*HLOOKUP(DK322,Verteil_sw,14,FALSE)</f>
        <v>10908600</v>
      </c>
      <c r="DK424" s="569">
        <f>IF(DI423&lt;&gt;0,ROUND(DI424/DI423,5),0)</f>
        <v>0.86141999999999996</v>
      </c>
      <c r="DM424" s="611" t="s">
        <v>406</v>
      </c>
      <c r="DR424" s="381"/>
      <c r="DV424" s="166">
        <f>SUMIF($D$5:$D$319,"=kls",DV5:DV319)*HLOOKUP(DX322,Verteil_sw,11,FALSE)+SUMIF($D$5:$D$319,"=klm",DV5:DV319)*HLOOKUP(DX322,Verteil_sw,12,FALSE)+SUMIF($D$5:$D$319,"=klr",DV5:DV319)*HLOOKUP(DX322,Verteil_sw,13,FALSE)+SUMIF($D$5:$D$319,"=klk",DV5:DV319)*HLOOKUP(DX322,Verteil_sw,14,FALSE)</f>
        <v>10908600</v>
      </c>
      <c r="DX424" s="569">
        <f>IF(DV423&lt;&gt;0,ROUND(DV424/DV423,5),0)</f>
        <v>0.86141999999999996</v>
      </c>
      <c r="DZ424" s="611" t="s">
        <v>406</v>
      </c>
    </row>
    <row r="425" spans="1:130" s="10" customFormat="1" ht="15" customHeight="1" x14ac:dyDescent="0.35">
      <c r="A425" s="563" t="s">
        <v>407</v>
      </c>
      <c r="Q425" s="225">
        <v>104</v>
      </c>
      <c r="R425" s="381"/>
      <c r="V425" s="166">
        <f>SUMIF($D$5:$D$319,"=kls",V5:V319)*HLOOKUP(X322,Verteil_rwgr,10,FALSE)+SUMIF($D$5:$D$319,"=klm",V5:V319)*HLOOKUP(X322,Verteil_rwgr,11,FALSE)+SUMIF($D$5:$D$319,"=klr",V5:V319)*HLOOKUP(X322,Verteil_rwgr,12,FALSE)+SUMIF($D$5:$D$319,"=klk",V5:V319)*HLOOKUP(X322,Verteil_rwgr,13,FALSE)</f>
        <v>877450</v>
      </c>
      <c r="X425" s="569">
        <f>IF(V424&lt;&gt;0,ROUND(V425/V423,5),0)</f>
        <v>6.9290000000000004E-2</v>
      </c>
      <c r="Z425" s="563" t="s">
        <v>407</v>
      </c>
      <c r="AE425" s="381"/>
      <c r="AI425" s="166">
        <f>SUMIF($D$5:$D$319,"=kls",AI5:AI319)*HLOOKUP(AK322,Verteil_rwgr,10,FALSE)+SUMIF($D$5:$D$319,"=klm",AI5:AI319)*HLOOKUP(AK322,Verteil_rwgr,11,FALSE)+SUMIF($D$5:$D$319,"=klr",AI5:AI319)*HLOOKUP(AK322,Verteil_rwgr,12,FALSE)+SUMIF($D$5:$D$319,"=klk",AI5:AI319)*HLOOKUP(AK322,Verteil_rwgr,13,FALSE)</f>
        <v>877450</v>
      </c>
      <c r="AK425" s="569">
        <f>IF(AI424&lt;&gt;0,ROUND(AI425/AI423,5),0)</f>
        <v>6.9290000000000004E-2</v>
      </c>
      <c r="AM425" s="611" t="s">
        <v>407</v>
      </c>
      <c r="AR425" s="381"/>
      <c r="AV425" s="166">
        <f>SUMIF($D$5:$D$319,"=kls",AV5:AV319)*HLOOKUP(AX322,Verteil_rwgr,10,FALSE)+SUMIF($D$5:$D$319,"=klm",AV5:AV319)*HLOOKUP(AX322,Verteil_rwgr,11,FALSE)+SUMIF($D$5:$D$319,"=klr",AV5:AV319)*HLOOKUP(AX322,Verteil_rwgr,12,FALSE)+SUMIF($D$5:$D$319,"=klk",AV5:AV319)*HLOOKUP(AX322,Verteil_rwgr,13,FALSE)</f>
        <v>877450</v>
      </c>
      <c r="AX425" s="569">
        <f>IF(AV424&lt;&gt;0,ROUND(AV425/AV423,5),0)</f>
        <v>6.9290000000000004E-2</v>
      </c>
      <c r="AZ425" s="611" t="s">
        <v>407</v>
      </c>
      <c r="BE425" s="381"/>
      <c r="BI425" s="166">
        <f>SUMIF($D$5:$D$319,"=kls",BI5:BI319)*HLOOKUP(BK322,Verteil_rwgr,10,FALSE)+SUMIF($D$5:$D$319,"=klm",BI5:BI319)*HLOOKUP(BK322,Verteil_rwgr,11,FALSE)+SUMIF($D$5:$D$319,"=klr",BI5:BI319)*HLOOKUP(BK322,Verteil_rwgr,12,FALSE)+SUMIF($D$5:$D$319,"=klk",BI5:BI319)*HLOOKUP(BK322,Verteil_rwgr,13,FALSE)</f>
        <v>877450</v>
      </c>
      <c r="BK425" s="569">
        <f>IF(BI424&lt;&gt;0,ROUND(BI425/BI423,5),0)</f>
        <v>6.9290000000000004E-2</v>
      </c>
      <c r="BM425" s="611" t="s">
        <v>407</v>
      </c>
      <c r="BR425" s="381"/>
      <c r="BV425" s="166">
        <f>SUMIF($D$5:$D$319,"=kls",BV5:BV319)*HLOOKUP(BX322,Verteil_rwgr,10,FALSE)+SUMIF($D$5:$D$319,"=klm",BV5:BV319)*HLOOKUP(BX322,Verteil_rwgr,11,FALSE)+SUMIF($D$5:$D$319,"=klr",BV5:BV319)*HLOOKUP(BX322,Verteil_rwgr,12,FALSE)+SUMIF($D$5:$D$319,"=klk",BV5:BV319)*HLOOKUP(BX322,Verteil_rwgr,13,FALSE)</f>
        <v>877450</v>
      </c>
      <c r="BX425" s="569">
        <f>IF(BV424&lt;&gt;0,ROUND(BV425/BV423,5),0)</f>
        <v>6.9290000000000004E-2</v>
      </c>
      <c r="BZ425" s="611" t="s">
        <v>407</v>
      </c>
      <c r="CE425" s="381"/>
      <c r="CI425" s="166">
        <f>SUMIF($D$5:$D$319,"=kls",CI5:CI319)*HLOOKUP(CK322,Verteil_rwgr,10,FALSE)+SUMIF($D$5:$D$319,"=klm",CI5:CI319)*HLOOKUP(CK322,Verteil_rwgr,11,FALSE)+SUMIF($D$5:$D$319,"=klr",CI5:CI319)*HLOOKUP(CK322,Verteil_rwgr,12,FALSE)+SUMIF($D$5:$D$319,"=klk",CI5:CI319)*HLOOKUP(CK322,Verteil_rwgr,13,FALSE)</f>
        <v>877450</v>
      </c>
      <c r="CK425" s="569">
        <f>IF(CI424&lt;&gt;0,ROUND(CI425/CI423,5),0)</f>
        <v>6.9290000000000004E-2</v>
      </c>
      <c r="CM425" s="611" t="s">
        <v>407</v>
      </c>
      <c r="CR425" s="381"/>
      <c r="CV425" s="166">
        <f>SUMIF($D$5:$D$319,"=kls",CV5:CV319)*HLOOKUP(CX322,Verteil_rwgr,10,FALSE)+SUMIF($D$5:$D$319,"=klm",CV5:CV319)*HLOOKUP(CX322,Verteil_rwgr,11,FALSE)+SUMIF($D$5:$D$319,"=klr",CV5:CV319)*HLOOKUP(CX322,Verteil_rwgr,12,FALSE)+SUMIF($D$5:$D$319,"=klk",CV5:CV319)*HLOOKUP(CX322,Verteil_rwgr,13,FALSE)</f>
        <v>877450</v>
      </c>
      <c r="CX425" s="569">
        <f>IF(CV424&lt;&gt;0,ROUND(CV425/CV423,5),0)</f>
        <v>6.9290000000000004E-2</v>
      </c>
      <c r="CZ425" s="611" t="s">
        <v>407</v>
      </c>
      <c r="DE425" s="381"/>
      <c r="DI425" s="166">
        <f>SUMIF($D$5:$D$319,"=kls",DI5:DI319)*HLOOKUP(DK322,Verteil_rwgr,10,FALSE)+SUMIF($D$5:$D$319,"=klm",DI5:DI319)*HLOOKUP(DK322,Verteil_rwgr,11,FALSE)+SUMIF($D$5:$D$319,"=klr",DI5:DI319)*HLOOKUP(DK322,Verteil_rwgr,12,FALSE)+SUMIF($D$5:$D$319,"=klk",DI5:DI319)*HLOOKUP(DK322,Verteil_rwgr,13,FALSE)</f>
        <v>877450</v>
      </c>
      <c r="DK425" s="569">
        <f>IF(DI424&lt;&gt;0,ROUND(DI425/DI423,5),0)</f>
        <v>6.9290000000000004E-2</v>
      </c>
      <c r="DM425" s="611" t="s">
        <v>407</v>
      </c>
      <c r="DR425" s="381"/>
      <c r="DV425" s="166">
        <f>SUMIF($D$5:$D$319,"=kls",DV5:DV319)*HLOOKUP(DX322,Verteil_rwgr,10,FALSE)+SUMIF($D$5:$D$319,"=klm",DV5:DV319)*HLOOKUP(DX322,Verteil_rwgr,11,FALSE)+SUMIF($D$5:$D$319,"=klr",DV5:DV319)*HLOOKUP(DX322,Verteil_rwgr,12,FALSE)+SUMIF($D$5:$D$319,"=klk",DV5:DV319)*HLOOKUP(DX322,Verteil_rwgr,13,FALSE)</f>
        <v>877450</v>
      </c>
      <c r="DX425" s="569">
        <f>IF(DV424&lt;&gt;0,ROUND(DV425/DV423,5),0)</f>
        <v>6.9290000000000004E-2</v>
      </c>
      <c r="DZ425" s="611" t="s">
        <v>407</v>
      </c>
    </row>
    <row r="426" spans="1:130" s="10" customFormat="1" ht="15" customHeight="1" x14ac:dyDescent="0.35">
      <c r="A426" s="563" t="s">
        <v>408</v>
      </c>
      <c r="Q426" s="225">
        <v>105</v>
      </c>
      <c r="R426" s="381"/>
      <c r="V426" s="166">
        <f>SUMIF($D$5:$D$319,"=kls",V5:V319)*HLOOKUP(X322,Verteil_rwst,9,FALSE)+SUMIF($D$5:$D$319,"=klm",V5:V319)*HLOOKUP(X322,Verteil_rwst,10,FALSE)+SUMIF($D$5:$D$319,"=klr",V5:V319)*HLOOKUP(X322,Verteil_rwst,11,FALSE)+SUMIF($D$5:$D$319,"=klk",V5:V319)*HLOOKUP(X322,Verteil_rwst,12,FALSE)</f>
        <v>877450</v>
      </c>
      <c r="X426" s="569">
        <f>IF(V425&lt;&gt;0,ROUND(V426/V423,5),0)</f>
        <v>6.9290000000000004E-2</v>
      </c>
      <c r="Z426" s="563" t="s">
        <v>408</v>
      </c>
      <c r="AE426" s="381"/>
      <c r="AI426" s="166">
        <f>SUMIF($D$5:$D$319,"=kls",AI5:AI319)*HLOOKUP(AK322,Verteil_rwst,9,FALSE)+SUMIF($D$5:$D$319,"=klm",AI5:AI319)*HLOOKUP(AK322,Verteil_rwst,10,FALSE)+SUMIF($D$5:$D$319,"=klr",AI5:AI319)*HLOOKUP(AK322,Verteil_rwst,11,FALSE)+SUMIF($D$5:$D$319,"=klk",AI5:AI319)*HLOOKUP(AK322,Verteil_rwst,12,FALSE)</f>
        <v>877450</v>
      </c>
      <c r="AK426" s="569">
        <f>IF(AI425&lt;&gt;0,ROUND(AI426/AI423,5),0)</f>
        <v>6.9290000000000004E-2</v>
      </c>
      <c r="AM426" s="611" t="s">
        <v>408</v>
      </c>
      <c r="AR426" s="381"/>
      <c r="AV426" s="166">
        <f>SUMIF($D$5:$D$319,"=kls",AV5:AV319)*HLOOKUP(AX322,Verteil_rwst,9,FALSE)+SUMIF($D$5:$D$319,"=klm",AV5:AV319)*HLOOKUP(AX322,Verteil_rwst,10,FALSE)+SUMIF($D$5:$D$319,"=klr",AV5:AV319)*HLOOKUP(AX322,Verteil_rwst,11,FALSE)+SUMIF($D$5:$D$319,"=klk",AV5:AV319)*HLOOKUP(AX322,Verteil_rwst,12,FALSE)</f>
        <v>877450</v>
      </c>
      <c r="AX426" s="569">
        <f>IF(AV425&lt;&gt;0,ROUND(AV426/AV423,5),0)</f>
        <v>6.9290000000000004E-2</v>
      </c>
      <c r="AZ426" s="611" t="s">
        <v>408</v>
      </c>
      <c r="BE426" s="381"/>
      <c r="BI426" s="166">
        <f>SUMIF($D$5:$D$319,"=kls",BI5:BI319)*HLOOKUP(BK322,Verteil_rwst,9,FALSE)+SUMIF($D$5:$D$319,"=klm",BI5:BI319)*HLOOKUP(BK322,Verteil_rwst,10,FALSE)+SUMIF($D$5:$D$319,"=klr",BI5:BI319)*HLOOKUP(BK322,Verteil_rwst,11,FALSE)+SUMIF($D$5:$D$319,"=klk",BI5:BI319)*HLOOKUP(BK322,Verteil_rwst,12,FALSE)</f>
        <v>877450</v>
      </c>
      <c r="BK426" s="569">
        <f>IF(BI425&lt;&gt;0,ROUND(BI426/BI423,5),0)</f>
        <v>6.9290000000000004E-2</v>
      </c>
      <c r="BM426" s="611" t="s">
        <v>408</v>
      </c>
      <c r="BR426" s="381"/>
      <c r="BV426" s="166">
        <f>SUMIF($D$5:$D$319,"=kls",BV5:BV319)*HLOOKUP(BX322,Verteil_rwst,9,FALSE)+SUMIF($D$5:$D$319,"=klm",BV5:BV319)*HLOOKUP(BX322,Verteil_rwst,10,FALSE)+SUMIF($D$5:$D$319,"=klr",BV5:BV319)*HLOOKUP(BX322,Verteil_rwst,11,FALSE)+SUMIF($D$5:$D$319,"=klk",BV5:BV319)*HLOOKUP(BX322,Verteil_rwst,12,FALSE)</f>
        <v>877450</v>
      </c>
      <c r="BX426" s="569">
        <f>IF(BV425&lt;&gt;0,ROUND(BV426/BV423,5),0)</f>
        <v>6.9290000000000004E-2</v>
      </c>
      <c r="BZ426" s="611" t="s">
        <v>408</v>
      </c>
      <c r="CE426" s="381"/>
      <c r="CI426" s="166">
        <f>SUMIF($D$5:$D$319,"=kls",CI5:CI319)*HLOOKUP(CK322,Verteil_rwst,9,FALSE)+SUMIF($D$5:$D$319,"=klm",CI5:CI319)*HLOOKUP(CK322,Verteil_rwst,10,FALSE)+SUMIF($D$5:$D$319,"=klr",CI5:CI319)*HLOOKUP(CK322,Verteil_rwst,11,FALSE)+SUMIF($D$5:$D$319,"=klk",CI5:CI319)*HLOOKUP(CK322,Verteil_rwst,12,FALSE)</f>
        <v>877450</v>
      </c>
      <c r="CK426" s="569">
        <f>IF(CI425&lt;&gt;0,ROUND(CI426/CI423,5),0)</f>
        <v>6.9290000000000004E-2</v>
      </c>
      <c r="CM426" s="611" t="s">
        <v>408</v>
      </c>
      <c r="CR426" s="381"/>
      <c r="CV426" s="166">
        <f>SUMIF($D$5:$D$319,"=kls",CV5:CV319)*HLOOKUP(CX322,Verteil_rwst,9,FALSE)+SUMIF($D$5:$D$319,"=klm",CV5:CV319)*HLOOKUP(CX322,Verteil_rwst,10,FALSE)+SUMIF($D$5:$D$319,"=klr",CV5:CV319)*HLOOKUP(CX322,Verteil_rwst,11,FALSE)+SUMIF($D$5:$D$319,"=klk",CV5:CV319)*HLOOKUP(CX322,Verteil_rwst,12,FALSE)</f>
        <v>877450</v>
      </c>
      <c r="CX426" s="569">
        <f>IF(CV425&lt;&gt;0,ROUND(CV426/CV423,5),0)</f>
        <v>6.9290000000000004E-2</v>
      </c>
      <c r="CZ426" s="611" t="s">
        <v>408</v>
      </c>
      <c r="DE426" s="381"/>
      <c r="DI426" s="166">
        <f>SUMIF($D$5:$D$319,"=kls",DI5:DI319)*HLOOKUP(DK322,Verteil_rwst,9,FALSE)+SUMIF($D$5:$D$319,"=klm",DI5:DI319)*HLOOKUP(DK322,Verteil_rwst,10,FALSE)+SUMIF($D$5:$D$319,"=klr",DI5:DI319)*HLOOKUP(DK322,Verteil_rwst,11,FALSE)+SUMIF($D$5:$D$319,"=klk",DI5:DI319)*HLOOKUP(DK322,Verteil_rwst,12,FALSE)</f>
        <v>877450</v>
      </c>
      <c r="DK426" s="569">
        <f>IF(DI425&lt;&gt;0,ROUND(DI426/DI423,5),0)</f>
        <v>6.9290000000000004E-2</v>
      </c>
      <c r="DM426" s="611" t="s">
        <v>408</v>
      </c>
      <c r="DR426" s="381"/>
      <c r="DV426" s="166">
        <f>SUMIF($D$5:$D$319,"=kls",DV5:DV319)*HLOOKUP(DX322,Verteil_rwst,9,FALSE)+SUMIF($D$5:$D$319,"=klm",DV5:DV319)*HLOOKUP(DX322,Verteil_rwst,10,FALSE)+SUMIF($D$5:$D$319,"=klr",DV5:DV319)*HLOOKUP(DX322,Verteil_rwst,11,FALSE)+SUMIF($D$5:$D$319,"=klk",DV5:DV319)*HLOOKUP(DX322,Verteil_rwst,12,FALSE)</f>
        <v>877450</v>
      </c>
      <c r="DX426" s="569">
        <f>IF(DV425&lt;&gt;0,ROUND(DV426/DV423,5),0)</f>
        <v>6.9290000000000004E-2</v>
      </c>
      <c r="DZ426" s="611" t="s">
        <v>408</v>
      </c>
    </row>
    <row r="427" spans="1:130" s="10" customFormat="1" ht="15" customHeight="1" x14ac:dyDescent="0.35">
      <c r="A427" s="562" t="s">
        <v>421</v>
      </c>
      <c r="Q427" s="225">
        <v>106</v>
      </c>
      <c r="R427" s="381"/>
      <c r="V427" s="166"/>
      <c r="Z427" s="562" t="s">
        <v>421</v>
      </c>
      <c r="AE427" s="381"/>
      <c r="AI427" s="166"/>
      <c r="AM427" s="612" t="s">
        <v>421</v>
      </c>
      <c r="AR427" s="381"/>
      <c r="AV427" s="166"/>
      <c r="AZ427" s="612" t="s">
        <v>421</v>
      </c>
      <c r="BE427" s="381"/>
      <c r="BI427" s="166"/>
      <c r="BM427" s="612" t="s">
        <v>421</v>
      </c>
      <c r="BR427" s="381"/>
      <c r="BV427" s="166"/>
      <c r="BZ427" s="612" t="s">
        <v>421</v>
      </c>
      <c r="CE427" s="381"/>
      <c r="CI427" s="166"/>
      <c r="CM427" s="612" t="s">
        <v>421</v>
      </c>
      <c r="CR427" s="381"/>
      <c r="CV427" s="166"/>
      <c r="CZ427" s="612" t="s">
        <v>421</v>
      </c>
      <c r="DE427" s="381"/>
      <c r="DI427" s="166"/>
      <c r="DM427" s="612" t="s">
        <v>421</v>
      </c>
      <c r="DR427" s="381"/>
      <c r="DV427" s="166"/>
      <c r="DZ427" s="612" t="s">
        <v>421</v>
      </c>
    </row>
    <row r="428" spans="1:130" s="10" customFormat="1" ht="15" customHeight="1" x14ac:dyDescent="0.35">
      <c r="A428" s="211" t="s">
        <v>410</v>
      </c>
      <c r="Q428" s="225">
        <v>107</v>
      </c>
      <c r="R428" s="381"/>
      <c r="V428" s="166">
        <f>SUMIF($D$5:$D$319,"=sos",V5:V319)+SUMIF($D$5:$D$319,"=som",V5:V319)+SUMIF($D$5:$D$319,"=sor",V5:V319)</f>
        <v>2534000</v>
      </c>
      <c r="X428" s="568">
        <f>SUM(X429:X431)</f>
        <v>0.99999000000000005</v>
      </c>
      <c r="Z428" s="211" t="s">
        <v>828</v>
      </c>
      <c r="AE428" s="381"/>
      <c r="AI428" s="166">
        <f>SUMIF($D$5:$D$319,"=sos",AI5:AI319)+SUMIF($D$5:$D$319,"=som",AI5:AI319)+SUMIF($D$5:$D$319,"=sor",AI5:AI319)</f>
        <v>2534000</v>
      </c>
      <c r="AK428" s="568">
        <f>SUM(AK429:AK431)</f>
        <v>0.99999000000000005</v>
      </c>
      <c r="AM428" s="211" t="s">
        <v>828</v>
      </c>
      <c r="AR428" s="381"/>
      <c r="AV428" s="166">
        <f>SUMIF($D$5:$D$319,"=sos",AV5:AV319)+SUMIF($D$5:$D$319,"=som",AV5:AV319)+SUMIF($D$5:$D$319,"=sor",AV5:AV319)</f>
        <v>2534000</v>
      </c>
      <c r="AX428" s="568">
        <f>SUM(AX429:AX431)</f>
        <v>0.99999000000000005</v>
      </c>
      <c r="AZ428" s="211" t="s">
        <v>828</v>
      </c>
      <c r="BE428" s="381"/>
      <c r="BI428" s="166">
        <f>SUMIF($D$5:$D$319,"=sos",BI5:BI319)+SUMIF($D$5:$D$319,"=som",BI5:BI319)+SUMIF($D$5:$D$319,"=sor",BI5:BI319)</f>
        <v>2534000</v>
      </c>
      <c r="BK428" s="568">
        <f>SUM(BK429:BK431)</f>
        <v>0.99999000000000005</v>
      </c>
      <c r="BM428" s="211" t="s">
        <v>828</v>
      </c>
      <c r="BR428" s="381"/>
      <c r="BV428" s="166">
        <f>SUMIF($D$5:$D$319,"=sos",BV5:BV319)+SUMIF($D$5:$D$319,"=som",BV5:BV319)+SUMIF($D$5:$D$319,"=sor",BV5:BV319)</f>
        <v>2534000</v>
      </c>
      <c r="BX428" s="568">
        <f>SUM(BX429:BX431)</f>
        <v>0.99999000000000005</v>
      </c>
      <c r="BZ428" s="211" t="s">
        <v>828</v>
      </c>
      <c r="CE428" s="381"/>
      <c r="CI428" s="166">
        <f>SUMIF($D$5:$D$319,"=sos",CI5:CI319)+SUMIF($D$5:$D$319,"=som",CI5:CI319)+SUMIF($D$5:$D$319,"=sor",CI5:CI319)</f>
        <v>2534000</v>
      </c>
      <c r="CK428" s="568">
        <f>SUM(CK429:CK431)</f>
        <v>0.99999000000000005</v>
      </c>
      <c r="CM428" s="211" t="s">
        <v>828</v>
      </c>
      <c r="CR428" s="381"/>
      <c r="CV428" s="166">
        <f>SUMIF($D$5:$D$319,"=sos",CV5:CV319)+SUMIF($D$5:$D$319,"=som",CV5:CV319)+SUMIF($D$5:$D$319,"=sor",CV5:CV319)</f>
        <v>2534000</v>
      </c>
      <c r="CX428" s="568">
        <f>SUM(CX429:CX431)</f>
        <v>0.99999000000000005</v>
      </c>
      <c r="CZ428" s="211" t="s">
        <v>828</v>
      </c>
      <c r="DE428" s="381"/>
      <c r="DI428" s="166">
        <f>SUMIF($D$5:$D$319,"=sos",DI5:DI319)+SUMIF($D$5:$D$319,"=som",DI5:DI319)+SUMIF($D$5:$D$319,"=sor",DI5:DI319)</f>
        <v>2534000</v>
      </c>
      <c r="DK428" s="568">
        <f>SUM(DK429:DK431)</f>
        <v>0.99999000000000005</v>
      </c>
      <c r="DM428" s="211" t="s">
        <v>828</v>
      </c>
      <c r="DR428" s="381"/>
      <c r="DV428" s="166">
        <f>SUMIF($D$5:$D$319,"=sos",DV5:DV319)+SUMIF($D$5:$D$319,"=som",DV5:DV319)+SUMIF($D$5:$D$319,"=sor",DV5:DV319)</f>
        <v>2534000</v>
      </c>
      <c r="DX428" s="568">
        <f>SUM(DX429:DX431)</f>
        <v>0.99999000000000005</v>
      </c>
      <c r="DZ428" s="211" t="s">
        <v>828</v>
      </c>
    </row>
    <row r="429" spans="1:130" s="10" customFormat="1" ht="15" customHeight="1" x14ac:dyDescent="0.35">
      <c r="A429" s="563" t="s">
        <v>406</v>
      </c>
      <c r="Q429" s="225">
        <v>108</v>
      </c>
      <c r="R429" s="381"/>
      <c r="V429" s="166">
        <f>SUMIF($D$5:$D$319,"=sos",V5:V319)*HLOOKUP(X322,Verteil_sw,17,FALSE)+SUMIF($D$5:$D$319,"=som",V5:V319)*HLOOKUP(X322,Verteil_sw,18,FALSE)+SUMIF($D$5:$D$319,"=sor",V5:V319)*HLOOKUP(X322,Verteil_sw,19,FALSE)</f>
        <v>1480500</v>
      </c>
      <c r="X429" s="569">
        <f>IF(V428&lt;&gt;0,ROUND(V429/V428,5),0)</f>
        <v>0.58425000000000005</v>
      </c>
      <c r="Z429" s="563" t="s">
        <v>406</v>
      </c>
      <c r="AE429" s="381"/>
      <c r="AI429" s="166">
        <f>SUMIF($D$5:$D$319,"=sos",AI5:AI319)*HLOOKUP(AK322,Verteil_sw,17,FALSE)+SUMIF($D$5:$D$319,"=som",AI5:AI319)*HLOOKUP(AK322,Verteil_sw,18,FALSE)+SUMIF($D$5:$D$319,"=sor",AI5:AI319)*HLOOKUP(AK322,Verteil_sw,19,FALSE)</f>
        <v>1480500</v>
      </c>
      <c r="AK429" s="569">
        <f>IF(AI428&lt;&gt;0,ROUND(AI429/AI428,5),0)</f>
        <v>0.58425000000000005</v>
      </c>
      <c r="AM429" s="611" t="s">
        <v>406</v>
      </c>
      <c r="AR429" s="381"/>
      <c r="AV429" s="166">
        <f>SUMIF($D$5:$D$319,"=sos",AV5:AV319)*HLOOKUP(AX322,Verteil_sw,17,FALSE)+SUMIF($D$5:$D$319,"=som",AV5:AV319)*HLOOKUP(AX322,Verteil_sw,18,FALSE)+SUMIF($D$5:$D$319,"=sor",AV5:AV319)*HLOOKUP(AX322,Verteil_sw,19,FALSE)</f>
        <v>1480500</v>
      </c>
      <c r="AX429" s="569">
        <f>IF(AV428&lt;&gt;0,ROUND(AV429/AV428,5),0)</f>
        <v>0.58425000000000005</v>
      </c>
      <c r="AZ429" s="611" t="s">
        <v>406</v>
      </c>
      <c r="BE429" s="381"/>
      <c r="BI429" s="166">
        <f>SUMIF($D$5:$D$319,"=sos",BI5:BI319)*HLOOKUP(BK322,Verteil_sw,17,FALSE)+SUMIF($D$5:$D$319,"=som",BI5:BI319)*HLOOKUP(BK322,Verteil_sw,18,FALSE)+SUMIF($D$5:$D$319,"=sor",BI5:BI319)*HLOOKUP(BK322,Verteil_sw,19,FALSE)</f>
        <v>1480500</v>
      </c>
      <c r="BK429" s="569">
        <f>IF(BI428&lt;&gt;0,ROUND(BI429/BI428,5),0)</f>
        <v>0.58425000000000005</v>
      </c>
      <c r="BM429" s="611" t="s">
        <v>406</v>
      </c>
      <c r="BR429" s="381"/>
      <c r="BV429" s="166">
        <f>SUMIF($D$5:$D$319,"=sos",BV5:BV319)*HLOOKUP(BX322,Verteil_sw,17,FALSE)+SUMIF($D$5:$D$319,"=som",BV5:BV319)*HLOOKUP(BX322,Verteil_sw,18,FALSE)+SUMIF($D$5:$D$319,"=sor",BV5:BV319)*HLOOKUP(BX322,Verteil_sw,19,FALSE)</f>
        <v>1480500</v>
      </c>
      <c r="BX429" s="569">
        <f>IF(BV428&lt;&gt;0,ROUND(BV429/BV428,5),0)</f>
        <v>0.58425000000000005</v>
      </c>
      <c r="BZ429" s="611" t="s">
        <v>406</v>
      </c>
      <c r="CE429" s="381"/>
      <c r="CI429" s="166">
        <f>SUMIF($D$5:$D$319,"=sos",CI5:CI319)*HLOOKUP(CK322,Verteil_sw,17,FALSE)+SUMIF($D$5:$D$319,"=som",CI5:CI319)*HLOOKUP(CK322,Verteil_sw,18,FALSE)+SUMIF($D$5:$D$319,"=sor",CI5:CI319)*HLOOKUP(CK322,Verteil_sw,19,FALSE)</f>
        <v>1480500</v>
      </c>
      <c r="CK429" s="569">
        <f>IF(CI428&lt;&gt;0,ROUND(CI429/CI428,5),0)</f>
        <v>0.58425000000000005</v>
      </c>
      <c r="CM429" s="611" t="s">
        <v>406</v>
      </c>
      <c r="CR429" s="381"/>
      <c r="CV429" s="166">
        <f>SUMIF($D$5:$D$319,"=sos",CV5:CV319)*HLOOKUP(CX322,Verteil_sw,17,FALSE)+SUMIF($D$5:$D$319,"=som",CV5:CV319)*HLOOKUP(CX322,Verteil_sw,18,FALSE)+SUMIF($D$5:$D$319,"=sor",CV5:CV319)*HLOOKUP(CX322,Verteil_sw,19,FALSE)</f>
        <v>1480500</v>
      </c>
      <c r="CX429" s="569">
        <f>IF(CV428&lt;&gt;0,ROUND(CV429/CV428,5),0)</f>
        <v>0.58425000000000005</v>
      </c>
      <c r="CZ429" s="611" t="s">
        <v>406</v>
      </c>
      <c r="DE429" s="381"/>
      <c r="DI429" s="166">
        <f>SUMIF($D$5:$D$319,"=sos",DI5:DI319)*HLOOKUP(DK322,Verteil_sw,17,FALSE)+SUMIF($D$5:$D$319,"=som",DI5:DI319)*HLOOKUP(DK322,Verteil_sw,18,FALSE)+SUMIF($D$5:$D$319,"=sor",DI5:DI319)*HLOOKUP(DK322,Verteil_sw,19,FALSE)</f>
        <v>1480500</v>
      </c>
      <c r="DK429" s="569">
        <f>IF(DI428&lt;&gt;0,ROUND(DI429/DI428,5),0)</f>
        <v>0.58425000000000005</v>
      </c>
      <c r="DM429" s="611" t="s">
        <v>406</v>
      </c>
      <c r="DR429" s="381"/>
      <c r="DV429" s="166">
        <f>SUMIF($D$5:$D$319,"=sos",DV5:DV319)*HLOOKUP(DX322,Verteil_sw,17,FALSE)+SUMIF($D$5:$D$319,"=som",DV5:DV319)*HLOOKUP(DX322,Verteil_sw,18,FALSE)+SUMIF($D$5:$D$319,"=sor",DV5:DV319)*HLOOKUP(DX322,Verteil_sw,19,FALSE)</f>
        <v>1480500</v>
      </c>
      <c r="DX429" s="569">
        <f>IF(DV428&lt;&gt;0,ROUND(DV429/DV428,5),0)</f>
        <v>0.58425000000000005</v>
      </c>
      <c r="DZ429" s="611" t="s">
        <v>406</v>
      </c>
    </row>
    <row r="430" spans="1:130" s="10" customFormat="1" ht="15" customHeight="1" x14ac:dyDescent="0.35">
      <c r="A430" s="563" t="s">
        <v>407</v>
      </c>
      <c r="Q430" s="225">
        <v>109</v>
      </c>
      <c r="R430" s="381"/>
      <c r="V430" s="166">
        <f>SUMIF($D$5:$D$319,"=sos",V5:V319)*HLOOKUP(X322,Verteil_rwgr,16,FALSE)+SUMIF($D$5:$D$319,"=som",V5:V319)*HLOOKUP(X322,Verteil_rwgr,17,FALSE)+SUMIF($D$5:$D$319,"=sor",V5:V319)*HLOOKUP(X322,Verteil_rwgr,18,FALSE)</f>
        <v>526750</v>
      </c>
      <c r="X430" s="569">
        <f>IF(V429&lt;&gt;0,ROUND(V430/V428,5),0)</f>
        <v>0.20787</v>
      </c>
      <c r="Z430" s="563" t="s">
        <v>407</v>
      </c>
      <c r="AE430" s="381"/>
      <c r="AI430" s="166">
        <f>SUMIF($D$5:$D$319,"=sos",AI5:AI319)*HLOOKUP(AK322,Verteil_rwgr,16,FALSE)+SUMIF($D$5:$D$319,"=som",AI5:AI319)*HLOOKUP(AK322,Verteil_rwgr,17,FALSE)+SUMIF($D$5:$D$319,"=sor",AI5:AI319)*HLOOKUP(AK322,Verteil_rwgr,18,FALSE)</f>
        <v>526750</v>
      </c>
      <c r="AK430" s="569">
        <f>IF(AI429&lt;&gt;0,ROUND(AI430/AI428,5),0)</f>
        <v>0.20787</v>
      </c>
      <c r="AM430" s="611" t="s">
        <v>407</v>
      </c>
      <c r="AR430" s="381"/>
      <c r="AV430" s="166">
        <f>SUMIF($D$5:$D$319,"=sos",AV5:AV319)*HLOOKUP(AX322,Verteil_rwgr,16,FALSE)+SUMIF($D$5:$D$319,"=som",AV5:AV319)*HLOOKUP(AX322,Verteil_rwgr,17,FALSE)+SUMIF($D$5:$D$319,"=sor",AV5:AV319)*HLOOKUP(AX322,Verteil_rwgr,18,FALSE)</f>
        <v>526750</v>
      </c>
      <c r="AX430" s="569">
        <f>IF(AV429&lt;&gt;0,ROUND(AV430/AV428,5),0)</f>
        <v>0.20787</v>
      </c>
      <c r="AZ430" s="611" t="s">
        <v>407</v>
      </c>
      <c r="BE430" s="381"/>
      <c r="BI430" s="166">
        <f>SUMIF($D$5:$D$319,"=sos",BI5:BI319)*HLOOKUP(BK322,Verteil_rwgr,16,FALSE)+SUMIF($D$5:$D$319,"=som",BI5:BI319)*HLOOKUP(BK322,Verteil_rwgr,17,FALSE)+SUMIF($D$5:$D$319,"=sor",BI5:BI319)*HLOOKUP(BK322,Verteil_rwgr,18,FALSE)</f>
        <v>526750</v>
      </c>
      <c r="BK430" s="569">
        <f>IF(BI429&lt;&gt;0,ROUND(BI430/BI428,5),0)</f>
        <v>0.20787</v>
      </c>
      <c r="BM430" s="611" t="s">
        <v>407</v>
      </c>
      <c r="BR430" s="381"/>
      <c r="BV430" s="166">
        <f>SUMIF($D$5:$D$319,"=sos",BV5:BV319)*HLOOKUP(BX322,Verteil_rwgr,16,FALSE)+SUMIF($D$5:$D$319,"=som",BV5:BV319)*HLOOKUP(BX322,Verteil_rwgr,17,FALSE)+SUMIF($D$5:$D$319,"=sor",BV5:BV319)*HLOOKUP(BX322,Verteil_rwgr,18,FALSE)</f>
        <v>526750</v>
      </c>
      <c r="BX430" s="569">
        <f>IF(BV429&lt;&gt;0,ROUND(BV430/BV428,5),0)</f>
        <v>0.20787</v>
      </c>
      <c r="BZ430" s="611" t="s">
        <v>407</v>
      </c>
      <c r="CE430" s="381"/>
      <c r="CI430" s="166">
        <f>SUMIF($D$5:$D$319,"=sos",CI5:CI319)*HLOOKUP(CK322,Verteil_rwgr,16,FALSE)+SUMIF($D$5:$D$319,"=som",CI5:CI319)*HLOOKUP(CK322,Verteil_rwgr,17,FALSE)+SUMIF($D$5:$D$319,"=sor",CI5:CI319)*HLOOKUP(CK322,Verteil_rwgr,18,FALSE)</f>
        <v>526750</v>
      </c>
      <c r="CK430" s="569">
        <f>IF(CI429&lt;&gt;0,ROUND(CI430/CI428,5),0)</f>
        <v>0.20787</v>
      </c>
      <c r="CM430" s="611" t="s">
        <v>407</v>
      </c>
      <c r="CR430" s="381"/>
      <c r="CV430" s="166">
        <f>SUMIF($D$5:$D$319,"=sos",CV5:CV319)*HLOOKUP(CX322,Verteil_rwgr,16,FALSE)+SUMIF($D$5:$D$319,"=som",CV5:CV319)*HLOOKUP(CX322,Verteil_rwgr,17,FALSE)+SUMIF($D$5:$D$319,"=sor",CV5:CV319)*HLOOKUP(CX322,Verteil_rwgr,18,FALSE)</f>
        <v>526750</v>
      </c>
      <c r="CX430" s="569">
        <f>IF(CV429&lt;&gt;0,ROUND(CV430/CV428,5),0)</f>
        <v>0.20787</v>
      </c>
      <c r="CZ430" s="611" t="s">
        <v>407</v>
      </c>
      <c r="DE430" s="381"/>
      <c r="DI430" s="166">
        <f>SUMIF($D$5:$D$319,"=sos",DI5:DI319)*HLOOKUP(DK322,Verteil_rwgr,16,FALSE)+SUMIF($D$5:$D$319,"=som",DI5:DI319)*HLOOKUP(DK322,Verteil_rwgr,17,FALSE)+SUMIF($D$5:$D$319,"=sor",DI5:DI319)*HLOOKUP(DK322,Verteil_rwgr,18,FALSE)</f>
        <v>526750</v>
      </c>
      <c r="DK430" s="569">
        <f>IF(DI429&lt;&gt;0,ROUND(DI430/DI428,5),0)</f>
        <v>0.20787</v>
      </c>
      <c r="DM430" s="611" t="s">
        <v>407</v>
      </c>
      <c r="DR430" s="381"/>
      <c r="DV430" s="166">
        <f>SUMIF($D$5:$D$319,"=sos",DV5:DV319)*HLOOKUP(DX322,Verteil_rwgr,16,FALSE)+SUMIF($D$5:$D$319,"=som",DV5:DV319)*HLOOKUP(DX322,Verteil_rwgr,17,FALSE)+SUMIF($D$5:$D$319,"=sor",DV5:DV319)*HLOOKUP(DX322,Verteil_rwgr,18,FALSE)</f>
        <v>526750</v>
      </c>
      <c r="DX430" s="569">
        <f>IF(DV429&lt;&gt;0,ROUND(DV430/DV428,5),0)</f>
        <v>0.20787</v>
      </c>
      <c r="DZ430" s="611" t="s">
        <v>407</v>
      </c>
    </row>
    <row r="431" spans="1:130" s="10" customFormat="1" ht="15" customHeight="1" x14ac:dyDescent="0.35">
      <c r="A431" s="563" t="s">
        <v>408</v>
      </c>
      <c r="Q431" s="225">
        <v>110</v>
      </c>
      <c r="R431" s="381"/>
      <c r="V431" s="166">
        <f>SUMIF($D$5:$D$319,"=sos",V5:V319)*HLOOKUP(X322,Verteil_rwst,15,FALSE)+SUMIF($D$5:$D$319,"=som",V5:V319)*HLOOKUP(X322,Verteil_rwst,16,FALSE)+SUMIF($D$5:$D$319,"=sor",V5:V319)*HLOOKUP(X322,Verteil_rwst,17,FALSE)</f>
        <v>526750</v>
      </c>
      <c r="X431" s="569">
        <f>IF(V430&lt;&gt;0,ROUND(V431/V428,5),0)</f>
        <v>0.20787</v>
      </c>
      <c r="Z431" s="563" t="s">
        <v>408</v>
      </c>
      <c r="AE431" s="381"/>
      <c r="AI431" s="166">
        <f>SUMIF($D$5:$D$319,"=sos",AI5:AI319)*HLOOKUP(AK322,Verteil_rwst,15,FALSE)+SUMIF($D$5:$D$319,"=som",AI5:AI319)*HLOOKUP(AK322,Verteil_rwst,16,FALSE)+SUMIF($D$5:$D$319,"=sor",AI5:AI319)*HLOOKUP(AK322,Verteil_rwst,17,FALSE)</f>
        <v>526750</v>
      </c>
      <c r="AK431" s="569">
        <f>IF(AI430&lt;&gt;0,ROUND(AI431/AI428,5),0)</f>
        <v>0.20787</v>
      </c>
      <c r="AM431" s="611" t="s">
        <v>408</v>
      </c>
      <c r="AR431" s="381"/>
      <c r="AV431" s="166">
        <f>SUMIF($D$5:$D$319,"=sos",AV5:AV319)*HLOOKUP(AX322,Verteil_rwst,15,FALSE)+SUMIF($D$5:$D$319,"=som",AV5:AV319)*HLOOKUP(AX322,Verteil_rwst,16,FALSE)+SUMIF($D$5:$D$319,"=sor",AV5:AV319)*HLOOKUP(AX322,Verteil_rwst,17,FALSE)</f>
        <v>526750</v>
      </c>
      <c r="AX431" s="569">
        <f>IF(AV430&lt;&gt;0,ROUND(AV431/AV428,5),0)</f>
        <v>0.20787</v>
      </c>
      <c r="AZ431" s="611" t="s">
        <v>408</v>
      </c>
      <c r="BE431" s="381"/>
      <c r="BI431" s="166">
        <f>SUMIF($D$5:$D$319,"=sos",BI5:BI319)*HLOOKUP(BK322,Verteil_rwst,15,FALSE)+SUMIF($D$5:$D$319,"=som",BI5:BI319)*HLOOKUP(BK322,Verteil_rwst,16,FALSE)+SUMIF($D$5:$D$319,"=sor",BI5:BI319)*HLOOKUP(BK322,Verteil_rwst,17,FALSE)</f>
        <v>526750</v>
      </c>
      <c r="BK431" s="569">
        <f>IF(BI430&lt;&gt;0,ROUND(BI431/BI428,5),0)</f>
        <v>0.20787</v>
      </c>
      <c r="BM431" s="611" t="s">
        <v>408</v>
      </c>
      <c r="BR431" s="381"/>
      <c r="BV431" s="166">
        <f>SUMIF($D$5:$D$319,"=sos",BV5:BV319)*HLOOKUP(BX322,Verteil_rwst,15,FALSE)+SUMIF($D$5:$D$319,"=som",BV5:BV319)*HLOOKUP(BX322,Verteil_rwst,16,FALSE)+SUMIF($D$5:$D$319,"=sor",BV5:BV319)*HLOOKUP(BX322,Verteil_rwst,17,FALSE)</f>
        <v>526750</v>
      </c>
      <c r="BX431" s="569">
        <f>IF(BV430&lt;&gt;0,ROUND(BV431/BV428,5),0)</f>
        <v>0.20787</v>
      </c>
      <c r="BZ431" s="611" t="s">
        <v>408</v>
      </c>
      <c r="CE431" s="381"/>
      <c r="CI431" s="166">
        <f>SUMIF($D$5:$D$319,"=sos",CI5:CI319)*HLOOKUP(CK322,Verteil_rwst,15,FALSE)+SUMIF($D$5:$D$319,"=som",CI5:CI319)*HLOOKUP(CK322,Verteil_rwst,16,FALSE)+SUMIF($D$5:$D$319,"=sor",CI5:CI319)*HLOOKUP(CK322,Verteil_rwst,17,FALSE)</f>
        <v>526750</v>
      </c>
      <c r="CK431" s="569">
        <f>IF(CI430&lt;&gt;0,ROUND(CI431/CI428,5),0)</f>
        <v>0.20787</v>
      </c>
      <c r="CM431" s="611" t="s">
        <v>408</v>
      </c>
      <c r="CR431" s="381"/>
      <c r="CV431" s="166">
        <f>SUMIF($D$5:$D$319,"=sos",CV5:CV319)*HLOOKUP(CX322,Verteil_rwst,15,FALSE)+SUMIF($D$5:$D$319,"=som",CV5:CV319)*HLOOKUP(CX322,Verteil_rwst,16,FALSE)+SUMIF($D$5:$D$319,"=sor",CV5:CV319)*HLOOKUP(CX322,Verteil_rwst,17,FALSE)</f>
        <v>526750</v>
      </c>
      <c r="CX431" s="569">
        <f>IF(CV430&lt;&gt;0,ROUND(CV431/CV428,5),0)</f>
        <v>0.20787</v>
      </c>
      <c r="CZ431" s="611" t="s">
        <v>408</v>
      </c>
      <c r="DE431" s="381"/>
      <c r="DI431" s="166">
        <f>SUMIF($D$5:$D$319,"=sos",DI5:DI319)*HLOOKUP(DK322,Verteil_rwst,15,FALSE)+SUMIF($D$5:$D$319,"=som",DI5:DI319)*HLOOKUP(DK322,Verteil_rwst,16,FALSE)+SUMIF($D$5:$D$319,"=sor",DI5:DI319)*HLOOKUP(DK322,Verteil_rwst,17,FALSE)</f>
        <v>526750</v>
      </c>
      <c r="DK431" s="569">
        <f>IF(DI430&lt;&gt;0,ROUND(DI431/DI428,5),0)</f>
        <v>0.20787</v>
      </c>
      <c r="DM431" s="611" t="s">
        <v>408</v>
      </c>
      <c r="DR431" s="381"/>
      <c r="DV431" s="166">
        <f>SUMIF($D$5:$D$319,"=sos",DV5:DV319)*HLOOKUP(DX322,Verteil_rwst,15,FALSE)+SUMIF($D$5:$D$319,"=som",DV5:DV319)*HLOOKUP(DX322,Verteil_rwst,16,FALSE)+SUMIF($D$5:$D$319,"=sor",DV5:DV319)*HLOOKUP(DX322,Verteil_rwst,17,FALSE)</f>
        <v>526750</v>
      </c>
      <c r="DX431" s="569">
        <f>IF(DV430&lt;&gt;0,ROUND(DV431/DV428,5),0)</f>
        <v>0.20787</v>
      </c>
      <c r="DZ431" s="611" t="s">
        <v>408</v>
      </c>
    </row>
    <row r="432" spans="1:130" s="10" customFormat="1" ht="15" customHeight="1" x14ac:dyDescent="0.35">
      <c r="A432" s="562" t="s">
        <v>422</v>
      </c>
      <c r="Q432" s="225">
        <v>111</v>
      </c>
      <c r="R432" s="381"/>
      <c r="V432" s="166"/>
      <c r="Z432" s="562" t="s">
        <v>422</v>
      </c>
      <c r="AE432" s="381"/>
      <c r="AI432" s="166"/>
      <c r="AM432" s="612" t="s">
        <v>422</v>
      </c>
      <c r="AR432" s="381"/>
      <c r="AV432" s="166"/>
      <c r="AZ432" s="612" t="s">
        <v>422</v>
      </c>
      <c r="BE432" s="381"/>
      <c r="BI432" s="166"/>
      <c r="BM432" s="612" t="s">
        <v>422</v>
      </c>
      <c r="BR432" s="381"/>
      <c r="BV432" s="166"/>
      <c r="BZ432" s="612" t="s">
        <v>422</v>
      </c>
      <c r="CE432" s="381"/>
      <c r="CI432" s="166"/>
      <c r="CM432" s="612" t="s">
        <v>422</v>
      </c>
      <c r="CR432" s="381"/>
      <c r="CV432" s="166"/>
      <c r="CZ432" s="612" t="s">
        <v>422</v>
      </c>
      <c r="DE432" s="381"/>
      <c r="DI432" s="166"/>
      <c r="DM432" s="612" t="s">
        <v>422</v>
      </c>
      <c r="DR432" s="381"/>
      <c r="DV432" s="166"/>
      <c r="DZ432" s="612" t="s">
        <v>422</v>
      </c>
    </row>
    <row r="433" spans="1:130" s="10" customFormat="1" ht="15" customHeight="1" x14ac:dyDescent="0.35">
      <c r="A433" s="211" t="s">
        <v>411</v>
      </c>
      <c r="Q433" s="225">
        <v>112</v>
      </c>
      <c r="R433" s="381"/>
      <c r="V433" s="166">
        <f>SUMIF($D$5:$D$319,"=has",V5:V319)+SUMIF($D$5:$D$319,"=ham",V5:V319)+SUMIF($D$5:$D$319,"=har",V5:V319)</f>
        <v>2172000</v>
      </c>
      <c r="X433" s="568">
        <f>SUM(X434:X436)</f>
        <v>1</v>
      </c>
      <c r="Z433" s="211" t="s">
        <v>829</v>
      </c>
      <c r="AE433" s="381"/>
      <c r="AI433" s="166">
        <f>SUMIF($D$5:$D$319,"=has",AI5:AI319)+SUMIF($D$5:$D$319,"=ham",AI5:AI319)+SUMIF($D$5:$D$319,"=har",AI5:AI319)</f>
        <v>2172000</v>
      </c>
      <c r="AK433" s="568">
        <f>SUM(AK434:AK436)</f>
        <v>1</v>
      </c>
      <c r="AM433" s="211" t="s">
        <v>829</v>
      </c>
      <c r="AR433" s="381"/>
      <c r="AV433" s="166">
        <f>SUMIF($D$5:$D$319,"=has",AV5:AV319)+SUMIF($D$5:$D$319,"=ham",AV5:AV319)+SUMIF($D$5:$D$319,"=har",AV5:AV319)</f>
        <v>2172000</v>
      </c>
      <c r="AX433" s="568">
        <f>SUM(AX434:AX436)</f>
        <v>1</v>
      </c>
      <c r="AZ433" s="211" t="s">
        <v>829</v>
      </c>
      <c r="BE433" s="381"/>
      <c r="BI433" s="166">
        <f>SUMIF($D$5:$D$319,"=has",BI5:BI319)+SUMIF($D$5:$D$319,"=ham",BI5:BI319)+SUMIF($D$5:$D$319,"=har",BI5:BI319)</f>
        <v>2172000</v>
      </c>
      <c r="BK433" s="568">
        <f>SUM(BK434:BK436)</f>
        <v>1</v>
      </c>
      <c r="BM433" s="211" t="s">
        <v>829</v>
      </c>
      <c r="BR433" s="381"/>
      <c r="BV433" s="166">
        <f>SUMIF($D$5:$D$319,"=has",BV5:BV319)+SUMIF($D$5:$D$319,"=ham",BV5:BV319)+SUMIF($D$5:$D$319,"=har",BV5:BV319)</f>
        <v>2172000</v>
      </c>
      <c r="BX433" s="568">
        <f>SUM(BX434:BX436)</f>
        <v>1</v>
      </c>
      <c r="BZ433" s="211" t="s">
        <v>829</v>
      </c>
      <c r="CE433" s="381"/>
      <c r="CI433" s="166">
        <f>SUMIF($D$5:$D$319,"=has",CI5:CI319)+SUMIF($D$5:$D$319,"=ham",CI5:CI319)+SUMIF($D$5:$D$319,"=har",CI5:CI319)</f>
        <v>2172000</v>
      </c>
      <c r="CK433" s="568">
        <f>SUM(CK434:CK436)</f>
        <v>1</v>
      </c>
      <c r="CM433" s="211" t="s">
        <v>829</v>
      </c>
      <c r="CR433" s="381"/>
      <c r="CV433" s="166">
        <f>SUMIF($D$5:$D$319,"=has",CV5:CV319)+SUMIF($D$5:$D$319,"=ham",CV5:CV319)+SUMIF($D$5:$D$319,"=har",CV5:CV319)</f>
        <v>2172000</v>
      </c>
      <c r="CX433" s="568">
        <f>SUM(CX434:CX436)</f>
        <v>1</v>
      </c>
      <c r="CZ433" s="211" t="s">
        <v>829</v>
      </c>
      <c r="DE433" s="381"/>
      <c r="DI433" s="166">
        <f>SUMIF($D$5:$D$319,"=has",DI5:DI319)+SUMIF($D$5:$D$319,"=ham",DI5:DI319)+SUMIF($D$5:$D$319,"=har",DI5:DI319)</f>
        <v>2172000</v>
      </c>
      <c r="DK433" s="568">
        <f>SUM(DK434:DK436)</f>
        <v>1</v>
      </c>
      <c r="DM433" s="211" t="s">
        <v>829</v>
      </c>
      <c r="DR433" s="381"/>
      <c r="DV433" s="166">
        <f>SUMIF($D$5:$D$319,"=has",DV5:DV319)+SUMIF($D$5:$D$319,"=ham",DV5:DV319)+SUMIF($D$5:$D$319,"=har",DV5:DV319)</f>
        <v>2172000</v>
      </c>
      <c r="DX433" s="568">
        <f>SUM(DX434:DX436)</f>
        <v>1</v>
      </c>
      <c r="DZ433" s="211" t="s">
        <v>829</v>
      </c>
    </row>
    <row r="434" spans="1:130" s="10" customFormat="1" ht="15" customHeight="1" x14ac:dyDescent="0.35">
      <c r="A434" s="563" t="s">
        <v>406</v>
      </c>
      <c r="Q434" s="225">
        <v>113</v>
      </c>
      <c r="R434" s="381"/>
      <c r="V434" s="166">
        <f>SUMIF($D$5:$D$319,"=has",V5:V319)*HLOOKUP(X322,Verteil_sw,22,FALSE)+SUMIF($D$5:$D$319,"=ham",V5:V319)*HLOOKUP(X322,Verteil_sw,23,FALSE)+SUMIF($D$5:$D$319,"=har",V5:V319)*HLOOKUP(X322,Verteil_sw,24,FALSE)</f>
        <v>1177500</v>
      </c>
      <c r="X434" s="569">
        <f>IF(V433&lt;&gt;0,ROUND(V434/V433,5),0)</f>
        <v>0.54213</v>
      </c>
      <c r="Z434" s="563" t="s">
        <v>406</v>
      </c>
      <c r="AE434" s="381"/>
      <c r="AI434" s="166">
        <f>SUMIF($D$5:$D$319,"=has",AI5:AI319)*HLOOKUP(AK322,Verteil_sw,22,FALSE)+SUMIF($D$5:$D$319,"=ham",AI5:AI319)*HLOOKUP(AK322,Verteil_sw,23,FALSE)+SUMIF($D$5:$D$319,"=har",AI5:AI319)*HLOOKUP(AK322,Verteil_sw,24,FALSE)</f>
        <v>1177500</v>
      </c>
      <c r="AK434" s="569">
        <f>IF(AI433&lt;&gt;0,ROUND(AI434/AI433,5),0)</f>
        <v>0.54213</v>
      </c>
      <c r="AM434" s="611" t="s">
        <v>406</v>
      </c>
      <c r="AR434" s="381"/>
      <c r="AV434" s="166">
        <f>SUMIF($D$5:$D$319,"=has",AV5:AV319)*HLOOKUP(AX322,Verteil_sw,22,FALSE)+SUMIF($D$5:$D$319,"=ham",AV5:AV319)*HLOOKUP(AX322,Verteil_sw,23,FALSE)+SUMIF($D$5:$D$319,"=har",AV5:AV319)*HLOOKUP(AX322,Verteil_sw,24,FALSE)</f>
        <v>1177500</v>
      </c>
      <c r="AX434" s="569">
        <f>IF(AV433&lt;&gt;0,ROUND(AV434/AV433,5),0)</f>
        <v>0.54213</v>
      </c>
      <c r="AZ434" s="611" t="s">
        <v>406</v>
      </c>
      <c r="BE434" s="381"/>
      <c r="BI434" s="166">
        <f>SUMIF($D$5:$D$319,"=has",BI5:BI319)*HLOOKUP(BK322,Verteil_sw,22,FALSE)+SUMIF($D$5:$D$319,"=ham",BI5:BI319)*HLOOKUP(BK322,Verteil_sw,23,FALSE)+SUMIF($D$5:$D$319,"=har",BI5:BI319)*HLOOKUP(BK322,Verteil_sw,24,FALSE)</f>
        <v>1177500</v>
      </c>
      <c r="BK434" s="569">
        <f>IF(BI433&lt;&gt;0,ROUND(BI434/BI433,5),0)</f>
        <v>0.54213</v>
      </c>
      <c r="BM434" s="611" t="s">
        <v>406</v>
      </c>
      <c r="BR434" s="381"/>
      <c r="BV434" s="166">
        <f>SUMIF($D$5:$D$319,"=has",BV5:BV319)*HLOOKUP(BX322,Verteil_sw,22,FALSE)+SUMIF($D$5:$D$319,"=ham",BV5:BV319)*HLOOKUP(BX322,Verteil_sw,23,FALSE)+SUMIF($D$5:$D$319,"=har",BV5:BV319)*HLOOKUP(BX322,Verteil_sw,24,FALSE)</f>
        <v>1177500</v>
      </c>
      <c r="BX434" s="569">
        <f>IF(BV433&lt;&gt;0,ROUND(BV434/BV433,5),0)</f>
        <v>0.54213</v>
      </c>
      <c r="BZ434" s="611" t="s">
        <v>406</v>
      </c>
      <c r="CE434" s="381"/>
      <c r="CI434" s="166">
        <f>SUMIF($D$5:$D$319,"=has",CI5:CI319)*HLOOKUP(CK322,Verteil_sw,22,FALSE)+SUMIF($D$5:$D$319,"=ham",CI5:CI319)*HLOOKUP(CK322,Verteil_sw,23,FALSE)+SUMIF($D$5:$D$319,"=har",CI5:CI319)*HLOOKUP(CK322,Verteil_sw,24,FALSE)</f>
        <v>1177500</v>
      </c>
      <c r="CK434" s="569">
        <f>IF(CI433&lt;&gt;0,ROUND(CI434/CI433,5),0)</f>
        <v>0.54213</v>
      </c>
      <c r="CM434" s="611" t="s">
        <v>406</v>
      </c>
      <c r="CR434" s="381"/>
      <c r="CV434" s="166">
        <f>SUMIF($D$5:$D$319,"=has",CV5:CV319)*HLOOKUP(CX322,Verteil_sw,22,FALSE)+SUMIF($D$5:$D$319,"=ham",CV5:CV319)*HLOOKUP(CX322,Verteil_sw,23,FALSE)+SUMIF($D$5:$D$319,"=har",CV5:CV319)*HLOOKUP(CX322,Verteil_sw,24,FALSE)</f>
        <v>1177500</v>
      </c>
      <c r="CX434" s="569">
        <f>IF(CV433&lt;&gt;0,ROUND(CV434/CV433,5),0)</f>
        <v>0.54213</v>
      </c>
      <c r="CZ434" s="611" t="s">
        <v>406</v>
      </c>
      <c r="DE434" s="381"/>
      <c r="DI434" s="166">
        <f>SUMIF($D$5:$D$319,"=has",DI5:DI319)*HLOOKUP(DK322,Verteil_sw,22,FALSE)+SUMIF($D$5:$D$319,"=ham",DI5:DI319)*HLOOKUP(DK322,Verteil_sw,23,FALSE)+SUMIF($D$5:$D$319,"=har",DI5:DI319)*HLOOKUP(DK322,Verteil_sw,24,FALSE)</f>
        <v>1177500</v>
      </c>
      <c r="DK434" s="569">
        <f>IF(DI433&lt;&gt;0,ROUND(DI434/DI433,5),0)</f>
        <v>0.54213</v>
      </c>
      <c r="DM434" s="611" t="s">
        <v>406</v>
      </c>
      <c r="DR434" s="381"/>
      <c r="DV434" s="166">
        <f>SUMIF($D$5:$D$319,"=has",DV5:DV319)*HLOOKUP(DX322,Verteil_sw,22,FALSE)+SUMIF($D$5:$D$319,"=ham",DV5:DV319)*HLOOKUP(DX322,Verteil_sw,23,FALSE)+SUMIF($D$5:$D$319,"=har",DV5:DV319)*HLOOKUP(DX322,Verteil_sw,24,FALSE)</f>
        <v>1177500</v>
      </c>
      <c r="DX434" s="569">
        <f>IF(DV433&lt;&gt;0,ROUND(DV434/DV433,5),0)</f>
        <v>0.54213</v>
      </c>
      <c r="DZ434" s="611" t="s">
        <v>406</v>
      </c>
    </row>
    <row r="435" spans="1:130" s="10" customFormat="1" ht="15" customHeight="1" x14ac:dyDescent="0.35">
      <c r="A435" s="563" t="s">
        <v>407</v>
      </c>
      <c r="Q435" s="225">
        <v>114</v>
      </c>
      <c r="R435" s="381"/>
      <c r="V435" s="166">
        <f>SUMIF($D$5:$D$319,"=has",V5:V319)*HLOOKUP(X322,Verteil_rwgr,21,FALSE)+SUMIF($D$5:$D$319,"=ham",V5:V319)*HLOOKUP(X322,Verteil_rwgr,22,FALSE)+SUMIF($D$5:$D$319,"=har",V5:V319)*HLOOKUP(X322,Verteil_rwgr,23,FALSE)</f>
        <v>994500</v>
      </c>
      <c r="X435" s="569">
        <f>IF(V434&lt;&gt;0,ROUND(V435/V433,5),0)</f>
        <v>0.45787</v>
      </c>
      <c r="Z435" s="563" t="s">
        <v>407</v>
      </c>
      <c r="AE435" s="381"/>
      <c r="AI435" s="166">
        <f>SUMIF($D$5:$D$319,"=has",AI5:AI319)*HLOOKUP(AK322,Verteil_rwgr,21,FALSE)+SUMIF($D$5:$D$319,"=ham",AI5:AI319)*HLOOKUP(AK322,Verteil_rwgr,22,FALSE)+SUMIF($D$5:$D$319,"=har",AI5:AI319)*HLOOKUP(AK322,Verteil_rwgr,23,FALSE)</f>
        <v>994500</v>
      </c>
      <c r="AK435" s="569">
        <f>IF(AI434&lt;&gt;0,ROUND(AI435/AI433,5),0)</f>
        <v>0.45787</v>
      </c>
      <c r="AM435" s="611" t="s">
        <v>407</v>
      </c>
      <c r="AR435" s="381"/>
      <c r="AV435" s="166">
        <f>SUMIF($D$5:$D$319,"=has",AV5:AV319)*HLOOKUP(AX322,Verteil_rwgr,21,FALSE)+SUMIF($D$5:$D$319,"=ham",AV5:AV319)*HLOOKUP(AX322,Verteil_rwgr,22,FALSE)+SUMIF($D$5:$D$319,"=har",AV5:AV319)*HLOOKUP(AX322,Verteil_rwgr,23,FALSE)</f>
        <v>994500</v>
      </c>
      <c r="AX435" s="569">
        <f>IF(AV434&lt;&gt;0,ROUND(AV435/AV433,5),0)</f>
        <v>0.45787</v>
      </c>
      <c r="AZ435" s="611" t="s">
        <v>407</v>
      </c>
      <c r="BE435" s="381"/>
      <c r="BI435" s="166">
        <f>SUMIF($D$5:$D$319,"=has",BI5:BI319)*HLOOKUP(BK322,Verteil_rwgr,21,FALSE)+SUMIF($D$5:$D$319,"=ham",BI5:BI319)*HLOOKUP(BK322,Verteil_rwgr,22,FALSE)+SUMIF($D$5:$D$319,"=har",BI5:BI319)*HLOOKUP(BK322,Verteil_rwgr,23,FALSE)</f>
        <v>994500</v>
      </c>
      <c r="BK435" s="569">
        <f>IF(BI434&lt;&gt;0,ROUND(BI435/BI433,5),0)</f>
        <v>0.45787</v>
      </c>
      <c r="BM435" s="611" t="s">
        <v>407</v>
      </c>
      <c r="BR435" s="381"/>
      <c r="BV435" s="166">
        <f>SUMIF($D$5:$D$319,"=has",BV5:BV319)*HLOOKUP(BX322,Verteil_rwgr,21,FALSE)+SUMIF($D$5:$D$319,"=ham",BV5:BV319)*HLOOKUP(BX322,Verteil_rwgr,22,FALSE)+SUMIF($D$5:$D$319,"=har",BV5:BV319)*HLOOKUP(BX322,Verteil_rwgr,23,FALSE)</f>
        <v>994500</v>
      </c>
      <c r="BX435" s="569">
        <f>IF(BV434&lt;&gt;0,ROUND(BV435/BV433,5),0)</f>
        <v>0.45787</v>
      </c>
      <c r="BZ435" s="611" t="s">
        <v>407</v>
      </c>
      <c r="CE435" s="381"/>
      <c r="CI435" s="166">
        <f>SUMIF($D$5:$D$319,"=has",CI5:CI319)*HLOOKUP(CK322,Verteil_rwgr,21,FALSE)+SUMIF($D$5:$D$319,"=ham",CI5:CI319)*HLOOKUP(CK322,Verteil_rwgr,22,FALSE)+SUMIF($D$5:$D$319,"=har",CI5:CI319)*HLOOKUP(CK322,Verteil_rwgr,23,FALSE)</f>
        <v>994500</v>
      </c>
      <c r="CK435" s="569">
        <f>IF(CI434&lt;&gt;0,ROUND(CI435/CI433,5),0)</f>
        <v>0.45787</v>
      </c>
      <c r="CM435" s="611" t="s">
        <v>407</v>
      </c>
      <c r="CR435" s="381"/>
      <c r="CV435" s="166">
        <f>SUMIF($D$5:$D$319,"=has",CV5:CV319)*HLOOKUP(CX322,Verteil_rwgr,21,FALSE)+SUMIF($D$5:$D$319,"=ham",CV5:CV319)*HLOOKUP(CX322,Verteil_rwgr,22,FALSE)+SUMIF($D$5:$D$319,"=har",CV5:CV319)*HLOOKUP(CX322,Verteil_rwgr,23,FALSE)</f>
        <v>994500</v>
      </c>
      <c r="CX435" s="569">
        <f>IF(CV434&lt;&gt;0,ROUND(CV435/CV433,5),0)</f>
        <v>0.45787</v>
      </c>
      <c r="CZ435" s="611" t="s">
        <v>407</v>
      </c>
      <c r="DE435" s="381"/>
      <c r="DI435" s="166">
        <f>SUMIF($D$5:$D$319,"=has",DI5:DI319)*HLOOKUP(DK322,Verteil_rwgr,21,FALSE)+SUMIF($D$5:$D$319,"=ham",DI5:DI319)*HLOOKUP(DK322,Verteil_rwgr,22,FALSE)+SUMIF($D$5:$D$319,"=har",DI5:DI319)*HLOOKUP(DK322,Verteil_rwgr,23,FALSE)</f>
        <v>994500</v>
      </c>
      <c r="DK435" s="569">
        <f>IF(DI434&lt;&gt;0,ROUND(DI435/DI433,5),0)</f>
        <v>0.45787</v>
      </c>
      <c r="DM435" s="611" t="s">
        <v>407</v>
      </c>
      <c r="DR435" s="381"/>
      <c r="DV435" s="166">
        <f>SUMIF($D$5:$D$319,"=has",DV5:DV319)*HLOOKUP(DX322,Verteil_rwgr,21,FALSE)+SUMIF($D$5:$D$319,"=ham",DV5:DV319)*HLOOKUP(DX322,Verteil_rwgr,22,FALSE)+SUMIF($D$5:$D$319,"=har",DV5:DV319)*HLOOKUP(DX322,Verteil_rwgr,23,FALSE)</f>
        <v>994500</v>
      </c>
      <c r="DX435" s="569">
        <f>IF(DV434&lt;&gt;0,ROUND(DV435/DV433,5),0)</f>
        <v>0.45787</v>
      </c>
      <c r="DZ435" s="611" t="s">
        <v>407</v>
      </c>
    </row>
    <row r="436" spans="1:130" s="10" customFormat="1" ht="14.5" customHeight="1" x14ac:dyDescent="0.35">
      <c r="A436" s="563" t="s">
        <v>427</v>
      </c>
      <c r="Q436" s="225">
        <v>115</v>
      </c>
      <c r="R436" s="381"/>
      <c r="V436" s="166"/>
      <c r="X436" s="568"/>
      <c r="Z436" s="563" t="s">
        <v>427</v>
      </c>
      <c r="AE436" s="381"/>
      <c r="AI436" s="166"/>
      <c r="AK436" s="568"/>
      <c r="AM436" s="611" t="s">
        <v>427</v>
      </c>
      <c r="AR436" s="381"/>
      <c r="AV436" s="166"/>
      <c r="AX436" s="568"/>
      <c r="AZ436" s="611" t="s">
        <v>427</v>
      </c>
      <c r="BE436" s="381"/>
      <c r="BI436" s="166"/>
      <c r="BK436" s="568"/>
      <c r="BM436" s="611" t="s">
        <v>427</v>
      </c>
      <c r="BR436" s="381"/>
      <c r="BV436" s="166"/>
      <c r="BX436" s="568"/>
      <c r="BZ436" s="611" t="s">
        <v>427</v>
      </c>
      <c r="CE436" s="381"/>
      <c r="CI436" s="166"/>
      <c r="CK436" s="568"/>
      <c r="CM436" s="611" t="s">
        <v>427</v>
      </c>
      <c r="CR436" s="381"/>
      <c r="CV436" s="166"/>
      <c r="CX436" s="568"/>
      <c r="CZ436" s="611" t="s">
        <v>427</v>
      </c>
      <c r="DE436" s="381"/>
      <c r="DI436" s="166"/>
      <c r="DK436" s="568"/>
      <c r="DM436" s="611" t="s">
        <v>427</v>
      </c>
      <c r="DR436" s="381"/>
      <c r="DV436" s="166"/>
      <c r="DX436" s="568"/>
      <c r="DZ436" s="611" t="s">
        <v>427</v>
      </c>
    </row>
    <row r="437" spans="1:130" s="10" customFormat="1" ht="14.5" customHeight="1" x14ac:dyDescent="0.35">
      <c r="A437" s="562" t="s">
        <v>423</v>
      </c>
      <c r="Q437" s="225">
        <v>116</v>
      </c>
      <c r="R437" s="381"/>
      <c r="V437" s="166"/>
      <c r="Z437" s="562" t="s">
        <v>423</v>
      </c>
      <c r="AE437" s="381"/>
      <c r="AI437" s="166"/>
      <c r="AM437" s="612" t="s">
        <v>423</v>
      </c>
      <c r="AR437" s="381"/>
      <c r="AV437" s="166"/>
      <c r="AZ437" s="612" t="s">
        <v>423</v>
      </c>
      <c r="BE437" s="381"/>
      <c r="BI437" s="166"/>
      <c r="BM437" s="612" t="s">
        <v>423</v>
      </c>
      <c r="BR437" s="381"/>
      <c r="BV437" s="166"/>
      <c r="BZ437" s="612" t="s">
        <v>423</v>
      </c>
      <c r="CE437" s="381"/>
      <c r="CI437" s="166"/>
      <c r="CM437" s="612" t="s">
        <v>423</v>
      </c>
      <c r="CR437" s="381"/>
      <c r="CV437" s="166"/>
      <c r="CZ437" s="612" t="s">
        <v>423</v>
      </c>
      <c r="DE437" s="381"/>
      <c r="DI437" s="166"/>
      <c r="DM437" s="612" t="s">
        <v>423</v>
      </c>
      <c r="DR437" s="381"/>
      <c r="DV437" s="166"/>
      <c r="DZ437" s="612" t="s">
        <v>423</v>
      </c>
    </row>
    <row r="438" spans="1:130" s="10" customFormat="1" ht="14.5" customHeight="1" x14ac:dyDescent="0.35">
      <c r="A438" s="211" t="s">
        <v>412</v>
      </c>
      <c r="Q438" s="225">
        <v>117</v>
      </c>
      <c r="R438" s="381"/>
      <c r="V438" s="166">
        <f>SUMIF($D$5:$D$319,"=sas",V5:V319)+SUMIF($D$5:$D$319,"=sam",V5:V319)+SUMIF($D$5:$D$319,"=sar",V5:V319)</f>
        <v>0</v>
      </c>
      <c r="X438" s="568">
        <f>SUM(X439:X441)</f>
        <v>0</v>
      </c>
      <c r="Z438" s="211" t="s">
        <v>830</v>
      </c>
      <c r="AE438" s="381"/>
      <c r="AI438" s="166">
        <f>SUMIF($D$5:$D$319,"=sas",AI5:AI319)+SUMIF($D$5:$D$319,"=sam",AI5:AI319)+SUMIF($D$5:$D$319,"=sar",AI5:AI319)</f>
        <v>0</v>
      </c>
      <c r="AK438" s="568">
        <f>SUM(AK439:AK441)</f>
        <v>0</v>
      </c>
      <c r="AM438" s="211" t="s">
        <v>830</v>
      </c>
      <c r="AR438" s="381"/>
      <c r="AV438" s="166">
        <f>SUMIF($D$5:$D$319,"=sas",AV5:AV319)+SUMIF($D$5:$D$319,"=sam",AV5:AV319)+SUMIF($D$5:$D$319,"=sar",AV5:AV319)</f>
        <v>0</v>
      </c>
      <c r="AX438" s="568">
        <f>SUM(AX439:AX441)</f>
        <v>0</v>
      </c>
      <c r="AZ438" s="211" t="s">
        <v>830</v>
      </c>
      <c r="BE438" s="381"/>
      <c r="BI438" s="166">
        <f>SUMIF($D$5:$D$319,"=sas",BI5:BI319)+SUMIF($D$5:$D$319,"=sam",BI5:BI319)+SUMIF($D$5:$D$319,"=sar",BI5:BI319)</f>
        <v>0</v>
      </c>
      <c r="BK438" s="568">
        <f>SUM(BK439:BK441)</f>
        <v>0</v>
      </c>
      <c r="BM438" s="211" t="s">
        <v>830</v>
      </c>
      <c r="BR438" s="381"/>
      <c r="BV438" s="166">
        <f>SUMIF($D$5:$D$319,"=sas",BV5:BV319)+SUMIF($D$5:$D$319,"=sam",BV5:BV319)+SUMIF($D$5:$D$319,"=sar",BV5:BV319)</f>
        <v>0</v>
      </c>
      <c r="BX438" s="568">
        <f>SUM(BX439:BX441)</f>
        <v>0</v>
      </c>
      <c r="BZ438" s="211" t="s">
        <v>830</v>
      </c>
      <c r="CE438" s="381"/>
      <c r="CI438" s="166">
        <f>SUMIF($D$5:$D$319,"=sas",CI5:CI319)+SUMIF($D$5:$D$319,"=sam",CI5:CI319)+SUMIF($D$5:$D$319,"=sar",CI5:CI319)</f>
        <v>0</v>
      </c>
      <c r="CK438" s="568">
        <f>SUM(CK439:CK441)</f>
        <v>0</v>
      </c>
      <c r="CM438" s="211" t="s">
        <v>830</v>
      </c>
      <c r="CR438" s="381"/>
      <c r="CV438" s="166">
        <f>SUMIF($D$5:$D$319,"=sas",CV5:CV319)+SUMIF($D$5:$D$319,"=sam",CV5:CV319)+SUMIF($D$5:$D$319,"=sar",CV5:CV319)</f>
        <v>0</v>
      </c>
      <c r="CX438" s="568">
        <f>SUM(CX439:CX441)</f>
        <v>0</v>
      </c>
      <c r="CZ438" s="211" t="s">
        <v>830</v>
      </c>
      <c r="DE438" s="381"/>
      <c r="DI438" s="166">
        <f>SUMIF($D$5:$D$319,"=sas",DI5:DI319)+SUMIF($D$5:$D$319,"=sam",DI5:DI319)+SUMIF($D$5:$D$319,"=sar",DI5:DI319)</f>
        <v>0</v>
      </c>
      <c r="DK438" s="568">
        <f>SUM(DK439:DK441)</f>
        <v>0</v>
      </c>
      <c r="DM438" s="211" t="s">
        <v>830</v>
      </c>
      <c r="DR438" s="381"/>
      <c r="DV438" s="166">
        <f>SUMIF($D$5:$D$319,"=sas",DV5:DV319)+SUMIF($D$5:$D$319,"=sam",DV5:DV319)+SUMIF($D$5:$D$319,"=sar",DV5:DV319)</f>
        <v>0</v>
      </c>
      <c r="DX438" s="568">
        <f>SUM(DX439:DX441)</f>
        <v>0</v>
      </c>
      <c r="DZ438" s="211" t="s">
        <v>830</v>
      </c>
    </row>
    <row r="439" spans="1:130" s="10" customFormat="1" ht="14.5" customHeight="1" x14ac:dyDescent="0.35">
      <c r="A439" s="563" t="s">
        <v>406</v>
      </c>
      <c r="Q439" s="225">
        <v>118</v>
      </c>
      <c r="R439" s="381"/>
      <c r="V439" s="166">
        <f>SUMIF($D$5:$D$319,"=sas",V5:V319)*HLOOKUP(X322,Verteil_sw,27,FALSE)+SUMIF($D$5:$D$319,"=sam",V5:V319)*HLOOKUP(X322,Verteil_sw,28,FALSE)+SUMIF($D$5:$D$319,"=sar",V5:V319)*HLOOKUP(X322,Verteil_sw,29,FALSE)</f>
        <v>0</v>
      </c>
      <c r="X439" s="569">
        <f>IF(V438&lt;&gt;0,ROUND(V439/V438,5),0)</f>
        <v>0</v>
      </c>
      <c r="Z439" s="563" t="s">
        <v>406</v>
      </c>
      <c r="AE439" s="381"/>
      <c r="AI439" s="166">
        <f>SUMIF($D$5:$D$319,"=sas",AI5:AI319)*HLOOKUP(AK322,Verteil_sw,27,FALSE)+SUMIF($D$5:$D$319,"=sam",AI5:AI319)*HLOOKUP(AK322,Verteil_sw,28,FALSE)+SUMIF($D$5:$D$319,"=sar",AI5:AI319)*HLOOKUP(AK322,Verteil_sw,29,FALSE)</f>
        <v>0</v>
      </c>
      <c r="AK439" s="569">
        <f>IF(AI438&lt;&gt;0,ROUND(AI439/AI438,5),0)</f>
        <v>0</v>
      </c>
      <c r="AM439" s="611" t="s">
        <v>406</v>
      </c>
      <c r="AR439" s="381"/>
      <c r="AV439" s="166">
        <f>SUMIF($D$5:$D$319,"=sas",AV5:AV319)*HLOOKUP(AX322,Verteil_sw,27,FALSE)+SUMIF($D$5:$D$319,"=sam",AV5:AV319)*HLOOKUP(AX322,Verteil_sw,28,FALSE)+SUMIF($D$5:$D$319,"=sar",AV5:AV319)*HLOOKUP(AX322,Verteil_sw,29,FALSE)</f>
        <v>0</v>
      </c>
      <c r="AX439" s="569">
        <f>IF(AV438&lt;&gt;0,ROUND(AV439/AV438,5),0)</f>
        <v>0</v>
      </c>
      <c r="AZ439" s="611" t="s">
        <v>406</v>
      </c>
      <c r="BE439" s="381"/>
      <c r="BI439" s="166">
        <f>SUMIF($D$5:$D$319,"=sas",BI5:BI319)*HLOOKUP(BK322,Verteil_sw,27,FALSE)+SUMIF($D$5:$D$319,"=sam",BI5:BI319)*HLOOKUP(BK322,Verteil_sw,28,FALSE)+SUMIF($D$5:$D$319,"=sar",BI5:BI319)*HLOOKUP(BK322,Verteil_sw,29,FALSE)</f>
        <v>0</v>
      </c>
      <c r="BK439" s="569">
        <f>IF(BI438&lt;&gt;0,ROUND(BI439/BI438,5),0)</f>
        <v>0</v>
      </c>
      <c r="BM439" s="611" t="s">
        <v>406</v>
      </c>
      <c r="BR439" s="381"/>
      <c r="BV439" s="166">
        <f>SUMIF($D$5:$D$319,"=sas",BV5:BV319)*HLOOKUP(BX322,Verteil_sw,27,FALSE)+SUMIF($D$5:$D$319,"=sam",BV5:BV319)*HLOOKUP(BX322,Verteil_sw,28,FALSE)+SUMIF($D$5:$D$319,"=sar",BV5:BV319)*HLOOKUP(BX322,Verteil_sw,29,FALSE)</f>
        <v>0</v>
      </c>
      <c r="BX439" s="569">
        <f>IF(BV438&lt;&gt;0,ROUND(BV439/BV438,5),0)</f>
        <v>0</v>
      </c>
      <c r="BZ439" s="611" t="s">
        <v>406</v>
      </c>
      <c r="CE439" s="381"/>
      <c r="CI439" s="166">
        <f>SUMIF($D$5:$D$319,"=sas",CI5:CI319)*HLOOKUP(CK322,Verteil_sw,27,FALSE)+SUMIF($D$5:$D$319,"=sam",CI5:CI319)*HLOOKUP(CK322,Verteil_sw,28,FALSE)+SUMIF($D$5:$D$319,"=sar",CI5:CI319)*HLOOKUP(CK322,Verteil_sw,29,FALSE)</f>
        <v>0</v>
      </c>
      <c r="CK439" s="569">
        <f>IF(CI438&lt;&gt;0,ROUND(CI439/CI438,5),0)</f>
        <v>0</v>
      </c>
      <c r="CM439" s="611" t="s">
        <v>406</v>
      </c>
      <c r="CR439" s="381"/>
      <c r="CV439" s="166">
        <f>SUMIF($D$5:$D$319,"=sas",CV5:CV319)*HLOOKUP(CX322,Verteil_sw,27,FALSE)+SUMIF($D$5:$D$319,"=sam",CV5:CV319)*HLOOKUP(CX322,Verteil_sw,28,FALSE)+SUMIF($D$5:$D$319,"=sar",CV5:CV319)*HLOOKUP(CX322,Verteil_sw,29,FALSE)</f>
        <v>0</v>
      </c>
      <c r="CX439" s="569">
        <f>IF(CV438&lt;&gt;0,ROUND(CV439/CV438,5),0)</f>
        <v>0</v>
      </c>
      <c r="CZ439" s="611" t="s">
        <v>406</v>
      </c>
      <c r="DE439" s="381"/>
      <c r="DI439" s="166">
        <f>SUMIF($D$5:$D$319,"=sas",DI5:DI319)*HLOOKUP(DK322,Verteil_sw,27,FALSE)+SUMIF($D$5:$D$319,"=sam",DI5:DI319)*HLOOKUP(DK322,Verteil_sw,28,FALSE)+SUMIF($D$5:$D$319,"=sar",DI5:DI319)*HLOOKUP(DK322,Verteil_sw,29,FALSE)</f>
        <v>0</v>
      </c>
      <c r="DK439" s="569">
        <f>IF(DI438&lt;&gt;0,ROUND(DI439/DI438,5),0)</f>
        <v>0</v>
      </c>
      <c r="DM439" s="611" t="s">
        <v>406</v>
      </c>
      <c r="DR439" s="381"/>
      <c r="DV439" s="166">
        <f>SUMIF($D$5:$D$319,"=sas",DV5:DV319)*HLOOKUP(DX322,Verteil_sw,27,FALSE)+SUMIF($D$5:$D$319,"=sam",DV5:DV319)*HLOOKUP(DX322,Verteil_sw,28,FALSE)+SUMIF($D$5:$D$319,"=sar",DV5:DV319)*HLOOKUP(DX322,Verteil_sw,29,FALSE)</f>
        <v>0</v>
      </c>
      <c r="DX439" s="569">
        <f>IF(DV438&lt;&gt;0,ROUND(DV439/DV438,5),0)</f>
        <v>0</v>
      </c>
      <c r="DZ439" s="611" t="s">
        <v>406</v>
      </c>
    </row>
    <row r="440" spans="1:130" s="10" customFormat="1" ht="14.5" customHeight="1" x14ac:dyDescent="0.35">
      <c r="A440" s="563" t="s">
        <v>407</v>
      </c>
      <c r="Q440" s="225">
        <v>119</v>
      </c>
      <c r="R440" s="381"/>
      <c r="V440" s="166">
        <f>SUMIF($D$5:$D$319,"=sas",V5:V319)*HLOOKUP(X322,Verteil_rwgr,26,FALSE)+SUMIF($D$5:$D$319,"=sam",V5:V319)*HLOOKUP(X322,Verteil_rwgr,27,FALSE)+SUMIF($D$5:$D$319,"=sar",V5:V319)*HLOOKUP(X322,Verteil_rwgr,28,FALSE)</f>
        <v>0</v>
      </c>
      <c r="X440" s="569">
        <f>IF(V439&lt;&gt;0,ROUND(V440/V438,5),0)</f>
        <v>0</v>
      </c>
      <c r="Z440" s="563" t="s">
        <v>407</v>
      </c>
      <c r="AE440" s="381"/>
      <c r="AI440" s="166">
        <f>SUMIF($D$5:$D$319,"=sas",AI5:AI319)*HLOOKUP(AK322,Verteil_rwgr,26,FALSE)+SUMIF($D$5:$D$319,"=sam",AI5:AI319)*HLOOKUP(AK322,Verteil_rwgr,27,FALSE)+SUMIF($D$5:$D$319,"=sar",AI5:AI319)*HLOOKUP(AK322,Verteil_rwgr,28,FALSE)</f>
        <v>0</v>
      </c>
      <c r="AK440" s="569">
        <f>IF(AI439&lt;&gt;0,ROUND(AI440/AI438,5),0)</f>
        <v>0</v>
      </c>
      <c r="AM440" s="611" t="s">
        <v>407</v>
      </c>
      <c r="AR440" s="381"/>
      <c r="AV440" s="166">
        <f>SUMIF($D$5:$D$319,"=sas",AV5:AV319)*HLOOKUP(AX322,Verteil_rwgr,26,FALSE)+SUMIF($D$5:$D$319,"=sam",AV5:AV319)*HLOOKUP(AX322,Verteil_rwgr,27,FALSE)+SUMIF($D$5:$D$319,"=sar",AV5:AV319)*HLOOKUP(AX322,Verteil_rwgr,28,FALSE)</f>
        <v>0</v>
      </c>
      <c r="AX440" s="569">
        <f>IF(AV439&lt;&gt;0,ROUND(AV440/AV438,5),0)</f>
        <v>0</v>
      </c>
      <c r="AZ440" s="611" t="s">
        <v>407</v>
      </c>
      <c r="BE440" s="381"/>
      <c r="BI440" s="166">
        <f>SUMIF($D$5:$D$319,"=sas",BI5:BI319)*HLOOKUP(BK322,Verteil_rwgr,26,FALSE)+SUMIF($D$5:$D$319,"=sam",BI5:BI319)*HLOOKUP(BK322,Verteil_rwgr,27,FALSE)+SUMIF($D$5:$D$319,"=sar",BI5:BI319)*HLOOKUP(BK322,Verteil_rwgr,28,FALSE)</f>
        <v>0</v>
      </c>
      <c r="BK440" s="569">
        <f>IF(BI439&lt;&gt;0,ROUND(BI440/BI438,5),0)</f>
        <v>0</v>
      </c>
      <c r="BM440" s="611" t="s">
        <v>407</v>
      </c>
      <c r="BR440" s="381"/>
      <c r="BV440" s="166">
        <f>SUMIF($D$5:$D$319,"=sas",BV5:BV319)*HLOOKUP(BX322,Verteil_rwgr,26,FALSE)+SUMIF($D$5:$D$319,"=sam",BV5:BV319)*HLOOKUP(BX322,Verteil_rwgr,27,FALSE)+SUMIF($D$5:$D$319,"=sar",BV5:BV319)*HLOOKUP(BX322,Verteil_rwgr,28,FALSE)</f>
        <v>0</v>
      </c>
      <c r="BX440" s="569">
        <f>IF(BV439&lt;&gt;0,ROUND(BV440/BV438,5),0)</f>
        <v>0</v>
      </c>
      <c r="BZ440" s="611" t="s">
        <v>407</v>
      </c>
      <c r="CE440" s="381"/>
      <c r="CI440" s="166">
        <f>SUMIF($D$5:$D$319,"=sas",CI5:CI319)*HLOOKUP(CK322,Verteil_rwgr,26,FALSE)+SUMIF($D$5:$D$319,"=sam",CI5:CI319)*HLOOKUP(CK322,Verteil_rwgr,27,FALSE)+SUMIF($D$5:$D$319,"=sar",CI5:CI319)*HLOOKUP(CK322,Verteil_rwgr,28,FALSE)</f>
        <v>0</v>
      </c>
      <c r="CK440" s="569">
        <f>IF(CI439&lt;&gt;0,ROUND(CI440/CI438,5),0)</f>
        <v>0</v>
      </c>
      <c r="CM440" s="611" t="s">
        <v>407</v>
      </c>
      <c r="CR440" s="381"/>
      <c r="CV440" s="166">
        <f>SUMIF($D$5:$D$319,"=sas",CV5:CV319)*HLOOKUP(CX322,Verteil_rwgr,26,FALSE)+SUMIF($D$5:$D$319,"=sam",CV5:CV319)*HLOOKUP(CX322,Verteil_rwgr,27,FALSE)+SUMIF($D$5:$D$319,"=sar",CV5:CV319)*HLOOKUP(CX322,Verteil_rwgr,28,FALSE)</f>
        <v>0</v>
      </c>
      <c r="CX440" s="569">
        <f>IF(CV439&lt;&gt;0,ROUND(CV440/CV438,5),0)</f>
        <v>0</v>
      </c>
      <c r="CZ440" s="611" t="s">
        <v>407</v>
      </c>
      <c r="DE440" s="381"/>
      <c r="DI440" s="166">
        <f>SUMIF($D$5:$D$319,"=sas",DI5:DI319)*HLOOKUP(DK322,Verteil_rwgr,26,FALSE)+SUMIF($D$5:$D$319,"=sam",DI5:DI319)*HLOOKUP(DK322,Verteil_rwgr,27,FALSE)+SUMIF($D$5:$D$319,"=sar",DI5:DI319)*HLOOKUP(DK322,Verteil_rwgr,28,FALSE)</f>
        <v>0</v>
      </c>
      <c r="DK440" s="569">
        <f>IF(DI439&lt;&gt;0,ROUND(DI440/DI438,5),0)</f>
        <v>0</v>
      </c>
      <c r="DM440" s="611" t="s">
        <v>407</v>
      </c>
      <c r="DR440" s="381"/>
      <c r="DV440" s="166">
        <f>SUMIF($D$5:$D$319,"=sas",DV5:DV319)*HLOOKUP(DX322,Verteil_rwgr,26,FALSE)+SUMIF($D$5:$D$319,"=sam",DV5:DV319)*HLOOKUP(DX322,Verteil_rwgr,27,FALSE)+SUMIF($D$5:$D$319,"=sar",DV5:DV319)*HLOOKUP(DX322,Verteil_rwgr,28,FALSE)</f>
        <v>0</v>
      </c>
      <c r="DX440" s="569">
        <f>IF(DV439&lt;&gt;0,ROUND(DV440/DV438,5),0)</f>
        <v>0</v>
      </c>
      <c r="DZ440" s="611" t="s">
        <v>407</v>
      </c>
    </row>
    <row r="441" spans="1:130" s="10" customFormat="1" ht="14.5" customHeight="1" x14ac:dyDescent="0.35">
      <c r="A441" s="563" t="s">
        <v>408</v>
      </c>
      <c r="Q441" s="225">
        <v>120</v>
      </c>
      <c r="R441" s="381"/>
      <c r="V441" s="166">
        <f>SUMIF($D$5:$D$319,"=sas",V5:V319)*HLOOKUP(X322,Verteil_rwst,25,FALSE)+SUMIF($D$5:$D$319,"=sam",V5:V319)*HLOOKUP(X322,Verteil_rwst,26,FALSE)+SUMIF($D$5:$D$319,"=sar",V5:V319)*HLOOKUP(X322,Verteil_rwst,27,FALSE)</f>
        <v>0</v>
      </c>
      <c r="X441" s="569">
        <f>IF(V440&lt;&gt;0,ROUND(V441/V438,5),0)</f>
        <v>0</v>
      </c>
      <c r="Z441" s="563" t="s">
        <v>408</v>
      </c>
      <c r="AE441" s="381"/>
      <c r="AI441" s="166">
        <f>SUMIF($D$5:$D$319,"=sas",AI5:AI319)*HLOOKUP(AK322,Verteil_rwst,25,FALSE)+SUMIF($D$5:$D$319,"=sam",AI5:AI319)*HLOOKUP(AK322,Verteil_rwst,26,FALSE)+SUMIF($D$5:$D$319,"=sar",AI5:AI319)*HLOOKUP(AK322,Verteil_rwst,27,FALSE)</f>
        <v>0</v>
      </c>
      <c r="AK441" s="569">
        <f>IF(AI440&lt;&gt;0,ROUND(AI441/AI438,5),0)</f>
        <v>0</v>
      </c>
      <c r="AM441" s="611" t="s">
        <v>408</v>
      </c>
      <c r="AR441" s="381"/>
      <c r="AV441" s="166">
        <f>SUMIF($D$5:$D$319,"=sas",AV5:AV319)*HLOOKUP(AX322,Verteil_rwst,25,FALSE)+SUMIF($D$5:$D$319,"=sam",AV5:AV319)*HLOOKUP(AX322,Verteil_rwst,26,FALSE)+SUMIF($D$5:$D$319,"=sar",AV5:AV319)*HLOOKUP(AX322,Verteil_rwst,27,FALSE)</f>
        <v>0</v>
      </c>
      <c r="AX441" s="569">
        <f>IF(AV440&lt;&gt;0,ROUND(AV441/AV438,5),0)</f>
        <v>0</v>
      </c>
      <c r="AZ441" s="611" t="s">
        <v>408</v>
      </c>
      <c r="BE441" s="381"/>
      <c r="BI441" s="166">
        <f>SUMIF($D$5:$D$319,"=sas",BI5:BI319)*HLOOKUP(BK322,Verteil_rwst,25,FALSE)+SUMIF($D$5:$D$319,"=sam",BI5:BI319)*HLOOKUP(BK322,Verteil_rwst,26,FALSE)+SUMIF($D$5:$D$319,"=sar",BI5:BI319)*HLOOKUP(BK322,Verteil_rwst,27,FALSE)</f>
        <v>0</v>
      </c>
      <c r="BK441" s="569">
        <f>IF(BI440&lt;&gt;0,ROUND(BI441/BI438,5),0)</f>
        <v>0</v>
      </c>
      <c r="BM441" s="611" t="s">
        <v>408</v>
      </c>
      <c r="BR441" s="381"/>
      <c r="BV441" s="166">
        <f>SUMIF($D$5:$D$319,"=sas",BV5:BV319)*HLOOKUP(BX322,Verteil_rwst,25,FALSE)+SUMIF($D$5:$D$319,"=sam",BV5:BV319)*HLOOKUP(BX322,Verteil_rwst,26,FALSE)+SUMIF($D$5:$D$319,"=sar",BV5:BV319)*HLOOKUP(BX322,Verteil_rwst,27,FALSE)</f>
        <v>0</v>
      </c>
      <c r="BX441" s="569">
        <f>IF(BV440&lt;&gt;0,ROUND(BV441/BV438,5),0)</f>
        <v>0</v>
      </c>
      <c r="BZ441" s="611" t="s">
        <v>408</v>
      </c>
      <c r="CE441" s="381"/>
      <c r="CI441" s="166">
        <f>SUMIF($D$5:$D$319,"=sas",CI5:CI319)*HLOOKUP(CK322,Verteil_rwst,25,FALSE)+SUMIF($D$5:$D$319,"=sam",CI5:CI319)*HLOOKUP(CK322,Verteil_rwst,26,FALSE)+SUMIF($D$5:$D$319,"=sar",CI5:CI319)*HLOOKUP(CK322,Verteil_rwst,27,FALSE)</f>
        <v>0</v>
      </c>
      <c r="CK441" s="569">
        <f>IF(CI440&lt;&gt;0,ROUND(CI441/CI438,5),0)</f>
        <v>0</v>
      </c>
      <c r="CM441" s="611" t="s">
        <v>408</v>
      </c>
      <c r="CR441" s="381"/>
      <c r="CV441" s="166">
        <f>SUMIF($D$5:$D$319,"=sas",CV5:CV319)*HLOOKUP(CX322,Verteil_rwst,25,FALSE)+SUMIF($D$5:$D$319,"=sam",CV5:CV319)*HLOOKUP(CX322,Verteil_rwst,26,FALSE)+SUMIF($D$5:$D$319,"=sar",CV5:CV319)*HLOOKUP(CX322,Verteil_rwst,27,FALSE)</f>
        <v>0</v>
      </c>
      <c r="CX441" s="569">
        <f>IF(CV440&lt;&gt;0,ROUND(CV441/CV438,5),0)</f>
        <v>0</v>
      </c>
      <c r="CZ441" s="611" t="s">
        <v>408</v>
      </c>
      <c r="DE441" s="381"/>
      <c r="DI441" s="166">
        <f>SUMIF($D$5:$D$319,"=sas",DI5:DI319)*HLOOKUP(DK322,Verteil_rwst,25,FALSE)+SUMIF($D$5:$D$319,"=sam",DI5:DI319)*HLOOKUP(DK322,Verteil_rwst,26,FALSE)+SUMIF($D$5:$D$319,"=sar",DI5:DI319)*HLOOKUP(DK322,Verteil_rwst,27,FALSE)</f>
        <v>0</v>
      </c>
      <c r="DK441" s="569">
        <f>IF(DI440&lt;&gt;0,ROUND(DI441/DI438,5),0)</f>
        <v>0</v>
      </c>
      <c r="DM441" s="611" t="s">
        <v>408</v>
      </c>
      <c r="DR441" s="381"/>
      <c r="DV441" s="166">
        <f>SUMIF($D$5:$D$319,"=sas",DV5:DV319)*HLOOKUP(DX322,Verteil_rwst,25,FALSE)+SUMIF($D$5:$D$319,"=sam",DV5:DV319)*HLOOKUP(DX322,Verteil_rwst,26,FALSE)+SUMIF($D$5:$D$319,"=sar",DV5:DV319)*HLOOKUP(DX322,Verteil_rwst,27,FALSE)</f>
        <v>0</v>
      </c>
      <c r="DX441" s="569">
        <f>IF(DV440&lt;&gt;0,ROUND(DV441/DV438,5),0)</f>
        <v>0</v>
      </c>
      <c r="DZ441" s="611" t="s">
        <v>408</v>
      </c>
    </row>
    <row r="442" spans="1:130" s="10" customFormat="1" ht="14.5" customHeight="1" x14ac:dyDescent="0.35">
      <c r="A442" s="562" t="s">
        <v>424</v>
      </c>
      <c r="Q442" s="225">
        <v>121</v>
      </c>
      <c r="R442" s="381"/>
      <c r="V442" s="166"/>
      <c r="Z442" s="562" t="s">
        <v>424</v>
      </c>
      <c r="AE442" s="381"/>
      <c r="AI442" s="166"/>
      <c r="AM442" s="612" t="s">
        <v>424</v>
      </c>
      <c r="AR442" s="381"/>
      <c r="AV442" s="166"/>
      <c r="AZ442" s="612" t="s">
        <v>424</v>
      </c>
      <c r="BE442" s="381"/>
      <c r="BI442" s="166"/>
      <c r="BM442" s="612" t="s">
        <v>424</v>
      </c>
      <c r="BR442" s="381"/>
      <c r="BV442" s="166"/>
      <c r="BZ442" s="612" t="s">
        <v>424</v>
      </c>
      <c r="CE442" s="381"/>
      <c r="CI442" s="166"/>
      <c r="CM442" s="612" t="s">
        <v>424</v>
      </c>
      <c r="CR442" s="381"/>
      <c r="CV442" s="166"/>
      <c r="CZ442" s="612" t="s">
        <v>424</v>
      </c>
      <c r="DE442" s="381"/>
      <c r="DI442" s="166"/>
      <c r="DM442" s="612" t="s">
        <v>424</v>
      </c>
      <c r="DR442" s="381"/>
      <c r="DV442" s="166"/>
      <c r="DZ442" s="612" t="s">
        <v>424</v>
      </c>
    </row>
    <row r="443" spans="1:130" s="10" customFormat="1" ht="14.5" customHeight="1" x14ac:dyDescent="0.35">
      <c r="A443" s="211" t="s">
        <v>413</v>
      </c>
      <c r="Q443" s="225">
        <v>122</v>
      </c>
      <c r="R443" s="381"/>
      <c r="V443" s="166">
        <f>V423</f>
        <v>12663500</v>
      </c>
      <c r="Z443" s="211" t="s">
        <v>413</v>
      </c>
      <c r="AE443" s="381"/>
      <c r="AI443" s="166">
        <f>AI423</f>
        <v>12663500</v>
      </c>
      <c r="AM443" s="211" t="s">
        <v>413</v>
      </c>
      <c r="AR443" s="381"/>
      <c r="AV443" s="166">
        <f>AV423</f>
        <v>12663500</v>
      </c>
      <c r="AZ443" s="211" t="s">
        <v>413</v>
      </c>
      <c r="BE443" s="381"/>
      <c r="BI443" s="166">
        <f>BI423</f>
        <v>12663500</v>
      </c>
      <c r="BM443" s="211" t="s">
        <v>413</v>
      </c>
      <c r="BR443" s="381"/>
      <c r="BV443" s="166">
        <f>BV423</f>
        <v>12663500</v>
      </c>
      <c r="BZ443" s="211" t="s">
        <v>413</v>
      </c>
      <c r="CE443" s="381"/>
      <c r="CI443" s="166">
        <f>CI423</f>
        <v>12663500</v>
      </c>
      <c r="CM443" s="211" t="s">
        <v>413</v>
      </c>
      <c r="CR443" s="381"/>
      <c r="CV443" s="166">
        <f>CV423</f>
        <v>12663500</v>
      </c>
      <c r="CZ443" s="211" t="s">
        <v>413</v>
      </c>
      <c r="DE443" s="381"/>
      <c r="DI443" s="166">
        <f>DI423</f>
        <v>12663500</v>
      </c>
      <c r="DM443" s="211" t="s">
        <v>413</v>
      </c>
      <c r="DR443" s="381"/>
      <c r="DV443" s="166">
        <f>DV423</f>
        <v>12663500</v>
      </c>
      <c r="DZ443" s="211" t="s">
        <v>413</v>
      </c>
    </row>
    <row r="444" spans="1:130" s="10" customFormat="1" ht="14.5" customHeight="1" x14ac:dyDescent="0.35">
      <c r="A444" s="563" t="s">
        <v>414</v>
      </c>
      <c r="Q444" s="225">
        <v>123</v>
      </c>
      <c r="R444" s="381"/>
      <c r="V444" s="166">
        <f>-V426</f>
        <v>-877450</v>
      </c>
      <c r="Z444" s="563" t="s">
        <v>414</v>
      </c>
      <c r="AE444" s="381"/>
      <c r="AI444" s="166">
        <f>-AI426</f>
        <v>-877450</v>
      </c>
      <c r="AM444" s="611" t="s">
        <v>414</v>
      </c>
      <c r="AR444" s="381"/>
      <c r="AV444" s="166">
        <f>-AV426</f>
        <v>-877450</v>
      </c>
      <c r="AZ444" s="611" t="s">
        <v>414</v>
      </c>
      <c r="BE444" s="381"/>
      <c r="BI444" s="166">
        <f>-BI426</f>
        <v>-877450</v>
      </c>
      <c r="BM444" s="611" t="s">
        <v>414</v>
      </c>
      <c r="BR444" s="381"/>
      <c r="BV444" s="166">
        <f>-BV426</f>
        <v>-877450</v>
      </c>
      <c r="BZ444" s="611" t="s">
        <v>414</v>
      </c>
      <c r="CE444" s="381"/>
      <c r="CI444" s="166">
        <f>-CI426</f>
        <v>-877450</v>
      </c>
      <c r="CM444" s="611" t="s">
        <v>414</v>
      </c>
      <c r="CR444" s="381"/>
      <c r="CV444" s="166">
        <f>-CV426</f>
        <v>-877450</v>
      </c>
      <c r="CZ444" s="611" t="s">
        <v>414</v>
      </c>
      <c r="DE444" s="381"/>
      <c r="DI444" s="166">
        <f>-DI426</f>
        <v>-877450</v>
      </c>
      <c r="DM444" s="611" t="s">
        <v>414</v>
      </c>
      <c r="DR444" s="381"/>
      <c r="DV444" s="166">
        <f>-DV426</f>
        <v>-877450</v>
      </c>
      <c r="DZ444" s="611" t="s">
        <v>414</v>
      </c>
    </row>
    <row r="445" spans="1:130" s="10" customFormat="1" ht="14.5" customHeight="1" x14ac:dyDescent="0.35">
      <c r="A445" s="99" t="s">
        <v>415</v>
      </c>
      <c r="Q445" s="225">
        <v>124</v>
      </c>
      <c r="R445" s="381"/>
      <c r="V445" s="166">
        <f>V443+V444</f>
        <v>11786050</v>
      </c>
      <c r="X445" s="568">
        <f>SUM(X446:X447)</f>
        <v>1</v>
      </c>
      <c r="Z445" s="99" t="s">
        <v>415</v>
      </c>
      <c r="AE445" s="381"/>
      <c r="AI445" s="166">
        <f>AI443+AI444</f>
        <v>11786050</v>
      </c>
      <c r="AK445" s="568">
        <f>SUM(AK446:AK447)</f>
        <v>1</v>
      </c>
      <c r="AM445" s="99" t="s">
        <v>415</v>
      </c>
      <c r="AR445" s="381"/>
      <c r="AV445" s="166">
        <f>AV443+AV444</f>
        <v>11786050</v>
      </c>
      <c r="AX445" s="568">
        <f>SUM(AX446:AX447)</f>
        <v>1</v>
      </c>
      <c r="AZ445" s="99" t="s">
        <v>415</v>
      </c>
      <c r="BE445" s="381"/>
      <c r="BI445" s="166">
        <f>BI443+BI444</f>
        <v>11786050</v>
      </c>
      <c r="BK445" s="568">
        <f>SUM(BK446:BK447)</f>
        <v>1</v>
      </c>
      <c r="BM445" s="99" t="s">
        <v>415</v>
      </c>
      <c r="BR445" s="381"/>
      <c r="BV445" s="166">
        <f>BV443+BV444</f>
        <v>11786050</v>
      </c>
      <c r="BX445" s="568">
        <f>SUM(BX446:BX447)</f>
        <v>1</v>
      </c>
      <c r="BZ445" s="99" t="s">
        <v>415</v>
      </c>
      <c r="CE445" s="381"/>
      <c r="CI445" s="166">
        <f>CI443+CI444</f>
        <v>11786050</v>
      </c>
      <c r="CK445" s="568">
        <f>SUM(CK446:CK447)</f>
        <v>1</v>
      </c>
      <c r="CM445" s="99" t="s">
        <v>415</v>
      </c>
      <c r="CR445" s="381"/>
      <c r="CV445" s="166">
        <f>CV443+CV444</f>
        <v>11786050</v>
      </c>
      <c r="CX445" s="568">
        <f>SUM(CX446:CX447)</f>
        <v>1</v>
      </c>
      <c r="CZ445" s="99" t="s">
        <v>415</v>
      </c>
      <c r="DE445" s="381"/>
      <c r="DI445" s="166">
        <f>DI443+DI444</f>
        <v>11786050</v>
      </c>
      <c r="DK445" s="568">
        <f>SUM(DK446:DK447)</f>
        <v>1</v>
      </c>
      <c r="DM445" s="99" t="s">
        <v>415</v>
      </c>
      <c r="DR445" s="381"/>
      <c r="DV445" s="166">
        <f>DV443+DV444</f>
        <v>11786050</v>
      </c>
      <c r="DX445" s="568">
        <f>SUM(DX446:DX447)</f>
        <v>1</v>
      </c>
      <c r="DZ445" s="99" t="s">
        <v>415</v>
      </c>
    </row>
    <row r="446" spans="1:130" s="10" customFormat="1" ht="14.5" customHeight="1" x14ac:dyDescent="0.35">
      <c r="A446" s="563" t="s">
        <v>406</v>
      </c>
      <c r="Q446" s="225">
        <v>125</v>
      </c>
      <c r="R446" s="381"/>
      <c r="V446" s="166">
        <f>V424</f>
        <v>10908600</v>
      </c>
      <c r="X446" s="569">
        <f>IF(V445&lt;&gt;0,ROUND(V446/V445,5),0)</f>
        <v>0.92554999999999998</v>
      </c>
      <c r="Z446" s="563" t="s">
        <v>406</v>
      </c>
      <c r="AE446" s="381"/>
      <c r="AI446" s="166">
        <f>AI424</f>
        <v>10908600</v>
      </c>
      <c r="AK446" s="569">
        <f>IF(AI445&lt;&gt;0,ROUND(AI446/AI445,5),0)</f>
        <v>0.92554999999999998</v>
      </c>
      <c r="AM446" s="611" t="s">
        <v>406</v>
      </c>
      <c r="AR446" s="381"/>
      <c r="AV446" s="166">
        <f>AV424</f>
        <v>10908600</v>
      </c>
      <c r="AX446" s="569">
        <f>IF(AV445&lt;&gt;0,ROUND(AV446/AV445,5),0)</f>
        <v>0.92554999999999998</v>
      </c>
      <c r="AZ446" s="611" t="s">
        <v>406</v>
      </c>
      <c r="BE446" s="381"/>
      <c r="BI446" s="166">
        <f>BI424</f>
        <v>10908600</v>
      </c>
      <c r="BK446" s="569">
        <f>IF(BI445&lt;&gt;0,ROUND(BI446/BI445,5),0)</f>
        <v>0.92554999999999998</v>
      </c>
      <c r="BM446" s="611" t="s">
        <v>406</v>
      </c>
      <c r="BR446" s="381"/>
      <c r="BV446" s="166">
        <f>BV424</f>
        <v>10908600</v>
      </c>
      <c r="BX446" s="569">
        <f>IF(BV445&lt;&gt;0,ROUND(BV446/BV445,5),0)</f>
        <v>0.92554999999999998</v>
      </c>
      <c r="BZ446" s="611" t="s">
        <v>406</v>
      </c>
      <c r="CE446" s="381"/>
      <c r="CI446" s="166">
        <f>CI424</f>
        <v>10908600</v>
      </c>
      <c r="CK446" s="569">
        <f>IF(CI445&lt;&gt;0,ROUND(CI446/CI445,5),0)</f>
        <v>0.92554999999999998</v>
      </c>
      <c r="CM446" s="611" t="s">
        <v>406</v>
      </c>
      <c r="CR446" s="381"/>
      <c r="CV446" s="166">
        <f>CV424</f>
        <v>10908600</v>
      </c>
      <c r="CX446" s="569">
        <f>IF(CV445&lt;&gt;0,ROUND(CV446/CV445,5),0)</f>
        <v>0.92554999999999998</v>
      </c>
      <c r="CZ446" s="611" t="s">
        <v>406</v>
      </c>
      <c r="DE446" s="381"/>
      <c r="DI446" s="166">
        <f>DI424</f>
        <v>10908600</v>
      </c>
      <c r="DK446" s="569">
        <f>IF(DI445&lt;&gt;0,ROUND(DI446/DI445,5),0)</f>
        <v>0.92554999999999998</v>
      </c>
      <c r="DM446" s="611" t="s">
        <v>406</v>
      </c>
      <c r="DR446" s="381"/>
      <c r="DV446" s="166">
        <f>DV424</f>
        <v>10908600</v>
      </c>
      <c r="DX446" s="569">
        <f>IF(DV445&lt;&gt;0,ROUND(DV446/DV445,5),0)</f>
        <v>0.92554999999999998</v>
      </c>
      <c r="DZ446" s="611" t="s">
        <v>406</v>
      </c>
    </row>
    <row r="447" spans="1:130" s="10" customFormat="1" ht="14.5" customHeight="1" x14ac:dyDescent="0.35">
      <c r="A447" s="563" t="s">
        <v>407</v>
      </c>
      <c r="Q447" s="225">
        <v>126</v>
      </c>
      <c r="R447" s="381"/>
      <c r="V447" s="166">
        <f>V425</f>
        <v>877450</v>
      </c>
      <c r="X447" s="569">
        <f>IF(V446&lt;&gt;0,ROUND(V447/V445,5),0)</f>
        <v>7.4450000000000002E-2</v>
      </c>
      <c r="Z447" s="563" t="s">
        <v>407</v>
      </c>
      <c r="AE447" s="381"/>
      <c r="AI447" s="166">
        <f>AI425</f>
        <v>877450</v>
      </c>
      <c r="AK447" s="569">
        <f>IF(AI446&lt;&gt;0,ROUND(AI447/AI445,5),0)</f>
        <v>7.4450000000000002E-2</v>
      </c>
      <c r="AM447" s="611" t="s">
        <v>407</v>
      </c>
      <c r="AR447" s="381"/>
      <c r="AV447" s="166">
        <f>AV425</f>
        <v>877450</v>
      </c>
      <c r="AX447" s="569">
        <f>IF(AV446&lt;&gt;0,ROUND(AV447/AV445,5),0)</f>
        <v>7.4450000000000002E-2</v>
      </c>
      <c r="AZ447" s="611" t="s">
        <v>407</v>
      </c>
      <c r="BE447" s="381"/>
      <c r="BI447" s="166">
        <f>BI425</f>
        <v>877450</v>
      </c>
      <c r="BK447" s="569">
        <f>IF(BI446&lt;&gt;0,ROUND(BI447/BI445,5),0)</f>
        <v>7.4450000000000002E-2</v>
      </c>
      <c r="BM447" s="611" t="s">
        <v>407</v>
      </c>
      <c r="BR447" s="381"/>
      <c r="BV447" s="166">
        <f>BV425</f>
        <v>877450</v>
      </c>
      <c r="BX447" s="569">
        <f>IF(BV446&lt;&gt;0,ROUND(BV447/BV445,5),0)</f>
        <v>7.4450000000000002E-2</v>
      </c>
      <c r="BZ447" s="611" t="s">
        <v>407</v>
      </c>
      <c r="CE447" s="381"/>
      <c r="CI447" s="166">
        <f>CI425</f>
        <v>877450</v>
      </c>
      <c r="CK447" s="569">
        <f>IF(CI446&lt;&gt;0,ROUND(CI447/CI445,5),0)</f>
        <v>7.4450000000000002E-2</v>
      </c>
      <c r="CM447" s="611" t="s">
        <v>407</v>
      </c>
      <c r="CR447" s="381"/>
      <c r="CV447" s="166">
        <f>CV425</f>
        <v>877450</v>
      </c>
      <c r="CX447" s="569">
        <f>IF(CV446&lt;&gt;0,ROUND(CV447/CV445,5),0)</f>
        <v>7.4450000000000002E-2</v>
      </c>
      <c r="CZ447" s="611" t="s">
        <v>407</v>
      </c>
      <c r="DE447" s="381"/>
      <c r="DI447" s="166">
        <f>DI425</f>
        <v>877450</v>
      </c>
      <c r="DK447" s="569">
        <f>IF(DI446&lt;&gt;0,ROUND(DI447/DI445,5),0)</f>
        <v>7.4450000000000002E-2</v>
      </c>
      <c r="DM447" s="611" t="s">
        <v>407</v>
      </c>
      <c r="DR447" s="381"/>
      <c r="DV447" s="166">
        <f>DV425</f>
        <v>877450</v>
      </c>
      <c r="DX447" s="569">
        <f>IF(DV446&lt;&gt;0,ROUND(DV447/DV445,5),0)</f>
        <v>7.4450000000000002E-2</v>
      </c>
      <c r="DZ447" s="611" t="s">
        <v>407</v>
      </c>
    </row>
    <row r="448" spans="1:130" s="10" customFormat="1" ht="14.5" customHeight="1" x14ac:dyDescent="0.35">
      <c r="A448" s="562" t="s">
        <v>426</v>
      </c>
      <c r="Q448" s="225">
        <v>127</v>
      </c>
      <c r="R448" s="381"/>
      <c r="X448" s="568"/>
      <c r="Z448" s="562" t="s">
        <v>426</v>
      </c>
      <c r="AE448" s="381"/>
      <c r="AK448" s="568"/>
      <c r="AM448" s="612" t="s">
        <v>426</v>
      </c>
      <c r="AR448" s="381"/>
      <c r="AX448" s="568"/>
      <c r="AZ448" s="612" t="s">
        <v>426</v>
      </c>
      <c r="BE448" s="381"/>
      <c r="BK448" s="568"/>
      <c r="BM448" s="612" t="s">
        <v>426</v>
      </c>
      <c r="BR448" s="381"/>
      <c r="BX448" s="568"/>
      <c r="BZ448" s="612" t="s">
        <v>426</v>
      </c>
      <c r="CE448" s="381"/>
      <c r="CK448" s="568"/>
      <c r="CM448" s="612" t="s">
        <v>426</v>
      </c>
      <c r="CR448" s="381"/>
      <c r="CX448" s="568"/>
      <c r="CZ448" s="612" t="s">
        <v>426</v>
      </c>
      <c r="DE448" s="381"/>
      <c r="DK448" s="568"/>
      <c r="DM448" s="612" t="s">
        <v>426</v>
      </c>
      <c r="DR448" s="381"/>
      <c r="DX448" s="568"/>
      <c r="DZ448" s="612" t="s">
        <v>426</v>
      </c>
    </row>
    <row r="449" spans="1:130" s="10" customFormat="1" ht="14.5" customHeight="1" x14ac:dyDescent="0.35">
      <c r="A449" s="211" t="s">
        <v>416</v>
      </c>
      <c r="Q449" s="225">
        <v>128</v>
      </c>
      <c r="R449" s="381"/>
      <c r="V449" s="166">
        <f>X344</f>
        <v>851470</v>
      </c>
      <c r="Z449" s="211" t="s">
        <v>416</v>
      </c>
      <c r="AE449" s="381"/>
      <c r="AI449" s="166">
        <f>AK344</f>
        <v>849245</v>
      </c>
      <c r="AM449" s="211" t="s">
        <v>416</v>
      </c>
      <c r="AR449" s="381"/>
      <c r="AV449" s="166">
        <f>AX344</f>
        <v>845120</v>
      </c>
      <c r="AZ449" s="211" t="s">
        <v>416</v>
      </c>
      <c r="BE449" s="381"/>
      <c r="BI449" s="166">
        <f>BK344</f>
        <v>841370</v>
      </c>
      <c r="BM449" s="211" t="s">
        <v>416</v>
      </c>
      <c r="BR449" s="381"/>
      <c r="BV449" s="166">
        <f>BX344</f>
        <v>828645</v>
      </c>
      <c r="BZ449" s="211" t="s">
        <v>416</v>
      </c>
      <c r="CE449" s="381"/>
      <c r="CI449" s="166">
        <f>CK344</f>
        <v>814170</v>
      </c>
      <c r="CM449" s="211" t="s">
        <v>416</v>
      </c>
      <c r="CR449" s="381"/>
      <c r="CV449" s="166">
        <f>CX344</f>
        <v>809200</v>
      </c>
      <c r="CZ449" s="211" t="s">
        <v>416</v>
      </c>
      <c r="DE449" s="381"/>
      <c r="DI449" s="166">
        <f>DK344</f>
        <v>597260</v>
      </c>
      <c r="DM449" s="211" t="s">
        <v>416</v>
      </c>
      <c r="DR449" s="381"/>
      <c r="DV449" s="166">
        <f>DX344</f>
        <v>578760</v>
      </c>
      <c r="DZ449" s="211" t="s">
        <v>416</v>
      </c>
    </row>
    <row r="450" spans="1:130" s="10" customFormat="1" ht="14.5" customHeight="1" x14ac:dyDescent="0.35">
      <c r="A450" s="563" t="s">
        <v>414</v>
      </c>
      <c r="Q450" s="225">
        <v>129</v>
      </c>
      <c r="R450" s="381"/>
      <c r="V450" s="166">
        <f>-X347</f>
        <v>-101181.42</v>
      </c>
      <c r="Z450" s="563" t="s">
        <v>414</v>
      </c>
      <c r="AE450" s="381"/>
      <c r="AI450" s="166">
        <f>-AK347</f>
        <v>-101027.25</v>
      </c>
      <c r="AM450" s="611" t="s">
        <v>414</v>
      </c>
      <c r="AR450" s="381"/>
      <c r="AV450" s="166">
        <f>-AX347</f>
        <v>-100267.07</v>
      </c>
      <c r="AZ450" s="611" t="s">
        <v>414</v>
      </c>
      <c r="BE450" s="381"/>
      <c r="BI450" s="166">
        <f>-BK347</f>
        <v>-99532.87</v>
      </c>
      <c r="BM450" s="611" t="s">
        <v>414</v>
      </c>
      <c r="BR450" s="381"/>
      <c r="BV450" s="166">
        <f>-BX347</f>
        <v>-98729.61</v>
      </c>
      <c r="BZ450" s="611" t="s">
        <v>414</v>
      </c>
      <c r="CE450" s="381"/>
      <c r="CI450" s="166">
        <f>-CK347</f>
        <v>-97488.85</v>
      </c>
      <c r="CM450" s="611" t="s">
        <v>414</v>
      </c>
      <c r="CR450" s="381"/>
      <c r="CV450" s="166">
        <f>-CX347</f>
        <v>-96427.06</v>
      </c>
      <c r="CZ450" s="611" t="s">
        <v>414</v>
      </c>
      <c r="DE450" s="381"/>
      <c r="DI450" s="166">
        <f>-DK347</f>
        <v>-92335.55</v>
      </c>
      <c r="DM450" s="611" t="s">
        <v>414</v>
      </c>
      <c r="DR450" s="381"/>
      <c r="DV450" s="166">
        <f>-DX347</f>
        <v>-91053.69</v>
      </c>
      <c r="DZ450" s="611" t="s">
        <v>414</v>
      </c>
    </row>
    <row r="451" spans="1:130" s="10" customFormat="1" ht="14.5" customHeight="1" x14ac:dyDescent="0.35">
      <c r="A451" s="563" t="s">
        <v>417</v>
      </c>
      <c r="Q451" s="225">
        <v>130</v>
      </c>
      <c r="R451" s="381"/>
      <c r="V451" s="166">
        <f>V449+V450</f>
        <v>750288.58</v>
      </c>
      <c r="X451" s="568">
        <f>SUM(X452:X453)</f>
        <v>1</v>
      </c>
      <c r="Z451" s="563" t="s">
        <v>417</v>
      </c>
      <c r="AE451" s="381"/>
      <c r="AI451" s="166">
        <f>AI449+AI450</f>
        <v>748217.75</v>
      </c>
      <c r="AK451" s="568">
        <f>SUM(AK452:AK453)</f>
        <v>1</v>
      </c>
      <c r="AM451" s="611" t="s">
        <v>417</v>
      </c>
      <c r="AR451" s="381"/>
      <c r="AV451" s="166">
        <f>AV449+AV450</f>
        <v>744852.92999999993</v>
      </c>
      <c r="AX451" s="568">
        <f>SUM(AX452:AX453)</f>
        <v>1</v>
      </c>
      <c r="AZ451" s="611" t="s">
        <v>417</v>
      </c>
      <c r="BE451" s="381"/>
      <c r="BI451" s="166">
        <f>BI449+BI450</f>
        <v>741837.13</v>
      </c>
      <c r="BK451" s="568">
        <f>SUM(BK452:BK453)</f>
        <v>1</v>
      </c>
      <c r="BM451" s="611" t="s">
        <v>417</v>
      </c>
      <c r="BR451" s="381"/>
      <c r="BV451" s="166">
        <f>BV449+BV450</f>
        <v>729915.39</v>
      </c>
      <c r="BX451" s="568">
        <f>SUM(BX452:BX453)</f>
        <v>1</v>
      </c>
      <c r="BZ451" s="611" t="s">
        <v>417</v>
      </c>
      <c r="CE451" s="381"/>
      <c r="CI451" s="166">
        <f>CI449+CI450</f>
        <v>716681.15</v>
      </c>
      <c r="CK451" s="568">
        <f>SUM(CK452:CK453)</f>
        <v>1</v>
      </c>
      <c r="CM451" s="611" t="s">
        <v>417</v>
      </c>
      <c r="CR451" s="381"/>
      <c r="CV451" s="166">
        <f>CV449+CV450</f>
        <v>712772.94</v>
      </c>
      <c r="CX451" s="568">
        <f>SUM(CX452:CX453)</f>
        <v>1</v>
      </c>
      <c r="CZ451" s="611" t="s">
        <v>417</v>
      </c>
      <c r="DE451" s="381"/>
      <c r="DI451" s="166">
        <f>DI449+DI450</f>
        <v>504924.45</v>
      </c>
      <c r="DK451" s="568">
        <f>SUM(DK452:DK453)</f>
        <v>1</v>
      </c>
      <c r="DM451" s="611" t="s">
        <v>417</v>
      </c>
      <c r="DR451" s="381"/>
      <c r="DV451" s="166">
        <f>DV449+DV450</f>
        <v>487706.31</v>
      </c>
      <c r="DX451" s="568">
        <f>SUM(DX452:DX453)</f>
        <v>1</v>
      </c>
      <c r="DZ451" s="611" t="s">
        <v>417</v>
      </c>
    </row>
    <row r="452" spans="1:130" s="10" customFormat="1" ht="14.5" customHeight="1" x14ac:dyDescent="0.35">
      <c r="A452" s="563" t="s">
        <v>406</v>
      </c>
      <c r="Q452" s="225">
        <v>131</v>
      </c>
      <c r="R452" s="381"/>
      <c r="V452" s="166">
        <f>X345</f>
        <v>638667.15</v>
      </c>
      <c r="X452" s="569">
        <f>IF(V451&lt;&gt;0,ROUND(V452/V451,5),0)</f>
        <v>0.85123000000000004</v>
      </c>
      <c r="Z452" s="563" t="s">
        <v>406</v>
      </c>
      <c r="AE452" s="381"/>
      <c r="AI452" s="166">
        <f>AK345</f>
        <v>636750.49</v>
      </c>
      <c r="AK452" s="569">
        <f>IF(AI451&lt;&gt;0,ROUND(AI452/AI451,5),0)</f>
        <v>0.85102</v>
      </c>
      <c r="AM452" s="611" t="s">
        <v>406</v>
      </c>
      <c r="AR452" s="381"/>
      <c r="AV452" s="166">
        <f>AX345</f>
        <v>634145.86</v>
      </c>
      <c r="AX452" s="569">
        <f>IF(AV451&lt;&gt;0,ROUND(AV452/AV451,5),0)</f>
        <v>0.85136999999999996</v>
      </c>
      <c r="AZ452" s="611" t="s">
        <v>406</v>
      </c>
      <c r="BE452" s="381"/>
      <c r="BI452" s="166">
        <f>BK345</f>
        <v>631864.27</v>
      </c>
      <c r="BK452" s="569">
        <f>IF(BI451&lt;&gt;0,ROUND(BI452/BI451,5),0)</f>
        <v>0.85175999999999996</v>
      </c>
      <c r="BM452" s="611" t="s">
        <v>406</v>
      </c>
      <c r="BR452" s="381"/>
      <c r="BV452" s="166">
        <f>BX345</f>
        <v>620745.78</v>
      </c>
      <c r="BX452" s="569">
        <f>IF(BV451&lt;&gt;0,ROUND(BV452/BV451,5),0)</f>
        <v>0.85043999999999997</v>
      </c>
      <c r="BZ452" s="611" t="s">
        <v>406</v>
      </c>
      <c r="CE452" s="381"/>
      <c r="CI452" s="166">
        <f>CK345</f>
        <v>608752.29</v>
      </c>
      <c r="CK452" s="569">
        <f>IF(CI451&lt;&gt;0,ROUND(CI452/CI451,5),0)</f>
        <v>0.84940000000000004</v>
      </c>
      <c r="CM452" s="611" t="s">
        <v>406</v>
      </c>
      <c r="CR452" s="381"/>
      <c r="CV452" s="166">
        <f>CX345</f>
        <v>605905.87</v>
      </c>
      <c r="CX452" s="569">
        <f>IF(CV451&lt;&gt;0,ROUND(CV452/CV451,5),0)</f>
        <v>0.85006999999999999</v>
      </c>
      <c r="CZ452" s="611" t="s">
        <v>406</v>
      </c>
      <c r="DE452" s="381"/>
      <c r="DI452" s="166">
        <f>DK345</f>
        <v>402148.89</v>
      </c>
      <c r="DK452" s="569">
        <f>IF(DI451&lt;&gt;0,ROUND(DI452/DI451,5),0)</f>
        <v>0.79644999999999999</v>
      </c>
      <c r="DM452" s="611" t="s">
        <v>406</v>
      </c>
      <c r="DR452" s="381"/>
      <c r="DV452" s="166">
        <f>DX345</f>
        <v>386212.62</v>
      </c>
      <c r="DX452" s="569">
        <f>IF(DV451&lt;&gt;0,ROUND(DV452/DV451,5),0)</f>
        <v>0.79190000000000005</v>
      </c>
      <c r="DZ452" s="611" t="s">
        <v>406</v>
      </c>
    </row>
    <row r="453" spans="1:130" s="10" customFormat="1" ht="14.5" customHeight="1" x14ac:dyDescent="0.35">
      <c r="A453" s="563" t="s">
        <v>407</v>
      </c>
      <c r="Q453" s="225">
        <v>132</v>
      </c>
      <c r="R453" s="381"/>
      <c r="V453" s="166">
        <f>X346</f>
        <v>111621.42</v>
      </c>
      <c r="X453" s="569">
        <f>IF(V452&lt;&gt;0,ROUND(V453/V451,5),0)</f>
        <v>0.14877000000000001</v>
      </c>
      <c r="Z453" s="563" t="s">
        <v>407</v>
      </c>
      <c r="AE453" s="381"/>
      <c r="AI453" s="166">
        <f>AK346</f>
        <v>111467.25</v>
      </c>
      <c r="AK453" s="569">
        <f>IF(AI452&lt;&gt;0,ROUND(AI453/AI451,5),0)</f>
        <v>0.14898</v>
      </c>
      <c r="AM453" s="611" t="s">
        <v>407</v>
      </c>
      <c r="AR453" s="381"/>
      <c r="AV453" s="166">
        <f>AX346</f>
        <v>110707.07</v>
      </c>
      <c r="AX453" s="569">
        <f>IF(AV452&lt;&gt;0,ROUND(AV453/AV451,5),0)</f>
        <v>0.14863000000000001</v>
      </c>
      <c r="AZ453" s="611" t="s">
        <v>407</v>
      </c>
      <c r="BE453" s="381"/>
      <c r="BI453" s="166">
        <f>BK346</f>
        <v>109972.87</v>
      </c>
      <c r="BK453" s="569">
        <f>IF(BI452&lt;&gt;0,ROUND(BI453/BI451,5),0)</f>
        <v>0.14824000000000001</v>
      </c>
      <c r="BM453" s="611" t="s">
        <v>407</v>
      </c>
      <c r="BR453" s="381"/>
      <c r="BV453" s="166">
        <f>BX346</f>
        <v>109169.61</v>
      </c>
      <c r="BX453" s="569">
        <f>IF(BV452&lt;&gt;0,ROUND(BV453/BV451,5),0)</f>
        <v>0.14956</v>
      </c>
      <c r="BZ453" s="611" t="s">
        <v>407</v>
      </c>
      <c r="CE453" s="381"/>
      <c r="CI453" s="166">
        <f>CK346</f>
        <v>107928.85</v>
      </c>
      <c r="CK453" s="569">
        <f>IF(CI452&lt;&gt;0,ROUND(CI453/CI451,5),0)</f>
        <v>0.15060000000000001</v>
      </c>
      <c r="CM453" s="611" t="s">
        <v>407</v>
      </c>
      <c r="CR453" s="381"/>
      <c r="CV453" s="166">
        <f>CX346</f>
        <v>106867.06</v>
      </c>
      <c r="CX453" s="569">
        <f>IF(CV452&lt;&gt;0,ROUND(CV453/CV451,5),0)</f>
        <v>0.14993000000000001</v>
      </c>
      <c r="CZ453" s="611" t="s">
        <v>407</v>
      </c>
      <c r="DE453" s="381"/>
      <c r="DI453" s="166">
        <f>DK346</f>
        <v>102775.55</v>
      </c>
      <c r="DK453" s="569">
        <f>IF(DI452&lt;&gt;0,ROUND(DI453/DI451,5),0)</f>
        <v>0.20355000000000001</v>
      </c>
      <c r="DM453" s="611" t="s">
        <v>407</v>
      </c>
      <c r="DR453" s="381"/>
      <c r="DV453" s="166">
        <f>DX346</f>
        <v>101493.69</v>
      </c>
      <c r="DX453" s="569">
        <f>IF(DV452&lt;&gt;0,ROUND(DV453/DV451,5),0)</f>
        <v>0.20810000000000001</v>
      </c>
      <c r="DZ453" s="611" t="s">
        <v>407</v>
      </c>
    </row>
    <row r="454" spans="1:130" s="10" customFormat="1" ht="14.5" customHeight="1" x14ac:dyDescent="0.35">
      <c r="A454" s="562" t="s">
        <v>425</v>
      </c>
      <c r="Q454" s="225">
        <v>133</v>
      </c>
      <c r="R454" s="381"/>
      <c r="Z454" s="562" t="s">
        <v>425</v>
      </c>
      <c r="AE454" s="381"/>
      <c r="AM454" s="612" t="s">
        <v>425</v>
      </c>
      <c r="AR454" s="381"/>
      <c r="AZ454" s="612" t="s">
        <v>425</v>
      </c>
      <c r="BE454" s="381"/>
      <c r="BM454" s="612" t="s">
        <v>425</v>
      </c>
      <c r="BR454" s="381"/>
      <c r="BZ454" s="612" t="s">
        <v>425</v>
      </c>
      <c r="CE454" s="381"/>
      <c r="CM454" s="612" t="s">
        <v>425</v>
      </c>
      <c r="CR454" s="381"/>
      <c r="CZ454" s="612" t="s">
        <v>425</v>
      </c>
      <c r="DE454" s="381"/>
      <c r="DM454" s="612" t="s">
        <v>425</v>
      </c>
      <c r="DR454" s="381"/>
      <c r="DZ454" s="612" t="s">
        <v>425</v>
      </c>
    </row>
    <row r="455" spans="1:130" s="10" customFormat="1" ht="14.5" customHeight="1" x14ac:dyDescent="0.35">
      <c r="A455" s="211" t="s">
        <v>418</v>
      </c>
      <c r="Q455" s="225">
        <v>134</v>
      </c>
      <c r="R455" s="381"/>
      <c r="V455" s="10">
        <f>X399</f>
        <v>679355.78</v>
      </c>
      <c r="Z455" s="211" t="s">
        <v>418</v>
      </c>
      <c r="AE455" s="381"/>
      <c r="AI455" s="10">
        <f>AK399</f>
        <v>649593.26</v>
      </c>
      <c r="AM455" s="211" t="s">
        <v>418</v>
      </c>
      <c r="AR455" s="381"/>
      <c r="AV455" s="10">
        <f>AX399</f>
        <v>619941.88</v>
      </c>
      <c r="AZ455" s="211" t="s">
        <v>418</v>
      </c>
      <c r="BE455" s="381"/>
      <c r="BI455" s="10">
        <f>BK399</f>
        <v>590428.30000000005</v>
      </c>
      <c r="BM455" s="211" t="s">
        <v>418</v>
      </c>
      <c r="BR455" s="381"/>
      <c r="BV455" s="10">
        <f>BX399</f>
        <v>561203.04</v>
      </c>
      <c r="BZ455" s="211" t="s">
        <v>418</v>
      </c>
      <c r="CE455" s="381"/>
      <c r="CI455" s="10">
        <f>CK399</f>
        <v>456388.95</v>
      </c>
      <c r="CM455" s="211" t="s">
        <v>418</v>
      </c>
      <c r="CR455" s="381"/>
      <c r="CV455" s="10">
        <f>CX399</f>
        <v>432038.40000000002</v>
      </c>
      <c r="CZ455" s="211" t="s">
        <v>418</v>
      </c>
      <c r="DE455" s="381"/>
      <c r="DI455" s="10">
        <f>DK399</f>
        <v>410941.5</v>
      </c>
      <c r="DM455" s="211" t="s">
        <v>418</v>
      </c>
      <c r="DR455" s="381"/>
      <c r="DV455" s="10">
        <f>DX399</f>
        <v>393301.2</v>
      </c>
      <c r="DZ455" s="211" t="s">
        <v>418</v>
      </c>
    </row>
    <row r="456" spans="1:130" s="10" customFormat="1" ht="14.5" customHeight="1" x14ac:dyDescent="0.35">
      <c r="A456" s="563" t="s">
        <v>414</v>
      </c>
      <c r="Q456" s="225">
        <v>135</v>
      </c>
      <c r="R456" s="381"/>
      <c r="V456" s="10">
        <f>-X402</f>
        <v>-86547.73</v>
      </c>
      <c r="Z456" s="563" t="s">
        <v>414</v>
      </c>
      <c r="AE456" s="381"/>
      <c r="AI456" s="10">
        <f>-AK402</f>
        <v>-83009.09</v>
      </c>
      <c r="AM456" s="611" t="s">
        <v>414</v>
      </c>
      <c r="AR456" s="381"/>
      <c r="AV456" s="10">
        <f>-AX402</f>
        <v>-79486.429999999993</v>
      </c>
      <c r="AZ456" s="611" t="s">
        <v>414</v>
      </c>
      <c r="BE456" s="381"/>
      <c r="BI456" s="10">
        <f>-BK402</f>
        <v>-75989.929999999993</v>
      </c>
      <c r="BM456" s="611" t="s">
        <v>414</v>
      </c>
      <c r="BR456" s="381"/>
      <c r="BV456" s="10">
        <f>-BX402</f>
        <v>-72520.34</v>
      </c>
      <c r="BZ456" s="611" t="s">
        <v>414</v>
      </c>
      <c r="CE456" s="381"/>
      <c r="CI456" s="10">
        <f>-CK402</f>
        <v>-59217.02</v>
      </c>
      <c r="CM456" s="611" t="s">
        <v>414</v>
      </c>
      <c r="CR456" s="381"/>
      <c r="CV456" s="10">
        <f>-CX402</f>
        <v>-56308.29</v>
      </c>
      <c r="CZ456" s="611" t="s">
        <v>414</v>
      </c>
      <c r="DE456" s="381"/>
      <c r="DI456" s="10">
        <f>-DK402</f>
        <v>-53476.84</v>
      </c>
      <c r="DM456" s="611" t="s">
        <v>414</v>
      </c>
      <c r="DR456" s="381"/>
      <c r="DV456" s="10">
        <f>-DX402</f>
        <v>-50726.01</v>
      </c>
      <c r="DZ456" s="611" t="s">
        <v>414</v>
      </c>
    </row>
    <row r="457" spans="1:130" s="10" customFormat="1" ht="14.5" customHeight="1" x14ac:dyDescent="0.35">
      <c r="A457" s="563" t="s">
        <v>417</v>
      </c>
      <c r="Q457" s="225">
        <v>136</v>
      </c>
      <c r="R457" s="381"/>
      <c r="V457" s="10">
        <f>V455+V456</f>
        <v>592808.05000000005</v>
      </c>
      <c r="X457" s="568">
        <f>SUM(X458:X459)</f>
        <v>1</v>
      </c>
      <c r="Z457" s="563" t="s">
        <v>417</v>
      </c>
      <c r="AE457" s="381"/>
      <c r="AI457" s="10">
        <f>AI455+AI456</f>
        <v>566584.17000000004</v>
      </c>
      <c r="AK457" s="568">
        <f>SUM(AK458:AK459)</f>
        <v>1</v>
      </c>
      <c r="AM457" s="611" t="s">
        <v>417</v>
      </c>
      <c r="AR457" s="381"/>
      <c r="AV457" s="10">
        <f>AV455+AV456</f>
        <v>540455.44999999995</v>
      </c>
      <c r="AX457" s="568">
        <f>SUM(AX458:AX459)</f>
        <v>1</v>
      </c>
      <c r="AZ457" s="611" t="s">
        <v>417</v>
      </c>
      <c r="BE457" s="381"/>
      <c r="BI457" s="10">
        <f>BI455+BI456</f>
        <v>514438.37000000005</v>
      </c>
      <c r="BK457" s="568">
        <f>SUM(BK458:BK459)</f>
        <v>1</v>
      </c>
      <c r="BM457" s="611" t="s">
        <v>417</v>
      </c>
      <c r="BR457" s="381"/>
      <c r="BV457" s="10">
        <f>BV455+BV456</f>
        <v>488682.70000000007</v>
      </c>
      <c r="BX457" s="568">
        <f>SUM(BX458:BX459)</f>
        <v>1</v>
      </c>
      <c r="BZ457" s="611" t="s">
        <v>417</v>
      </c>
      <c r="CE457" s="381"/>
      <c r="CI457" s="10">
        <f>CI455+CI456</f>
        <v>397171.93</v>
      </c>
      <c r="CK457" s="568">
        <f>SUM(CK458:CK459)</f>
        <v>1</v>
      </c>
      <c r="CM457" s="611" t="s">
        <v>417</v>
      </c>
      <c r="CR457" s="381"/>
      <c r="CV457" s="10">
        <f>CV455+CV456</f>
        <v>375730.11000000004</v>
      </c>
      <c r="CX457" s="568">
        <f>SUM(CX458:CX459)</f>
        <v>1</v>
      </c>
      <c r="CZ457" s="611" t="s">
        <v>417</v>
      </c>
      <c r="DE457" s="381"/>
      <c r="DI457" s="10">
        <f>DI455+DI456</f>
        <v>357464.66000000003</v>
      </c>
      <c r="DK457" s="568">
        <f>SUM(DK458:DK459)</f>
        <v>1</v>
      </c>
      <c r="DM457" s="611" t="s">
        <v>417</v>
      </c>
      <c r="DR457" s="381"/>
      <c r="DV457" s="10">
        <f>DV455+DV456</f>
        <v>342575.19</v>
      </c>
      <c r="DX457" s="568">
        <f>SUM(DX458:DX459)</f>
        <v>1</v>
      </c>
      <c r="DZ457" s="611" t="s">
        <v>417</v>
      </c>
    </row>
    <row r="458" spans="1:130" s="10" customFormat="1" ht="14.5" customHeight="1" x14ac:dyDescent="0.35">
      <c r="A458" s="563" t="s">
        <v>406</v>
      </c>
      <c r="Q458" s="225">
        <v>137</v>
      </c>
      <c r="R458" s="381"/>
      <c r="V458" s="10">
        <f>X400</f>
        <v>492752.07</v>
      </c>
      <c r="X458" s="569">
        <f>IF(V457&lt;&gt;0,ROUND(V458/V457,5),0)</f>
        <v>0.83121999999999996</v>
      </c>
      <c r="Z458" s="563" t="s">
        <v>406</v>
      </c>
      <c r="AE458" s="381"/>
      <c r="AI458" s="10">
        <f>AK400</f>
        <v>470432.25</v>
      </c>
      <c r="AK458" s="569">
        <f>IF(AI457&lt;&gt;0,ROUND(AI458/AI457,5),0)</f>
        <v>0.83030000000000004</v>
      </c>
      <c r="AM458" s="611" t="s">
        <v>406</v>
      </c>
      <c r="AR458" s="381"/>
      <c r="AV458" s="10">
        <f>AX400</f>
        <v>448191.56</v>
      </c>
      <c r="AX458" s="569">
        <f>IF(AV457&lt;&gt;0,ROUND(AV458/AV457,5),0)</f>
        <v>0.82928000000000002</v>
      </c>
      <c r="AZ458" s="611" t="s">
        <v>406</v>
      </c>
      <c r="BE458" s="381"/>
      <c r="BI458" s="10">
        <f>BK400</f>
        <v>426036.39</v>
      </c>
      <c r="BK458" s="569">
        <f>IF(BI457&lt;&gt;0,ROUND(BI458/BI457,5),0)</f>
        <v>0.82816000000000001</v>
      </c>
      <c r="BM458" s="611" t="s">
        <v>406</v>
      </c>
      <c r="BR458" s="381"/>
      <c r="BV458" s="10">
        <f>BX400</f>
        <v>404115.71</v>
      </c>
      <c r="BX458" s="569">
        <f>IF(BV457&lt;&gt;0,ROUND(BV458/BV457,5),0)</f>
        <v>0.82694999999999996</v>
      </c>
      <c r="BZ458" s="611" t="s">
        <v>406</v>
      </c>
      <c r="CE458" s="381"/>
      <c r="CI458" s="10">
        <f>CK400</f>
        <v>327942.43</v>
      </c>
      <c r="CK458" s="569">
        <f>IF(CI457&lt;&gt;0,ROUND(CI458/CI457,5),0)</f>
        <v>0.82569000000000004</v>
      </c>
      <c r="CM458" s="611" t="s">
        <v>406</v>
      </c>
      <c r="CR458" s="381"/>
      <c r="CV458" s="10">
        <f>CX400</f>
        <v>309722.55</v>
      </c>
      <c r="CX458" s="569">
        <f>IF(CV457&lt;&gt;0,ROUND(CV458/CV457,5),0)</f>
        <v>0.82432000000000005</v>
      </c>
      <c r="CZ458" s="611" t="s">
        <v>406</v>
      </c>
      <c r="DE458" s="381"/>
      <c r="DI458" s="10">
        <f>DK400</f>
        <v>294601.73</v>
      </c>
      <c r="DK458" s="569">
        <f>IF(DI457&lt;&gt;0,ROUND(DI458/DI457,5),0)</f>
        <v>0.82413999999999998</v>
      </c>
      <c r="DM458" s="611" t="s">
        <v>406</v>
      </c>
      <c r="DR458" s="381"/>
      <c r="DV458" s="10">
        <f>DX400</f>
        <v>282776.3</v>
      </c>
      <c r="DX458" s="569">
        <f>IF(DV457&lt;&gt;0,ROUND(DV458/DV457,5),0)</f>
        <v>0.82543999999999995</v>
      </c>
      <c r="DZ458" s="611" t="s">
        <v>406</v>
      </c>
    </row>
    <row r="459" spans="1:130" s="10" customFormat="1" ht="14.5" customHeight="1" x14ac:dyDescent="0.35">
      <c r="A459" s="563" t="s">
        <v>407</v>
      </c>
      <c r="Q459" s="225">
        <v>138</v>
      </c>
      <c r="R459" s="381"/>
      <c r="V459" s="10">
        <f>X401</f>
        <v>100055.98</v>
      </c>
      <c r="X459" s="569">
        <f>IF(V458&lt;&gt;0,ROUND(V459/V457,5),0)</f>
        <v>0.16878000000000001</v>
      </c>
      <c r="Z459" s="563" t="s">
        <v>407</v>
      </c>
      <c r="AE459" s="381"/>
      <c r="AI459" s="10">
        <f>AK401</f>
        <v>96151.94</v>
      </c>
      <c r="AK459" s="569">
        <f>IF(AI458&lt;&gt;0,ROUND(AI459/AI457,5),0)</f>
        <v>0.16969999999999999</v>
      </c>
      <c r="AM459" s="611" t="s">
        <v>407</v>
      </c>
      <c r="AR459" s="381"/>
      <c r="AV459" s="10">
        <f>AX401</f>
        <v>92263.88</v>
      </c>
      <c r="AX459" s="569">
        <f>IF(AV458&lt;&gt;0,ROUND(AV459/AV457,5),0)</f>
        <v>0.17072000000000001</v>
      </c>
      <c r="AZ459" s="611" t="s">
        <v>407</v>
      </c>
      <c r="BE459" s="381"/>
      <c r="BI459" s="10">
        <f>BK401</f>
        <v>88401.98</v>
      </c>
      <c r="BK459" s="569">
        <f>IF(BI458&lt;&gt;0,ROUND(BI459/BI457,5),0)</f>
        <v>0.17183999999999999</v>
      </c>
      <c r="BM459" s="611" t="s">
        <v>407</v>
      </c>
      <c r="BR459" s="381"/>
      <c r="BV459" s="10">
        <f>BX401</f>
        <v>84566.99</v>
      </c>
      <c r="BX459" s="569">
        <f>IF(BV458&lt;&gt;0,ROUND(BV459/BV457,5),0)</f>
        <v>0.17305000000000001</v>
      </c>
      <c r="BZ459" s="611" t="s">
        <v>407</v>
      </c>
      <c r="CE459" s="381"/>
      <c r="CI459" s="10">
        <f>CK401</f>
        <v>69229.52</v>
      </c>
      <c r="CK459" s="569">
        <f>IF(CI458&lt;&gt;0,ROUND(CI459/CI457,5),0)</f>
        <v>0.17430999999999999</v>
      </c>
      <c r="CM459" s="611" t="s">
        <v>407</v>
      </c>
      <c r="CR459" s="381"/>
      <c r="CV459" s="10">
        <f>CX401</f>
        <v>66007.59</v>
      </c>
      <c r="CX459" s="569">
        <f>IF(CV458&lt;&gt;0,ROUND(CV459/CV457,5),0)</f>
        <v>0.17568</v>
      </c>
      <c r="CZ459" s="611" t="s">
        <v>407</v>
      </c>
      <c r="DE459" s="381"/>
      <c r="DI459" s="10">
        <f>DK401</f>
        <v>62862.94</v>
      </c>
      <c r="DK459" s="569">
        <f>IF(DI458&lt;&gt;0,ROUND(DI459/DI457,5),0)</f>
        <v>0.17585999999999999</v>
      </c>
      <c r="DM459" s="611" t="s">
        <v>407</v>
      </c>
      <c r="DR459" s="381"/>
      <c r="DV459" s="10">
        <f>DX401</f>
        <v>59798.91</v>
      </c>
      <c r="DX459" s="569">
        <f>IF(DV458&lt;&gt;0,ROUND(DV459/DV457,5),0)</f>
        <v>0.17455999999999999</v>
      </c>
      <c r="DZ459" s="611" t="s">
        <v>407</v>
      </c>
    </row>
    <row r="460" spans="1:130" s="10" customFormat="1" ht="14.5" customHeight="1" x14ac:dyDescent="0.35">
      <c r="Q460" s="225">
        <v>139</v>
      </c>
      <c r="R460" s="381"/>
      <c r="Z460" s="563"/>
      <c r="AE460" s="381"/>
      <c r="AM460" s="611"/>
      <c r="AR460" s="381"/>
      <c r="AZ460" s="611"/>
      <c r="BE460" s="381"/>
      <c r="BM460" s="611"/>
      <c r="BR460" s="381"/>
      <c r="BZ460" s="611"/>
      <c r="CE460" s="381"/>
      <c r="CM460" s="611"/>
      <c r="CR460" s="381"/>
      <c r="CZ460" s="611"/>
      <c r="DE460" s="381"/>
      <c r="DM460" s="611"/>
      <c r="DR460" s="381"/>
      <c r="DZ460" s="611"/>
    </row>
    <row r="461" spans="1:130" s="10" customFormat="1" ht="14.5" customHeight="1" x14ac:dyDescent="0.35">
      <c r="Q461" s="225">
        <v>140</v>
      </c>
      <c r="R461" s="381"/>
      <c r="Z461" s="563"/>
      <c r="AE461" s="381"/>
      <c r="AM461" s="611"/>
      <c r="AR461" s="381"/>
      <c r="AZ461" s="611"/>
      <c r="BE461" s="381"/>
      <c r="BM461" s="611"/>
      <c r="BR461" s="381"/>
      <c r="BZ461" s="611"/>
      <c r="CE461" s="381"/>
      <c r="CM461" s="611"/>
      <c r="CR461" s="381"/>
      <c r="CZ461" s="611"/>
      <c r="DE461" s="381"/>
      <c r="DM461" s="611"/>
      <c r="DR461" s="381"/>
      <c r="DZ461" s="611"/>
    </row>
    <row r="462" spans="1:130" s="10" customFormat="1" ht="14.5" customHeight="1" x14ac:dyDescent="0.35">
      <c r="Q462" s="225">
        <v>141</v>
      </c>
      <c r="R462" s="381"/>
      <c r="AE462" s="381"/>
      <c r="AR462" s="381"/>
      <c r="BE462" s="381"/>
      <c r="BR462" s="381"/>
      <c r="CE462" s="381"/>
      <c r="CR462" s="381"/>
      <c r="DE462" s="381"/>
      <c r="DR462" s="381"/>
    </row>
    <row r="463" spans="1:130" s="10" customFormat="1" ht="14.5" customHeight="1" x14ac:dyDescent="0.35">
      <c r="Q463" s="225">
        <v>142</v>
      </c>
      <c r="R463" s="381"/>
      <c r="AE463" s="381"/>
      <c r="AR463" s="381"/>
      <c r="BE463" s="381"/>
      <c r="BR463" s="381"/>
      <c r="CE463" s="381"/>
      <c r="CR463" s="381"/>
      <c r="DE463" s="381"/>
      <c r="DR463" s="381"/>
    </row>
    <row r="464" spans="1:130" s="10" customFormat="1" ht="14.5" customHeight="1" x14ac:dyDescent="0.35">
      <c r="Q464" s="225">
        <v>145</v>
      </c>
      <c r="R464" s="381"/>
      <c r="AE464" s="381"/>
      <c r="AR464" s="381"/>
      <c r="BE464" s="381"/>
      <c r="BR464" s="381"/>
      <c r="CE464" s="381"/>
      <c r="CR464" s="381"/>
      <c r="DE464" s="381"/>
      <c r="DR464" s="381"/>
    </row>
    <row r="465" spans="17:122" s="10" customFormat="1" ht="14.5" customHeight="1" x14ac:dyDescent="0.35">
      <c r="Q465" s="225">
        <v>146</v>
      </c>
      <c r="R465" s="381"/>
      <c r="AE465" s="381"/>
      <c r="AR465" s="381"/>
      <c r="BE465" s="381"/>
      <c r="BR465" s="381"/>
      <c r="CE465" s="381"/>
      <c r="CR465" s="381"/>
      <c r="DE465" s="381"/>
      <c r="DR465" s="381"/>
    </row>
  </sheetData>
  <mergeCells count="44">
    <mergeCell ref="AE1:AQ1"/>
    <mergeCell ref="AE2:AO2"/>
    <mergeCell ref="AP2:AQ2"/>
    <mergeCell ref="A1:J1"/>
    <mergeCell ref="K1:L1"/>
    <mergeCell ref="M1:Q1"/>
    <mergeCell ref="R1:AD1"/>
    <mergeCell ref="A2:J2"/>
    <mergeCell ref="K2:K4"/>
    <mergeCell ref="L2:L4"/>
    <mergeCell ref="M2:M3"/>
    <mergeCell ref="O2:O3"/>
    <mergeCell ref="A3:A4"/>
    <mergeCell ref="B3:B4"/>
    <mergeCell ref="C3:C4"/>
    <mergeCell ref="D3:D4"/>
    <mergeCell ref="E3:E4"/>
    <mergeCell ref="AC2:AD2"/>
    <mergeCell ref="F3:F4"/>
    <mergeCell ref="I3:I4"/>
    <mergeCell ref="J3:J4"/>
    <mergeCell ref="Q2:Q3"/>
    <mergeCell ref="R2:AB2"/>
    <mergeCell ref="AR1:BD1"/>
    <mergeCell ref="BE1:BQ1"/>
    <mergeCell ref="AR2:BB2"/>
    <mergeCell ref="BC2:BD2"/>
    <mergeCell ref="BE2:BO2"/>
    <mergeCell ref="BP2:BQ2"/>
    <mergeCell ref="BR1:CD1"/>
    <mergeCell ref="CE1:CQ1"/>
    <mergeCell ref="CR1:DD1"/>
    <mergeCell ref="BR2:CB2"/>
    <mergeCell ref="CC2:CD2"/>
    <mergeCell ref="CE2:CO2"/>
    <mergeCell ref="CP2:CQ2"/>
    <mergeCell ref="CR2:DB2"/>
    <mergeCell ref="DC2:DD2"/>
    <mergeCell ref="DE1:DQ1"/>
    <mergeCell ref="DR1:ED1"/>
    <mergeCell ref="DE2:DO2"/>
    <mergeCell ref="DP2:DQ2"/>
    <mergeCell ref="DR2:EB2"/>
    <mergeCell ref="EC2:ED2"/>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D192"/>
  <sheetViews>
    <sheetView topLeftCell="L1" workbookViewId="0">
      <pane ySplit="4" topLeftCell="A134" activePane="bottomLeft" state="frozen"/>
      <selection pane="bottomLeft" activeCell="V131" sqref="V131"/>
    </sheetView>
  </sheetViews>
  <sheetFormatPr baseColWidth="10" defaultRowHeight="14.5" x14ac:dyDescent="0.35"/>
  <cols>
    <col min="1" max="1" width="6.7265625" style="10" customWidth="1"/>
    <col min="2" max="2" width="38.81640625" style="10" customWidth="1"/>
    <col min="3" max="3" width="16.1796875" style="10" customWidth="1"/>
    <col min="4" max="4" width="9.26953125" style="10" customWidth="1"/>
    <col min="5" max="5" width="14.54296875" style="10" customWidth="1"/>
    <col min="6" max="6" width="11.453125" style="10"/>
    <col min="7" max="7" width="8.453125" style="10" customWidth="1"/>
    <col min="8" max="8" width="8.26953125" style="10" customWidth="1"/>
    <col min="9" max="9" width="6.453125" style="10" customWidth="1"/>
    <col min="10" max="10" width="8.54296875" style="10" customWidth="1"/>
    <col min="11" max="12" width="11.453125" style="10" customWidth="1"/>
    <col min="13" max="13" width="13.1796875" style="10" customWidth="1"/>
    <col min="14" max="14" width="13.1796875" style="10" hidden="1" customWidth="1"/>
    <col min="15" max="15" width="13.1796875" style="10" customWidth="1"/>
    <col min="16" max="16" width="13.1796875" style="10" hidden="1" customWidth="1"/>
    <col min="17" max="18" width="13.1796875" style="10" customWidth="1"/>
    <col min="19" max="19" width="13.1796875" style="10" hidden="1" customWidth="1"/>
    <col min="20" max="20" width="13.1796875" style="10" customWidth="1"/>
    <col min="21" max="21" width="13.1796875" style="10" hidden="1" customWidth="1"/>
    <col min="22" max="22" width="13.1796875" style="10" customWidth="1"/>
    <col min="23" max="23" width="13.1796875" style="10" hidden="1" customWidth="1"/>
    <col min="24" max="24" width="13.1796875" style="10" customWidth="1"/>
    <col min="25" max="25" width="13.1796875" style="10" hidden="1" customWidth="1"/>
    <col min="26" max="26" width="13.1796875" style="10" customWidth="1"/>
    <col min="27" max="27" width="13.1796875" style="10" hidden="1" customWidth="1"/>
    <col min="28" max="31" width="13.1796875" style="10" customWidth="1"/>
    <col min="32" max="32" width="13.1796875" style="10" hidden="1" customWidth="1"/>
    <col min="33" max="33" width="13.1796875" style="10" customWidth="1"/>
    <col min="34" max="34" width="13.1796875" style="10" hidden="1" customWidth="1"/>
    <col min="35" max="35" width="13.1796875" style="10" customWidth="1"/>
    <col min="36" max="36" width="13.1796875" style="10" hidden="1" customWidth="1"/>
    <col min="37" max="37" width="13.1796875" style="10" customWidth="1"/>
    <col min="38" max="38" width="13.1796875" style="10" hidden="1" customWidth="1"/>
    <col min="39" max="39" width="13.1796875" style="10" customWidth="1"/>
    <col min="40" max="40" width="13.1796875" style="10" hidden="1" customWidth="1"/>
    <col min="41" max="44" width="13.1796875" style="10" customWidth="1"/>
    <col min="45" max="45" width="13.1796875" style="10" hidden="1" customWidth="1"/>
    <col min="46" max="46" width="13.1796875" style="10" customWidth="1"/>
    <col min="47" max="47" width="13.1796875" style="10" hidden="1" customWidth="1"/>
    <col min="48" max="48" width="13.1796875" style="10" customWidth="1"/>
    <col min="49" max="49" width="13.1796875" style="10" hidden="1" customWidth="1"/>
    <col min="50" max="50" width="13.1796875" style="10" customWidth="1"/>
    <col min="51" max="51" width="13.1796875" style="10" hidden="1" customWidth="1"/>
    <col min="52" max="52" width="13.1796875" style="10" customWidth="1"/>
    <col min="53" max="53" width="13.1796875" style="10" hidden="1" customWidth="1"/>
    <col min="54" max="57" width="13.1796875" style="10" customWidth="1"/>
    <col min="58" max="58" width="13.1796875" style="10" hidden="1" customWidth="1"/>
    <col min="59" max="59" width="13.1796875" style="10" customWidth="1"/>
    <col min="60" max="60" width="13.1796875" style="10" hidden="1" customWidth="1"/>
    <col min="61" max="61" width="13.1796875" style="10" customWidth="1"/>
    <col min="62" max="62" width="13.1796875" style="10" hidden="1" customWidth="1"/>
    <col min="63" max="63" width="13.1796875" style="10" customWidth="1"/>
    <col min="64" max="64" width="13.1796875" style="10" hidden="1" customWidth="1"/>
    <col min="65" max="65" width="13.1796875" style="10" customWidth="1"/>
    <col min="66" max="66" width="13.1796875" style="10" hidden="1" customWidth="1"/>
    <col min="67" max="70" width="13.1796875" style="10" customWidth="1"/>
    <col min="71" max="71" width="13.1796875" style="10" hidden="1" customWidth="1"/>
    <col min="72" max="72" width="13.1796875" style="10" customWidth="1"/>
    <col min="73" max="73" width="13.1796875" style="10" hidden="1" customWidth="1"/>
    <col min="74" max="74" width="13.1796875" style="10" customWidth="1"/>
    <col min="75" max="75" width="13.1796875" style="10" hidden="1" customWidth="1"/>
    <col min="76" max="76" width="13.1796875" style="10" customWidth="1"/>
    <col min="77" max="77" width="13.1796875" style="10" hidden="1" customWidth="1"/>
    <col min="78" max="78" width="13.1796875" style="10" customWidth="1"/>
    <col min="79" max="79" width="13.1796875" style="10" hidden="1" customWidth="1"/>
    <col min="80" max="83" width="13.1796875" style="10" customWidth="1"/>
    <col min="84" max="84" width="13.1796875" style="10" hidden="1" customWidth="1"/>
    <col min="85" max="85" width="13.1796875" style="10" customWidth="1"/>
    <col min="86" max="86" width="13.1796875" style="10" hidden="1" customWidth="1"/>
    <col min="87" max="87" width="13.1796875" style="10" customWidth="1"/>
    <col min="88" max="88" width="13.1796875" style="10" hidden="1" customWidth="1"/>
    <col min="89" max="89" width="13.1796875" style="10" customWidth="1"/>
    <col min="90" max="90" width="13.1796875" style="10" hidden="1" customWidth="1"/>
    <col min="91" max="91" width="13.1796875" style="10" customWidth="1"/>
    <col min="92" max="92" width="13.1796875" style="10" hidden="1" customWidth="1"/>
    <col min="93" max="96" width="13.1796875" style="10" customWidth="1"/>
    <col min="97" max="97" width="13.1796875" style="10" hidden="1" customWidth="1"/>
    <col min="98" max="98" width="13.1796875" style="10" customWidth="1"/>
    <col min="99" max="99" width="13.1796875" style="10" hidden="1" customWidth="1"/>
    <col min="100" max="100" width="13.1796875" style="10" customWidth="1"/>
    <col min="101" max="101" width="13.1796875" style="10" hidden="1" customWidth="1"/>
    <col min="102" max="102" width="13.1796875" style="10" customWidth="1"/>
    <col min="103" max="103" width="13.1796875" style="10" hidden="1" customWidth="1"/>
    <col min="104" max="104" width="13.1796875" style="10" customWidth="1"/>
    <col min="105" max="105" width="13.1796875" style="10" hidden="1" customWidth="1"/>
    <col min="106" max="109" width="13.1796875" style="10" customWidth="1"/>
    <col min="110" max="110" width="13.1796875" style="10" hidden="1" customWidth="1"/>
    <col min="111" max="111" width="13.1796875" style="10" customWidth="1"/>
    <col min="112" max="112" width="13.1796875" style="10" hidden="1" customWidth="1"/>
    <col min="113" max="113" width="13.1796875" style="10" customWidth="1"/>
    <col min="114" max="114" width="13.1796875" style="10" hidden="1" customWidth="1"/>
    <col min="115" max="115" width="13.1796875" style="10" customWidth="1"/>
    <col min="116" max="116" width="13.1796875" style="10" hidden="1" customWidth="1"/>
    <col min="117" max="117" width="13.1796875" style="10" customWidth="1"/>
    <col min="118" max="118" width="13.1796875" style="10" hidden="1" customWidth="1"/>
    <col min="119" max="122" width="13.1796875" style="10" customWidth="1"/>
    <col min="123" max="123" width="13.1796875" style="10" hidden="1" customWidth="1"/>
    <col min="124" max="124" width="13.1796875" style="10" customWidth="1"/>
    <col min="125" max="125" width="13.1796875" style="10" hidden="1" customWidth="1"/>
    <col min="126" max="126" width="13.1796875" style="10" customWidth="1"/>
    <col min="127" max="127" width="13.1796875" style="10" hidden="1" customWidth="1"/>
    <col min="128" max="128" width="13.1796875" style="10" customWidth="1"/>
    <col min="129" max="129" width="13.1796875" style="10" hidden="1" customWidth="1"/>
    <col min="130" max="130" width="13.1796875" style="10" customWidth="1"/>
    <col min="131" max="131" width="13.1796875" style="10" hidden="1" customWidth="1"/>
    <col min="132" max="134" width="13.1796875" style="10" customWidth="1"/>
  </cols>
  <sheetData>
    <row r="1" spans="1:134" ht="32.25" customHeight="1" x14ac:dyDescent="0.35">
      <c r="A1" s="972" t="str">
        <f>Grunddaten!A1 &amp; "   " &amp; Grunddaten!A2</f>
        <v>Gemeinde A   Abwasserbeseitigungseinrichtung</v>
      </c>
      <c r="B1" s="972"/>
      <c r="C1" s="972"/>
      <c r="D1" s="972"/>
      <c r="E1" s="972"/>
      <c r="F1" s="972"/>
      <c r="G1" s="972"/>
      <c r="H1" s="972"/>
      <c r="I1" s="972"/>
      <c r="J1" s="973"/>
      <c r="K1" s="997" t="s">
        <v>520</v>
      </c>
      <c r="L1" s="998"/>
      <c r="M1" s="999" t="s">
        <v>521</v>
      </c>
      <c r="N1" s="999"/>
      <c r="O1" s="1000"/>
      <c r="P1" s="1001"/>
      <c r="Q1" s="1001"/>
      <c r="R1" s="994" t="str">
        <f>"Berechnungen für das Jahr "&amp;U4</f>
        <v>Berechnungen für das Jahr 2012</v>
      </c>
      <c r="S1" s="995"/>
      <c r="T1" s="995"/>
      <c r="U1" s="995"/>
      <c r="V1" s="995"/>
      <c r="W1" s="995"/>
      <c r="X1" s="995"/>
      <c r="Y1" s="995"/>
      <c r="Z1" s="995"/>
      <c r="AA1" s="995"/>
      <c r="AB1" s="995"/>
      <c r="AC1" s="995"/>
      <c r="AD1" s="996"/>
      <c r="AE1" s="994" t="str">
        <f t="shared" ref="AE1" si="0">"Berechnungen für das Jahr "&amp;AH4</f>
        <v>Berechnungen für das Jahr 2013</v>
      </c>
      <c r="AF1" s="995"/>
      <c r="AG1" s="995"/>
      <c r="AH1" s="995"/>
      <c r="AI1" s="995"/>
      <c r="AJ1" s="995"/>
      <c r="AK1" s="995"/>
      <c r="AL1" s="995"/>
      <c r="AM1" s="995"/>
      <c r="AN1" s="995"/>
      <c r="AO1" s="995"/>
      <c r="AP1" s="995"/>
      <c r="AQ1" s="996"/>
      <c r="AR1" s="994" t="str">
        <f t="shared" ref="AR1" si="1">"Berechnungen für das Jahr "&amp;AU4</f>
        <v>Berechnungen für das Jahr 2014</v>
      </c>
      <c r="AS1" s="995"/>
      <c r="AT1" s="995"/>
      <c r="AU1" s="995"/>
      <c r="AV1" s="995"/>
      <c r="AW1" s="995"/>
      <c r="AX1" s="995"/>
      <c r="AY1" s="995"/>
      <c r="AZ1" s="995"/>
      <c r="BA1" s="995"/>
      <c r="BB1" s="995"/>
      <c r="BC1" s="995"/>
      <c r="BD1" s="996"/>
      <c r="BE1" s="994" t="str">
        <f t="shared" ref="BE1" si="2">"Berechnungen für das Jahr "&amp;BH4</f>
        <v>Berechnungen für das Jahr 2015</v>
      </c>
      <c r="BF1" s="995"/>
      <c r="BG1" s="995"/>
      <c r="BH1" s="995"/>
      <c r="BI1" s="995"/>
      <c r="BJ1" s="995"/>
      <c r="BK1" s="995"/>
      <c r="BL1" s="995"/>
      <c r="BM1" s="995"/>
      <c r="BN1" s="995"/>
      <c r="BO1" s="995"/>
      <c r="BP1" s="995"/>
      <c r="BQ1" s="996"/>
      <c r="BR1" s="994" t="str">
        <f t="shared" ref="BR1" si="3">"Berechnungen für das Jahr "&amp;BU4</f>
        <v>Berechnungen für das Jahr 2016</v>
      </c>
      <c r="BS1" s="995"/>
      <c r="BT1" s="995"/>
      <c r="BU1" s="995"/>
      <c r="BV1" s="995"/>
      <c r="BW1" s="995"/>
      <c r="BX1" s="995"/>
      <c r="BY1" s="995"/>
      <c r="BZ1" s="995"/>
      <c r="CA1" s="995"/>
      <c r="CB1" s="995"/>
      <c r="CC1" s="995"/>
      <c r="CD1" s="996"/>
      <c r="CE1" s="994" t="str">
        <f t="shared" ref="CE1" si="4">"Berechnungen für das Jahr "&amp;CH4</f>
        <v>Berechnungen für das Jahr 2017</v>
      </c>
      <c r="CF1" s="995"/>
      <c r="CG1" s="995"/>
      <c r="CH1" s="995"/>
      <c r="CI1" s="995"/>
      <c r="CJ1" s="995"/>
      <c r="CK1" s="995"/>
      <c r="CL1" s="995"/>
      <c r="CM1" s="995"/>
      <c r="CN1" s="995"/>
      <c r="CO1" s="995"/>
      <c r="CP1" s="995"/>
      <c r="CQ1" s="996"/>
      <c r="CR1" s="994" t="str">
        <f t="shared" ref="CR1" si="5">"Berechnungen für das Jahr "&amp;CU4</f>
        <v>Berechnungen für das Jahr 2018</v>
      </c>
      <c r="CS1" s="995"/>
      <c r="CT1" s="995"/>
      <c r="CU1" s="995"/>
      <c r="CV1" s="995"/>
      <c r="CW1" s="995"/>
      <c r="CX1" s="995"/>
      <c r="CY1" s="995"/>
      <c r="CZ1" s="995"/>
      <c r="DA1" s="995"/>
      <c r="DB1" s="995"/>
      <c r="DC1" s="995"/>
      <c r="DD1" s="996"/>
      <c r="DE1" s="994" t="str">
        <f t="shared" ref="DE1" si="6">"Berechnungen für das Jahr "&amp;DH4</f>
        <v>Berechnungen für das Jahr 2019</v>
      </c>
      <c r="DF1" s="995"/>
      <c r="DG1" s="995"/>
      <c r="DH1" s="995"/>
      <c r="DI1" s="995"/>
      <c r="DJ1" s="995"/>
      <c r="DK1" s="995"/>
      <c r="DL1" s="995"/>
      <c r="DM1" s="995"/>
      <c r="DN1" s="995"/>
      <c r="DO1" s="995"/>
      <c r="DP1" s="995"/>
      <c r="DQ1" s="996"/>
      <c r="DR1" s="994" t="str">
        <f t="shared" ref="DR1" si="7">"Berechnungen für das Jahr "&amp;DU4</f>
        <v>Berechnungen für das Jahr 2020</v>
      </c>
      <c r="DS1" s="995"/>
      <c r="DT1" s="995"/>
      <c r="DU1" s="995"/>
      <c r="DV1" s="995"/>
      <c r="DW1" s="995"/>
      <c r="DX1" s="995"/>
      <c r="DY1" s="995"/>
      <c r="DZ1" s="995"/>
      <c r="EA1" s="995"/>
      <c r="EB1" s="995"/>
      <c r="EC1" s="995"/>
      <c r="ED1" s="996"/>
    </row>
    <row r="2" spans="1:134" ht="30" customHeight="1" x14ac:dyDescent="0.35">
      <c r="A2" s="979" t="s">
        <v>1057</v>
      </c>
      <c r="B2" s="979"/>
      <c r="C2" s="979"/>
      <c r="D2" s="979"/>
      <c r="E2" s="979"/>
      <c r="F2" s="979"/>
      <c r="G2" s="979"/>
      <c r="H2" s="979"/>
      <c r="I2" s="979"/>
      <c r="J2" s="980"/>
      <c r="K2" s="1002" t="s">
        <v>522</v>
      </c>
      <c r="L2" s="1004" t="s">
        <v>523</v>
      </c>
      <c r="M2" s="1006" t="s">
        <v>524</v>
      </c>
      <c r="N2" s="138"/>
      <c r="O2" s="1008" t="s">
        <v>525</v>
      </c>
      <c r="P2" s="139"/>
      <c r="Q2" s="1009" t="s">
        <v>1075</v>
      </c>
      <c r="R2" s="993" t="s">
        <v>526</v>
      </c>
      <c r="S2" s="991"/>
      <c r="T2" s="991"/>
      <c r="U2" s="991"/>
      <c r="V2" s="991"/>
      <c r="W2" s="991"/>
      <c r="X2" s="991"/>
      <c r="Y2" s="991"/>
      <c r="Z2" s="991"/>
      <c r="AA2" s="991"/>
      <c r="AB2" s="991"/>
      <c r="AC2" s="991" t="s">
        <v>144</v>
      </c>
      <c r="AD2" s="992"/>
      <c r="AE2" s="993" t="s">
        <v>526</v>
      </c>
      <c r="AF2" s="991"/>
      <c r="AG2" s="991"/>
      <c r="AH2" s="991"/>
      <c r="AI2" s="991"/>
      <c r="AJ2" s="991"/>
      <c r="AK2" s="991"/>
      <c r="AL2" s="991"/>
      <c r="AM2" s="991"/>
      <c r="AN2" s="991"/>
      <c r="AO2" s="991"/>
      <c r="AP2" s="991" t="s">
        <v>144</v>
      </c>
      <c r="AQ2" s="992"/>
      <c r="AR2" s="993" t="s">
        <v>526</v>
      </c>
      <c r="AS2" s="991"/>
      <c r="AT2" s="991"/>
      <c r="AU2" s="991"/>
      <c r="AV2" s="991"/>
      <c r="AW2" s="991"/>
      <c r="AX2" s="991"/>
      <c r="AY2" s="991"/>
      <c r="AZ2" s="991"/>
      <c r="BA2" s="991"/>
      <c r="BB2" s="991"/>
      <c r="BC2" s="991" t="s">
        <v>144</v>
      </c>
      <c r="BD2" s="992"/>
      <c r="BE2" s="993" t="s">
        <v>526</v>
      </c>
      <c r="BF2" s="991"/>
      <c r="BG2" s="991"/>
      <c r="BH2" s="991"/>
      <c r="BI2" s="991"/>
      <c r="BJ2" s="991"/>
      <c r="BK2" s="991"/>
      <c r="BL2" s="991"/>
      <c r="BM2" s="991"/>
      <c r="BN2" s="991"/>
      <c r="BO2" s="991"/>
      <c r="BP2" s="991" t="s">
        <v>144</v>
      </c>
      <c r="BQ2" s="992"/>
      <c r="BR2" s="993" t="s">
        <v>526</v>
      </c>
      <c r="BS2" s="991"/>
      <c r="BT2" s="991"/>
      <c r="BU2" s="991"/>
      <c r="BV2" s="991"/>
      <c r="BW2" s="991"/>
      <c r="BX2" s="991"/>
      <c r="BY2" s="991"/>
      <c r="BZ2" s="991"/>
      <c r="CA2" s="991"/>
      <c r="CB2" s="991"/>
      <c r="CC2" s="991" t="s">
        <v>144</v>
      </c>
      <c r="CD2" s="992"/>
      <c r="CE2" s="993" t="s">
        <v>526</v>
      </c>
      <c r="CF2" s="991"/>
      <c r="CG2" s="991"/>
      <c r="CH2" s="991"/>
      <c r="CI2" s="991"/>
      <c r="CJ2" s="991"/>
      <c r="CK2" s="991"/>
      <c r="CL2" s="991"/>
      <c r="CM2" s="991"/>
      <c r="CN2" s="991"/>
      <c r="CO2" s="991"/>
      <c r="CP2" s="991" t="s">
        <v>144</v>
      </c>
      <c r="CQ2" s="992"/>
      <c r="CR2" s="993" t="s">
        <v>526</v>
      </c>
      <c r="CS2" s="991"/>
      <c r="CT2" s="991"/>
      <c r="CU2" s="991"/>
      <c r="CV2" s="991"/>
      <c r="CW2" s="991"/>
      <c r="CX2" s="991"/>
      <c r="CY2" s="991"/>
      <c r="CZ2" s="991"/>
      <c r="DA2" s="991"/>
      <c r="DB2" s="991"/>
      <c r="DC2" s="991" t="s">
        <v>144</v>
      </c>
      <c r="DD2" s="992"/>
      <c r="DE2" s="993" t="s">
        <v>526</v>
      </c>
      <c r="DF2" s="991"/>
      <c r="DG2" s="991"/>
      <c r="DH2" s="991"/>
      <c r="DI2" s="991"/>
      <c r="DJ2" s="991"/>
      <c r="DK2" s="991"/>
      <c r="DL2" s="991"/>
      <c r="DM2" s="991"/>
      <c r="DN2" s="991"/>
      <c r="DO2" s="991"/>
      <c r="DP2" s="991" t="s">
        <v>144</v>
      </c>
      <c r="DQ2" s="992"/>
      <c r="DR2" s="993" t="s">
        <v>526</v>
      </c>
      <c r="DS2" s="991"/>
      <c r="DT2" s="991"/>
      <c r="DU2" s="991"/>
      <c r="DV2" s="991"/>
      <c r="DW2" s="991"/>
      <c r="DX2" s="991"/>
      <c r="DY2" s="991"/>
      <c r="DZ2" s="991"/>
      <c r="EA2" s="991"/>
      <c r="EB2" s="991"/>
      <c r="EC2" s="991" t="s">
        <v>144</v>
      </c>
      <c r="ED2" s="992"/>
    </row>
    <row r="3" spans="1:134" ht="90" customHeight="1" x14ac:dyDescent="0.35">
      <c r="A3" s="1007" t="s">
        <v>527</v>
      </c>
      <c r="B3" s="1007" t="s">
        <v>147</v>
      </c>
      <c r="C3" s="1007" t="s">
        <v>528</v>
      </c>
      <c r="D3" s="1012" t="s">
        <v>148</v>
      </c>
      <c r="E3" s="1007" t="s">
        <v>529</v>
      </c>
      <c r="F3" s="1007" t="s">
        <v>530</v>
      </c>
      <c r="G3" s="598" t="s">
        <v>1101</v>
      </c>
      <c r="H3" s="598" t="s">
        <v>1102</v>
      </c>
      <c r="I3" s="1011" t="s">
        <v>531</v>
      </c>
      <c r="J3" s="968" t="s">
        <v>1100</v>
      </c>
      <c r="K3" s="1003"/>
      <c r="L3" s="1005"/>
      <c r="M3" s="896"/>
      <c r="N3" s="140" t="s">
        <v>532</v>
      </c>
      <c r="O3" s="944"/>
      <c r="P3" s="140" t="s">
        <v>532</v>
      </c>
      <c r="Q3" s="1010"/>
      <c r="R3" s="141" t="s">
        <v>152</v>
      </c>
      <c r="S3" s="142" t="s">
        <v>533</v>
      </c>
      <c r="T3" s="142" t="s">
        <v>154</v>
      </c>
      <c r="U3" s="142" t="s">
        <v>534</v>
      </c>
      <c r="V3" s="143" t="s">
        <v>535</v>
      </c>
      <c r="W3" s="40" t="s">
        <v>536</v>
      </c>
      <c r="X3" s="142" t="s">
        <v>537</v>
      </c>
      <c r="Y3" s="142" t="s">
        <v>538</v>
      </c>
      <c r="Z3" s="142" t="s">
        <v>539</v>
      </c>
      <c r="AA3" s="142" t="s">
        <v>540</v>
      </c>
      <c r="AB3" s="142" t="s">
        <v>541</v>
      </c>
      <c r="AC3" s="142" t="s">
        <v>542</v>
      </c>
      <c r="AD3" s="144" t="s">
        <v>543</v>
      </c>
      <c r="AE3" s="141" t="s">
        <v>152</v>
      </c>
      <c r="AF3" s="572" t="s">
        <v>533</v>
      </c>
      <c r="AG3" s="572" t="s">
        <v>154</v>
      </c>
      <c r="AH3" s="572" t="s">
        <v>534</v>
      </c>
      <c r="AI3" s="573" t="s">
        <v>535</v>
      </c>
      <c r="AJ3" s="40" t="s">
        <v>536</v>
      </c>
      <c r="AK3" s="572" t="s">
        <v>537</v>
      </c>
      <c r="AL3" s="572" t="s">
        <v>538</v>
      </c>
      <c r="AM3" s="572" t="s">
        <v>539</v>
      </c>
      <c r="AN3" s="572" t="s">
        <v>540</v>
      </c>
      <c r="AO3" s="572" t="s">
        <v>541</v>
      </c>
      <c r="AP3" s="572" t="s">
        <v>542</v>
      </c>
      <c r="AQ3" s="144" t="s">
        <v>543</v>
      </c>
      <c r="AR3" s="141" t="s">
        <v>152</v>
      </c>
      <c r="AS3" s="572" t="s">
        <v>533</v>
      </c>
      <c r="AT3" s="572" t="s">
        <v>154</v>
      </c>
      <c r="AU3" s="572" t="s">
        <v>534</v>
      </c>
      <c r="AV3" s="573" t="s">
        <v>535</v>
      </c>
      <c r="AW3" s="40" t="s">
        <v>536</v>
      </c>
      <c r="AX3" s="572" t="s">
        <v>537</v>
      </c>
      <c r="AY3" s="572" t="s">
        <v>538</v>
      </c>
      <c r="AZ3" s="572" t="s">
        <v>539</v>
      </c>
      <c r="BA3" s="572" t="s">
        <v>540</v>
      </c>
      <c r="BB3" s="572" t="s">
        <v>541</v>
      </c>
      <c r="BC3" s="572" t="s">
        <v>542</v>
      </c>
      <c r="BD3" s="144" t="s">
        <v>543</v>
      </c>
      <c r="BE3" s="141" t="s">
        <v>152</v>
      </c>
      <c r="BF3" s="572" t="s">
        <v>533</v>
      </c>
      <c r="BG3" s="572" t="s">
        <v>154</v>
      </c>
      <c r="BH3" s="572" t="s">
        <v>534</v>
      </c>
      <c r="BI3" s="573" t="s">
        <v>535</v>
      </c>
      <c r="BJ3" s="40" t="s">
        <v>536</v>
      </c>
      <c r="BK3" s="572" t="s">
        <v>537</v>
      </c>
      <c r="BL3" s="572" t="s">
        <v>538</v>
      </c>
      <c r="BM3" s="572" t="s">
        <v>539</v>
      </c>
      <c r="BN3" s="572" t="s">
        <v>540</v>
      </c>
      <c r="BO3" s="572" t="s">
        <v>541</v>
      </c>
      <c r="BP3" s="572" t="s">
        <v>542</v>
      </c>
      <c r="BQ3" s="144" t="s">
        <v>543</v>
      </c>
      <c r="BR3" s="141" t="s">
        <v>152</v>
      </c>
      <c r="BS3" s="572" t="s">
        <v>533</v>
      </c>
      <c r="BT3" s="572" t="s">
        <v>154</v>
      </c>
      <c r="BU3" s="572" t="s">
        <v>534</v>
      </c>
      <c r="BV3" s="573" t="s">
        <v>535</v>
      </c>
      <c r="BW3" s="40" t="s">
        <v>536</v>
      </c>
      <c r="BX3" s="572" t="s">
        <v>537</v>
      </c>
      <c r="BY3" s="572" t="s">
        <v>538</v>
      </c>
      <c r="BZ3" s="572" t="s">
        <v>539</v>
      </c>
      <c r="CA3" s="572" t="s">
        <v>540</v>
      </c>
      <c r="CB3" s="572" t="s">
        <v>541</v>
      </c>
      <c r="CC3" s="572" t="s">
        <v>542</v>
      </c>
      <c r="CD3" s="144" t="s">
        <v>543</v>
      </c>
      <c r="CE3" s="141" t="s">
        <v>152</v>
      </c>
      <c r="CF3" s="572" t="s">
        <v>533</v>
      </c>
      <c r="CG3" s="572" t="s">
        <v>154</v>
      </c>
      <c r="CH3" s="572" t="s">
        <v>534</v>
      </c>
      <c r="CI3" s="573" t="s">
        <v>535</v>
      </c>
      <c r="CJ3" s="40" t="s">
        <v>536</v>
      </c>
      <c r="CK3" s="572" t="s">
        <v>537</v>
      </c>
      <c r="CL3" s="572" t="s">
        <v>538</v>
      </c>
      <c r="CM3" s="572" t="s">
        <v>539</v>
      </c>
      <c r="CN3" s="572" t="s">
        <v>540</v>
      </c>
      <c r="CO3" s="572" t="s">
        <v>541</v>
      </c>
      <c r="CP3" s="572" t="s">
        <v>542</v>
      </c>
      <c r="CQ3" s="144" t="s">
        <v>543</v>
      </c>
      <c r="CR3" s="141" t="s">
        <v>152</v>
      </c>
      <c r="CS3" s="572" t="s">
        <v>533</v>
      </c>
      <c r="CT3" s="572" t="s">
        <v>154</v>
      </c>
      <c r="CU3" s="572" t="s">
        <v>534</v>
      </c>
      <c r="CV3" s="573" t="s">
        <v>535</v>
      </c>
      <c r="CW3" s="40" t="s">
        <v>536</v>
      </c>
      <c r="CX3" s="572" t="s">
        <v>537</v>
      </c>
      <c r="CY3" s="572" t="s">
        <v>538</v>
      </c>
      <c r="CZ3" s="572" t="s">
        <v>539</v>
      </c>
      <c r="DA3" s="572" t="s">
        <v>540</v>
      </c>
      <c r="DB3" s="572" t="s">
        <v>541</v>
      </c>
      <c r="DC3" s="572" t="s">
        <v>542</v>
      </c>
      <c r="DD3" s="144" t="s">
        <v>543</v>
      </c>
      <c r="DE3" s="141" t="s">
        <v>152</v>
      </c>
      <c r="DF3" s="572" t="s">
        <v>533</v>
      </c>
      <c r="DG3" s="572" t="s">
        <v>154</v>
      </c>
      <c r="DH3" s="572" t="s">
        <v>534</v>
      </c>
      <c r="DI3" s="573" t="s">
        <v>535</v>
      </c>
      <c r="DJ3" s="40" t="s">
        <v>536</v>
      </c>
      <c r="DK3" s="572" t="s">
        <v>537</v>
      </c>
      <c r="DL3" s="572" t="s">
        <v>538</v>
      </c>
      <c r="DM3" s="572" t="s">
        <v>539</v>
      </c>
      <c r="DN3" s="572" t="s">
        <v>540</v>
      </c>
      <c r="DO3" s="572" t="s">
        <v>541</v>
      </c>
      <c r="DP3" s="572" t="s">
        <v>542</v>
      </c>
      <c r="DQ3" s="144" t="s">
        <v>543</v>
      </c>
      <c r="DR3" s="141" t="s">
        <v>152</v>
      </c>
      <c r="DS3" s="572" t="s">
        <v>533</v>
      </c>
      <c r="DT3" s="572" t="s">
        <v>154</v>
      </c>
      <c r="DU3" s="572" t="s">
        <v>534</v>
      </c>
      <c r="DV3" s="573" t="s">
        <v>535</v>
      </c>
      <c r="DW3" s="40" t="s">
        <v>536</v>
      </c>
      <c r="DX3" s="572" t="s">
        <v>537</v>
      </c>
      <c r="DY3" s="572" t="s">
        <v>538</v>
      </c>
      <c r="DZ3" s="572" t="s">
        <v>539</v>
      </c>
      <c r="EA3" s="572" t="s">
        <v>540</v>
      </c>
      <c r="EB3" s="572" t="s">
        <v>541</v>
      </c>
      <c r="EC3" s="572" t="s">
        <v>542</v>
      </c>
      <c r="ED3" s="144" t="s">
        <v>543</v>
      </c>
    </row>
    <row r="4" spans="1:134" x14ac:dyDescent="0.35">
      <c r="A4" s="1007"/>
      <c r="B4" s="1007"/>
      <c r="C4" s="1007"/>
      <c r="D4" s="1012"/>
      <c r="E4" s="1007"/>
      <c r="F4" s="1007"/>
      <c r="G4" s="600" t="s">
        <v>164</v>
      </c>
      <c r="H4" s="600" t="s">
        <v>165</v>
      </c>
      <c r="I4" s="1011"/>
      <c r="J4" s="969"/>
      <c r="K4" s="1003"/>
      <c r="L4" s="1005"/>
      <c r="M4" s="145">
        <f>EOMONTH(Grunddaten!$H$6,-1)</f>
        <v>40908</v>
      </c>
      <c r="N4" s="145"/>
      <c r="O4" s="146">
        <f>M4</f>
        <v>40908</v>
      </c>
      <c r="P4" s="139"/>
      <c r="Q4" s="147">
        <f>M4</f>
        <v>40908</v>
      </c>
      <c r="R4" s="148">
        <f>X4</f>
        <v>2012</v>
      </c>
      <c r="S4" s="149">
        <f>X4</f>
        <v>2012</v>
      </c>
      <c r="T4" s="150">
        <f>X4</f>
        <v>2012</v>
      </c>
      <c r="U4" s="149">
        <f>X4</f>
        <v>2012</v>
      </c>
      <c r="V4" s="146">
        <f>Z4</f>
        <v>41274</v>
      </c>
      <c r="W4" s="146">
        <f>V4</f>
        <v>41274</v>
      </c>
      <c r="X4" s="150">
        <f>YEAR(Z4)</f>
        <v>2012</v>
      </c>
      <c r="Y4" s="149">
        <f>X4</f>
        <v>2012</v>
      </c>
      <c r="Z4" s="146">
        <f>EOMONTH(M4,12)</f>
        <v>41274</v>
      </c>
      <c r="AA4" s="146">
        <f>Z4</f>
        <v>41274</v>
      </c>
      <c r="AB4" s="146">
        <f>Z4</f>
        <v>41274</v>
      </c>
      <c r="AC4" s="41">
        <f>Z4</f>
        <v>41274</v>
      </c>
      <c r="AD4" s="151">
        <f>Z4</f>
        <v>41274</v>
      </c>
      <c r="AE4" s="148">
        <f t="shared" ref="AE4" si="8">AK4</f>
        <v>2013</v>
      </c>
      <c r="AF4" s="149">
        <f t="shared" ref="AF4" si="9">AK4</f>
        <v>2013</v>
      </c>
      <c r="AG4" s="150">
        <f t="shared" ref="AG4" si="10">AK4</f>
        <v>2013</v>
      </c>
      <c r="AH4" s="149">
        <f t="shared" ref="AH4" si="11">AK4</f>
        <v>2013</v>
      </c>
      <c r="AI4" s="146">
        <f t="shared" ref="AI4" si="12">AM4</f>
        <v>41639</v>
      </c>
      <c r="AJ4" s="146">
        <f t="shared" ref="AJ4" si="13">AI4</f>
        <v>41639</v>
      </c>
      <c r="AK4" s="150">
        <f t="shared" ref="AK4" si="14">YEAR(AM4)</f>
        <v>2013</v>
      </c>
      <c r="AL4" s="149">
        <f t="shared" ref="AL4" si="15">AK4</f>
        <v>2013</v>
      </c>
      <c r="AM4" s="146">
        <f t="shared" ref="AM4" si="16">EOMONTH(Z4,12)</f>
        <v>41639</v>
      </c>
      <c r="AN4" s="146">
        <f t="shared" ref="AN4" si="17">AM4</f>
        <v>41639</v>
      </c>
      <c r="AO4" s="146">
        <f t="shared" ref="AO4" si="18">AM4</f>
        <v>41639</v>
      </c>
      <c r="AP4" s="41">
        <f t="shared" ref="AP4" si="19">AM4</f>
        <v>41639</v>
      </c>
      <c r="AQ4" s="151">
        <f t="shared" ref="AQ4" si="20">AM4</f>
        <v>41639</v>
      </c>
      <c r="AR4" s="148">
        <f t="shared" ref="AR4" si="21">AX4</f>
        <v>2014</v>
      </c>
      <c r="AS4" s="149">
        <f t="shared" ref="AS4" si="22">AX4</f>
        <v>2014</v>
      </c>
      <c r="AT4" s="150">
        <f t="shared" ref="AT4" si="23">AX4</f>
        <v>2014</v>
      </c>
      <c r="AU4" s="149">
        <f t="shared" ref="AU4" si="24">AX4</f>
        <v>2014</v>
      </c>
      <c r="AV4" s="146">
        <f t="shared" ref="AV4" si="25">AZ4</f>
        <v>42004</v>
      </c>
      <c r="AW4" s="146">
        <f t="shared" ref="AW4" si="26">AV4</f>
        <v>42004</v>
      </c>
      <c r="AX4" s="150">
        <f t="shared" ref="AX4" si="27">YEAR(AZ4)</f>
        <v>2014</v>
      </c>
      <c r="AY4" s="149">
        <f t="shared" ref="AY4" si="28">AX4</f>
        <v>2014</v>
      </c>
      <c r="AZ4" s="146">
        <f t="shared" ref="AZ4" si="29">EOMONTH(AM4,12)</f>
        <v>42004</v>
      </c>
      <c r="BA4" s="146">
        <f t="shared" ref="BA4" si="30">AZ4</f>
        <v>42004</v>
      </c>
      <c r="BB4" s="146">
        <f t="shared" ref="BB4" si="31">AZ4</f>
        <v>42004</v>
      </c>
      <c r="BC4" s="41">
        <f t="shared" ref="BC4" si="32">AZ4</f>
        <v>42004</v>
      </c>
      <c r="BD4" s="151">
        <f t="shared" ref="BD4" si="33">AZ4</f>
        <v>42004</v>
      </c>
      <c r="BE4" s="148">
        <f t="shared" ref="BE4" si="34">BK4</f>
        <v>2015</v>
      </c>
      <c r="BF4" s="149">
        <f t="shared" ref="BF4" si="35">BK4</f>
        <v>2015</v>
      </c>
      <c r="BG4" s="150">
        <f t="shared" ref="BG4" si="36">BK4</f>
        <v>2015</v>
      </c>
      <c r="BH4" s="149">
        <f t="shared" ref="BH4" si="37">BK4</f>
        <v>2015</v>
      </c>
      <c r="BI4" s="146">
        <f t="shared" ref="BI4" si="38">BM4</f>
        <v>42369</v>
      </c>
      <c r="BJ4" s="146">
        <f t="shared" ref="BJ4" si="39">BI4</f>
        <v>42369</v>
      </c>
      <c r="BK4" s="150">
        <f t="shared" ref="BK4" si="40">YEAR(BM4)</f>
        <v>2015</v>
      </c>
      <c r="BL4" s="149">
        <f t="shared" ref="BL4" si="41">BK4</f>
        <v>2015</v>
      </c>
      <c r="BM4" s="146">
        <f t="shared" ref="BM4" si="42">EOMONTH(AZ4,12)</f>
        <v>42369</v>
      </c>
      <c r="BN4" s="146">
        <f t="shared" ref="BN4" si="43">BM4</f>
        <v>42369</v>
      </c>
      <c r="BO4" s="146">
        <f t="shared" ref="BO4" si="44">BM4</f>
        <v>42369</v>
      </c>
      <c r="BP4" s="41">
        <f t="shared" ref="BP4" si="45">BM4</f>
        <v>42369</v>
      </c>
      <c r="BQ4" s="151">
        <f t="shared" ref="BQ4" si="46">BM4</f>
        <v>42369</v>
      </c>
      <c r="BR4" s="148">
        <f t="shared" ref="BR4" si="47">BX4</f>
        <v>2016</v>
      </c>
      <c r="BS4" s="149">
        <f t="shared" ref="BS4" si="48">BX4</f>
        <v>2016</v>
      </c>
      <c r="BT4" s="150">
        <f t="shared" ref="BT4" si="49">BX4</f>
        <v>2016</v>
      </c>
      <c r="BU4" s="149">
        <f t="shared" ref="BU4" si="50">BX4</f>
        <v>2016</v>
      </c>
      <c r="BV4" s="146">
        <f t="shared" ref="BV4" si="51">BZ4</f>
        <v>42735</v>
      </c>
      <c r="BW4" s="146">
        <f t="shared" ref="BW4" si="52">BV4</f>
        <v>42735</v>
      </c>
      <c r="BX4" s="150">
        <f t="shared" ref="BX4" si="53">YEAR(BZ4)</f>
        <v>2016</v>
      </c>
      <c r="BY4" s="149">
        <f t="shared" ref="BY4" si="54">BX4</f>
        <v>2016</v>
      </c>
      <c r="BZ4" s="146">
        <f t="shared" ref="BZ4" si="55">EOMONTH(BM4,12)</f>
        <v>42735</v>
      </c>
      <c r="CA4" s="146">
        <f t="shared" ref="CA4" si="56">BZ4</f>
        <v>42735</v>
      </c>
      <c r="CB4" s="146">
        <f t="shared" ref="CB4" si="57">BZ4</f>
        <v>42735</v>
      </c>
      <c r="CC4" s="41">
        <f t="shared" ref="CC4" si="58">BZ4</f>
        <v>42735</v>
      </c>
      <c r="CD4" s="151">
        <f t="shared" ref="CD4" si="59">BZ4</f>
        <v>42735</v>
      </c>
      <c r="CE4" s="148">
        <f t="shared" ref="CE4" si="60">CK4</f>
        <v>2017</v>
      </c>
      <c r="CF4" s="149">
        <f t="shared" ref="CF4" si="61">CK4</f>
        <v>2017</v>
      </c>
      <c r="CG4" s="150">
        <f t="shared" ref="CG4" si="62">CK4</f>
        <v>2017</v>
      </c>
      <c r="CH4" s="149">
        <f t="shared" ref="CH4" si="63">CK4</f>
        <v>2017</v>
      </c>
      <c r="CI4" s="146">
        <f t="shared" ref="CI4" si="64">CM4</f>
        <v>43100</v>
      </c>
      <c r="CJ4" s="146">
        <f t="shared" ref="CJ4" si="65">CI4</f>
        <v>43100</v>
      </c>
      <c r="CK4" s="150">
        <f t="shared" ref="CK4" si="66">YEAR(CM4)</f>
        <v>2017</v>
      </c>
      <c r="CL4" s="149">
        <f t="shared" ref="CL4" si="67">CK4</f>
        <v>2017</v>
      </c>
      <c r="CM4" s="146">
        <f t="shared" ref="CM4" si="68">EOMONTH(BZ4,12)</f>
        <v>43100</v>
      </c>
      <c r="CN4" s="146">
        <f t="shared" ref="CN4" si="69">CM4</f>
        <v>43100</v>
      </c>
      <c r="CO4" s="146">
        <f t="shared" ref="CO4" si="70">CM4</f>
        <v>43100</v>
      </c>
      <c r="CP4" s="41">
        <f t="shared" ref="CP4" si="71">CM4</f>
        <v>43100</v>
      </c>
      <c r="CQ4" s="151">
        <f t="shared" ref="CQ4" si="72">CM4</f>
        <v>43100</v>
      </c>
      <c r="CR4" s="148">
        <f t="shared" ref="CR4" si="73">CX4</f>
        <v>2018</v>
      </c>
      <c r="CS4" s="149">
        <f t="shared" ref="CS4" si="74">CX4</f>
        <v>2018</v>
      </c>
      <c r="CT4" s="150">
        <f t="shared" ref="CT4" si="75">CX4</f>
        <v>2018</v>
      </c>
      <c r="CU4" s="149">
        <f t="shared" ref="CU4" si="76">CX4</f>
        <v>2018</v>
      </c>
      <c r="CV4" s="146">
        <f t="shared" ref="CV4" si="77">CZ4</f>
        <v>43465</v>
      </c>
      <c r="CW4" s="146">
        <f t="shared" ref="CW4" si="78">CV4</f>
        <v>43465</v>
      </c>
      <c r="CX4" s="150">
        <f t="shared" ref="CX4" si="79">YEAR(CZ4)</f>
        <v>2018</v>
      </c>
      <c r="CY4" s="149">
        <f t="shared" ref="CY4" si="80">CX4</f>
        <v>2018</v>
      </c>
      <c r="CZ4" s="146">
        <f t="shared" ref="CZ4" si="81">EOMONTH(CM4,12)</f>
        <v>43465</v>
      </c>
      <c r="DA4" s="146">
        <f t="shared" ref="DA4" si="82">CZ4</f>
        <v>43465</v>
      </c>
      <c r="DB4" s="146">
        <f t="shared" ref="DB4" si="83">CZ4</f>
        <v>43465</v>
      </c>
      <c r="DC4" s="41">
        <f t="shared" ref="DC4" si="84">CZ4</f>
        <v>43465</v>
      </c>
      <c r="DD4" s="151">
        <f t="shared" ref="DD4" si="85">CZ4</f>
        <v>43465</v>
      </c>
      <c r="DE4" s="148">
        <f t="shared" ref="DE4" si="86">DK4</f>
        <v>2019</v>
      </c>
      <c r="DF4" s="149">
        <f t="shared" ref="DF4" si="87">DK4</f>
        <v>2019</v>
      </c>
      <c r="DG4" s="150">
        <f t="shared" ref="DG4" si="88">DK4</f>
        <v>2019</v>
      </c>
      <c r="DH4" s="149">
        <f t="shared" ref="DH4" si="89">DK4</f>
        <v>2019</v>
      </c>
      <c r="DI4" s="146">
        <f t="shared" ref="DI4" si="90">DM4</f>
        <v>43830</v>
      </c>
      <c r="DJ4" s="146">
        <f t="shared" ref="DJ4" si="91">DI4</f>
        <v>43830</v>
      </c>
      <c r="DK4" s="150">
        <f t="shared" ref="DK4" si="92">YEAR(DM4)</f>
        <v>2019</v>
      </c>
      <c r="DL4" s="149">
        <f t="shared" ref="DL4" si="93">DK4</f>
        <v>2019</v>
      </c>
      <c r="DM4" s="146">
        <f t="shared" ref="DM4" si="94">EOMONTH(CZ4,12)</f>
        <v>43830</v>
      </c>
      <c r="DN4" s="146">
        <f t="shared" ref="DN4" si="95">DM4</f>
        <v>43830</v>
      </c>
      <c r="DO4" s="146">
        <f t="shared" ref="DO4" si="96">DM4</f>
        <v>43830</v>
      </c>
      <c r="DP4" s="41">
        <f t="shared" ref="DP4" si="97">DM4</f>
        <v>43830</v>
      </c>
      <c r="DQ4" s="151">
        <f t="shared" ref="DQ4" si="98">DM4</f>
        <v>43830</v>
      </c>
      <c r="DR4" s="148">
        <f t="shared" ref="DR4" si="99">DX4</f>
        <v>2020</v>
      </c>
      <c r="DS4" s="149">
        <f t="shared" ref="DS4" si="100">DX4</f>
        <v>2020</v>
      </c>
      <c r="DT4" s="150">
        <f t="shared" ref="DT4" si="101">DX4</f>
        <v>2020</v>
      </c>
      <c r="DU4" s="149">
        <f t="shared" ref="DU4" si="102">DX4</f>
        <v>2020</v>
      </c>
      <c r="DV4" s="146">
        <f t="shared" ref="DV4" si="103">DZ4</f>
        <v>44196</v>
      </c>
      <c r="DW4" s="146">
        <f t="shared" ref="DW4" si="104">DV4</f>
        <v>44196</v>
      </c>
      <c r="DX4" s="150">
        <f t="shared" ref="DX4" si="105">YEAR(DZ4)</f>
        <v>2020</v>
      </c>
      <c r="DY4" s="149">
        <f t="shared" ref="DY4" si="106">DX4</f>
        <v>2020</v>
      </c>
      <c r="DZ4" s="146">
        <f t="shared" ref="DZ4" si="107">EOMONTH(DM4,12)</f>
        <v>44196</v>
      </c>
      <c r="EA4" s="146">
        <f t="shared" ref="EA4" si="108">DZ4</f>
        <v>44196</v>
      </c>
      <c r="EB4" s="146">
        <f t="shared" ref="EB4" si="109">DZ4</f>
        <v>44196</v>
      </c>
      <c r="EC4" s="41">
        <f t="shared" ref="EC4" si="110">DZ4</f>
        <v>44196</v>
      </c>
      <c r="ED4" s="151">
        <f t="shared" ref="ED4" si="111">DZ4</f>
        <v>44196</v>
      </c>
    </row>
    <row r="5" spans="1:134" x14ac:dyDescent="0.35">
      <c r="A5" s="172"/>
      <c r="B5" s="173" t="s">
        <v>552</v>
      </c>
      <c r="C5" s="174"/>
      <c r="D5" s="175"/>
      <c r="E5" s="176"/>
      <c r="F5" s="177"/>
      <c r="G5" s="178"/>
      <c r="H5" s="179"/>
      <c r="I5" s="180"/>
      <c r="J5" s="181"/>
      <c r="K5" s="152">
        <f>IF(AND(G5&gt;0,G5&lt;=1,H5=0),1,IF(H5&gt;=1,1,IF(AND(H5&gt;0,H5&lt;1),H5,IF(AND(G5&gt;1,OR(H5=0,H5="")),ROUND(1/G5,4),0))))</f>
        <v>0</v>
      </c>
      <c r="L5" s="153">
        <f>IF(AND(E5&gt;0,F5&gt;0,OR(G5&gt;0,H5&gt;0)),ROUND((E5-I5)*K5,2),IF(AND(E5&lt;0,F5&gt;0,OR(G5&gt;0,H5&gt;0)),ROUND(E5*K5,2),0))</f>
        <v>0</v>
      </c>
      <c r="M5" s="154">
        <f>IF(AND(E5-O5&gt;=0,F5&gt;0,YEAR(M$4)&gt;=YEAR(F5)),E5-O5,IF(AND(E5-O5&lt;0,F5&gt;0,YEAR(M$4)&gt;=YEAR(F5)),E5-O5,0))</f>
        <v>0</v>
      </c>
      <c r="N5" s="154"/>
      <c r="O5" s="154">
        <f>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E5,0)))))</f>
        <v>0</v>
      </c>
      <c r="P5" s="155"/>
      <c r="Q5" s="154">
        <f>IF(AND($F5&gt;0,$F5&lt;=O$4),$E5,0)</f>
        <v>0</v>
      </c>
      <c r="R5" s="156">
        <f>IF(YEAR($F5)=R$4,$E5,0)</f>
        <v>0</v>
      </c>
      <c r="S5" s="154">
        <f>IF($J5&lt;&gt;"H",R5,0)</f>
        <v>0</v>
      </c>
      <c r="T5" s="154">
        <f>IF(R5&lt;&gt;0,ROUND(R5*(DAYS360($F5,Z$4)/DAYS360(M$4,Z$4)),2),0)</f>
        <v>0</v>
      </c>
      <c r="U5" s="154">
        <f>IF($J5&lt;&gt;"H",T5,0)</f>
        <v>0</v>
      </c>
      <c r="V5" s="154">
        <f>IF(AND($F5&gt;0,$F5&lt;=Z$4),$E5,0)</f>
        <v>0</v>
      </c>
      <c r="W5" s="154">
        <f>IF(X5&lt;&gt;0,ROUND(X5/$L5*V5,2),0)</f>
        <v>0</v>
      </c>
      <c r="X5" s="154">
        <f>IF(AND(YEAR($F5)=YEAR(Z$4),$E5&lt;1000,$E5&gt;-1000,$F5&gt;0,$K5=1),$E5-$I5,IF(AND(YEAR($F5)=YEAR(Z$4),$F5&gt;0,$K5&gt;0),ROUND(($L5/12)*(13-MONTH($F5)),2),IF(AND(YEAR($F5)&lt;YEAR(Z$4),$E5&gt;0,$F5&gt;0,$K5&gt;0,M5&gt;$L5+$I5),$L5,IF(AND(YEAR($F5)&lt;YEAR(Z$4),$E5&gt;0,$F5&gt;0,$K5&gt;0,M5&gt;0,M5&lt;=$L5+$I5),M5-$I5,IF(AND(YEAR($F5)&lt;YEAR(Z$4),$E5&lt;0,$F5&gt;0,$K5&gt;0,M5&lt;0,M5&lt;=$L5),$L5,IF(AND(YEAR($F5)&lt;YEAR(Z$4),$E5&lt;0,$F5&gt;0,$K5&gt;0,M5&lt;0,M5&gt;$L5),M5,0))))))</f>
        <v>0</v>
      </c>
      <c r="Y5" s="154">
        <f>IF($J5&lt;&gt;"H",X5,0)</f>
        <v>0</v>
      </c>
      <c r="Z5" s="154">
        <f>IF(AND(YEAR(Z$4)=YEAR($F5),$E5&gt;0,$F5&gt;0,$E5-X5&gt;=0),$E5-X5,IF(AND(YEAR(Z$4)&gt;YEAR($F5),$E5&gt;0,$F5&gt;0,M5-X5&gt;=0),M5-X5,IF(AND(YEAR(Z$4)=YEAR($F5),$E5&lt;0,$F5&gt;0,$E5-X5&lt;0),$E5-X5,IF(AND(YEAR(Z$4)&gt;YEAR($F5),$E5&lt;0,$F5&gt;0,M5-X5&lt;=0),M5-X5,0))))</f>
        <v>0</v>
      </c>
      <c r="AA5" s="154">
        <f>IF($J5&lt;&gt;"H",Z5,0)</f>
        <v>0</v>
      </c>
      <c r="AB5" s="157">
        <f>O5+X5</f>
        <v>0</v>
      </c>
      <c r="AC5" s="154">
        <f>IF(AND(R5&lt;&gt;0,$J5="H",$L5=0),T5,IF(AND(YEAR(Z$4)&gt;YEAR($F5),$J5="H",$F5&gt;0,$L5=0),$E5,0))</f>
        <v>0</v>
      </c>
      <c r="AD5" s="158">
        <f>IF(AND(YEAR(Z$4)&gt;=YEAR($F5),$E5&gt;0,$F5&gt;0,X5&gt;0,$J5="H"),ROUND(X5/$L5*$E5,2),IF(AND(YEAR(Z$4)&gt;=YEAR($F5),$E5&lt;0,$F5&gt;0,X5&lt;0,$J5="H"),ROUND(X5/$L5*$E5,2),0))</f>
        <v>0</v>
      </c>
      <c r="AE5" s="156">
        <f t="shared" ref="AE5:BE20" si="112">IF(YEAR($F5)=AE$4,$E5,0)</f>
        <v>0</v>
      </c>
      <c r="AF5" s="154">
        <f t="shared" ref="AF5:AF20" si="113">IF($J5&lt;&gt;"H",AE5,0)</f>
        <v>0</v>
      </c>
      <c r="AG5" s="154">
        <f t="shared" ref="AG5:AG68" si="114">IF(AE5&lt;&gt;0,ROUND(AE5*(DAYS360($F5,AM$4)/DAYS360(Z$4,AM$4)),2),0)</f>
        <v>0</v>
      </c>
      <c r="AH5" s="154">
        <f t="shared" ref="AH5:AH20" si="115">IF($J5&lt;&gt;"H",AG5,0)</f>
        <v>0</v>
      </c>
      <c r="AI5" s="154">
        <f t="shared" ref="AI5:AI68" si="116">IF(AND($F5&gt;0,$F5&lt;=AM$4),$E5,0)</f>
        <v>0</v>
      </c>
      <c r="AJ5" s="154">
        <f t="shared" ref="AJ5:AJ20" si="117">IF(AK5&lt;&gt;0,ROUND(AK5/$L5*AI5,2),0)</f>
        <v>0</v>
      </c>
      <c r="AK5" s="154">
        <f t="shared" ref="AK5:AK68" si="118">IF(AND(YEAR($F5)=YEAR(AM$4),$E5&lt;1000,$E5&gt;-1000,$F5&gt;0,$K5=1),$E5-$I5,IF(AND(YEAR($F5)=YEAR(AM$4),$F5&gt;0,$K5&gt;0),ROUND(($L5/12)*(13-MONTH($F5)),2),IF(AND(YEAR($F5)&lt;YEAR(AM$4),$E5&gt;0,$F5&gt;0,$K5&gt;0,Z5&gt;$L5+$I5),$L5,IF(AND(YEAR($F5)&lt;YEAR(AM$4),$E5&gt;0,$F5&gt;0,$K5&gt;0,Z5&gt;0,Z5&lt;=$L5+$I5),Z5-$I5,IF(AND(YEAR($F5)&lt;YEAR(AM$4),$E5&lt;0,$F5&gt;0,$K5&gt;0,Z5&lt;0,Z5&lt;=$L5),$L5,IF(AND(YEAR($F5)&lt;YEAR(AM$4),$E5&lt;0,$F5&gt;0,$K5&gt;0,Z5&lt;0,Z5&gt;$L5),Z5,0))))))</f>
        <v>0</v>
      </c>
      <c r="AL5" s="154">
        <f t="shared" ref="AL5:AL20" si="119">IF($J5&lt;&gt;"H",AK5,0)</f>
        <v>0</v>
      </c>
      <c r="AM5" s="154">
        <f t="shared" ref="AM5:AM68" si="120">IF(AND(YEAR(AM$4)=YEAR($F5),$E5&gt;0,$F5&gt;0,$E5-AK5&gt;=0),$E5-AK5,IF(AND(YEAR(AM$4)&gt;YEAR($F5),$E5&gt;0,$F5&gt;0,Z5-AK5&gt;=0),Z5-AK5,IF(AND(YEAR(AM$4)=YEAR($F5),$E5&lt;0,$F5&gt;0,$E5-AK5&lt;0),$E5-AK5,IF(AND(YEAR(AM$4)&gt;YEAR($F5),$E5&lt;0,$F5&gt;0,Z5-AK5&lt;=0),Z5-AK5,0))))</f>
        <v>0</v>
      </c>
      <c r="AN5" s="154">
        <f t="shared" ref="AN5:AN20" si="121">IF($J5&lt;&gt;"H",AM5,0)</f>
        <v>0</v>
      </c>
      <c r="AO5" s="157">
        <f t="shared" ref="AO5:AO68" si="122">AB5+AK5</f>
        <v>0</v>
      </c>
      <c r="AP5" s="154">
        <f t="shared" ref="AP5:AP68" si="123">IF(AND(AE5&lt;&gt;0,$J5="H",$L5=0),AG5,IF(AND(YEAR(AM$4)&gt;YEAR($F5),$J5="H",$F5&gt;0,$L5=0),$E5,0))</f>
        <v>0</v>
      </c>
      <c r="AQ5" s="158">
        <f t="shared" ref="AQ5:AQ68" si="124">IF(AND(YEAR(AM$4)&gt;=YEAR($F5),$E5&gt;0,$F5&gt;0,AK5&gt;0,$J5="H"),ROUND(AK5/$L5*$E5,2),IF(AND(YEAR(AM$4)&gt;=YEAR($F5),$E5&lt;0,$F5&gt;0,AK5&lt;0,$J5="H"),ROUND(AK5/$L5*$E5,2),0))</f>
        <v>0</v>
      </c>
      <c r="AR5" s="156">
        <f t="shared" ref="AR5" si="125">IF(YEAR($F5)=AR$4,$E5,0)</f>
        <v>0</v>
      </c>
      <c r="AS5" s="154">
        <f t="shared" ref="AS5:AS20" si="126">IF($J5&lt;&gt;"H",AR5,0)</f>
        <v>0</v>
      </c>
      <c r="AT5" s="154">
        <f t="shared" ref="AT5:AT68" si="127">IF(AR5&lt;&gt;0,ROUND(AR5*(DAYS360($F5,AZ$4)/DAYS360(AM$4,AZ$4)),2),0)</f>
        <v>0</v>
      </c>
      <c r="AU5" s="154">
        <f t="shared" ref="AU5:AU20" si="128">IF($J5&lt;&gt;"H",AT5,0)</f>
        <v>0</v>
      </c>
      <c r="AV5" s="154">
        <f t="shared" ref="AV5:AV68" si="129">IF(AND($F5&gt;0,$F5&lt;=AZ$4),$E5,0)</f>
        <v>0</v>
      </c>
      <c r="AW5" s="154">
        <f t="shared" ref="AW5:AW20" si="130">IF(AX5&lt;&gt;0,ROUND(AX5/$L5*AV5,2),0)</f>
        <v>0</v>
      </c>
      <c r="AX5" s="154">
        <f t="shared" ref="AX5:AX68" si="131">IF(AND(YEAR($F5)=YEAR(AZ$4),$E5&lt;1000,$E5&gt;-1000,$F5&gt;0,$K5=1),$E5-$I5,IF(AND(YEAR($F5)=YEAR(AZ$4),$F5&gt;0,$K5&gt;0),ROUND(($L5/12)*(13-MONTH($F5)),2),IF(AND(YEAR($F5)&lt;YEAR(AZ$4),$E5&gt;0,$F5&gt;0,$K5&gt;0,AM5&gt;$L5+$I5),$L5,IF(AND(YEAR($F5)&lt;YEAR(AZ$4),$E5&gt;0,$F5&gt;0,$K5&gt;0,AM5&gt;0,AM5&lt;=$L5+$I5),AM5-$I5,IF(AND(YEAR($F5)&lt;YEAR(AZ$4),$E5&lt;0,$F5&gt;0,$K5&gt;0,AM5&lt;0,AM5&lt;=$L5),$L5,IF(AND(YEAR($F5)&lt;YEAR(AZ$4),$E5&lt;0,$F5&gt;0,$K5&gt;0,AM5&lt;0,AM5&gt;$L5),AM5,0))))))</f>
        <v>0</v>
      </c>
      <c r="AY5" s="154">
        <f t="shared" ref="AY5:AY20" si="132">IF($J5&lt;&gt;"H",AX5,0)</f>
        <v>0</v>
      </c>
      <c r="AZ5" s="154">
        <f t="shared" ref="AZ5:AZ68" si="133">IF(AND(YEAR(AZ$4)=YEAR($F5),$E5&gt;0,$F5&gt;0,$E5-AX5&gt;=0),$E5-AX5,IF(AND(YEAR(AZ$4)&gt;YEAR($F5),$E5&gt;0,$F5&gt;0,AM5-AX5&gt;=0),AM5-AX5,IF(AND(YEAR(AZ$4)=YEAR($F5),$E5&lt;0,$F5&gt;0,$E5-AX5&lt;0),$E5-AX5,IF(AND(YEAR(AZ$4)&gt;YEAR($F5),$E5&lt;0,$F5&gt;0,AM5-AX5&lt;=0),AM5-AX5,0))))</f>
        <v>0</v>
      </c>
      <c r="BA5" s="154">
        <f t="shared" ref="BA5:BA20" si="134">IF($J5&lt;&gt;"H",AZ5,0)</f>
        <v>0</v>
      </c>
      <c r="BB5" s="157">
        <f t="shared" ref="BB5:BB68" si="135">AO5+AX5</f>
        <v>0</v>
      </c>
      <c r="BC5" s="154">
        <f t="shared" ref="BC5:BC68" si="136">IF(AND(AR5&lt;&gt;0,$J5="H",$L5=0),AT5,IF(AND(YEAR(AZ$4)&gt;YEAR($F5),$J5="H",$F5&gt;0,$L5=0),$E5,0))</f>
        <v>0</v>
      </c>
      <c r="BD5" s="158">
        <f t="shared" ref="BD5:BD68" si="137">IF(AND(YEAR(AZ$4)&gt;=YEAR($F5),$E5&gt;0,$F5&gt;0,AX5&gt;0,$J5="H"),ROUND(AX5/$L5*$E5,2),IF(AND(YEAR(AZ$4)&gt;=YEAR($F5),$E5&lt;0,$F5&gt;0,AX5&lt;0,$J5="H"),ROUND(AX5/$L5*$E5,2),0))</f>
        <v>0</v>
      </c>
      <c r="BE5" s="156">
        <f t="shared" ref="BE5" si="138">IF(YEAR($F5)=BE$4,$E5,0)</f>
        <v>0</v>
      </c>
      <c r="BF5" s="154">
        <f t="shared" ref="BF5:BF20" si="139">IF($J5&lt;&gt;"H",BE5,0)</f>
        <v>0</v>
      </c>
      <c r="BG5" s="154">
        <f t="shared" ref="BG5:BG68" si="140">IF(BE5&lt;&gt;0,ROUND(BE5*(DAYS360($F5,BM$4)/DAYS360(AZ$4,BM$4)),2),0)</f>
        <v>0</v>
      </c>
      <c r="BH5" s="154">
        <f t="shared" ref="BH5:BH20" si="141">IF($J5&lt;&gt;"H",BG5,0)</f>
        <v>0</v>
      </c>
      <c r="BI5" s="154">
        <f t="shared" ref="BI5:BI68" si="142">IF(AND($F5&gt;0,$F5&lt;=BM$4),$E5,0)</f>
        <v>0</v>
      </c>
      <c r="BJ5" s="154">
        <f t="shared" ref="BJ5:BJ20" si="143">IF(BK5&lt;&gt;0,ROUND(BK5/$L5*BI5,2),0)</f>
        <v>0</v>
      </c>
      <c r="BK5" s="154">
        <f t="shared" ref="BK5:BK68" si="144">IF(AND(YEAR($F5)=YEAR(BM$4),$E5&lt;1000,$E5&gt;-1000,$F5&gt;0,$K5=1),$E5-$I5,IF(AND(YEAR($F5)=YEAR(BM$4),$F5&gt;0,$K5&gt;0),ROUND(($L5/12)*(13-MONTH($F5)),2),IF(AND(YEAR($F5)&lt;YEAR(BM$4),$E5&gt;0,$F5&gt;0,$K5&gt;0,AZ5&gt;$L5+$I5),$L5,IF(AND(YEAR($F5)&lt;YEAR(BM$4),$E5&gt;0,$F5&gt;0,$K5&gt;0,AZ5&gt;0,AZ5&lt;=$L5+$I5),AZ5-$I5,IF(AND(YEAR($F5)&lt;YEAR(BM$4),$E5&lt;0,$F5&gt;0,$K5&gt;0,AZ5&lt;0,AZ5&lt;=$L5),$L5,IF(AND(YEAR($F5)&lt;YEAR(BM$4),$E5&lt;0,$F5&gt;0,$K5&gt;0,AZ5&lt;0,AZ5&gt;$L5),AZ5,0))))))</f>
        <v>0</v>
      </c>
      <c r="BL5" s="154">
        <f t="shared" ref="BL5:BL20" si="145">IF($J5&lt;&gt;"H",BK5,0)</f>
        <v>0</v>
      </c>
      <c r="BM5" s="154">
        <f t="shared" ref="BM5:BM68" si="146">IF(AND(YEAR(BM$4)=YEAR($F5),$E5&gt;0,$F5&gt;0,$E5-BK5&gt;=0),$E5-BK5,IF(AND(YEAR(BM$4)&gt;YEAR($F5),$E5&gt;0,$F5&gt;0,AZ5-BK5&gt;=0),AZ5-BK5,IF(AND(YEAR(BM$4)=YEAR($F5),$E5&lt;0,$F5&gt;0,$E5-BK5&lt;0),$E5-BK5,IF(AND(YEAR(BM$4)&gt;YEAR($F5),$E5&lt;0,$F5&gt;0,AZ5-BK5&lt;=0),AZ5-BK5,0))))</f>
        <v>0</v>
      </c>
      <c r="BN5" s="154">
        <f t="shared" ref="BN5:BN20" si="147">IF($J5&lt;&gt;"H",BM5,0)</f>
        <v>0</v>
      </c>
      <c r="BO5" s="157">
        <f t="shared" ref="BO5:BO68" si="148">BB5+BK5</f>
        <v>0</v>
      </c>
      <c r="BP5" s="154">
        <f t="shared" ref="BP5:BP68" si="149">IF(AND(BE5&lt;&gt;0,$J5="H",$L5=0),BG5,IF(AND(YEAR(BM$4)&gt;YEAR($F5),$J5="H",$F5&gt;0,$L5=0),$E5,0))</f>
        <v>0</v>
      </c>
      <c r="BQ5" s="158">
        <f t="shared" ref="BQ5:BQ68" si="150">IF(AND(YEAR(BM$4)&gt;=YEAR($F5),$E5&gt;0,$F5&gt;0,BK5&gt;0,$J5="H"),ROUND(BK5/$L5*$E5,2),IF(AND(YEAR(BM$4)&gt;=YEAR($F5),$E5&lt;0,$F5&gt;0,BK5&lt;0,$J5="H"),ROUND(BK5/$L5*$E5,2),0))</f>
        <v>0</v>
      </c>
      <c r="BR5" s="156">
        <f t="shared" ref="BR5:CR20" si="151">IF(YEAR($F5)=BR$4,$E5,0)</f>
        <v>0</v>
      </c>
      <c r="BS5" s="154">
        <f t="shared" ref="BS5:BS20" si="152">IF($J5&lt;&gt;"H",BR5,0)</f>
        <v>0</v>
      </c>
      <c r="BT5" s="154">
        <f t="shared" ref="BT5:BT68" si="153">IF(BR5&lt;&gt;0,ROUND(BR5*(DAYS360($F5,BZ$4)/DAYS360(BM$4,BZ$4)),2),0)</f>
        <v>0</v>
      </c>
      <c r="BU5" s="154">
        <f t="shared" ref="BU5:BU20" si="154">IF($J5&lt;&gt;"H",BT5,0)</f>
        <v>0</v>
      </c>
      <c r="BV5" s="154">
        <f t="shared" ref="BV5:BV68" si="155">IF(AND($F5&gt;0,$F5&lt;=BZ$4),$E5,0)</f>
        <v>0</v>
      </c>
      <c r="BW5" s="154">
        <f t="shared" ref="BW5:BW20" si="156">IF(BX5&lt;&gt;0,ROUND(BX5/$L5*BV5,2),0)</f>
        <v>0</v>
      </c>
      <c r="BX5" s="154">
        <f t="shared" ref="BX5:BX68" si="157">IF(AND(YEAR($F5)=YEAR(BZ$4),$E5&lt;1000,$E5&gt;-1000,$F5&gt;0,$K5=1),$E5-$I5,IF(AND(YEAR($F5)=YEAR(BZ$4),$F5&gt;0,$K5&gt;0),ROUND(($L5/12)*(13-MONTH($F5)),2),IF(AND(YEAR($F5)&lt;YEAR(BZ$4),$E5&gt;0,$F5&gt;0,$K5&gt;0,BM5&gt;$L5+$I5),$L5,IF(AND(YEAR($F5)&lt;YEAR(BZ$4),$E5&gt;0,$F5&gt;0,$K5&gt;0,BM5&gt;0,BM5&lt;=$L5+$I5),BM5-$I5,IF(AND(YEAR($F5)&lt;YEAR(BZ$4),$E5&lt;0,$F5&gt;0,$K5&gt;0,BM5&lt;0,BM5&lt;=$L5),$L5,IF(AND(YEAR($F5)&lt;YEAR(BZ$4),$E5&lt;0,$F5&gt;0,$K5&gt;0,BM5&lt;0,BM5&gt;$L5),BM5,0))))))</f>
        <v>0</v>
      </c>
      <c r="BY5" s="154">
        <f t="shared" ref="BY5:BY20" si="158">IF($J5&lt;&gt;"H",BX5,0)</f>
        <v>0</v>
      </c>
      <c r="BZ5" s="154">
        <f t="shared" ref="BZ5:BZ68" si="159">IF(AND(YEAR(BZ$4)=YEAR($F5),$E5&gt;0,$F5&gt;0,$E5-BX5&gt;=0),$E5-BX5,IF(AND(YEAR(BZ$4)&gt;YEAR($F5),$E5&gt;0,$F5&gt;0,BM5-BX5&gt;=0),BM5-BX5,IF(AND(YEAR(BZ$4)=YEAR($F5),$E5&lt;0,$F5&gt;0,$E5-BX5&lt;0),$E5-BX5,IF(AND(YEAR(BZ$4)&gt;YEAR($F5),$E5&lt;0,$F5&gt;0,BM5-BX5&lt;=0),BM5-BX5,0))))</f>
        <v>0</v>
      </c>
      <c r="CA5" s="154">
        <f t="shared" ref="CA5:CA20" si="160">IF($J5&lt;&gt;"H",BZ5,0)</f>
        <v>0</v>
      </c>
      <c r="CB5" s="157">
        <f t="shared" ref="CB5:CB68" si="161">BO5+BX5</f>
        <v>0</v>
      </c>
      <c r="CC5" s="154">
        <f t="shared" ref="CC5:CC68" si="162">IF(AND(BR5&lt;&gt;0,$J5="H",$L5=0),BT5,IF(AND(YEAR(BZ$4)&gt;YEAR($F5),$J5="H",$F5&gt;0,$L5=0),$E5,0))</f>
        <v>0</v>
      </c>
      <c r="CD5" s="158">
        <f t="shared" ref="CD5:CD68" si="163">IF(AND(YEAR(BZ$4)&gt;=YEAR($F5),$E5&gt;0,$F5&gt;0,BX5&gt;0,$J5="H"),ROUND(BX5/$L5*$E5,2),IF(AND(YEAR(BZ$4)&gt;=YEAR($F5),$E5&lt;0,$F5&gt;0,BX5&lt;0,$J5="H"),ROUND(BX5/$L5*$E5,2),0))</f>
        <v>0</v>
      </c>
      <c r="CE5" s="156">
        <f t="shared" ref="CE5" si="164">IF(YEAR($F5)=CE$4,$E5,0)</f>
        <v>0</v>
      </c>
      <c r="CF5" s="154">
        <f t="shared" ref="CF5:CF20" si="165">IF($J5&lt;&gt;"H",CE5,0)</f>
        <v>0</v>
      </c>
      <c r="CG5" s="154">
        <f t="shared" ref="CG5:CG68" si="166">IF(CE5&lt;&gt;0,ROUND(CE5*(DAYS360($F5,CM$4)/DAYS360(BZ$4,CM$4)),2),0)</f>
        <v>0</v>
      </c>
      <c r="CH5" s="154">
        <f t="shared" ref="CH5:CH20" si="167">IF($J5&lt;&gt;"H",CG5,0)</f>
        <v>0</v>
      </c>
      <c r="CI5" s="154">
        <f t="shared" ref="CI5:CI68" si="168">IF(AND($F5&gt;0,$F5&lt;=CM$4),$E5,0)</f>
        <v>0</v>
      </c>
      <c r="CJ5" s="154">
        <f t="shared" ref="CJ5:CJ20" si="169">IF(CK5&lt;&gt;0,ROUND(CK5/$L5*CI5,2),0)</f>
        <v>0</v>
      </c>
      <c r="CK5" s="154">
        <f t="shared" ref="CK5:CK68" si="170">IF(AND(YEAR($F5)=YEAR(CM$4),$E5&lt;1000,$E5&gt;-1000,$F5&gt;0,$K5=1),$E5-$I5,IF(AND(YEAR($F5)=YEAR(CM$4),$F5&gt;0,$K5&gt;0),ROUND(($L5/12)*(13-MONTH($F5)),2),IF(AND(YEAR($F5)&lt;YEAR(CM$4),$E5&gt;0,$F5&gt;0,$K5&gt;0,BZ5&gt;$L5+$I5),$L5,IF(AND(YEAR($F5)&lt;YEAR(CM$4),$E5&gt;0,$F5&gt;0,$K5&gt;0,BZ5&gt;0,BZ5&lt;=$L5+$I5),BZ5-$I5,IF(AND(YEAR($F5)&lt;YEAR(CM$4),$E5&lt;0,$F5&gt;0,$K5&gt;0,BZ5&lt;0,BZ5&lt;=$L5),$L5,IF(AND(YEAR($F5)&lt;YEAR(CM$4),$E5&lt;0,$F5&gt;0,$K5&gt;0,BZ5&lt;0,BZ5&gt;$L5),BZ5,0))))))</f>
        <v>0</v>
      </c>
      <c r="CL5" s="154">
        <f t="shared" ref="CL5:CL20" si="171">IF($J5&lt;&gt;"H",CK5,0)</f>
        <v>0</v>
      </c>
      <c r="CM5" s="154">
        <f t="shared" ref="CM5:CM68" si="172">IF(AND(YEAR(CM$4)=YEAR($F5),$E5&gt;0,$F5&gt;0,$E5-CK5&gt;=0),$E5-CK5,IF(AND(YEAR(CM$4)&gt;YEAR($F5),$E5&gt;0,$F5&gt;0,BZ5-CK5&gt;=0),BZ5-CK5,IF(AND(YEAR(CM$4)=YEAR($F5),$E5&lt;0,$F5&gt;0,$E5-CK5&lt;0),$E5-CK5,IF(AND(YEAR(CM$4)&gt;YEAR($F5),$E5&lt;0,$F5&gt;0,BZ5-CK5&lt;=0),BZ5-CK5,0))))</f>
        <v>0</v>
      </c>
      <c r="CN5" s="154">
        <f t="shared" ref="CN5:CN20" si="173">IF($J5&lt;&gt;"H",CM5,0)</f>
        <v>0</v>
      </c>
      <c r="CO5" s="157">
        <f t="shared" ref="CO5:CO68" si="174">CB5+CK5</f>
        <v>0</v>
      </c>
      <c r="CP5" s="154">
        <f t="shared" ref="CP5:CP68" si="175">IF(AND(CE5&lt;&gt;0,$J5="H",$L5=0),CG5,IF(AND(YEAR(CM$4)&gt;YEAR($F5),$J5="H",$F5&gt;0,$L5=0),$E5,0))</f>
        <v>0</v>
      </c>
      <c r="CQ5" s="158">
        <f t="shared" ref="CQ5:CQ68" si="176">IF(AND(YEAR(CM$4)&gt;=YEAR($F5),$E5&gt;0,$F5&gt;0,CK5&gt;0,$J5="H"),ROUND(CK5/$L5*$E5,2),IF(AND(YEAR(CM$4)&gt;=YEAR($F5),$E5&lt;0,$F5&gt;0,CK5&lt;0,$J5="H"),ROUND(CK5/$L5*$E5,2),0))</f>
        <v>0</v>
      </c>
      <c r="CR5" s="156">
        <f t="shared" ref="CR5" si="177">IF(YEAR($F5)=CR$4,$E5,0)</f>
        <v>0</v>
      </c>
      <c r="CS5" s="154">
        <f t="shared" ref="CS5:CS20" si="178">IF($J5&lt;&gt;"H",CR5,0)</f>
        <v>0</v>
      </c>
      <c r="CT5" s="154">
        <f t="shared" ref="CT5:CT68" si="179">IF(CR5&lt;&gt;0,ROUND(CR5*(DAYS360($F5,CZ$4)/DAYS360(CM$4,CZ$4)),2),0)</f>
        <v>0</v>
      </c>
      <c r="CU5" s="154">
        <f t="shared" ref="CU5:CU20" si="180">IF($J5&lt;&gt;"H",CT5,0)</f>
        <v>0</v>
      </c>
      <c r="CV5" s="154">
        <f t="shared" ref="CV5:CV68" si="181">IF(AND($F5&gt;0,$F5&lt;=CZ$4),$E5,0)</f>
        <v>0</v>
      </c>
      <c r="CW5" s="154">
        <f t="shared" ref="CW5:CW20" si="182">IF(CX5&lt;&gt;0,ROUND(CX5/$L5*CV5,2),0)</f>
        <v>0</v>
      </c>
      <c r="CX5" s="154">
        <f t="shared" ref="CX5:CX68" si="183">IF(AND(YEAR($F5)=YEAR(CZ$4),$E5&lt;1000,$E5&gt;-1000,$F5&gt;0,$K5=1),$E5-$I5,IF(AND(YEAR($F5)=YEAR(CZ$4),$F5&gt;0,$K5&gt;0),ROUND(($L5/12)*(13-MONTH($F5)),2),IF(AND(YEAR($F5)&lt;YEAR(CZ$4),$E5&gt;0,$F5&gt;0,$K5&gt;0,CM5&gt;$L5+$I5),$L5,IF(AND(YEAR($F5)&lt;YEAR(CZ$4),$E5&gt;0,$F5&gt;0,$K5&gt;0,CM5&gt;0,CM5&lt;=$L5+$I5),CM5-$I5,IF(AND(YEAR($F5)&lt;YEAR(CZ$4),$E5&lt;0,$F5&gt;0,$K5&gt;0,CM5&lt;0,CM5&lt;=$L5),$L5,IF(AND(YEAR($F5)&lt;YEAR(CZ$4),$E5&lt;0,$F5&gt;0,$K5&gt;0,CM5&lt;0,CM5&gt;$L5),CM5,0))))))</f>
        <v>0</v>
      </c>
      <c r="CY5" s="154">
        <f t="shared" ref="CY5:CY20" si="184">IF($J5&lt;&gt;"H",CX5,0)</f>
        <v>0</v>
      </c>
      <c r="CZ5" s="154">
        <f t="shared" ref="CZ5:CZ68" si="185">IF(AND(YEAR(CZ$4)=YEAR($F5),$E5&gt;0,$F5&gt;0,$E5-CX5&gt;=0),$E5-CX5,IF(AND(YEAR(CZ$4)&gt;YEAR($F5),$E5&gt;0,$F5&gt;0,CM5-CX5&gt;=0),CM5-CX5,IF(AND(YEAR(CZ$4)=YEAR($F5),$E5&lt;0,$F5&gt;0,$E5-CX5&lt;0),$E5-CX5,IF(AND(YEAR(CZ$4)&gt;YEAR($F5),$E5&lt;0,$F5&gt;0,CM5-CX5&lt;=0),CM5-CX5,0))))</f>
        <v>0</v>
      </c>
      <c r="DA5" s="154">
        <f t="shared" ref="DA5:DA20" si="186">IF($J5&lt;&gt;"H",CZ5,0)</f>
        <v>0</v>
      </c>
      <c r="DB5" s="157">
        <f t="shared" ref="DB5:DB68" si="187">CO5+CX5</f>
        <v>0</v>
      </c>
      <c r="DC5" s="154">
        <f t="shared" ref="DC5:DC68" si="188">IF(AND(CR5&lt;&gt;0,$J5="H",$L5=0),CT5,IF(AND(YEAR(CZ$4)&gt;YEAR($F5),$J5="H",$F5&gt;0,$L5=0),$E5,0))</f>
        <v>0</v>
      </c>
      <c r="DD5" s="158">
        <f t="shared" ref="DD5:DD68" si="189">IF(AND(YEAR(CZ$4)&gt;=YEAR($F5),$E5&gt;0,$F5&gt;0,CX5&gt;0,$J5="H"),ROUND(CX5/$L5*$E5,2),IF(AND(YEAR(CZ$4)&gt;=YEAR($F5),$E5&lt;0,$F5&gt;0,CX5&lt;0,$J5="H"),ROUND(CX5/$L5*$E5,2),0))</f>
        <v>0</v>
      </c>
      <c r="DE5" s="156">
        <f t="shared" ref="DE5:DR20" si="190">IF(YEAR($F5)=DE$4,$E5,0)</f>
        <v>0</v>
      </c>
      <c r="DF5" s="154">
        <f t="shared" ref="DF5:DF20" si="191">IF($J5&lt;&gt;"H",DE5,0)</f>
        <v>0</v>
      </c>
      <c r="DG5" s="154">
        <f t="shared" ref="DG5:DG68" si="192">IF(DE5&lt;&gt;0,ROUND(DE5*(DAYS360($F5,DM$4)/DAYS360(CZ$4,DM$4)),2),0)</f>
        <v>0</v>
      </c>
      <c r="DH5" s="154">
        <f t="shared" ref="DH5:DH20" si="193">IF($J5&lt;&gt;"H",DG5,0)</f>
        <v>0</v>
      </c>
      <c r="DI5" s="154">
        <f t="shared" ref="DI5:DI68" si="194">IF(AND($F5&gt;0,$F5&lt;=DM$4),$E5,0)</f>
        <v>0</v>
      </c>
      <c r="DJ5" s="154">
        <f t="shared" ref="DJ5:DJ20" si="195">IF(DK5&lt;&gt;0,ROUND(DK5/$L5*DI5,2),0)</f>
        <v>0</v>
      </c>
      <c r="DK5" s="154">
        <f t="shared" ref="DK5:DK68" si="196">IF(AND(YEAR($F5)=YEAR(DM$4),$E5&lt;1000,$E5&gt;-1000,$F5&gt;0,$K5=1),$E5-$I5,IF(AND(YEAR($F5)=YEAR(DM$4),$F5&gt;0,$K5&gt;0),ROUND(($L5/12)*(13-MONTH($F5)),2),IF(AND(YEAR($F5)&lt;YEAR(DM$4),$E5&gt;0,$F5&gt;0,$K5&gt;0,CZ5&gt;$L5+$I5),$L5,IF(AND(YEAR($F5)&lt;YEAR(DM$4),$E5&gt;0,$F5&gt;0,$K5&gt;0,CZ5&gt;0,CZ5&lt;=$L5+$I5),CZ5-$I5,IF(AND(YEAR($F5)&lt;YEAR(DM$4),$E5&lt;0,$F5&gt;0,$K5&gt;0,CZ5&lt;0,CZ5&lt;=$L5),$L5,IF(AND(YEAR($F5)&lt;YEAR(DM$4),$E5&lt;0,$F5&gt;0,$K5&gt;0,CZ5&lt;0,CZ5&gt;$L5),CZ5,0))))))</f>
        <v>0</v>
      </c>
      <c r="DL5" s="154">
        <f t="shared" ref="DL5:DL20" si="197">IF($J5&lt;&gt;"H",DK5,0)</f>
        <v>0</v>
      </c>
      <c r="DM5" s="154">
        <f t="shared" ref="DM5:DM68" si="198">IF(AND(YEAR(DM$4)=YEAR($F5),$E5&gt;0,$F5&gt;0,$E5-DK5&gt;=0),$E5-DK5,IF(AND(YEAR(DM$4)&gt;YEAR($F5),$E5&gt;0,$F5&gt;0,CZ5-DK5&gt;=0),CZ5-DK5,IF(AND(YEAR(DM$4)=YEAR($F5),$E5&lt;0,$F5&gt;0,$E5-DK5&lt;0),$E5-DK5,IF(AND(YEAR(DM$4)&gt;YEAR($F5),$E5&lt;0,$F5&gt;0,CZ5-DK5&lt;=0),CZ5-DK5,0))))</f>
        <v>0</v>
      </c>
      <c r="DN5" s="154">
        <f t="shared" ref="DN5:DN20" si="199">IF($J5&lt;&gt;"H",DM5,0)</f>
        <v>0</v>
      </c>
      <c r="DO5" s="157">
        <f t="shared" ref="DO5:DO68" si="200">DB5+DK5</f>
        <v>0</v>
      </c>
      <c r="DP5" s="154">
        <f t="shared" ref="DP5:DP68" si="201">IF(AND(DE5&lt;&gt;0,$J5="H",$L5=0),DG5,IF(AND(YEAR(DM$4)&gt;YEAR($F5),$J5="H",$F5&gt;0,$L5=0),$E5,0))</f>
        <v>0</v>
      </c>
      <c r="DQ5" s="158">
        <f t="shared" ref="DQ5:DQ68" si="202">IF(AND(YEAR(DM$4)&gt;=YEAR($F5),$E5&gt;0,$F5&gt;0,DK5&gt;0,$J5="H"),ROUND(DK5/$L5*$E5,2),IF(AND(YEAR(DM$4)&gt;=YEAR($F5),$E5&lt;0,$F5&gt;0,DK5&lt;0,$J5="H"),ROUND(DK5/$L5*$E5,2),0))</f>
        <v>0</v>
      </c>
      <c r="DR5" s="156">
        <f t="shared" ref="DR5" si="203">IF(YEAR($F5)=DR$4,$E5,0)</f>
        <v>0</v>
      </c>
      <c r="DS5" s="154">
        <f t="shared" ref="DS5:DS20" si="204">IF($J5&lt;&gt;"H",DR5,0)</f>
        <v>0</v>
      </c>
      <c r="DT5" s="154">
        <f t="shared" ref="DT5:DT68" si="205">IF(DR5&lt;&gt;0,ROUND(DR5*(DAYS360($F5,DZ$4)/DAYS360(DM$4,DZ$4)),2),0)</f>
        <v>0</v>
      </c>
      <c r="DU5" s="154">
        <f t="shared" ref="DU5:DU20" si="206">IF($J5&lt;&gt;"H",DT5,0)</f>
        <v>0</v>
      </c>
      <c r="DV5" s="154">
        <f t="shared" ref="DV5:DV68" si="207">IF(AND($F5&gt;0,$F5&lt;=DZ$4),$E5,0)</f>
        <v>0</v>
      </c>
      <c r="DW5" s="154">
        <f t="shared" ref="DW5:DW20" si="208">IF(DX5&lt;&gt;0,ROUND(DX5/$L5*DV5,2),0)</f>
        <v>0</v>
      </c>
      <c r="DX5" s="154">
        <f t="shared" ref="DX5:DX68" si="209">IF(AND(YEAR($F5)=YEAR(DZ$4),$E5&lt;1000,$E5&gt;-1000,$F5&gt;0,$K5=1),$E5-$I5,IF(AND(YEAR($F5)=YEAR(DZ$4),$F5&gt;0,$K5&gt;0),ROUND(($L5/12)*(13-MONTH($F5)),2),IF(AND(YEAR($F5)&lt;YEAR(DZ$4),$E5&gt;0,$F5&gt;0,$K5&gt;0,DM5&gt;$L5+$I5),$L5,IF(AND(YEAR($F5)&lt;YEAR(DZ$4),$E5&gt;0,$F5&gt;0,$K5&gt;0,DM5&gt;0,DM5&lt;=$L5+$I5),DM5-$I5,IF(AND(YEAR($F5)&lt;YEAR(DZ$4),$E5&lt;0,$F5&gt;0,$K5&gt;0,DM5&lt;0,DM5&lt;=$L5),$L5,IF(AND(YEAR($F5)&lt;YEAR(DZ$4),$E5&lt;0,$F5&gt;0,$K5&gt;0,DM5&lt;0,DM5&gt;$L5),DM5,0))))))</f>
        <v>0</v>
      </c>
      <c r="DY5" s="154">
        <f t="shared" ref="DY5:DY20" si="210">IF($J5&lt;&gt;"H",DX5,0)</f>
        <v>0</v>
      </c>
      <c r="DZ5" s="154">
        <f t="shared" ref="DZ5:DZ68" si="211">IF(AND(YEAR(DZ$4)=YEAR($F5),$E5&gt;0,$F5&gt;0,$E5-DX5&gt;=0),$E5-DX5,IF(AND(YEAR(DZ$4)&gt;YEAR($F5),$E5&gt;0,$F5&gt;0,DM5-DX5&gt;=0),DM5-DX5,IF(AND(YEAR(DZ$4)=YEAR($F5),$E5&lt;0,$F5&gt;0,$E5-DX5&lt;0),$E5-DX5,IF(AND(YEAR(DZ$4)&gt;YEAR($F5),$E5&lt;0,$F5&gt;0,DM5-DX5&lt;=0),DM5-DX5,0))))</f>
        <v>0</v>
      </c>
      <c r="EA5" s="154">
        <f t="shared" ref="EA5:EA20" si="212">IF($J5&lt;&gt;"H",DZ5,0)</f>
        <v>0</v>
      </c>
      <c r="EB5" s="157">
        <f t="shared" ref="EB5:EB68" si="213">DO5+DX5</f>
        <v>0</v>
      </c>
      <c r="EC5" s="154">
        <f t="shared" ref="EC5:EC68" si="214">IF(AND(DR5&lt;&gt;0,$J5="H",$L5=0),DT5,IF(AND(YEAR(DZ$4)&gt;YEAR($F5),$J5="H",$F5&gt;0,$L5=0),$E5,0))</f>
        <v>0</v>
      </c>
      <c r="ED5" s="158">
        <f t="shared" ref="ED5:ED68" si="215">IF(AND(YEAR(DZ$4)&gt;=YEAR($F5),$E5&gt;0,$F5&gt;0,DX5&gt;0,$J5="H"),ROUND(DX5/$L5*$E5,2),IF(AND(YEAR(DZ$4)&gt;=YEAR($F5),$E5&lt;0,$F5&gt;0,DX5&lt;0,$J5="H"),ROUND(DX5/$L5*$E5,2),0))</f>
        <v>0</v>
      </c>
    </row>
    <row r="6" spans="1:134" x14ac:dyDescent="0.35">
      <c r="A6" s="172"/>
      <c r="B6" s="173"/>
      <c r="C6" s="174"/>
      <c r="D6" s="175"/>
      <c r="E6" s="176"/>
      <c r="F6" s="177"/>
      <c r="G6" s="178"/>
      <c r="H6" s="179"/>
      <c r="I6" s="180"/>
      <c r="J6" s="181"/>
      <c r="K6" s="152">
        <f t="shared" ref="K6:K69" si="216">IF(AND(G6&gt;0,G6&lt;=1,H6=0),1,IF(H6&gt;=1,1,IF(AND(H6&gt;0,H6&lt;1),H6,IF(AND(G6&gt;1,OR(H6=0,H6="")),ROUND(1/G6,4),0))))</f>
        <v>0</v>
      </c>
      <c r="L6" s="153">
        <f t="shared" ref="L6:L69" si="217">IF(AND(E6&gt;0,F6&gt;0,OR(G6&gt;0,H6&gt;0)),ROUND((E6-I6)*K6,2),IF(AND(E6&lt;0,F6&gt;0,OR(G6&gt;0,H6&gt;0)),ROUND(E6*K6,2),0))</f>
        <v>0</v>
      </c>
      <c r="M6" s="154">
        <f t="shared" ref="M6:M69" si="218">IF(AND(E6-O6&gt;=0,F6&gt;0,YEAR(M$4)&gt;=YEAR(F6)),E6-O6,IF(AND(E6-O6&lt;0,F6&gt;0,YEAR(M$4)&gt;=YEAR(F6)),E6-O6,0))</f>
        <v>0</v>
      </c>
      <c r="N6" s="154"/>
      <c r="O6" s="154">
        <f t="shared" ref="O6:O69" si="219">IF(AND(YEAR(F6)&lt;=YEAR(M$4),E6&lt;1000,E6&gt;-1000,F6&gt;0,K6=1),E6-I6,IF(AND(YEAR(F6)&lt;=YEAR(M$4),E6&gt;0,F6&gt;0,K6&gt;0,E6&gt;L6*(YEAR(M$4)-YEAR(F6))+ROUND((L6/12)*(13-MONTH(F6)),2)+I6),L6*(YEAR(M$4)-YEAR(F6))+ROUND((L6/12)*(13-MONTH(F6)),2),IF(AND(YEAR(F6)&lt;=YEAR(M$4),E6&gt;0,F6&gt;0,K6&gt;0,E6&lt;=(L6*(YEAR(M$4)-YEAR(F6)+ROUND((L6/12)*(13-MONTH(F6)),2)))+I6),E6-I6,IF(AND(YEAR(F6)&lt;=YEAR(M$4),E6&lt;0,F6&gt;0,K6&gt;0,E6&lt;L6*(YEAR(M$4)-YEAR(F6))+ROUND((L6/12)*(13-MONTH(F6)),2)+I6),L6*(YEAR(M$4)-YEAR(F6))+ROUND((L6/12)*(13-MONTH(F6)),2),IF(AND(YEAR(F6)&lt;=YEAR(M$4),E6&lt;0,F6&gt;0,K6&gt;0,E6&lt;=(L6*(YEAR(M$4)-YEAR(F6)+ROUND((L6/12)*(13-MONTH(F6)),2)))),E6,0)))))</f>
        <v>0</v>
      </c>
      <c r="P6" s="155"/>
      <c r="Q6" s="154">
        <f t="shared" ref="Q6:Q69" si="220">IF(AND($F6&gt;0,$F6&lt;=O$4),$E6,0)</f>
        <v>0</v>
      </c>
      <c r="R6" s="156">
        <f t="shared" ref="R6:R69" si="221">IF(YEAR($F6)=R$4,$E6,0)</f>
        <v>0</v>
      </c>
      <c r="S6" s="154">
        <f t="shared" ref="S6:S69" si="222">IF($J6&lt;&gt;"H",R6,0)</f>
        <v>0</v>
      </c>
      <c r="T6" s="154">
        <f t="shared" ref="T6:T69" si="223">IF(R6&lt;&gt;0,ROUND(R6*(DAYS360($F6,Z$4)/DAYS360(M$4,Z$4)),2),0)</f>
        <v>0</v>
      </c>
      <c r="U6" s="154">
        <f t="shared" ref="U6:U69" si="224">IF($J6&lt;&gt;"H",T6,0)</f>
        <v>0</v>
      </c>
      <c r="V6" s="154">
        <f t="shared" ref="V6:V69" si="225">IF(AND($F6&gt;0,$F6&lt;=Z$4),$E6,0)</f>
        <v>0</v>
      </c>
      <c r="W6" s="154">
        <f t="shared" ref="W6:W69" si="226">IF(X6&lt;&gt;0,ROUND(X6/$L6*V6,2),0)</f>
        <v>0</v>
      </c>
      <c r="X6" s="154">
        <f t="shared" ref="X6:X69" si="227">IF(AND(YEAR($F6)=YEAR(Z$4),$E6&lt;1000,$E6&gt;-1000,$F6&gt;0,$K6=1),$E6-$I6,IF(AND(YEAR($F6)=YEAR(Z$4),$F6&gt;0,$K6&gt;0),ROUND(($L6/12)*(13-MONTH($F6)),2),IF(AND(YEAR($F6)&lt;YEAR(Z$4),$E6&gt;0,$F6&gt;0,$K6&gt;0,M6&gt;$L6+$I6),$L6,IF(AND(YEAR($F6)&lt;YEAR(Z$4),$E6&gt;0,$F6&gt;0,$K6&gt;0,M6&gt;0,M6&lt;=$L6+$I6),M6-$I6,IF(AND(YEAR($F6)&lt;YEAR(Z$4),$E6&lt;0,$F6&gt;0,$K6&gt;0,M6&lt;0,M6&lt;=$L6),$L6,IF(AND(YEAR($F6)&lt;YEAR(Z$4),$E6&lt;0,$F6&gt;0,$K6&gt;0,M6&lt;0,M6&gt;$L6),M6,0))))))</f>
        <v>0</v>
      </c>
      <c r="Y6" s="154">
        <f t="shared" ref="Y6:Y69" si="228">IF($J6&lt;&gt;"H",X6,0)</f>
        <v>0</v>
      </c>
      <c r="Z6" s="154">
        <f t="shared" ref="Z6:Z69" si="229">IF(AND(YEAR(Z$4)=YEAR($F6),$E6&gt;0,$F6&gt;0,$E6-X6&gt;=0),$E6-X6,IF(AND(YEAR(Z$4)&gt;YEAR($F6),$E6&gt;0,$F6&gt;0,M6-X6&gt;=0),M6-X6,IF(AND(YEAR(Z$4)=YEAR($F6),$E6&lt;0,$F6&gt;0,$E6-X6&lt;0),$E6-X6,IF(AND(YEAR(Z$4)&gt;YEAR($F6),$E6&lt;0,$F6&gt;0,M6-X6&lt;=0),M6-X6,0))))</f>
        <v>0</v>
      </c>
      <c r="AA6" s="154">
        <f t="shared" ref="AA6:AA69" si="230">IF($J6&lt;&gt;"H",Z6,0)</f>
        <v>0</v>
      </c>
      <c r="AB6" s="157">
        <f t="shared" ref="AB6:AB69" si="231">O6+X6</f>
        <v>0</v>
      </c>
      <c r="AC6" s="154">
        <f t="shared" ref="AC6:AC69" si="232">IF(AND(R6&lt;&gt;0,$J6="H",$L6=0),T6,IF(AND(YEAR(Z$4)&gt;YEAR($F6),$J6="H",$F6&gt;0,$L6=0),$E6,0))</f>
        <v>0</v>
      </c>
      <c r="AD6" s="158">
        <f t="shared" ref="AD6:AD69" si="233">IF(AND(YEAR(Z$4)&gt;=YEAR($F6),$E6&gt;0,$F6&gt;0,X6&gt;0,$J6="H"),ROUND(X6/$L6*$E6,2),IF(AND(YEAR(Z$4)&gt;=YEAR($F6),$E6&lt;0,$F6&gt;0,X6&lt;0,$J6="H"),ROUND(X6/$L6*$E6,2),0))</f>
        <v>0</v>
      </c>
      <c r="AE6" s="156">
        <f t="shared" si="112"/>
        <v>0</v>
      </c>
      <c r="AF6" s="154">
        <f t="shared" si="113"/>
        <v>0</v>
      </c>
      <c r="AG6" s="154">
        <f t="shared" si="114"/>
        <v>0</v>
      </c>
      <c r="AH6" s="154">
        <f t="shared" si="115"/>
        <v>0</v>
      </c>
      <c r="AI6" s="154">
        <f t="shared" si="116"/>
        <v>0</v>
      </c>
      <c r="AJ6" s="154">
        <f t="shared" si="117"/>
        <v>0</v>
      </c>
      <c r="AK6" s="154">
        <f t="shared" si="118"/>
        <v>0</v>
      </c>
      <c r="AL6" s="154">
        <f t="shared" si="119"/>
        <v>0</v>
      </c>
      <c r="AM6" s="154">
        <f t="shared" si="120"/>
        <v>0</v>
      </c>
      <c r="AN6" s="154">
        <f t="shared" si="121"/>
        <v>0</v>
      </c>
      <c r="AO6" s="157">
        <f t="shared" si="122"/>
        <v>0</v>
      </c>
      <c r="AP6" s="154">
        <f t="shared" si="123"/>
        <v>0</v>
      </c>
      <c r="AQ6" s="158">
        <f t="shared" si="124"/>
        <v>0</v>
      </c>
      <c r="AR6" s="156">
        <f t="shared" si="112"/>
        <v>0</v>
      </c>
      <c r="AS6" s="154">
        <f t="shared" si="126"/>
        <v>0</v>
      </c>
      <c r="AT6" s="154">
        <f t="shared" si="127"/>
        <v>0</v>
      </c>
      <c r="AU6" s="154">
        <f t="shared" si="128"/>
        <v>0</v>
      </c>
      <c r="AV6" s="154">
        <f t="shared" si="129"/>
        <v>0</v>
      </c>
      <c r="AW6" s="154">
        <f t="shared" si="130"/>
        <v>0</v>
      </c>
      <c r="AX6" s="154">
        <f t="shared" si="131"/>
        <v>0</v>
      </c>
      <c r="AY6" s="154">
        <f t="shared" si="132"/>
        <v>0</v>
      </c>
      <c r="AZ6" s="154">
        <f t="shared" si="133"/>
        <v>0</v>
      </c>
      <c r="BA6" s="154">
        <f t="shared" si="134"/>
        <v>0</v>
      </c>
      <c r="BB6" s="157">
        <f t="shared" si="135"/>
        <v>0</v>
      </c>
      <c r="BC6" s="154">
        <f t="shared" si="136"/>
        <v>0</v>
      </c>
      <c r="BD6" s="158">
        <f t="shared" si="137"/>
        <v>0</v>
      </c>
      <c r="BE6" s="156">
        <f t="shared" si="112"/>
        <v>0</v>
      </c>
      <c r="BF6" s="154">
        <f t="shared" si="139"/>
        <v>0</v>
      </c>
      <c r="BG6" s="154">
        <f t="shared" si="140"/>
        <v>0</v>
      </c>
      <c r="BH6" s="154">
        <f t="shared" si="141"/>
        <v>0</v>
      </c>
      <c r="BI6" s="154">
        <f t="shared" si="142"/>
        <v>0</v>
      </c>
      <c r="BJ6" s="154">
        <f t="shared" si="143"/>
        <v>0</v>
      </c>
      <c r="BK6" s="154">
        <f t="shared" si="144"/>
        <v>0</v>
      </c>
      <c r="BL6" s="154">
        <f t="shared" si="145"/>
        <v>0</v>
      </c>
      <c r="BM6" s="154">
        <f t="shared" si="146"/>
        <v>0</v>
      </c>
      <c r="BN6" s="154">
        <f t="shared" si="147"/>
        <v>0</v>
      </c>
      <c r="BO6" s="157">
        <f t="shared" si="148"/>
        <v>0</v>
      </c>
      <c r="BP6" s="154">
        <f t="shared" si="149"/>
        <v>0</v>
      </c>
      <c r="BQ6" s="158">
        <f t="shared" si="150"/>
        <v>0</v>
      </c>
      <c r="BR6" s="156">
        <f t="shared" si="151"/>
        <v>0</v>
      </c>
      <c r="BS6" s="154">
        <f t="shared" si="152"/>
        <v>0</v>
      </c>
      <c r="BT6" s="154">
        <f t="shared" si="153"/>
        <v>0</v>
      </c>
      <c r="BU6" s="154">
        <f t="shared" si="154"/>
        <v>0</v>
      </c>
      <c r="BV6" s="154">
        <f t="shared" si="155"/>
        <v>0</v>
      </c>
      <c r="BW6" s="154">
        <f t="shared" si="156"/>
        <v>0</v>
      </c>
      <c r="BX6" s="154">
        <f t="shared" si="157"/>
        <v>0</v>
      </c>
      <c r="BY6" s="154">
        <f t="shared" si="158"/>
        <v>0</v>
      </c>
      <c r="BZ6" s="154">
        <f t="shared" si="159"/>
        <v>0</v>
      </c>
      <c r="CA6" s="154">
        <f t="shared" si="160"/>
        <v>0</v>
      </c>
      <c r="CB6" s="157">
        <f t="shared" si="161"/>
        <v>0</v>
      </c>
      <c r="CC6" s="154">
        <f t="shared" si="162"/>
        <v>0</v>
      </c>
      <c r="CD6" s="158">
        <f t="shared" si="163"/>
        <v>0</v>
      </c>
      <c r="CE6" s="156">
        <f t="shared" si="151"/>
        <v>0</v>
      </c>
      <c r="CF6" s="154">
        <f t="shared" si="165"/>
        <v>0</v>
      </c>
      <c r="CG6" s="154">
        <f t="shared" si="166"/>
        <v>0</v>
      </c>
      <c r="CH6" s="154">
        <f t="shared" si="167"/>
        <v>0</v>
      </c>
      <c r="CI6" s="154">
        <f t="shared" si="168"/>
        <v>0</v>
      </c>
      <c r="CJ6" s="154">
        <f t="shared" si="169"/>
        <v>0</v>
      </c>
      <c r="CK6" s="154">
        <f t="shared" si="170"/>
        <v>0</v>
      </c>
      <c r="CL6" s="154">
        <f t="shared" si="171"/>
        <v>0</v>
      </c>
      <c r="CM6" s="154">
        <f t="shared" si="172"/>
        <v>0</v>
      </c>
      <c r="CN6" s="154">
        <f t="shared" si="173"/>
        <v>0</v>
      </c>
      <c r="CO6" s="157">
        <f t="shared" si="174"/>
        <v>0</v>
      </c>
      <c r="CP6" s="154">
        <f t="shared" si="175"/>
        <v>0</v>
      </c>
      <c r="CQ6" s="158">
        <f t="shared" si="176"/>
        <v>0</v>
      </c>
      <c r="CR6" s="156">
        <f t="shared" si="151"/>
        <v>0</v>
      </c>
      <c r="CS6" s="154">
        <f t="shared" si="178"/>
        <v>0</v>
      </c>
      <c r="CT6" s="154">
        <f t="shared" si="179"/>
        <v>0</v>
      </c>
      <c r="CU6" s="154">
        <f t="shared" si="180"/>
        <v>0</v>
      </c>
      <c r="CV6" s="154">
        <f t="shared" si="181"/>
        <v>0</v>
      </c>
      <c r="CW6" s="154">
        <f t="shared" si="182"/>
        <v>0</v>
      </c>
      <c r="CX6" s="154">
        <f t="shared" si="183"/>
        <v>0</v>
      </c>
      <c r="CY6" s="154">
        <f t="shared" si="184"/>
        <v>0</v>
      </c>
      <c r="CZ6" s="154">
        <f t="shared" si="185"/>
        <v>0</v>
      </c>
      <c r="DA6" s="154">
        <f t="shared" si="186"/>
        <v>0</v>
      </c>
      <c r="DB6" s="157">
        <f t="shared" si="187"/>
        <v>0</v>
      </c>
      <c r="DC6" s="154">
        <f t="shared" si="188"/>
        <v>0</v>
      </c>
      <c r="DD6" s="158">
        <f t="shared" si="189"/>
        <v>0</v>
      </c>
      <c r="DE6" s="156">
        <f t="shared" si="190"/>
        <v>0</v>
      </c>
      <c r="DF6" s="154">
        <f t="shared" si="191"/>
        <v>0</v>
      </c>
      <c r="DG6" s="154">
        <f t="shared" si="192"/>
        <v>0</v>
      </c>
      <c r="DH6" s="154">
        <f t="shared" si="193"/>
        <v>0</v>
      </c>
      <c r="DI6" s="154">
        <f t="shared" si="194"/>
        <v>0</v>
      </c>
      <c r="DJ6" s="154">
        <f t="shared" si="195"/>
        <v>0</v>
      </c>
      <c r="DK6" s="154">
        <f t="shared" si="196"/>
        <v>0</v>
      </c>
      <c r="DL6" s="154">
        <f t="shared" si="197"/>
        <v>0</v>
      </c>
      <c r="DM6" s="154">
        <f t="shared" si="198"/>
        <v>0</v>
      </c>
      <c r="DN6" s="154">
        <f t="shared" si="199"/>
        <v>0</v>
      </c>
      <c r="DO6" s="157">
        <f t="shared" si="200"/>
        <v>0</v>
      </c>
      <c r="DP6" s="154">
        <f t="shared" si="201"/>
        <v>0</v>
      </c>
      <c r="DQ6" s="158">
        <f t="shared" si="202"/>
        <v>0</v>
      </c>
      <c r="DR6" s="156">
        <f t="shared" si="190"/>
        <v>0</v>
      </c>
      <c r="DS6" s="154">
        <f t="shared" si="204"/>
        <v>0</v>
      </c>
      <c r="DT6" s="154">
        <f t="shared" si="205"/>
        <v>0</v>
      </c>
      <c r="DU6" s="154">
        <f t="shared" si="206"/>
        <v>0</v>
      </c>
      <c r="DV6" s="154">
        <f t="shared" si="207"/>
        <v>0</v>
      </c>
      <c r="DW6" s="154">
        <f t="shared" si="208"/>
        <v>0</v>
      </c>
      <c r="DX6" s="154">
        <f t="shared" si="209"/>
        <v>0</v>
      </c>
      <c r="DY6" s="154">
        <f t="shared" si="210"/>
        <v>0</v>
      </c>
      <c r="DZ6" s="154">
        <f t="shared" si="211"/>
        <v>0</v>
      </c>
      <c r="EA6" s="154">
        <f t="shared" si="212"/>
        <v>0</v>
      </c>
      <c r="EB6" s="157">
        <f t="shared" si="213"/>
        <v>0</v>
      </c>
      <c r="EC6" s="154">
        <f t="shared" si="214"/>
        <v>0</v>
      </c>
      <c r="ED6" s="158">
        <f t="shared" si="215"/>
        <v>0</v>
      </c>
    </row>
    <row r="7" spans="1:134" x14ac:dyDescent="0.35">
      <c r="A7" s="172">
        <v>1960</v>
      </c>
      <c r="B7" s="173" t="s">
        <v>553</v>
      </c>
      <c r="C7" s="174"/>
      <c r="D7" s="175"/>
      <c r="E7" s="176"/>
      <c r="F7" s="177"/>
      <c r="G7" s="178"/>
      <c r="H7" s="179"/>
      <c r="I7" s="180"/>
      <c r="J7" s="181"/>
      <c r="K7" s="152">
        <f t="shared" si="216"/>
        <v>0</v>
      </c>
      <c r="L7" s="153">
        <f t="shared" si="217"/>
        <v>0</v>
      </c>
      <c r="M7" s="154">
        <f t="shared" si="218"/>
        <v>0</v>
      </c>
      <c r="N7" s="154"/>
      <c r="O7" s="154">
        <f t="shared" si="219"/>
        <v>0</v>
      </c>
      <c r="P7" s="155"/>
      <c r="Q7" s="154">
        <f t="shared" si="220"/>
        <v>0</v>
      </c>
      <c r="R7" s="156">
        <f t="shared" si="221"/>
        <v>0</v>
      </c>
      <c r="S7" s="154">
        <f t="shared" si="222"/>
        <v>0</v>
      </c>
      <c r="T7" s="154">
        <f t="shared" si="223"/>
        <v>0</v>
      </c>
      <c r="U7" s="154">
        <f t="shared" si="224"/>
        <v>0</v>
      </c>
      <c r="V7" s="154">
        <f t="shared" si="225"/>
        <v>0</v>
      </c>
      <c r="W7" s="154">
        <f t="shared" si="226"/>
        <v>0</v>
      </c>
      <c r="X7" s="154">
        <f t="shared" si="227"/>
        <v>0</v>
      </c>
      <c r="Y7" s="154">
        <f t="shared" si="228"/>
        <v>0</v>
      </c>
      <c r="Z7" s="154">
        <f t="shared" si="229"/>
        <v>0</v>
      </c>
      <c r="AA7" s="154">
        <f t="shared" si="230"/>
        <v>0</v>
      </c>
      <c r="AB7" s="157">
        <f t="shared" si="231"/>
        <v>0</v>
      </c>
      <c r="AC7" s="154">
        <f t="shared" si="232"/>
        <v>0</v>
      </c>
      <c r="AD7" s="158">
        <f t="shared" si="233"/>
        <v>0</v>
      </c>
      <c r="AE7" s="156">
        <f t="shared" si="112"/>
        <v>0</v>
      </c>
      <c r="AF7" s="154">
        <f t="shared" si="113"/>
        <v>0</v>
      </c>
      <c r="AG7" s="154">
        <f t="shared" si="114"/>
        <v>0</v>
      </c>
      <c r="AH7" s="154">
        <f t="shared" si="115"/>
        <v>0</v>
      </c>
      <c r="AI7" s="154">
        <f t="shared" si="116"/>
        <v>0</v>
      </c>
      <c r="AJ7" s="154">
        <f t="shared" si="117"/>
        <v>0</v>
      </c>
      <c r="AK7" s="154">
        <f t="shared" si="118"/>
        <v>0</v>
      </c>
      <c r="AL7" s="154">
        <f t="shared" si="119"/>
        <v>0</v>
      </c>
      <c r="AM7" s="154">
        <f t="shared" si="120"/>
        <v>0</v>
      </c>
      <c r="AN7" s="154">
        <f t="shared" si="121"/>
        <v>0</v>
      </c>
      <c r="AO7" s="157">
        <f t="shared" si="122"/>
        <v>0</v>
      </c>
      <c r="AP7" s="154">
        <f t="shared" si="123"/>
        <v>0</v>
      </c>
      <c r="AQ7" s="158">
        <f t="shared" si="124"/>
        <v>0</v>
      </c>
      <c r="AR7" s="156">
        <f t="shared" si="112"/>
        <v>0</v>
      </c>
      <c r="AS7" s="154">
        <f t="shared" si="126"/>
        <v>0</v>
      </c>
      <c r="AT7" s="154">
        <f t="shared" si="127"/>
        <v>0</v>
      </c>
      <c r="AU7" s="154">
        <f t="shared" si="128"/>
        <v>0</v>
      </c>
      <c r="AV7" s="154">
        <f t="shared" si="129"/>
        <v>0</v>
      </c>
      <c r="AW7" s="154">
        <f t="shared" si="130"/>
        <v>0</v>
      </c>
      <c r="AX7" s="154">
        <f t="shared" si="131"/>
        <v>0</v>
      </c>
      <c r="AY7" s="154">
        <f t="shared" si="132"/>
        <v>0</v>
      </c>
      <c r="AZ7" s="154">
        <f t="shared" si="133"/>
        <v>0</v>
      </c>
      <c r="BA7" s="154">
        <f t="shared" si="134"/>
        <v>0</v>
      </c>
      <c r="BB7" s="157">
        <f t="shared" si="135"/>
        <v>0</v>
      </c>
      <c r="BC7" s="154">
        <f t="shared" si="136"/>
        <v>0</v>
      </c>
      <c r="BD7" s="158">
        <f t="shared" si="137"/>
        <v>0</v>
      </c>
      <c r="BE7" s="156">
        <f t="shared" si="112"/>
        <v>0</v>
      </c>
      <c r="BF7" s="154">
        <f t="shared" si="139"/>
        <v>0</v>
      </c>
      <c r="BG7" s="154">
        <f t="shared" si="140"/>
        <v>0</v>
      </c>
      <c r="BH7" s="154">
        <f t="shared" si="141"/>
        <v>0</v>
      </c>
      <c r="BI7" s="154">
        <f t="shared" si="142"/>
        <v>0</v>
      </c>
      <c r="BJ7" s="154">
        <f t="shared" si="143"/>
        <v>0</v>
      </c>
      <c r="BK7" s="154">
        <f t="shared" si="144"/>
        <v>0</v>
      </c>
      <c r="BL7" s="154">
        <f t="shared" si="145"/>
        <v>0</v>
      </c>
      <c r="BM7" s="154">
        <f t="shared" si="146"/>
        <v>0</v>
      </c>
      <c r="BN7" s="154">
        <f t="shared" si="147"/>
        <v>0</v>
      </c>
      <c r="BO7" s="157">
        <f t="shared" si="148"/>
        <v>0</v>
      </c>
      <c r="BP7" s="154">
        <f t="shared" si="149"/>
        <v>0</v>
      </c>
      <c r="BQ7" s="158">
        <f t="shared" si="150"/>
        <v>0</v>
      </c>
      <c r="BR7" s="156">
        <f t="shared" si="151"/>
        <v>0</v>
      </c>
      <c r="BS7" s="154">
        <f t="shared" si="152"/>
        <v>0</v>
      </c>
      <c r="BT7" s="154">
        <f t="shared" si="153"/>
        <v>0</v>
      </c>
      <c r="BU7" s="154">
        <f t="shared" si="154"/>
        <v>0</v>
      </c>
      <c r="BV7" s="154">
        <f t="shared" si="155"/>
        <v>0</v>
      </c>
      <c r="BW7" s="154">
        <f t="shared" si="156"/>
        <v>0</v>
      </c>
      <c r="BX7" s="154">
        <f t="shared" si="157"/>
        <v>0</v>
      </c>
      <c r="BY7" s="154">
        <f t="shared" si="158"/>
        <v>0</v>
      </c>
      <c r="BZ7" s="154">
        <f t="shared" si="159"/>
        <v>0</v>
      </c>
      <c r="CA7" s="154">
        <f t="shared" si="160"/>
        <v>0</v>
      </c>
      <c r="CB7" s="157">
        <f t="shared" si="161"/>
        <v>0</v>
      </c>
      <c r="CC7" s="154">
        <f t="shared" si="162"/>
        <v>0</v>
      </c>
      <c r="CD7" s="158">
        <f t="shared" si="163"/>
        <v>0</v>
      </c>
      <c r="CE7" s="156">
        <f t="shared" si="151"/>
        <v>0</v>
      </c>
      <c r="CF7" s="154">
        <f t="shared" si="165"/>
        <v>0</v>
      </c>
      <c r="CG7" s="154">
        <f t="shared" si="166"/>
        <v>0</v>
      </c>
      <c r="CH7" s="154">
        <f t="shared" si="167"/>
        <v>0</v>
      </c>
      <c r="CI7" s="154">
        <f t="shared" si="168"/>
        <v>0</v>
      </c>
      <c r="CJ7" s="154">
        <f t="shared" si="169"/>
        <v>0</v>
      </c>
      <c r="CK7" s="154">
        <f t="shared" si="170"/>
        <v>0</v>
      </c>
      <c r="CL7" s="154">
        <f t="shared" si="171"/>
        <v>0</v>
      </c>
      <c r="CM7" s="154">
        <f t="shared" si="172"/>
        <v>0</v>
      </c>
      <c r="CN7" s="154">
        <f t="shared" si="173"/>
        <v>0</v>
      </c>
      <c r="CO7" s="157">
        <f t="shared" si="174"/>
        <v>0</v>
      </c>
      <c r="CP7" s="154">
        <f t="shared" si="175"/>
        <v>0</v>
      </c>
      <c r="CQ7" s="158">
        <f t="shared" si="176"/>
        <v>0</v>
      </c>
      <c r="CR7" s="156">
        <f t="shared" si="151"/>
        <v>0</v>
      </c>
      <c r="CS7" s="154">
        <f t="shared" si="178"/>
        <v>0</v>
      </c>
      <c r="CT7" s="154">
        <f t="shared" si="179"/>
        <v>0</v>
      </c>
      <c r="CU7" s="154">
        <f t="shared" si="180"/>
        <v>0</v>
      </c>
      <c r="CV7" s="154">
        <f t="shared" si="181"/>
        <v>0</v>
      </c>
      <c r="CW7" s="154">
        <f t="shared" si="182"/>
        <v>0</v>
      </c>
      <c r="CX7" s="154">
        <f t="shared" si="183"/>
        <v>0</v>
      </c>
      <c r="CY7" s="154">
        <f t="shared" si="184"/>
        <v>0</v>
      </c>
      <c r="CZ7" s="154">
        <f t="shared" si="185"/>
        <v>0</v>
      </c>
      <c r="DA7" s="154">
        <f t="shared" si="186"/>
        <v>0</v>
      </c>
      <c r="DB7" s="157">
        <f t="shared" si="187"/>
        <v>0</v>
      </c>
      <c r="DC7" s="154">
        <f t="shared" si="188"/>
        <v>0</v>
      </c>
      <c r="DD7" s="158">
        <f t="shared" si="189"/>
        <v>0</v>
      </c>
      <c r="DE7" s="156">
        <f t="shared" si="190"/>
        <v>0</v>
      </c>
      <c r="DF7" s="154">
        <f t="shared" si="191"/>
        <v>0</v>
      </c>
      <c r="DG7" s="154">
        <f t="shared" si="192"/>
        <v>0</v>
      </c>
      <c r="DH7" s="154">
        <f t="shared" si="193"/>
        <v>0</v>
      </c>
      <c r="DI7" s="154">
        <f t="shared" si="194"/>
        <v>0</v>
      </c>
      <c r="DJ7" s="154">
        <f t="shared" si="195"/>
        <v>0</v>
      </c>
      <c r="DK7" s="154">
        <f t="shared" si="196"/>
        <v>0</v>
      </c>
      <c r="DL7" s="154">
        <f t="shared" si="197"/>
        <v>0</v>
      </c>
      <c r="DM7" s="154">
        <f t="shared" si="198"/>
        <v>0</v>
      </c>
      <c r="DN7" s="154">
        <f t="shared" si="199"/>
        <v>0</v>
      </c>
      <c r="DO7" s="157">
        <f t="shared" si="200"/>
        <v>0</v>
      </c>
      <c r="DP7" s="154">
        <f t="shared" si="201"/>
        <v>0</v>
      </c>
      <c r="DQ7" s="158">
        <f t="shared" si="202"/>
        <v>0</v>
      </c>
      <c r="DR7" s="156">
        <f t="shared" si="190"/>
        <v>0</v>
      </c>
      <c r="DS7" s="154">
        <f t="shared" si="204"/>
        <v>0</v>
      </c>
      <c r="DT7" s="154">
        <f t="shared" si="205"/>
        <v>0</v>
      </c>
      <c r="DU7" s="154">
        <f t="shared" si="206"/>
        <v>0</v>
      </c>
      <c r="DV7" s="154">
        <f t="shared" si="207"/>
        <v>0</v>
      </c>
      <c r="DW7" s="154">
        <f t="shared" si="208"/>
        <v>0</v>
      </c>
      <c r="DX7" s="154">
        <f t="shared" si="209"/>
        <v>0</v>
      </c>
      <c r="DY7" s="154">
        <f t="shared" si="210"/>
        <v>0</v>
      </c>
      <c r="DZ7" s="154">
        <f t="shared" si="211"/>
        <v>0</v>
      </c>
      <c r="EA7" s="154">
        <f t="shared" si="212"/>
        <v>0</v>
      </c>
      <c r="EB7" s="157">
        <f t="shared" si="213"/>
        <v>0</v>
      </c>
      <c r="EC7" s="154">
        <f t="shared" si="214"/>
        <v>0</v>
      </c>
      <c r="ED7" s="158">
        <f t="shared" si="215"/>
        <v>0</v>
      </c>
    </row>
    <row r="8" spans="1:134" x14ac:dyDescent="0.35">
      <c r="A8" s="183">
        <v>1978</v>
      </c>
      <c r="B8" s="173" t="s">
        <v>553</v>
      </c>
      <c r="C8" s="174"/>
      <c r="D8" s="175" t="s">
        <v>100</v>
      </c>
      <c r="E8" s="176">
        <v>850000</v>
      </c>
      <c r="F8" s="177">
        <v>29952</v>
      </c>
      <c r="G8" s="178">
        <v>33.700000000000003</v>
      </c>
      <c r="H8" s="179"/>
      <c r="I8" s="180"/>
      <c r="J8" s="181"/>
      <c r="K8" s="152">
        <f t="shared" si="216"/>
        <v>2.9700000000000001E-2</v>
      </c>
      <c r="L8" s="153">
        <f t="shared" si="217"/>
        <v>25245</v>
      </c>
      <c r="M8" s="154">
        <f t="shared" si="218"/>
        <v>92650</v>
      </c>
      <c r="N8" s="154"/>
      <c r="O8" s="154">
        <f t="shared" si="219"/>
        <v>757350</v>
      </c>
      <c r="P8" s="155"/>
      <c r="Q8" s="154">
        <f t="shared" si="220"/>
        <v>850000</v>
      </c>
      <c r="R8" s="156">
        <f t="shared" si="221"/>
        <v>0</v>
      </c>
      <c r="S8" s="154">
        <f t="shared" si="222"/>
        <v>0</v>
      </c>
      <c r="T8" s="154">
        <f t="shared" si="223"/>
        <v>0</v>
      </c>
      <c r="U8" s="154">
        <f t="shared" si="224"/>
        <v>0</v>
      </c>
      <c r="V8" s="154">
        <f t="shared" si="225"/>
        <v>850000</v>
      </c>
      <c r="W8" s="154">
        <f t="shared" si="226"/>
        <v>850000</v>
      </c>
      <c r="X8" s="154">
        <f t="shared" si="227"/>
        <v>25245</v>
      </c>
      <c r="Y8" s="154">
        <f t="shared" si="228"/>
        <v>25245</v>
      </c>
      <c r="Z8" s="154">
        <f t="shared" si="229"/>
        <v>67405</v>
      </c>
      <c r="AA8" s="154">
        <f t="shared" si="230"/>
        <v>67405</v>
      </c>
      <c r="AB8" s="157">
        <f t="shared" si="231"/>
        <v>782595</v>
      </c>
      <c r="AC8" s="154">
        <f t="shared" si="232"/>
        <v>0</v>
      </c>
      <c r="AD8" s="158">
        <f t="shared" si="233"/>
        <v>0</v>
      </c>
      <c r="AE8" s="156">
        <f t="shared" si="112"/>
        <v>0</v>
      </c>
      <c r="AF8" s="154">
        <f t="shared" si="113"/>
        <v>0</v>
      </c>
      <c r="AG8" s="154">
        <f t="shared" si="114"/>
        <v>0</v>
      </c>
      <c r="AH8" s="154">
        <f t="shared" si="115"/>
        <v>0</v>
      </c>
      <c r="AI8" s="154">
        <f t="shared" si="116"/>
        <v>850000</v>
      </c>
      <c r="AJ8" s="154">
        <f t="shared" si="117"/>
        <v>850000</v>
      </c>
      <c r="AK8" s="154">
        <f t="shared" si="118"/>
        <v>25245</v>
      </c>
      <c r="AL8" s="154">
        <f t="shared" si="119"/>
        <v>25245</v>
      </c>
      <c r="AM8" s="154">
        <f t="shared" si="120"/>
        <v>42160</v>
      </c>
      <c r="AN8" s="154">
        <f t="shared" si="121"/>
        <v>42160</v>
      </c>
      <c r="AO8" s="157">
        <f t="shared" si="122"/>
        <v>807840</v>
      </c>
      <c r="AP8" s="154">
        <f t="shared" si="123"/>
        <v>0</v>
      </c>
      <c r="AQ8" s="158">
        <f t="shared" si="124"/>
        <v>0</v>
      </c>
      <c r="AR8" s="156">
        <f t="shared" si="112"/>
        <v>0</v>
      </c>
      <c r="AS8" s="154">
        <f t="shared" si="126"/>
        <v>0</v>
      </c>
      <c r="AT8" s="154">
        <f t="shared" si="127"/>
        <v>0</v>
      </c>
      <c r="AU8" s="154">
        <f t="shared" si="128"/>
        <v>0</v>
      </c>
      <c r="AV8" s="154">
        <f t="shared" si="129"/>
        <v>850000</v>
      </c>
      <c r="AW8" s="154">
        <f t="shared" si="130"/>
        <v>850000</v>
      </c>
      <c r="AX8" s="154">
        <f t="shared" si="131"/>
        <v>25245</v>
      </c>
      <c r="AY8" s="154">
        <f t="shared" si="132"/>
        <v>25245</v>
      </c>
      <c r="AZ8" s="154">
        <f t="shared" si="133"/>
        <v>16915</v>
      </c>
      <c r="BA8" s="154">
        <f t="shared" si="134"/>
        <v>16915</v>
      </c>
      <c r="BB8" s="157">
        <f t="shared" si="135"/>
        <v>833085</v>
      </c>
      <c r="BC8" s="154">
        <f t="shared" si="136"/>
        <v>0</v>
      </c>
      <c r="BD8" s="158">
        <f t="shared" si="137"/>
        <v>0</v>
      </c>
      <c r="BE8" s="156">
        <f t="shared" si="112"/>
        <v>0</v>
      </c>
      <c r="BF8" s="154">
        <f t="shared" si="139"/>
        <v>0</v>
      </c>
      <c r="BG8" s="154">
        <f t="shared" si="140"/>
        <v>0</v>
      </c>
      <c r="BH8" s="154">
        <f t="shared" si="141"/>
        <v>0</v>
      </c>
      <c r="BI8" s="154">
        <f t="shared" si="142"/>
        <v>850000</v>
      </c>
      <c r="BJ8" s="154">
        <f t="shared" si="143"/>
        <v>569528.62</v>
      </c>
      <c r="BK8" s="154">
        <f t="shared" si="144"/>
        <v>16915</v>
      </c>
      <c r="BL8" s="154">
        <f t="shared" si="145"/>
        <v>16915</v>
      </c>
      <c r="BM8" s="154">
        <f t="shared" si="146"/>
        <v>0</v>
      </c>
      <c r="BN8" s="154">
        <f t="shared" si="147"/>
        <v>0</v>
      </c>
      <c r="BO8" s="157">
        <f t="shared" si="148"/>
        <v>850000</v>
      </c>
      <c r="BP8" s="154">
        <f t="shared" si="149"/>
        <v>0</v>
      </c>
      <c r="BQ8" s="158">
        <f t="shared" si="150"/>
        <v>0</v>
      </c>
      <c r="BR8" s="156">
        <f t="shared" si="151"/>
        <v>0</v>
      </c>
      <c r="BS8" s="154">
        <f t="shared" si="152"/>
        <v>0</v>
      </c>
      <c r="BT8" s="154">
        <f t="shared" si="153"/>
        <v>0</v>
      </c>
      <c r="BU8" s="154">
        <f t="shared" si="154"/>
        <v>0</v>
      </c>
      <c r="BV8" s="154">
        <f t="shared" si="155"/>
        <v>850000</v>
      </c>
      <c r="BW8" s="154">
        <f t="shared" si="156"/>
        <v>0</v>
      </c>
      <c r="BX8" s="154">
        <f t="shared" si="157"/>
        <v>0</v>
      </c>
      <c r="BY8" s="154">
        <f t="shared" si="158"/>
        <v>0</v>
      </c>
      <c r="BZ8" s="154">
        <f t="shared" si="159"/>
        <v>0</v>
      </c>
      <c r="CA8" s="154">
        <f t="shared" si="160"/>
        <v>0</v>
      </c>
      <c r="CB8" s="157">
        <f t="shared" si="161"/>
        <v>850000</v>
      </c>
      <c r="CC8" s="154">
        <f t="shared" si="162"/>
        <v>0</v>
      </c>
      <c r="CD8" s="158">
        <f t="shared" si="163"/>
        <v>0</v>
      </c>
      <c r="CE8" s="156">
        <f t="shared" si="151"/>
        <v>0</v>
      </c>
      <c r="CF8" s="154">
        <f t="shared" si="165"/>
        <v>0</v>
      </c>
      <c r="CG8" s="154">
        <f t="shared" si="166"/>
        <v>0</v>
      </c>
      <c r="CH8" s="154">
        <f t="shared" si="167"/>
        <v>0</v>
      </c>
      <c r="CI8" s="154">
        <f t="shared" si="168"/>
        <v>850000</v>
      </c>
      <c r="CJ8" s="154">
        <f t="shared" si="169"/>
        <v>0</v>
      </c>
      <c r="CK8" s="154">
        <f t="shared" si="170"/>
        <v>0</v>
      </c>
      <c r="CL8" s="154">
        <f t="shared" si="171"/>
        <v>0</v>
      </c>
      <c r="CM8" s="154">
        <f t="shared" si="172"/>
        <v>0</v>
      </c>
      <c r="CN8" s="154">
        <f t="shared" si="173"/>
        <v>0</v>
      </c>
      <c r="CO8" s="157">
        <f t="shared" si="174"/>
        <v>850000</v>
      </c>
      <c r="CP8" s="154">
        <f t="shared" si="175"/>
        <v>0</v>
      </c>
      <c r="CQ8" s="158">
        <f t="shared" si="176"/>
        <v>0</v>
      </c>
      <c r="CR8" s="156">
        <f t="shared" si="151"/>
        <v>0</v>
      </c>
      <c r="CS8" s="154">
        <f t="shared" si="178"/>
        <v>0</v>
      </c>
      <c r="CT8" s="154">
        <f t="shared" si="179"/>
        <v>0</v>
      </c>
      <c r="CU8" s="154">
        <f t="shared" si="180"/>
        <v>0</v>
      </c>
      <c r="CV8" s="154">
        <f t="shared" si="181"/>
        <v>850000</v>
      </c>
      <c r="CW8" s="154">
        <f t="shared" si="182"/>
        <v>0</v>
      </c>
      <c r="CX8" s="154">
        <f t="shared" si="183"/>
        <v>0</v>
      </c>
      <c r="CY8" s="154">
        <f t="shared" si="184"/>
        <v>0</v>
      </c>
      <c r="CZ8" s="154">
        <f t="shared" si="185"/>
        <v>0</v>
      </c>
      <c r="DA8" s="154">
        <f t="shared" si="186"/>
        <v>0</v>
      </c>
      <c r="DB8" s="157">
        <f t="shared" si="187"/>
        <v>850000</v>
      </c>
      <c r="DC8" s="154">
        <f t="shared" si="188"/>
        <v>0</v>
      </c>
      <c r="DD8" s="158">
        <f t="shared" si="189"/>
        <v>0</v>
      </c>
      <c r="DE8" s="156">
        <f t="shared" si="190"/>
        <v>0</v>
      </c>
      <c r="DF8" s="154">
        <f t="shared" si="191"/>
        <v>0</v>
      </c>
      <c r="DG8" s="154">
        <f t="shared" si="192"/>
        <v>0</v>
      </c>
      <c r="DH8" s="154">
        <f t="shared" si="193"/>
        <v>0</v>
      </c>
      <c r="DI8" s="154">
        <f t="shared" si="194"/>
        <v>850000</v>
      </c>
      <c r="DJ8" s="154">
        <f t="shared" si="195"/>
        <v>0</v>
      </c>
      <c r="DK8" s="154">
        <f t="shared" si="196"/>
        <v>0</v>
      </c>
      <c r="DL8" s="154">
        <f t="shared" si="197"/>
        <v>0</v>
      </c>
      <c r="DM8" s="154">
        <f t="shared" si="198"/>
        <v>0</v>
      </c>
      <c r="DN8" s="154">
        <f t="shared" si="199"/>
        <v>0</v>
      </c>
      <c r="DO8" s="157">
        <f t="shared" si="200"/>
        <v>850000</v>
      </c>
      <c r="DP8" s="154">
        <f t="shared" si="201"/>
        <v>0</v>
      </c>
      <c r="DQ8" s="158">
        <f t="shared" si="202"/>
        <v>0</v>
      </c>
      <c r="DR8" s="156">
        <f t="shared" si="190"/>
        <v>0</v>
      </c>
      <c r="DS8" s="154">
        <f t="shared" si="204"/>
        <v>0</v>
      </c>
      <c r="DT8" s="154">
        <f t="shared" si="205"/>
        <v>0</v>
      </c>
      <c r="DU8" s="154">
        <f t="shared" si="206"/>
        <v>0</v>
      </c>
      <c r="DV8" s="154">
        <f t="shared" si="207"/>
        <v>850000</v>
      </c>
      <c r="DW8" s="154">
        <f t="shared" si="208"/>
        <v>0</v>
      </c>
      <c r="DX8" s="154">
        <f t="shared" si="209"/>
        <v>0</v>
      </c>
      <c r="DY8" s="154">
        <f t="shared" si="210"/>
        <v>0</v>
      </c>
      <c r="DZ8" s="154">
        <f t="shared" si="211"/>
        <v>0</v>
      </c>
      <c r="EA8" s="154">
        <f t="shared" si="212"/>
        <v>0</v>
      </c>
      <c r="EB8" s="157">
        <f t="shared" si="213"/>
        <v>850000</v>
      </c>
      <c r="EC8" s="154">
        <f t="shared" si="214"/>
        <v>0</v>
      </c>
      <c r="ED8" s="158">
        <f t="shared" si="215"/>
        <v>0</v>
      </c>
    </row>
    <row r="9" spans="1:134" x14ac:dyDescent="0.35">
      <c r="A9" s="183">
        <v>1980</v>
      </c>
      <c r="B9" s="173" t="s">
        <v>553</v>
      </c>
      <c r="C9" s="174"/>
      <c r="D9" s="175" t="s">
        <v>100</v>
      </c>
      <c r="E9" s="176">
        <v>570000</v>
      </c>
      <c r="F9" s="177">
        <v>30560</v>
      </c>
      <c r="G9" s="178">
        <v>33.700000000000003</v>
      </c>
      <c r="H9" s="179"/>
      <c r="I9" s="180"/>
      <c r="J9" s="181"/>
      <c r="K9" s="152">
        <f t="shared" si="216"/>
        <v>2.9700000000000001E-2</v>
      </c>
      <c r="L9" s="153">
        <f t="shared" si="217"/>
        <v>16929</v>
      </c>
      <c r="M9" s="154">
        <f t="shared" si="218"/>
        <v>90345</v>
      </c>
      <c r="N9" s="154"/>
      <c r="O9" s="154">
        <f t="shared" si="219"/>
        <v>479655</v>
      </c>
      <c r="P9" s="155"/>
      <c r="Q9" s="154">
        <f t="shared" si="220"/>
        <v>570000</v>
      </c>
      <c r="R9" s="156">
        <f t="shared" si="221"/>
        <v>0</v>
      </c>
      <c r="S9" s="154">
        <f t="shared" si="222"/>
        <v>0</v>
      </c>
      <c r="T9" s="154">
        <f t="shared" si="223"/>
        <v>0</v>
      </c>
      <c r="U9" s="154">
        <f t="shared" si="224"/>
        <v>0</v>
      </c>
      <c r="V9" s="154">
        <f t="shared" si="225"/>
        <v>570000</v>
      </c>
      <c r="W9" s="154">
        <f t="shared" si="226"/>
        <v>570000</v>
      </c>
      <c r="X9" s="154">
        <f t="shared" si="227"/>
        <v>16929</v>
      </c>
      <c r="Y9" s="154">
        <f t="shared" si="228"/>
        <v>16929</v>
      </c>
      <c r="Z9" s="154">
        <f t="shared" si="229"/>
        <v>73416</v>
      </c>
      <c r="AA9" s="154">
        <f t="shared" si="230"/>
        <v>73416</v>
      </c>
      <c r="AB9" s="157">
        <f t="shared" si="231"/>
        <v>496584</v>
      </c>
      <c r="AC9" s="154">
        <f t="shared" si="232"/>
        <v>0</v>
      </c>
      <c r="AD9" s="158">
        <f t="shared" si="233"/>
        <v>0</v>
      </c>
      <c r="AE9" s="156">
        <f t="shared" si="112"/>
        <v>0</v>
      </c>
      <c r="AF9" s="154">
        <f t="shared" si="113"/>
        <v>0</v>
      </c>
      <c r="AG9" s="154">
        <f t="shared" si="114"/>
        <v>0</v>
      </c>
      <c r="AH9" s="154">
        <f t="shared" si="115"/>
        <v>0</v>
      </c>
      <c r="AI9" s="154">
        <f t="shared" si="116"/>
        <v>570000</v>
      </c>
      <c r="AJ9" s="154">
        <f t="shared" si="117"/>
        <v>570000</v>
      </c>
      <c r="AK9" s="154">
        <f t="shared" si="118"/>
        <v>16929</v>
      </c>
      <c r="AL9" s="154">
        <f t="shared" si="119"/>
        <v>16929</v>
      </c>
      <c r="AM9" s="154">
        <f t="shared" si="120"/>
        <v>56487</v>
      </c>
      <c r="AN9" s="154">
        <f t="shared" si="121"/>
        <v>56487</v>
      </c>
      <c r="AO9" s="157">
        <f t="shared" si="122"/>
        <v>513513</v>
      </c>
      <c r="AP9" s="154">
        <f t="shared" si="123"/>
        <v>0</v>
      </c>
      <c r="AQ9" s="158">
        <f t="shared" si="124"/>
        <v>0</v>
      </c>
      <c r="AR9" s="156">
        <f t="shared" si="112"/>
        <v>0</v>
      </c>
      <c r="AS9" s="154">
        <f t="shared" si="126"/>
        <v>0</v>
      </c>
      <c r="AT9" s="154">
        <f t="shared" si="127"/>
        <v>0</v>
      </c>
      <c r="AU9" s="154">
        <f t="shared" si="128"/>
        <v>0</v>
      </c>
      <c r="AV9" s="154">
        <f t="shared" si="129"/>
        <v>570000</v>
      </c>
      <c r="AW9" s="154">
        <f t="shared" si="130"/>
        <v>570000</v>
      </c>
      <c r="AX9" s="154">
        <f t="shared" si="131"/>
        <v>16929</v>
      </c>
      <c r="AY9" s="154">
        <f t="shared" si="132"/>
        <v>16929</v>
      </c>
      <c r="AZ9" s="154">
        <f t="shared" si="133"/>
        <v>39558</v>
      </c>
      <c r="BA9" s="154">
        <f t="shared" si="134"/>
        <v>39558</v>
      </c>
      <c r="BB9" s="157">
        <f t="shared" si="135"/>
        <v>530442</v>
      </c>
      <c r="BC9" s="154">
        <f t="shared" si="136"/>
        <v>0</v>
      </c>
      <c r="BD9" s="158">
        <f t="shared" si="137"/>
        <v>0</v>
      </c>
      <c r="BE9" s="156">
        <f t="shared" si="112"/>
        <v>0</v>
      </c>
      <c r="BF9" s="154">
        <f t="shared" si="139"/>
        <v>0</v>
      </c>
      <c r="BG9" s="154">
        <f t="shared" si="140"/>
        <v>0</v>
      </c>
      <c r="BH9" s="154">
        <f t="shared" si="141"/>
        <v>0</v>
      </c>
      <c r="BI9" s="154">
        <f t="shared" si="142"/>
        <v>570000</v>
      </c>
      <c r="BJ9" s="154">
        <f t="shared" si="143"/>
        <v>570000</v>
      </c>
      <c r="BK9" s="154">
        <f t="shared" si="144"/>
        <v>16929</v>
      </c>
      <c r="BL9" s="154">
        <f t="shared" si="145"/>
        <v>16929</v>
      </c>
      <c r="BM9" s="154">
        <f t="shared" si="146"/>
        <v>22629</v>
      </c>
      <c r="BN9" s="154">
        <f t="shared" si="147"/>
        <v>22629</v>
      </c>
      <c r="BO9" s="157">
        <f t="shared" si="148"/>
        <v>547371</v>
      </c>
      <c r="BP9" s="154">
        <f t="shared" si="149"/>
        <v>0</v>
      </c>
      <c r="BQ9" s="158">
        <f t="shared" si="150"/>
        <v>0</v>
      </c>
      <c r="BR9" s="156">
        <f t="shared" si="151"/>
        <v>0</v>
      </c>
      <c r="BS9" s="154">
        <f t="shared" si="152"/>
        <v>0</v>
      </c>
      <c r="BT9" s="154">
        <f t="shared" si="153"/>
        <v>0</v>
      </c>
      <c r="BU9" s="154">
        <f t="shared" si="154"/>
        <v>0</v>
      </c>
      <c r="BV9" s="154">
        <f t="shared" si="155"/>
        <v>570000</v>
      </c>
      <c r="BW9" s="154">
        <f t="shared" si="156"/>
        <v>570000</v>
      </c>
      <c r="BX9" s="154">
        <f t="shared" si="157"/>
        <v>16929</v>
      </c>
      <c r="BY9" s="154">
        <f t="shared" si="158"/>
        <v>16929</v>
      </c>
      <c r="BZ9" s="154">
        <f t="shared" si="159"/>
        <v>5700</v>
      </c>
      <c r="CA9" s="154">
        <f t="shared" si="160"/>
        <v>5700</v>
      </c>
      <c r="CB9" s="157">
        <f t="shared" si="161"/>
        <v>564300</v>
      </c>
      <c r="CC9" s="154">
        <f t="shared" si="162"/>
        <v>0</v>
      </c>
      <c r="CD9" s="158">
        <f t="shared" si="163"/>
        <v>0</v>
      </c>
      <c r="CE9" s="156">
        <f t="shared" si="151"/>
        <v>0</v>
      </c>
      <c r="CF9" s="154">
        <f t="shared" si="165"/>
        <v>0</v>
      </c>
      <c r="CG9" s="154">
        <f t="shared" si="166"/>
        <v>0</v>
      </c>
      <c r="CH9" s="154">
        <f t="shared" si="167"/>
        <v>0</v>
      </c>
      <c r="CI9" s="154">
        <f t="shared" si="168"/>
        <v>570000</v>
      </c>
      <c r="CJ9" s="154">
        <f t="shared" si="169"/>
        <v>191919.19</v>
      </c>
      <c r="CK9" s="154">
        <f t="shared" si="170"/>
        <v>5700</v>
      </c>
      <c r="CL9" s="154">
        <f t="shared" si="171"/>
        <v>5700</v>
      </c>
      <c r="CM9" s="154">
        <f t="shared" si="172"/>
        <v>0</v>
      </c>
      <c r="CN9" s="154">
        <f t="shared" si="173"/>
        <v>0</v>
      </c>
      <c r="CO9" s="157">
        <f t="shared" si="174"/>
        <v>570000</v>
      </c>
      <c r="CP9" s="154">
        <f t="shared" si="175"/>
        <v>0</v>
      </c>
      <c r="CQ9" s="158">
        <f t="shared" si="176"/>
        <v>0</v>
      </c>
      <c r="CR9" s="156">
        <f t="shared" si="151"/>
        <v>0</v>
      </c>
      <c r="CS9" s="154">
        <f t="shared" si="178"/>
        <v>0</v>
      </c>
      <c r="CT9" s="154">
        <f t="shared" si="179"/>
        <v>0</v>
      </c>
      <c r="CU9" s="154">
        <f t="shared" si="180"/>
        <v>0</v>
      </c>
      <c r="CV9" s="154">
        <f t="shared" si="181"/>
        <v>570000</v>
      </c>
      <c r="CW9" s="154">
        <f t="shared" si="182"/>
        <v>0</v>
      </c>
      <c r="CX9" s="154">
        <f t="shared" si="183"/>
        <v>0</v>
      </c>
      <c r="CY9" s="154">
        <f t="shared" si="184"/>
        <v>0</v>
      </c>
      <c r="CZ9" s="154">
        <f t="shared" si="185"/>
        <v>0</v>
      </c>
      <c r="DA9" s="154">
        <f t="shared" si="186"/>
        <v>0</v>
      </c>
      <c r="DB9" s="157">
        <f t="shared" si="187"/>
        <v>570000</v>
      </c>
      <c r="DC9" s="154">
        <f t="shared" si="188"/>
        <v>0</v>
      </c>
      <c r="DD9" s="158">
        <f t="shared" si="189"/>
        <v>0</v>
      </c>
      <c r="DE9" s="156">
        <f t="shared" si="190"/>
        <v>0</v>
      </c>
      <c r="DF9" s="154">
        <f t="shared" si="191"/>
        <v>0</v>
      </c>
      <c r="DG9" s="154">
        <f t="shared" si="192"/>
        <v>0</v>
      </c>
      <c r="DH9" s="154">
        <f t="shared" si="193"/>
        <v>0</v>
      </c>
      <c r="DI9" s="154">
        <f t="shared" si="194"/>
        <v>570000</v>
      </c>
      <c r="DJ9" s="154">
        <f t="shared" si="195"/>
        <v>0</v>
      </c>
      <c r="DK9" s="154">
        <f t="shared" si="196"/>
        <v>0</v>
      </c>
      <c r="DL9" s="154">
        <f t="shared" si="197"/>
        <v>0</v>
      </c>
      <c r="DM9" s="154">
        <f t="shared" si="198"/>
        <v>0</v>
      </c>
      <c r="DN9" s="154">
        <f t="shared" si="199"/>
        <v>0</v>
      </c>
      <c r="DO9" s="157">
        <f t="shared" si="200"/>
        <v>570000</v>
      </c>
      <c r="DP9" s="154">
        <f t="shared" si="201"/>
        <v>0</v>
      </c>
      <c r="DQ9" s="158">
        <f t="shared" si="202"/>
        <v>0</v>
      </c>
      <c r="DR9" s="156">
        <f t="shared" si="190"/>
        <v>0</v>
      </c>
      <c r="DS9" s="154">
        <f t="shared" si="204"/>
        <v>0</v>
      </c>
      <c r="DT9" s="154">
        <f t="shared" si="205"/>
        <v>0</v>
      </c>
      <c r="DU9" s="154">
        <f t="shared" si="206"/>
        <v>0</v>
      </c>
      <c r="DV9" s="154">
        <f t="shared" si="207"/>
        <v>570000</v>
      </c>
      <c r="DW9" s="154">
        <f t="shared" si="208"/>
        <v>0</v>
      </c>
      <c r="DX9" s="154">
        <f t="shared" si="209"/>
        <v>0</v>
      </c>
      <c r="DY9" s="154">
        <f t="shared" si="210"/>
        <v>0</v>
      </c>
      <c r="DZ9" s="154">
        <f t="shared" si="211"/>
        <v>0</v>
      </c>
      <c r="EA9" s="154">
        <f t="shared" si="212"/>
        <v>0</v>
      </c>
      <c r="EB9" s="157">
        <f t="shared" si="213"/>
        <v>570000</v>
      </c>
      <c r="EC9" s="154">
        <f t="shared" si="214"/>
        <v>0</v>
      </c>
      <c r="ED9" s="158">
        <f t="shared" si="215"/>
        <v>0</v>
      </c>
    </row>
    <row r="10" spans="1:134" x14ac:dyDescent="0.35">
      <c r="A10" s="183">
        <v>1985</v>
      </c>
      <c r="B10" s="173" t="s">
        <v>553</v>
      </c>
      <c r="C10" s="174"/>
      <c r="D10" s="175" t="s">
        <v>100</v>
      </c>
      <c r="E10" s="176">
        <v>340000</v>
      </c>
      <c r="F10" s="177">
        <v>32112</v>
      </c>
      <c r="G10" s="178">
        <v>33.700000000000003</v>
      </c>
      <c r="H10" s="179"/>
      <c r="I10" s="180"/>
      <c r="J10" s="181"/>
      <c r="K10" s="152">
        <f t="shared" si="216"/>
        <v>2.9700000000000001E-2</v>
      </c>
      <c r="L10" s="153">
        <f t="shared" si="217"/>
        <v>10098</v>
      </c>
      <c r="M10" s="154">
        <f t="shared" si="218"/>
        <v>96806.5</v>
      </c>
      <c r="N10" s="154"/>
      <c r="O10" s="154">
        <f t="shared" si="219"/>
        <v>243193.5</v>
      </c>
      <c r="P10" s="155"/>
      <c r="Q10" s="154">
        <f t="shared" si="220"/>
        <v>340000</v>
      </c>
      <c r="R10" s="156">
        <f t="shared" si="221"/>
        <v>0</v>
      </c>
      <c r="S10" s="154">
        <f t="shared" si="222"/>
        <v>0</v>
      </c>
      <c r="T10" s="154">
        <f t="shared" si="223"/>
        <v>0</v>
      </c>
      <c r="U10" s="154">
        <f t="shared" si="224"/>
        <v>0</v>
      </c>
      <c r="V10" s="154">
        <f t="shared" si="225"/>
        <v>340000</v>
      </c>
      <c r="W10" s="154">
        <f t="shared" si="226"/>
        <v>340000</v>
      </c>
      <c r="X10" s="154">
        <f t="shared" si="227"/>
        <v>10098</v>
      </c>
      <c r="Y10" s="154">
        <f t="shared" si="228"/>
        <v>10098</v>
      </c>
      <c r="Z10" s="154">
        <f t="shared" si="229"/>
        <v>86708.5</v>
      </c>
      <c r="AA10" s="154">
        <f t="shared" si="230"/>
        <v>86708.5</v>
      </c>
      <c r="AB10" s="157">
        <f t="shared" si="231"/>
        <v>253291.5</v>
      </c>
      <c r="AC10" s="154">
        <f t="shared" si="232"/>
        <v>0</v>
      </c>
      <c r="AD10" s="158">
        <f t="shared" si="233"/>
        <v>0</v>
      </c>
      <c r="AE10" s="156">
        <f t="shared" si="112"/>
        <v>0</v>
      </c>
      <c r="AF10" s="154">
        <f t="shared" si="113"/>
        <v>0</v>
      </c>
      <c r="AG10" s="154">
        <f t="shared" si="114"/>
        <v>0</v>
      </c>
      <c r="AH10" s="154">
        <f t="shared" si="115"/>
        <v>0</v>
      </c>
      <c r="AI10" s="154">
        <f t="shared" si="116"/>
        <v>340000</v>
      </c>
      <c r="AJ10" s="154">
        <f t="shared" si="117"/>
        <v>340000</v>
      </c>
      <c r="AK10" s="154">
        <f t="shared" si="118"/>
        <v>10098</v>
      </c>
      <c r="AL10" s="154">
        <f t="shared" si="119"/>
        <v>10098</v>
      </c>
      <c r="AM10" s="154">
        <f t="shared" si="120"/>
        <v>76610.5</v>
      </c>
      <c r="AN10" s="154">
        <f t="shared" si="121"/>
        <v>76610.5</v>
      </c>
      <c r="AO10" s="157">
        <f t="shared" si="122"/>
        <v>263389.5</v>
      </c>
      <c r="AP10" s="154">
        <f t="shared" si="123"/>
        <v>0</v>
      </c>
      <c r="AQ10" s="158">
        <f t="shared" si="124"/>
        <v>0</v>
      </c>
      <c r="AR10" s="156">
        <f t="shared" si="112"/>
        <v>0</v>
      </c>
      <c r="AS10" s="154">
        <f t="shared" si="126"/>
        <v>0</v>
      </c>
      <c r="AT10" s="154">
        <f t="shared" si="127"/>
        <v>0</v>
      </c>
      <c r="AU10" s="154">
        <f t="shared" si="128"/>
        <v>0</v>
      </c>
      <c r="AV10" s="154">
        <f t="shared" si="129"/>
        <v>340000</v>
      </c>
      <c r="AW10" s="154">
        <f t="shared" si="130"/>
        <v>340000</v>
      </c>
      <c r="AX10" s="154">
        <f t="shared" si="131"/>
        <v>10098</v>
      </c>
      <c r="AY10" s="154">
        <f t="shared" si="132"/>
        <v>10098</v>
      </c>
      <c r="AZ10" s="154">
        <f t="shared" si="133"/>
        <v>66512.5</v>
      </c>
      <c r="BA10" s="154">
        <f t="shared" si="134"/>
        <v>66512.5</v>
      </c>
      <c r="BB10" s="157">
        <f t="shared" si="135"/>
        <v>273487.5</v>
      </c>
      <c r="BC10" s="154">
        <f t="shared" si="136"/>
        <v>0</v>
      </c>
      <c r="BD10" s="158">
        <f t="shared" si="137"/>
        <v>0</v>
      </c>
      <c r="BE10" s="156">
        <f t="shared" si="112"/>
        <v>0</v>
      </c>
      <c r="BF10" s="154">
        <f t="shared" si="139"/>
        <v>0</v>
      </c>
      <c r="BG10" s="154">
        <f t="shared" si="140"/>
        <v>0</v>
      </c>
      <c r="BH10" s="154">
        <f t="shared" si="141"/>
        <v>0</v>
      </c>
      <c r="BI10" s="154">
        <f t="shared" si="142"/>
        <v>340000</v>
      </c>
      <c r="BJ10" s="154">
        <f t="shared" si="143"/>
        <v>340000</v>
      </c>
      <c r="BK10" s="154">
        <f t="shared" si="144"/>
        <v>10098</v>
      </c>
      <c r="BL10" s="154">
        <f t="shared" si="145"/>
        <v>10098</v>
      </c>
      <c r="BM10" s="154">
        <f t="shared" si="146"/>
        <v>56414.5</v>
      </c>
      <c r="BN10" s="154">
        <f t="shared" si="147"/>
        <v>56414.5</v>
      </c>
      <c r="BO10" s="157">
        <f t="shared" si="148"/>
        <v>283585.5</v>
      </c>
      <c r="BP10" s="154">
        <f t="shared" si="149"/>
        <v>0</v>
      </c>
      <c r="BQ10" s="158">
        <f t="shared" si="150"/>
        <v>0</v>
      </c>
      <c r="BR10" s="156">
        <f t="shared" si="151"/>
        <v>0</v>
      </c>
      <c r="BS10" s="154">
        <f t="shared" si="152"/>
        <v>0</v>
      </c>
      <c r="BT10" s="154">
        <f t="shared" si="153"/>
        <v>0</v>
      </c>
      <c r="BU10" s="154">
        <f t="shared" si="154"/>
        <v>0</v>
      </c>
      <c r="BV10" s="154">
        <f t="shared" si="155"/>
        <v>340000</v>
      </c>
      <c r="BW10" s="154">
        <f t="shared" si="156"/>
        <v>340000</v>
      </c>
      <c r="BX10" s="154">
        <f t="shared" si="157"/>
        <v>10098</v>
      </c>
      <c r="BY10" s="154">
        <f t="shared" si="158"/>
        <v>10098</v>
      </c>
      <c r="BZ10" s="154">
        <f t="shared" si="159"/>
        <v>46316.5</v>
      </c>
      <c r="CA10" s="154">
        <f t="shared" si="160"/>
        <v>46316.5</v>
      </c>
      <c r="CB10" s="157">
        <f t="shared" si="161"/>
        <v>293683.5</v>
      </c>
      <c r="CC10" s="154">
        <f t="shared" si="162"/>
        <v>0</v>
      </c>
      <c r="CD10" s="158">
        <f t="shared" si="163"/>
        <v>0</v>
      </c>
      <c r="CE10" s="156">
        <f t="shared" si="151"/>
        <v>0</v>
      </c>
      <c r="CF10" s="154">
        <f t="shared" si="165"/>
        <v>0</v>
      </c>
      <c r="CG10" s="154">
        <f t="shared" si="166"/>
        <v>0</v>
      </c>
      <c r="CH10" s="154">
        <f t="shared" si="167"/>
        <v>0</v>
      </c>
      <c r="CI10" s="154">
        <f t="shared" si="168"/>
        <v>340000</v>
      </c>
      <c r="CJ10" s="154">
        <f t="shared" si="169"/>
        <v>340000</v>
      </c>
      <c r="CK10" s="154">
        <f t="shared" si="170"/>
        <v>10098</v>
      </c>
      <c r="CL10" s="154">
        <f t="shared" si="171"/>
        <v>10098</v>
      </c>
      <c r="CM10" s="154">
        <f t="shared" si="172"/>
        <v>36218.5</v>
      </c>
      <c r="CN10" s="154">
        <f t="shared" si="173"/>
        <v>36218.5</v>
      </c>
      <c r="CO10" s="157">
        <f t="shared" si="174"/>
        <v>303781.5</v>
      </c>
      <c r="CP10" s="154">
        <f t="shared" si="175"/>
        <v>0</v>
      </c>
      <c r="CQ10" s="158">
        <f t="shared" si="176"/>
        <v>0</v>
      </c>
      <c r="CR10" s="156">
        <f t="shared" si="151"/>
        <v>0</v>
      </c>
      <c r="CS10" s="154">
        <f t="shared" si="178"/>
        <v>0</v>
      </c>
      <c r="CT10" s="154">
        <f t="shared" si="179"/>
        <v>0</v>
      </c>
      <c r="CU10" s="154">
        <f t="shared" si="180"/>
        <v>0</v>
      </c>
      <c r="CV10" s="154">
        <f t="shared" si="181"/>
        <v>340000</v>
      </c>
      <c r="CW10" s="154">
        <f t="shared" si="182"/>
        <v>340000</v>
      </c>
      <c r="CX10" s="154">
        <f t="shared" si="183"/>
        <v>10098</v>
      </c>
      <c r="CY10" s="154">
        <f t="shared" si="184"/>
        <v>10098</v>
      </c>
      <c r="CZ10" s="154">
        <f t="shared" si="185"/>
        <v>26120.5</v>
      </c>
      <c r="DA10" s="154">
        <f t="shared" si="186"/>
        <v>26120.5</v>
      </c>
      <c r="DB10" s="157">
        <f t="shared" si="187"/>
        <v>313879.5</v>
      </c>
      <c r="DC10" s="154">
        <f t="shared" si="188"/>
        <v>0</v>
      </c>
      <c r="DD10" s="158">
        <f t="shared" si="189"/>
        <v>0</v>
      </c>
      <c r="DE10" s="156">
        <f t="shared" si="190"/>
        <v>0</v>
      </c>
      <c r="DF10" s="154">
        <f t="shared" si="191"/>
        <v>0</v>
      </c>
      <c r="DG10" s="154">
        <f t="shared" si="192"/>
        <v>0</v>
      </c>
      <c r="DH10" s="154">
        <f t="shared" si="193"/>
        <v>0</v>
      </c>
      <c r="DI10" s="154">
        <f t="shared" si="194"/>
        <v>340000</v>
      </c>
      <c r="DJ10" s="154">
        <f t="shared" si="195"/>
        <v>340000</v>
      </c>
      <c r="DK10" s="154">
        <f t="shared" si="196"/>
        <v>10098</v>
      </c>
      <c r="DL10" s="154">
        <f t="shared" si="197"/>
        <v>10098</v>
      </c>
      <c r="DM10" s="154">
        <f t="shared" si="198"/>
        <v>16022.5</v>
      </c>
      <c r="DN10" s="154">
        <f t="shared" si="199"/>
        <v>16022.5</v>
      </c>
      <c r="DO10" s="157">
        <f t="shared" si="200"/>
        <v>323977.5</v>
      </c>
      <c r="DP10" s="154">
        <f t="shared" si="201"/>
        <v>0</v>
      </c>
      <c r="DQ10" s="158">
        <f t="shared" si="202"/>
        <v>0</v>
      </c>
      <c r="DR10" s="156">
        <f t="shared" si="190"/>
        <v>0</v>
      </c>
      <c r="DS10" s="154">
        <f t="shared" si="204"/>
        <v>0</v>
      </c>
      <c r="DT10" s="154">
        <f t="shared" si="205"/>
        <v>0</v>
      </c>
      <c r="DU10" s="154">
        <f t="shared" si="206"/>
        <v>0</v>
      </c>
      <c r="DV10" s="154">
        <f t="shared" si="207"/>
        <v>340000</v>
      </c>
      <c r="DW10" s="154">
        <f t="shared" si="208"/>
        <v>340000</v>
      </c>
      <c r="DX10" s="154">
        <f t="shared" si="209"/>
        <v>10098</v>
      </c>
      <c r="DY10" s="154">
        <f t="shared" si="210"/>
        <v>10098</v>
      </c>
      <c r="DZ10" s="154">
        <f t="shared" si="211"/>
        <v>5924.5</v>
      </c>
      <c r="EA10" s="154">
        <f t="shared" si="212"/>
        <v>5924.5</v>
      </c>
      <c r="EB10" s="157">
        <f t="shared" si="213"/>
        <v>334075.5</v>
      </c>
      <c r="EC10" s="154">
        <f t="shared" si="214"/>
        <v>0</v>
      </c>
      <c r="ED10" s="158">
        <f t="shared" si="215"/>
        <v>0</v>
      </c>
    </row>
    <row r="11" spans="1:134" x14ac:dyDescent="0.35">
      <c r="A11" s="183">
        <v>1989</v>
      </c>
      <c r="B11" s="173" t="s">
        <v>553</v>
      </c>
      <c r="C11" s="174"/>
      <c r="D11" s="175" t="s">
        <v>100</v>
      </c>
      <c r="E11" s="176">
        <v>210000</v>
      </c>
      <c r="F11" s="177">
        <v>33359</v>
      </c>
      <c r="G11" s="178">
        <v>33.700000000000003</v>
      </c>
      <c r="H11" s="179"/>
      <c r="I11" s="180"/>
      <c r="J11" s="181"/>
      <c r="K11" s="152">
        <f t="shared" si="216"/>
        <v>2.9700000000000001E-2</v>
      </c>
      <c r="L11" s="153">
        <f t="shared" si="217"/>
        <v>6237</v>
      </c>
      <c r="M11" s="154">
        <f t="shared" si="218"/>
        <v>81102</v>
      </c>
      <c r="N11" s="154"/>
      <c r="O11" s="154">
        <f t="shared" si="219"/>
        <v>128898</v>
      </c>
      <c r="P11" s="155"/>
      <c r="Q11" s="154">
        <f t="shared" si="220"/>
        <v>210000</v>
      </c>
      <c r="R11" s="156">
        <f t="shared" si="221"/>
        <v>0</v>
      </c>
      <c r="S11" s="154">
        <f t="shared" si="222"/>
        <v>0</v>
      </c>
      <c r="T11" s="154">
        <f t="shared" si="223"/>
        <v>0</v>
      </c>
      <c r="U11" s="154">
        <f t="shared" si="224"/>
        <v>0</v>
      </c>
      <c r="V11" s="154">
        <f t="shared" si="225"/>
        <v>210000</v>
      </c>
      <c r="W11" s="154">
        <f t="shared" si="226"/>
        <v>210000</v>
      </c>
      <c r="X11" s="154">
        <f t="shared" si="227"/>
        <v>6237</v>
      </c>
      <c r="Y11" s="154">
        <f t="shared" si="228"/>
        <v>6237</v>
      </c>
      <c r="Z11" s="154">
        <f t="shared" si="229"/>
        <v>74865</v>
      </c>
      <c r="AA11" s="154">
        <f t="shared" si="230"/>
        <v>74865</v>
      </c>
      <c r="AB11" s="157">
        <f t="shared" si="231"/>
        <v>135135</v>
      </c>
      <c r="AC11" s="154">
        <f t="shared" si="232"/>
        <v>0</v>
      </c>
      <c r="AD11" s="158">
        <f t="shared" si="233"/>
        <v>0</v>
      </c>
      <c r="AE11" s="156">
        <f t="shared" si="112"/>
        <v>0</v>
      </c>
      <c r="AF11" s="154">
        <f t="shared" si="113"/>
        <v>0</v>
      </c>
      <c r="AG11" s="154">
        <f t="shared" si="114"/>
        <v>0</v>
      </c>
      <c r="AH11" s="154">
        <f t="shared" si="115"/>
        <v>0</v>
      </c>
      <c r="AI11" s="154">
        <f t="shared" si="116"/>
        <v>210000</v>
      </c>
      <c r="AJ11" s="154">
        <f t="shared" si="117"/>
        <v>210000</v>
      </c>
      <c r="AK11" s="154">
        <f t="shared" si="118"/>
        <v>6237</v>
      </c>
      <c r="AL11" s="154">
        <f t="shared" si="119"/>
        <v>6237</v>
      </c>
      <c r="AM11" s="154">
        <f t="shared" si="120"/>
        <v>68628</v>
      </c>
      <c r="AN11" s="154">
        <f t="shared" si="121"/>
        <v>68628</v>
      </c>
      <c r="AO11" s="157">
        <f t="shared" si="122"/>
        <v>141372</v>
      </c>
      <c r="AP11" s="154">
        <f t="shared" si="123"/>
        <v>0</v>
      </c>
      <c r="AQ11" s="158">
        <f t="shared" si="124"/>
        <v>0</v>
      </c>
      <c r="AR11" s="156">
        <f t="shared" si="112"/>
        <v>0</v>
      </c>
      <c r="AS11" s="154">
        <f t="shared" si="126"/>
        <v>0</v>
      </c>
      <c r="AT11" s="154">
        <f t="shared" si="127"/>
        <v>0</v>
      </c>
      <c r="AU11" s="154">
        <f t="shared" si="128"/>
        <v>0</v>
      </c>
      <c r="AV11" s="154">
        <f t="shared" si="129"/>
        <v>210000</v>
      </c>
      <c r="AW11" s="154">
        <f t="shared" si="130"/>
        <v>210000</v>
      </c>
      <c r="AX11" s="154">
        <f t="shared" si="131"/>
        <v>6237</v>
      </c>
      <c r="AY11" s="154">
        <f t="shared" si="132"/>
        <v>6237</v>
      </c>
      <c r="AZ11" s="154">
        <f t="shared" si="133"/>
        <v>62391</v>
      </c>
      <c r="BA11" s="154">
        <f t="shared" si="134"/>
        <v>62391</v>
      </c>
      <c r="BB11" s="157">
        <f t="shared" si="135"/>
        <v>147609</v>
      </c>
      <c r="BC11" s="154">
        <f t="shared" si="136"/>
        <v>0</v>
      </c>
      <c r="BD11" s="158">
        <f t="shared" si="137"/>
        <v>0</v>
      </c>
      <c r="BE11" s="156">
        <f t="shared" si="112"/>
        <v>0</v>
      </c>
      <c r="BF11" s="154">
        <f t="shared" si="139"/>
        <v>0</v>
      </c>
      <c r="BG11" s="154">
        <f t="shared" si="140"/>
        <v>0</v>
      </c>
      <c r="BH11" s="154">
        <f t="shared" si="141"/>
        <v>0</v>
      </c>
      <c r="BI11" s="154">
        <f t="shared" si="142"/>
        <v>210000</v>
      </c>
      <c r="BJ11" s="154">
        <f t="shared" si="143"/>
        <v>210000</v>
      </c>
      <c r="BK11" s="154">
        <f t="shared" si="144"/>
        <v>6237</v>
      </c>
      <c r="BL11" s="154">
        <f t="shared" si="145"/>
        <v>6237</v>
      </c>
      <c r="BM11" s="154">
        <f t="shared" si="146"/>
        <v>56154</v>
      </c>
      <c r="BN11" s="154">
        <f t="shared" si="147"/>
        <v>56154</v>
      </c>
      <c r="BO11" s="157">
        <f t="shared" si="148"/>
        <v>153846</v>
      </c>
      <c r="BP11" s="154">
        <f t="shared" si="149"/>
        <v>0</v>
      </c>
      <c r="BQ11" s="158">
        <f t="shared" si="150"/>
        <v>0</v>
      </c>
      <c r="BR11" s="156">
        <f t="shared" si="151"/>
        <v>0</v>
      </c>
      <c r="BS11" s="154">
        <f t="shared" si="152"/>
        <v>0</v>
      </c>
      <c r="BT11" s="154">
        <f t="shared" si="153"/>
        <v>0</v>
      </c>
      <c r="BU11" s="154">
        <f t="shared" si="154"/>
        <v>0</v>
      </c>
      <c r="BV11" s="154">
        <f t="shared" si="155"/>
        <v>210000</v>
      </c>
      <c r="BW11" s="154">
        <f t="shared" si="156"/>
        <v>210000</v>
      </c>
      <c r="BX11" s="154">
        <f t="shared" si="157"/>
        <v>6237</v>
      </c>
      <c r="BY11" s="154">
        <f t="shared" si="158"/>
        <v>6237</v>
      </c>
      <c r="BZ11" s="154">
        <f t="shared" si="159"/>
        <v>49917</v>
      </c>
      <c r="CA11" s="154">
        <f t="shared" si="160"/>
        <v>49917</v>
      </c>
      <c r="CB11" s="157">
        <f t="shared" si="161"/>
        <v>160083</v>
      </c>
      <c r="CC11" s="154">
        <f t="shared" si="162"/>
        <v>0</v>
      </c>
      <c r="CD11" s="158">
        <f t="shared" si="163"/>
        <v>0</v>
      </c>
      <c r="CE11" s="156">
        <f t="shared" si="151"/>
        <v>0</v>
      </c>
      <c r="CF11" s="154">
        <f t="shared" si="165"/>
        <v>0</v>
      </c>
      <c r="CG11" s="154">
        <f t="shared" si="166"/>
        <v>0</v>
      </c>
      <c r="CH11" s="154">
        <f t="shared" si="167"/>
        <v>0</v>
      </c>
      <c r="CI11" s="154">
        <f t="shared" si="168"/>
        <v>210000</v>
      </c>
      <c r="CJ11" s="154">
        <f t="shared" si="169"/>
        <v>210000</v>
      </c>
      <c r="CK11" s="154">
        <f t="shared" si="170"/>
        <v>6237</v>
      </c>
      <c r="CL11" s="154">
        <f t="shared" si="171"/>
        <v>6237</v>
      </c>
      <c r="CM11" s="154">
        <f t="shared" si="172"/>
        <v>43680</v>
      </c>
      <c r="CN11" s="154">
        <f t="shared" si="173"/>
        <v>43680</v>
      </c>
      <c r="CO11" s="157">
        <f t="shared" si="174"/>
        <v>166320</v>
      </c>
      <c r="CP11" s="154">
        <f t="shared" si="175"/>
        <v>0</v>
      </c>
      <c r="CQ11" s="158">
        <f t="shared" si="176"/>
        <v>0</v>
      </c>
      <c r="CR11" s="156">
        <f t="shared" si="151"/>
        <v>0</v>
      </c>
      <c r="CS11" s="154">
        <f t="shared" si="178"/>
        <v>0</v>
      </c>
      <c r="CT11" s="154">
        <f t="shared" si="179"/>
        <v>0</v>
      </c>
      <c r="CU11" s="154">
        <f t="shared" si="180"/>
        <v>0</v>
      </c>
      <c r="CV11" s="154">
        <f t="shared" si="181"/>
        <v>210000</v>
      </c>
      <c r="CW11" s="154">
        <f t="shared" si="182"/>
        <v>210000</v>
      </c>
      <c r="CX11" s="154">
        <f t="shared" si="183"/>
        <v>6237</v>
      </c>
      <c r="CY11" s="154">
        <f t="shared" si="184"/>
        <v>6237</v>
      </c>
      <c r="CZ11" s="154">
        <f t="shared" si="185"/>
        <v>37443</v>
      </c>
      <c r="DA11" s="154">
        <f t="shared" si="186"/>
        <v>37443</v>
      </c>
      <c r="DB11" s="157">
        <f t="shared" si="187"/>
        <v>172557</v>
      </c>
      <c r="DC11" s="154">
        <f t="shared" si="188"/>
        <v>0</v>
      </c>
      <c r="DD11" s="158">
        <f t="shared" si="189"/>
        <v>0</v>
      </c>
      <c r="DE11" s="156">
        <f t="shared" si="190"/>
        <v>0</v>
      </c>
      <c r="DF11" s="154">
        <f t="shared" si="191"/>
        <v>0</v>
      </c>
      <c r="DG11" s="154">
        <f t="shared" si="192"/>
        <v>0</v>
      </c>
      <c r="DH11" s="154">
        <f t="shared" si="193"/>
        <v>0</v>
      </c>
      <c r="DI11" s="154">
        <f t="shared" si="194"/>
        <v>210000</v>
      </c>
      <c r="DJ11" s="154">
        <f t="shared" si="195"/>
        <v>210000</v>
      </c>
      <c r="DK11" s="154">
        <f t="shared" si="196"/>
        <v>6237</v>
      </c>
      <c r="DL11" s="154">
        <f t="shared" si="197"/>
        <v>6237</v>
      </c>
      <c r="DM11" s="154">
        <f t="shared" si="198"/>
        <v>31206</v>
      </c>
      <c r="DN11" s="154">
        <f t="shared" si="199"/>
        <v>31206</v>
      </c>
      <c r="DO11" s="157">
        <f t="shared" si="200"/>
        <v>178794</v>
      </c>
      <c r="DP11" s="154">
        <f t="shared" si="201"/>
        <v>0</v>
      </c>
      <c r="DQ11" s="158">
        <f t="shared" si="202"/>
        <v>0</v>
      </c>
      <c r="DR11" s="156">
        <f t="shared" si="190"/>
        <v>0</v>
      </c>
      <c r="DS11" s="154">
        <f t="shared" si="204"/>
        <v>0</v>
      </c>
      <c r="DT11" s="154">
        <f t="shared" si="205"/>
        <v>0</v>
      </c>
      <c r="DU11" s="154">
        <f t="shared" si="206"/>
        <v>0</v>
      </c>
      <c r="DV11" s="154">
        <f t="shared" si="207"/>
        <v>210000</v>
      </c>
      <c r="DW11" s="154">
        <f t="shared" si="208"/>
        <v>210000</v>
      </c>
      <c r="DX11" s="154">
        <f t="shared" si="209"/>
        <v>6237</v>
      </c>
      <c r="DY11" s="154">
        <f t="shared" si="210"/>
        <v>6237</v>
      </c>
      <c r="DZ11" s="154">
        <f t="shared" si="211"/>
        <v>24969</v>
      </c>
      <c r="EA11" s="154">
        <f t="shared" si="212"/>
        <v>24969</v>
      </c>
      <c r="EB11" s="157">
        <f t="shared" si="213"/>
        <v>185031</v>
      </c>
      <c r="EC11" s="154">
        <f t="shared" si="214"/>
        <v>0</v>
      </c>
      <c r="ED11" s="158">
        <f t="shared" si="215"/>
        <v>0</v>
      </c>
    </row>
    <row r="12" spans="1:134" x14ac:dyDescent="0.35">
      <c r="A12" s="183">
        <v>1990</v>
      </c>
      <c r="B12" s="173" t="s">
        <v>553</v>
      </c>
      <c r="C12" s="174"/>
      <c r="D12" s="175" t="s">
        <v>100</v>
      </c>
      <c r="E12" s="176">
        <v>230000</v>
      </c>
      <c r="F12" s="177">
        <v>33664</v>
      </c>
      <c r="G12" s="178">
        <v>33.700000000000003</v>
      </c>
      <c r="H12" s="179"/>
      <c r="I12" s="180"/>
      <c r="J12" s="181"/>
      <c r="K12" s="152">
        <f t="shared" si="216"/>
        <v>2.9700000000000001E-2</v>
      </c>
      <c r="L12" s="153">
        <f t="shared" si="217"/>
        <v>6831</v>
      </c>
      <c r="M12" s="154">
        <f t="shared" si="218"/>
        <v>94518.5</v>
      </c>
      <c r="N12" s="154"/>
      <c r="O12" s="154">
        <f t="shared" si="219"/>
        <v>135481.5</v>
      </c>
      <c r="P12" s="155"/>
      <c r="Q12" s="154">
        <f t="shared" si="220"/>
        <v>230000</v>
      </c>
      <c r="R12" s="156">
        <f t="shared" si="221"/>
        <v>0</v>
      </c>
      <c r="S12" s="154">
        <f t="shared" si="222"/>
        <v>0</v>
      </c>
      <c r="T12" s="154">
        <f t="shared" si="223"/>
        <v>0</v>
      </c>
      <c r="U12" s="154">
        <f t="shared" si="224"/>
        <v>0</v>
      </c>
      <c r="V12" s="154">
        <f t="shared" si="225"/>
        <v>230000</v>
      </c>
      <c r="W12" s="154">
        <f t="shared" si="226"/>
        <v>230000</v>
      </c>
      <c r="X12" s="154">
        <f t="shared" si="227"/>
        <v>6831</v>
      </c>
      <c r="Y12" s="154">
        <f t="shared" si="228"/>
        <v>6831</v>
      </c>
      <c r="Z12" s="154">
        <f t="shared" si="229"/>
        <v>87687.5</v>
      </c>
      <c r="AA12" s="154">
        <f t="shared" si="230"/>
        <v>87687.5</v>
      </c>
      <c r="AB12" s="157">
        <f t="shared" si="231"/>
        <v>142312.5</v>
      </c>
      <c r="AC12" s="154">
        <f t="shared" si="232"/>
        <v>0</v>
      </c>
      <c r="AD12" s="158">
        <f t="shared" si="233"/>
        <v>0</v>
      </c>
      <c r="AE12" s="156">
        <f t="shared" si="112"/>
        <v>0</v>
      </c>
      <c r="AF12" s="154">
        <f t="shared" si="113"/>
        <v>0</v>
      </c>
      <c r="AG12" s="154">
        <f t="shared" si="114"/>
        <v>0</v>
      </c>
      <c r="AH12" s="154">
        <f t="shared" si="115"/>
        <v>0</v>
      </c>
      <c r="AI12" s="154">
        <f t="shared" si="116"/>
        <v>230000</v>
      </c>
      <c r="AJ12" s="154">
        <f t="shared" si="117"/>
        <v>230000</v>
      </c>
      <c r="AK12" s="154">
        <f t="shared" si="118"/>
        <v>6831</v>
      </c>
      <c r="AL12" s="154">
        <f t="shared" si="119"/>
        <v>6831</v>
      </c>
      <c r="AM12" s="154">
        <f t="shared" si="120"/>
        <v>80856.5</v>
      </c>
      <c r="AN12" s="154">
        <f t="shared" si="121"/>
        <v>80856.5</v>
      </c>
      <c r="AO12" s="157">
        <f t="shared" si="122"/>
        <v>149143.5</v>
      </c>
      <c r="AP12" s="154">
        <f t="shared" si="123"/>
        <v>0</v>
      </c>
      <c r="AQ12" s="158">
        <f t="shared" si="124"/>
        <v>0</v>
      </c>
      <c r="AR12" s="156">
        <f t="shared" si="112"/>
        <v>0</v>
      </c>
      <c r="AS12" s="154">
        <f t="shared" si="126"/>
        <v>0</v>
      </c>
      <c r="AT12" s="154">
        <f t="shared" si="127"/>
        <v>0</v>
      </c>
      <c r="AU12" s="154">
        <f t="shared" si="128"/>
        <v>0</v>
      </c>
      <c r="AV12" s="154">
        <f t="shared" si="129"/>
        <v>230000</v>
      </c>
      <c r="AW12" s="154">
        <f t="shared" si="130"/>
        <v>230000</v>
      </c>
      <c r="AX12" s="154">
        <f t="shared" si="131"/>
        <v>6831</v>
      </c>
      <c r="AY12" s="154">
        <f t="shared" si="132"/>
        <v>6831</v>
      </c>
      <c r="AZ12" s="154">
        <f t="shared" si="133"/>
        <v>74025.5</v>
      </c>
      <c r="BA12" s="154">
        <f t="shared" si="134"/>
        <v>74025.5</v>
      </c>
      <c r="BB12" s="157">
        <f t="shared" si="135"/>
        <v>155974.5</v>
      </c>
      <c r="BC12" s="154">
        <f t="shared" si="136"/>
        <v>0</v>
      </c>
      <c r="BD12" s="158">
        <f t="shared" si="137"/>
        <v>0</v>
      </c>
      <c r="BE12" s="156">
        <f t="shared" si="112"/>
        <v>0</v>
      </c>
      <c r="BF12" s="154">
        <f t="shared" si="139"/>
        <v>0</v>
      </c>
      <c r="BG12" s="154">
        <f t="shared" si="140"/>
        <v>0</v>
      </c>
      <c r="BH12" s="154">
        <f t="shared" si="141"/>
        <v>0</v>
      </c>
      <c r="BI12" s="154">
        <f t="shared" si="142"/>
        <v>230000</v>
      </c>
      <c r="BJ12" s="154">
        <f t="shared" si="143"/>
        <v>230000</v>
      </c>
      <c r="BK12" s="154">
        <f t="shared" si="144"/>
        <v>6831</v>
      </c>
      <c r="BL12" s="154">
        <f t="shared" si="145"/>
        <v>6831</v>
      </c>
      <c r="BM12" s="154">
        <f t="shared" si="146"/>
        <v>67194.5</v>
      </c>
      <c r="BN12" s="154">
        <f t="shared" si="147"/>
        <v>67194.5</v>
      </c>
      <c r="BO12" s="157">
        <f t="shared" si="148"/>
        <v>162805.5</v>
      </c>
      <c r="BP12" s="154">
        <f t="shared" si="149"/>
        <v>0</v>
      </c>
      <c r="BQ12" s="158">
        <f t="shared" si="150"/>
        <v>0</v>
      </c>
      <c r="BR12" s="156">
        <f t="shared" si="151"/>
        <v>0</v>
      </c>
      <c r="BS12" s="154">
        <f t="shared" si="152"/>
        <v>0</v>
      </c>
      <c r="BT12" s="154">
        <f t="shared" si="153"/>
        <v>0</v>
      </c>
      <c r="BU12" s="154">
        <f t="shared" si="154"/>
        <v>0</v>
      </c>
      <c r="BV12" s="154">
        <f t="shared" si="155"/>
        <v>230000</v>
      </c>
      <c r="BW12" s="154">
        <f t="shared" si="156"/>
        <v>230000</v>
      </c>
      <c r="BX12" s="154">
        <f t="shared" si="157"/>
        <v>6831</v>
      </c>
      <c r="BY12" s="154">
        <f t="shared" si="158"/>
        <v>6831</v>
      </c>
      <c r="BZ12" s="154">
        <f t="shared" si="159"/>
        <v>60363.5</v>
      </c>
      <c r="CA12" s="154">
        <f t="shared" si="160"/>
        <v>60363.5</v>
      </c>
      <c r="CB12" s="157">
        <f t="shared" si="161"/>
        <v>169636.5</v>
      </c>
      <c r="CC12" s="154">
        <f t="shared" si="162"/>
        <v>0</v>
      </c>
      <c r="CD12" s="158">
        <f t="shared" si="163"/>
        <v>0</v>
      </c>
      <c r="CE12" s="156">
        <f t="shared" si="151"/>
        <v>0</v>
      </c>
      <c r="CF12" s="154">
        <f t="shared" si="165"/>
        <v>0</v>
      </c>
      <c r="CG12" s="154">
        <f t="shared" si="166"/>
        <v>0</v>
      </c>
      <c r="CH12" s="154">
        <f t="shared" si="167"/>
        <v>0</v>
      </c>
      <c r="CI12" s="154">
        <f t="shared" si="168"/>
        <v>230000</v>
      </c>
      <c r="CJ12" s="154">
        <f t="shared" si="169"/>
        <v>230000</v>
      </c>
      <c r="CK12" s="154">
        <f t="shared" si="170"/>
        <v>6831</v>
      </c>
      <c r="CL12" s="154">
        <f t="shared" si="171"/>
        <v>6831</v>
      </c>
      <c r="CM12" s="154">
        <f t="shared" si="172"/>
        <v>53532.5</v>
      </c>
      <c r="CN12" s="154">
        <f t="shared" si="173"/>
        <v>53532.5</v>
      </c>
      <c r="CO12" s="157">
        <f t="shared" si="174"/>
        <v>176467.5</v>
      </c>
      <c r="CP12" s="154">
        <f t="shared" si="175"/>
        <v>0</v>
      </c>
      <c r="CQ12" s="158">
        <f t="shared" si="176"/>
        <v>0</v>
      </c>
      <c r="CR12" s="156">
        <f t="shared" si="151"/>
        <v>0</v>
      </c>
      <c r="CS12" s="154">
        <f t="shared" si="178"/>
        <v>0</v>
      </c>
      <c r="CT12" s="154">
        <f t="shared" si="179"/>
        <v>0</v>
      </c>
      <c r="CU12" s="154">
        <f t="shared" si="180"/>
        <v>0</v>
      </c>
      <c r="CV12" s="154">
        <f t="shared" si="181"/>
        <v>230000</v>
      </c>
      <c r="CW12" s="154">
        <f t="shared" si="182"/>
        <v>230000</v>
      </c>
      <c r="CX12" s="154">
        <f t="shared" si="183"/>
        <v>6831</v>
      </c>
      <c r="CY12" s="154">
        <f t="shared" si="184"/>
        <v>6831</v>
      </c>
      <c r="CZ12" s="154">
        <f t="shared" si="185"/>
        <v>46701.5</v>
      </c>
      <c r="DA12" s="154">
        <f t="shared" si="186"/>
        <v>46701.5</v>
      </c>
      <c r="DB12" s="157">
        <f t="shared" si="187"/>
        <v>183298.5</v>
      </c>
      <c r="DC12" s="154">
        <f t="shared" si="188"/>
        <v>0</v>
      </c>
      <c r="DD12" s="158">
        <f t="shared" si="189"/>
        <v>0</v>
      </c>
      <c r="DE12" s="156">
        <f t="shared" si="190"/>
        <v>0</v>
      </c>
      <c r="DF12" s="154">
        <f t="shared" si="191"/>
        <v>0</v>
      </c>
      <c r="DG12" s="154">
        <f t="shared" si="192"/>
        <v>0</v>
      </c>
      <c r="DH12" s="154">
        <f t="shared" si="193"/>
        <v>0</v>
      </c>
      <c r="DI12" s="154">
        <f t="shared" si="194"/>
        <v>230000</v>
      </c>
      <c r="DJ12" s="154">
        <f t="shared" si="195"/>
        <v>230000</v>
      </c>
      <c r="DK12" s="154">
        <f t="shared" si="196"/>
        <v>6831</v>
      </c>
      <c r="DL12" s="154">
        <f t="shared" si="197"/>
        <v>6831</v>
      </c>
      <c r="DM12" s="154">
        <f t="shared" si="198"/>
        <v>39870.5</v>
      </c>
      <c r="DN12" s="154">
        <f t="shared" si="199"/>
        <v>39870.5</v>
      </c>
      <c r="DO12" s="157">
        <f t="shared" si="200"/>
        <v>190129.5</v>
      </c>
      <c r="DP12" s="154">
        <f t="shared" si="201"/>
        <v>0</v>
      </c>
      <c r="DQ12" s="158">
        <f t="shared" si="202"/>
        <v>0</v>
      </c>
      <c r="DR12" s="156">
        <f t="shared" si="190"/>
        <v>0</v>
      </c>
      <c r="DS12" s="154">
        <f t="shared" si="204"/>
        <v>0</v>
      </c>
      <c r="DT12" s="154">
        <f t="shared" si="205"/>
        <v>0</v>
      </c>
      <c r="DU12" s="154">
        <f t="shared" si="206"/>
        <v>0</v>
      </c>
      <c r="DV12" s="154">
        <f t="shared" si="207"/>
        <v>230000</v>
      </c>
      <c r="DW12" s="154">
        <f t="shared" si="208"/>
        <v>230000</v>
      </c>
      <c r="DX12" s="154">
        <f t="shared" si="209"/>
        <v>6831</v>
      </c>
      <c r="DY12" s="154">
        <f t="shared" si="210"/>
        <v>6831</v>
      </c>
      <c r="DZ12" s="154">
        <f t="shared" si="211"/>
        <v>33039.5</v>
      </c>
      <c r="EA12" s="154">
        <f t="shared" si="212"/>
        <v>33039.5</v>
      </c>
      <c r="EB12" s="157">
        <f t="shared" si="213"/>
        <v>196960.5</v>
      </c>
      <c r="EC12" s="154">
        <f t="shared" si="214"/>
        <v>0</v>
      </c>
      <c r="ED12" s="158">
        <f t="shared" si="215"/>
        <v>0</v>
      </c>
    </row>
    <row r="13" spans="1:134" x14ac:dyDescent="0.35">
      <c r="A13" s="183">
        <v>1991</v>
      </c>
      <c r="B13" s="173" t="s">
        <v>553</v>
      </c>
      <c r="C13" s="174"/>
      <c r="D13" s="175" t="s">
        <v>100</v>
      </c>
      <c r="E13" s="176">
        <v>120000</v>
      </c>
      <c r="F13" s="177">
        <v>33970</v>
      </c>
      <c r="G13" s="178">
        <v>33.700000000000003</v>
      </c>
      <c r="H13" s="179"/>
      <c r="I13" s="180"/>
      <c r="J13" s="181"/>
      <c r="K13" s="152">
        <f t="shared" si="216"/>
        <v>2.9700000000000001E-2</v>
      </c>
      <c r="L13" s="153">
        <f t="shared" si="217"/>
        <v>3564</v>
      </c>
      <c r="M13" s="154">
        <f t="shared" si="218"/>
        <v>52284</v>
      </c>
      <c r="N13" s="154"/>
      <c r="O13" s="154">
        <f t="shared" si="219"/>
        <v>67716</v>
      </c>
      <c r="P13" s="155"/>
      <c r="Q13" s="154">
        <f t="shared" si="220"/>
        <v>120000</v>
      </c>
      <c r="R13" s="156">
        <f t="shared" si="221"/>
        <v>0</v>
      </c>
      <c r="S13" s="154">
        <f t="shared" si="222"/>
        <v>0</v>
      </c>
      <c r="T13" s="154">
        <f t="shared" si="223"/>
        <v>0</v>
      </c>
      <c r="U13" s="154">
        <f t="shared" si="224"/>
        <v>0</v>
      </c>
      <c r="V13" s="154">
        <f t="shared" si="225"/>
        <v>120000</v>
      </c>
      <c r="W13" s="154">
        <f t="shared" si="226"/>
        <v>120000</v>
      </c>
      <c r="X13" s="154">
        <f t="shared" si="227"/>
        <v>3564</v>
      </c>
      <c r="Y13" s="154">
        <f t="shared" si="228"/>
        <v>3564</v>
      </c>
      <c r="Z13" s="154">
        <f t="shared" si="229"/>
        <v>48720</v>
      </c>
      <c r="AA13" s="154">
        <f t="shared" si="230"/>
        <v>48720</v>
      </c>
      <c r="AB13" s="157">
        <f t="shared" si="231"/>
        <v>71280</v>
      </c>
      <c r="AC13" s="154">
        <f t="shared" si="232"/>
        <v>0</v>
      </c>
      <c r="AD13" s="158">
        <f t="shared" si="233"/>
        <v>0</v>
      </c>
      <c r="AE13" s="156">
        <f t="shared" si="112"/>
        <v>0</v>
      </c>
      <c r="AF13" s="154">
        <f t="shared" si="113"/>
        <v>0</v>
      </c>
      <c r="AG13" s="154">
        <f t="shared" si="114"/>
        <v>0</v>
      </c>
      <c r="AH13" s="154">
        <f t="shared" si="115"/>
        <v>0</v>
      </c>
      <c r="AI13" s="154">
        <f t="shared" si="116"/>
        <v>120000</v>
      </c>
      <c r="AJ13" s="154">
        <f t="shared" si="117"/>
        <v>120000</v>
      </c>
      <c r="AK13" s="154">
        <f t="shared" si="118"/>
        <v>3564</v>
      </c>
      <c r="AL13" s="154">
        <f t="shared" si="119"/>
        <v>3564</v>
      </c>
      <c r="AM13" s="154">
        <f t="shared" si="120"/>
        <v>45156</v>
      </c>
      <c r="AN13" s="154">
        <f t="shared" si="121"/>
        <v>45156</v>
      </c>
      <c r="AO13" s="157">
        <f t="shared" si="122"/>
        <v>74844</v>
      </c>
      <c r="AP13" s="154">
        <f t="shared" si="123"/>
        <v>0</v>
      </c>
      <c r="AQ13" s="158">
        <f t="shared" si="124"/>
        <v>0</v>
      </c>
      <c r="AR13" s="156">
        <f t="shared" si="112"/>
        <v>0</v>
      </c>
      <c r="AS13" s="154">
        <f t="shared" si="126"/>
        <v>0</v>
      </c>
      <c r="AT13" s="154">
        <f t="shared" si="127"/>
        <v>0</v>
      </c>
      <c r="AU13" s="154">
        <f t="shared" si="128"/>
        <v>0</v>
      </c>
      <c r="AV13" s="154">
        <f t="shared" si="129"/>
        <v>120000</v>
      </c>
      <c r="AW13" s="154">
        <f t="shared" si="130"/>
        <v>120000</v>
      </c>
      <c r="AX13" s="154">
        <f t="shared" si="131"/>
        <v>3564</v>
      </c>
      <c r="AY13" s="154">
        <f t="shared" si="132"/>
        <v>3564</v>
      </c>
      <c r="AZ13" s="154">
        <f t="shared" si="133"/>
        <v>41592</v>
      </c>
      <c r="BA13" s="154">
        <f t="shared" si="134"/>
        <v>41592</v>
      </c>
      <c r="BB13" s="157">
        <f t="shared" si="135"/>
        <v>78408</v>
      </c>
      <c r="BC13" s="154">
        <f t="shared" si="136"/>
        <v>0</v>
      </c>
      <c r="BD13" s="158">
        <f t="shared" si="137"/>
        <v>0</v>
      </c>
      <c r="BE13" s="156">
        <f t="shared" si="112"/>
        <v>0</v>
      </c>
      <c r="BF13" s="154">
        <f t="shared" si="139"/>
        <v>0</v>
      </c>
      <c r="BG13" s="154">
        <f t="shared" si="140"/>
        <v>0</v>
      </c>
      <c r="BH13" s="154">
        <f t="shared" si="141"/>
        <v>0</v>
      </c>
      <c r="BI13" s="154">
        <f t="shared" si="142"/>
        <v>120000</v>
      </c>
      <c r="BJ13" s="154">
        <f t="shared" si="143"/>
        <v>120000</v>
      </c>
      <c r="BK13" s="154">
        <f t="shared" si="144"/>
        <v>3564</v>
      </c>
      <c r="BL13" s="154">
        <f t="shared" si="145"/>
        <v>3564</v>
      </c>
      <c r="BM13" s="154">
        <f t="shared" si="146"/>
        <v>38028</v>
      </c>
      <c r="BN13" s="154">
        <f t="shared" si="147"/>
        <v>38028</v>
      </c>
      <c r="BO13" s="157">
        <f t="shared" si="148"/>
        <v>81972</v>
      </c>
      <c r="BP13" s="154">
        <f t="shared" si="149"/>
        <v>0</v>
      </c>
      <c r="BQ13" s="158">
        <f t="shared" si="150"/>
        <v>0</v>
      </c>
      <c r="BR13" s="156">
        <f t="shared" si="151"/>
        <v>0</v>
      </c>
      <c r="BS13" s="154">
        <f t="shared" si="152"/>
        <v>0</v>
      </c>
      <c r="BT13" s="154">
        <f t="shared" si="153"/>
        <v>0</v>
      </c>
      <c r="BU13" s="154">
        <f t="shared" si="154"/>
        <v>0</v>
      </c>
      <c r="BV13" s="154">
        <f t="shared" si="155"/>
        <v>120000</v>
      </c>
      <c r="BW13" s="154">
        <f t="shared" si="156"/>
        <v>120000</v>
      </c>
      <c r="BX13" s="154">
        <f t="shared" si="157"/>
        <v>3564</v>
      </c>
      <c r="BY13" s="154">
        <f t="shared" si="158"/>
        <v>3564</v>
      </c>
      <c r="BZ13" s="154">
        <f t="shared" si="159"/>
        <v>34464</v>
      </c>
      <c r="CA13" s="154">
        <f t="shared" si="160"/>
        <v>34464</v>
      </c>
      <c r="CB13" s="157">
        <f t="shared" si="161"/>
        <v>85536</v>
      </c>
      <c r="CC13" s="154">
        <f t="shared" si="162"/>
        <v>0</v>
      </c>
      <c r="CD13" s="158">
        <f t="shared" si="163"/>
        <v>0</v>
      </c>
      <c r="CE13" s="156">
        <f t="shared" si="151"/>
        <v>0</v>
      </c>
      <c r="CF13" s="154">
        <f t="shared" si="165"/>
        <v>0</v>
      </c>
      <c r="CG13" s="154">
        <f t="shared" si="166"/>
        <v>0</v>
      </c>
      <c r="CH13" s="154">
        <f t="shared" si="167"/>
        <v>0</v>
      </c>
      <c r="CI13" s="154">
        <f t="shared" si="168"/>
        <v>120000</v>
      </c>
      <c r="CJ13" s="154">
        <f t="shared" si="169"/>
        <v>120000</v>
      </c>
      <c r="CK13" s="154">
        <f t="shared" si="170"/>
        <v>3564</v>
      </c>
      <c r="CL13" s="154">
        <f t="shared" si="171"/>
        <v>3564</v>
      </c>
      <c r="CM13" s="154">
        <f t="shared" si="172"/>
        <v>30900</v>
      </c>
      <c r="CN13" s="154">
        <f t="shared" si="173"/>
        <v>30900</v>
      </c>
      <c r="CO13" s="157">
        <f t="shared" si="174"/>
        <v>89100</v>
      </c>
      <c r="CP13" s="154">
        <f t="shared" si="175"/>
        <v>0</v>
      </c>
      <c r="CQ13" s="158">
        <f t="shared" si="176"/>
        <v>0</v>
      </c>
      <c r="CR13" s="156">
        <f t="shared" si="151"/>
        <v>0</v>
      </c>
      <c r="CS13" s="154">
        <f t="shared" si="178"/>
        <v>0</v>
      </c>
      <c r="CT13" s="154">
        <f t="shared" si="179"/>
        <v>0</v>
      </c>
      <c r="CU13" s="154">
        <f t="shared" si="180"/>
        <v>0</v>
      </c>
      <c r="CV13" s="154">
        <f t="shared" si="181"/>
        <v>120000</v>
      </c>
      <c r="CW13" s="154">
        <f t="shared" si="182"/>
        <v>120000</v>
      </c>
      <c r="CX13" s="154">
        <f t="shared" si="183"/>
        <v>3564</v>
      </c>
      <c r="CY13" s="154">
        <f t="shared" si="184"/>
        <v>3564</v>
      </c>
      <c r="CZ13" s="154">
        <f t="shared" si="185"/>
        <v>27336</v>
      </c>
      <c r="DA13" s="154">
        <f t="shared" si="186"/>
        <v>27336</v>
      </c>
      <c r="DB13" s="157">
        <f t="shared" si="187"/>
        <v>92664</v>
      </c>
      <c r="DC13" s="154">
        <f t="shared" si="188"/>
        <v>0</v>
      </c>
      <c r="DD13" s="158">
        <f t="shared" si="189"/>
        <v>0</v>
      </c>
      <c r="DE13" s="156">
        <f t="shared" si="190"/>
        <v>0</v>
      </c>
      <c r="DF13" s="154">
        <f t="shared" si="191"/>
        <v>0</v>
      </c>
      <c r="DG13" s="154">
        <f t="shared" si="192"/>
        <v>0</v>
      </c>
      <c r="DH13" s="154">
        <f t="shared" si="193"/>
        <v>0</v>
      </c>
      <c r="DI13" s="154">
        <f t="shared" si="194"/>
        <v>120000</v>
      </c>
      <c r="DJ13" s="154">
        <f t="shared" si="195"/>
        <v>120000</v>
      </c>
      <c r="DK13" s="154">
        <f t="shared" si="196"/>
        <v>3564</v>
      </c>
      <c r="DL13" s="154">
        <f t="shared" si="197"/>
        <v>3564</v>
      </c>
      <c r="DM13" s="154">
        <f t="shared" si="198"/>
        <v>23772</v>
      </c>
      <c r="DN13" s="154">
        <f t="shared" si="199"/>
        <v>23772</v>
      </c>
      <c r="DO13" s="157">
        <f t="shared" si="200"/>
        <v>96228</v>
      </c>
      <c r="DP13" s="154">
        <f t="shared" si="201"/>
        <v>0</v>
      </c>
      <c r="DQ13" s="158">
        <f t="shared" si="202"/>
        <v>0</v>
      </c>
      <c r="DR13" s="156">
        <f t="shared" si="190"/>
        <v>0</v>
      </c>
      <c r="DS13" s="154">
        <f t="shared" si="204"/>
        <v>0</v>
      </c>
      <c r="DT13" s="154">
        <f t="shared" si="205"/>
        <v>0</v>
      </c>
      <c r="DU13" s="154">
        <f t="shared" si="206"/>
        <v>0</v>
      </c>
      <c r="DV13" s="154">
        <f t="shared" si="207"/>
        <v>120000</v>
      </c>
      <c r="DW13" s="154">
        <f t="shared" si="208"/>
        <v>120000</v>
      </c>
      <c r="DX13" s="154">
        <f t="shared" si="209"/>
        <v>3564</v>
      </c>
      <c r="DY13" s="154">
        <f t="shared" si="210"/>
        <v>3564</v>
      </c>
      <c r="DZ13" s="154">
        <f t="shared" si="211"/>
        <v>20208</v>
      </c>
      <c r="EA13" s="154">
        <f t="shared" si="212"/>
        <v>20208</v>
      </c>
      <c r="EB13" s="157">
        <f t="shared" si="213"/>
        <v>99792</v>
      </c>
      <c r="EC13" s="154">
        <f t="shared" si="214"/>
        <v>0</v>
      </c>
      <c r="ED13" s="158">
        <f t="shared" si="215"/>
        <v>0</v>
      </c>
    </row>
    <row r="14" spans="1:134" x14ac:dyDescent="0.35">
      <c r="A14" s="183">
        <v>1992</v>
      </c>
      <c r="B14" s="173" t="s">
        <v>553</v>
      </c>
      <c r="C14" s="174"/>
      <c r="D14" s="175" t="s">
        <v>100</v>
      </c>
      <c r="E14" s="176">
        <v>230000</v>
      </c>
      <c r="F14" s="177">
        <v>34274</v>
      </c>
      <c r="G14" s="178">
        <v>33.700000000000003</v>
      </c>
      <c r="H14" s="179"/>
      <c r="I14" s="180"/>
      <c r="J14" s="181"/>
      <c r="K14" s="152">
        <f t="shared" si="216"/>
        <v>2.9700000000000001E-2</v>
      </c>
      <c r="L14" s="153">
        <f t="shared" si="217"/>
        <v>6831</v>
      </c>
      <c r="M14" s="154">
        <f t="shared" si="218"/>
        <v>105903.5</v>
      </c>
      <c r="N14" s="154"/>
      <c r="O14" s="154">
        <f t="shared" si="219"/>
        <v>124096.5</v>
      </c>
      <c r="P14" s="155"/>
      <c r="Q14" s="154">
        <f t="shared" si="220"/>
        <v>230000</v>
      </c>
      <c r="R14" s="156">
        <f t="shared" si="221"/>
        <v>0</v>
      </c>
      <c r="S14" s="154">
        <f t="shared" si="222"/>
        <v>0</v>
      </c>
      <c r="T14" s="154">
        <f t="shared" si="223"/>
        <v>0</v>
      </c>
      <c r="U14" s="154">
        <f t="shared" si="224"/>
        <v>0</v>
      </c>
      <c r="V14" s="154">
        <f t="shared" si="225"/>
        <v>230000</v>
      </c>
      <c r="W14" s="154">
        <f t="shared" si="226"/>
        <v>230000</v>
      </c>
      <c r="X14" s="154">
        <f t="shared" si="227"/>
        <v>6831</v>
      </c>
      <c r="Y14" s="154">
        <f t="shared" si="228"/>
        <v>6831</v>
      </c>
      <c r="Z14" s="154">
        <f t="shared" si="229"/>
        <v>99072.5</v>
      </c>
      <c r="AA14" s="154">
        <f t="shared" si="230"/>
        <v>99072.5</v>
      </c>
      <c r="AB14" s="157">
        <f t="shared" si="231"/>
        <v>130927.5</v>
      </c>
      <c r="AC14" s="154">
        <f t="shared" si="232"/>
        <v>0</v>
      </c>
      <c r="AD14" s="158">
        <f t="shared" si="233"/>
        <v>0</v>
      </c>
      <c r="AE14" s="156">
        <f t="shared" si="112"/>
        <v>0</v>
      </c>
      <c r="AF14" s="154">
        <f t="shared" si="113"/>
        <v>0</v>
      </c>
      <c r="AG14" s="154">
        <f t="shared" si="114"/>
        <v>0</v>
      </c>
      <c r="AH14" s="154">
        <f t="shared" si="115"/>
        <v>0</v>
      </c>
      <c r="AI14" s="154">
        <f t="shared" si="116"/>
        <v>230000</v>
      </c>
      <c r="AJ14" s="154">
        <f t="shared" si="117"/>
        <v>230000</v>
      </c>
      <c r="AK14" s="154">
        <f t="shared" si="118"/>
        <v>6831</v>
      </c>
      <c r="AL14" s="154">
        <f t="shared" si="119"/>
        <v>6831</v>
      </c>
      <c r="AM14" s="154">
        <f t="shared" si="120"/>
        <v>92241.5</v>
      </c>
      <c r="AN14" s="154">
        <f t="shared" si="121"/>
        <v>92241.5</v>
      </c>
      <c r="AO14" s="157">
        <f t="shared" si="122"/>
        <v>137758.5</v>
      </c>
      <c r="AP14" s="154">
        <f t="shared" si="123"/>
        <v>0</v>
      </c>
      <c r="AQ14" s="158">
        <f t="shared" si="124"/>
        <v>0</v>
      </c>
      <c r="AR14" s="156">
        <f t="shared" si="112"/>
        <v>0</v>
      </c>
      <c r="AS14" s="154">
        <f t="shared" si="126"/>
        <v>0</v>
      </c>
      <c r="AT14" s="154">
        <f t="shared" si="127"/>
        <v>0</v>
      </c>
      <c r="AU14" s="154">
        <f t="shared" si="128"/>
        <v>0</v>
      </c>
      <c r="AV14" s="154">
        <f t="shared" si="129"/>
        <v>230000</v>
      </c>
      <c r="AW14" s="154">
        <f t="shared" si="130"/>
        <v>230000</v>
      </c>
      <c r="AX14" s="154">
        <f t="shared" si="131"/>
        <v>6831</v>
      </c>
      <c r="AY14" s="154">
        <f t="shared" si="132"/>
        <v>6831</v>
      </c>
      <c r="AZ14" s="154">
        <f t="shared" si="133"/>
        <v>85410.5</v>
      </c>
      <c r="BA14" s="154">
        <f t="shared" si="134"/>
        <v>85410.5</v>
      </c>
      <c r="BB14" s="157">
        <f t="shared" si="135"/>
        <v>144589.5</v>
      </c>
      <c r="BC14" s="154">
        <f t="shared" si="136"/>
        <v>0</v>
      </c>
      <c r="BD14" s="158">
        <f t="shared" si="137"/>
        <v>0</v>
      </c>
      <c r="BE14" s="156">
        <f t="shared" si="112"/>
        <v>0</v>
      </c>
      <c r="BF14" s="154">
        <f t="shared" si="139"/>
        <v>0</v>
      </c>
      <c r="BG14" s="154">
        <f t="shared" si="140"/>
        <v>0</v>
      </c>
      <c r="BH14" s="154">
        <f t="shared" si="141"/>
        <v>0</v>
      </c>
      <c r="BI14" s="154">
        <f t="shared" si="142"/>
        <v>230000</v>
      </c>
      <c r="BJ14" s="154">
        <f t="shared" si="143"/>
        <v>230000</v>
      </c>
      <c r="BK14" s="154">
        <f t="shared" si="144"/>
        <v>6831</v>
      </c>
      <c r="BL14" s="154">
        <f t="shared" si="145"/>
        <v>6831</v>
      </c>
      <c r="BM14" s="154">
        <f t="shared" si="146"/>
        <v>78579.5</v>
      </c>
      <c r="BN14" s="154">
        <f t="shared" si="147"/>
        <v>78579.5</v>
      </c>
      <c r="BO14" s="157">
        <f t="shared" si="148"/>
        <v>151420.5</v>
      </c>
      <c r="BP14" s="154">
        <f t="shared" si="149"/>
        <v>0</v>
      </c>
      <c r="BQ14" s="158">
        <f t="shared" si="150"/>
        <v>0</v>
      </c>
      <c r="BR14" s="156">
        <f t="shared" si="151"/>
        <v>0</v>
      </c>
      <c r="BS14" s="154">
        <f t="shared" si="152"/>
        <v>0</v>
      </c>
      <c r="BT14" s="154">
        <f t="shared" si="153"/>
        <v>0</v>
      </c>
      <c r="BU14" s="154">
        <f t="shared" si="154"/>
        <v>0</v>
      </c>
      <c r="BV14" s="154">
        <f t="shared" si="155"/>
        <v>230000</v>
      </c>
      <c r="BW14" s="154">
        <f t="shared" si="156"/>
        <v>230000</v>
      </c>
      <c r="BX14" s="154">
        <f t="shared" si="157"/>
        <v>6831</v>
      </c>
      <c r="BY14" s="154">
        <f t="shared" si="158"/>
        <v>6831</v>
      </c>
      <c r="BZ14" s="154">
        <f t="shared" si="159"/>
        <v>71748.5</v>
      </c>
      <c r="CA14" s="154">
        <f t="shared" si="160"/>
        <v>71748.5</v>
      </c>
      <c r="CB14" s="157">
        <f t="shared" si="161"/>
        <v>158251.5</v>
      </c>
      <c r="CC14" s="154">
        <f t="shared" si="162"/>
        <v>0</v>
      </c>
      <c r="CD14" s="158">
        <f t="shared" si="163"/>
        <v>0</v>
      </c>
      <c r="CE14" s="156">
        <f t="shared" si="151"/>
        <v>0</v>
      </c>
      <c r="CF14" s="154">
        <f t="shared" si="165"/>
        <v>0</v>
      </c>
      <c r="CG14" s="154">
        <f t="shared" si="166"/>
        <v>0</v>
      </c>
      <c r="CH14" s="154">
        <f t="shared" si="167"/>
        <v>0</v>
      </c>
      <c r="CI14" s="154">
        <f t="shared" si="168"/>
        <v>230000</v>
      </c>
      <c r="CJ14" s="154">
        <f t="shared" si="169"/>
        <v>230000</v>
      </c>
      <c r="CK14" s="154">
        <f t="shared" si="170"/>
        <v>6831</v>
      </c>
      <c r="CL14" s="154">
        <f t="shared" si="171"/>
        <v>6831</v>
      </c>
      <c r="CM14" s="154">
        <f t="shared" si="172"/>
        <v>64917.5</v>
      </c>
      <c r="CN14" s="154">
        <f t="shared" si="173"/>
        <v>64917.5</v>
      </c>
      <c r="CO14" s="157">
        <f t="shared" si="174"/>
        <v>165082.5</v>
      </c>
      <c r="CP14" s="154">
        <f t="shared" si="175"/>
        <v>0</v>
      </c>
      <c r="CQ14" s="158">
        <f t="shared" si="176"/>
        <v>0</v>
      </c>
      <c r="CR14" s="156">
        <f t="shared" si="151"/>
        <v>0</v>
      </c>
      <c r="CS14" s="154">
        <f t="shared" si="178"/>
        <v>0</v>
      </c>
      <c r="CT14" s="154">
        <f t="shared" si="179"/>
        <v>0</v>
      </c>
      <c r="CU14" s="154">
        <f t="shared" si="180"/>
        <v>0</v>
      </c>
      <c r="CV14" s="154">
        <f t="shared" si="181"/>
        <v>230000</v>
      </c>
      <c r="CW14" s="154">
        <f t="shared" si="182"/>
        <v>230000</v>
      </c>
      <c r="CX14" s="154">
        <f t="shared" si="183"/>
        <v>6831</v>
      </c>
      <c r="CY14" s="154">
        <f t="shared" si="184"/>
        <v>6831</v>
      </c>
      <c r="CZ14" s="154">
        <f t="shared" si="185"/>
        <v>58086.5</v>
      </c>
      <c r="DA14" s="154">
        <f t="shared" si="186"/>
        <v>58086.5</v>
      </c>
      <c r="DB14" s="157">
        <f t="shared" si="187"/>
        <v>171913.5</v>
      </c>
      <c r="DC14" s="154">
        <f t="shared" si="188"/>
        <v>0</v>
      </c>
      <c r="DD14" s="158">
        <f t="shared" si="189"/>
        <v>0</v>
      </c>
      <c r="DE14" s="156">
        <f t="shared" si="190"/>
        <v>0</v>
      </c>
      <c r="DF14" s="154">
        <f t="shared" si="191"/>
        <v>0</v>
      </c>
      <c r="DG14" s="154">
        <f t="shared" si="192"/>
        <v>0</v>
      </c>
      <c r="DH14" s="154">
        <f t="shared" si="193"/>
        <v>0</v>
      </c>
      <c r="DI14" s="154">
        <f t="shared" si="194"/>
        <v>230000</v>
      </c>
      <c r="DJ14" s="154">
        <f t="shared" si="195"/>
        <v>230000</v>
      </c>
      <c r="DK14" s="154">
        <f t="shared" si="196"/>
        <v>6831</v>
      </c>
      <c r="DL14" s="154">
        <f t="shared" si="197"/>
        <v>6831</v>
      </c>
      <c r="DM14" s="154">
        <f t="shared" si="198"/>
        <v>51255.5</v>
      </c>
      <c r="DN14" s="154">
        <f t="shared" si="199"/>
        <v>51255.5</v>
      </c>
      <c r="DO14" s="157">
        <f t="shared" si="200"/>
        <v>178744.5</v>
      </c>
      <c r="DP14" s="154">
        <f t="shared" si="201"/>
        <v>0</v>
      </c>
      <c r="DQ14" s="158">
        <f t="shared" si="202"/>
        <v>0</v>
      </c>
      <c r="DR14" s="156">
        <f t="shared" si="190"/>
        <v>0</v>
      </c>
      <c r="DS14" s="154">
        <f t="shared" si="204"/>
        <v>0</v>
      </c>
      <c r="DT14" s="154">
        <f t="shared" si="205"/>
        <v>0</v>
      </c>
      <c r="DU14" s="154">
        <f t="shared" si="206"/>
        <v>0</v>
      </c>
      <c r="DV14" s="154">
        <f t="shared" si="207"/>
        <v>230000</v>
      </c>
      <c r="DW14" s="154">
        <f t="shared" si="208"/>
        <v>230000</v>
      </c>
      <c r="DX14" s="154">
        <f t="shared" si="209"/>
        <v>6831</v>
      </c>
      <c r="DY14" s="154">
        <f t="shared" si="210"/>
        <v>6831</v>
      </c>
      <c r="DZ14" s="154">
        <f t="shared" si="211"/>
        <v>44424.5</v>
      </c>
      <c r="EA14" s="154">
        <f t="shared" si="212"/>
        <v>44424.5</v>
      </c>
      <c r="EB14" s="157">
        <f t="shared" si="213"/>
        <v>185575.5</v>
      </c>
      <c r="EC14" s="154">
        <f t="shared" si="214"/>
        <v>0</v>
      </c>
      <c r="ED14" s="158">
        <f t="shared" si="215"/>
        <v>0</v>
      </c>
    </row>
    <row r="15" spans="1:134" x14ac:dyDescent="0.35">
      <c r="A15" s="183">
        <v>1993</v>
      </c>
      <c r="B15" s="173" t="s">
        <v>553</v>
      </c>
      <c r="C15" s="174"/>
      <c r="D15" s="175" t="s">
        <v>100</v>
      </c>
      <c r="E15" s="176">
        <v>280000</v>
      </c>
      <c r="F15" s="177">
        <v>34578</v>
      </c>
      <c r="G15" s="178">
        <v>33.700000000000003</v>
      </c>
      <c r="H15" s="179"/>
      <c r="I15" s="180"/>
      <c r="J15" s="181"/>
      <c r="K15" s="152">
        <f t="shared" si="216"/>
        <v>2.9700000000000001E-2</v>
      </c>
      <c r="L15" s="153">
        <f t="shared" si="217"/>
        <v>8316</v>
      </c>
      <c r="M15" s="154">
        <f t="shared" si="218"/>
        <v>135856</v>
      </c>
      <c r="N15" s="154"/>
      <c r="O15" s="154">
        <f t="shared" si="219"/>
        <v>144144</v>
      </c>
      <c r="P15" s="155"/>
      <c r="Q15" s="154">
        <f t="shared" si="220"/>
        <v>280000</v>
      </c>
      <c r="R15" s="156">
        <f t="shared" si="221"/>
        <v>0</v>
      </c>
      <c r="S15" s="154">
        <f t="shared" si="222"/>
        <v>0</v>
      </c>
      <c r="T15" s="154">
        <f t="shared" si="223"/>
        <v>0</v>
      </c>
      <c r="U15" s="154">
        <f t="shared" si="224"/>
        <v>0</v>
      </c>
      <c r="V15" s="154">
        <f t="shared" si="225"/>
        <v>280000</v>
      </c>
      <c r="W15" s="154">
        <f t="shared" si="226"/>
        <v>280000</v>
      </c>
      <c r="X15" s="154">
        <f t="shared" si="227"/>
        <v>8316</v>
      </c>
      <c r="Y15" s="154">
        <f t="shared" si="228"/>
        <v>8316</v>
      </c>
      <c r="Z15" s="154">
        <f t="shared" si="229"/>
        <v>127540</v>
      </c>
      <c r="AA15" s="154">
        <f t="shared" si="230"/>
        <v>127540</v>
      </c>
      <c r="AB15" s="157">
        <f t="shared" si="231"/>
        <v>152460</v>
      </c>
      <c r="AC15" s="154">
        <f t="shared" si="232"/>
        <v>0</v>
      </c>
      <c r="AD15" s="158">
        <f t="shared" si="233"/>
        <v>0</v>
      </c>
      <c r="AE15" s="156">
        <f t="shared" si="112"/>
        <v>0</v>
      </c>
      <c r="AF15" s="154">
        <f t="shared" si="113"/>
        <v>0</v>
      </c>
      <c r="AG15" s="154">
        <f t="shared" si="114"/>
        <v>0</v>
      </c>
      <c r="AH15" s="154">
        <f t="shared" si="115"/>
        <v>0</v>
      </c>
      <c r="AI15" s="154">
        <f t="shared" si="116"/>
        <v>280000</v>
      </c>
      <c r="AJ15" s="154">
        <f t="shared" si="117"/>
        <v>280000</v>
      </c>
      <c r="AK15" s="154">
        <f t="shared" si="118"/>
        <v>8316</v>
      </c>
      <c r="AL15" s="154">
        <f t="shared" si="119"/>
        <v>8316</v>
      </c>
      <c r="AM15" s="154">
        <f t="shared" si="120"/>
        <v>119224</v>
      </c>
      <c r="AN15" s="154">
        <f t="shared" si="121"/>
        <v>119224</v>
      </c>
      <c r="AO15" s="157">
        <f t="shared" si="122"/>
        <v>160776</v>
      </c>
      <c r="AP15" s="154">
        <f t="shared" si="123"/>
        <v>0</v>
      </c>
      <c r="AQ15" s="158">
        <f t="shared" si="124"/>
        <v>0</v>
      </c>
      <c r="AR15" s="156">
        <f t="shared" si="112"/>
        <v>0</v>
      </c>
      <c r="AS15" s="154">
        <f t="shared" si="126"/>
        <v>0</v>
      </c>
      <c r="AT15" s="154">
        <f t="shared" si="127"/>
        <v>0</v>
      </c>
      <c r="AU15" s="154">
        <f t="shared" si="128"/>
        <v>0</v>
      </c>
      <c r="AV15" s="154">
        <f t="shared" si="129"/>
        <v>280000</v>
      </c>
      <c r="AW15" s="154">
        <f t="shared" si="130"/>
        <v>280000</v>
      </c>
      <c r="AX15" s="154">
        <f t="shared" si="131"/>
        <v>8316</v>
      </c>
      <c r="AY15" s="154">
        <f t="shared" si="132"/>
        <v>8316</v>
      </c>
      <c r="AZ15" s="154">
        <f t="shared" si="133"/>
        <v>110908</v>
      </c>
      <c r="BA15" s="154">
        <f t="shared" si="134"/>
        <v>110908</v>
      </c>
      <c r="BB15" s="157">
        <f t="shared" si="135"/>
        <v>169092</v>
      </c>
      <c r="BC15" s="154">
        <f t="shared" si="136"/>
        <v>0</v>
      </c>
      <c r="BD15" s="158">
        <f t="shared" si="137"/>
        <v>0</v>
      </c>
      <c r="BE15" s="156">
        <f t="shared" si="112"/>
        <v>0</v>
      </c>
      <c r="BF15" s="154">
        <f t="shared" si="139"/>
        <v>0</v>
      </c>
      <c r="BG15" s="154">
        <f t="shared" si="140"/>
        <v>0</v>
      </c>
      <c r="BH15" s="154">
        <f t="shared" si="141"/>
        <v>0</v>
      </c>
      <c r="BI15" s="154">
        <f t="shared" si="142"/>
        <v>280000</v>
      </c>
      <c r="BJ15" s="154">
        <f t="shared" si="143"/>
        <v>280000</v>
      </c>
      <c r="BK15" s="154">
        <f t="shared" si="144"/>
        <v>8316</v>
      </c>
      <c r="BL15" s="154">
        <f t="shared" si="145"/>
        <v>8316</v>
      </c>
      <c r="BM15" s="154">
        <f t="shared" si="146"/>
        <v>102592</v>
      </c>
      <c r="BN15" s="154">
        <f t="shared" si="147"/>
        <v>102592</v>
      </c>
      <c r="BO15" s="157">
        <f t="shared" si="148"/>
        <v>177408</v>
      </c>
      <c r="BP15" s="154">
        <f t="shared" si="149"/>
        <v>0</v>
      </c>
      <c r="BQ15" s="158">
        <f t="shared" si="150"/>
        <v>0</v>
      </c>
      <c r="BR15" s="156">
        <f t="shared" si="151"/>
        <v>0</v>
      </c>
      <c r="BS15" s="154">
        <f t="shared" si="152"/>
        <v>0</v>
      </c>
      <c r="BT15" s="154">
        <f t="shared" si="153"/>
        <v>0</v>
      </c>
      <c r="BU15" s="154">
        <f t="shared" si="154"/>
        <v>0</v>
      </c>
      <c r="BV15" s="154">
        <f t="shared" si="155"/>
        <v>280000</v>
      </c>
      <c r="BW15" s="154">
        <f t="shared" si="156"/>
        <v>280000</v>
      </c>
      <c r="BX15" s="154">
        <f t="shared" si="157"/>
        <v>8316</v>
      </c>
      <c r="BY15" s="154">
        <f t="shared" si="158"/>
        <v>8316</v>
      </c>
      <c r="BZ15" s="154">
        <f t="shared" si="159"/>
        <v>94276</v>
      </c>
      <c r="CA15" s="154">
        <f t="shared" si="160"/>
        <v>94276</v>
      </c>
      <c r="CB15" s="157">
        <f t="shared" si="161"/>
        <v>185724</v>
      </c>
      <c r="CC15" s="154">
        <f t="shared" si="162"/>
        <v>0</v>
      </c>
      <c r="CD15" s="158">
        <f t="shared" si="163"/>
        <v>0</v>
      </c>
      <c r="CE15" s="156">
        <f t="shared" si="151"/>
        <v>0</v>
      </c>
      <c r="CF15" s="154">
        <f t="shared" si="165"/>
        <v>0</v>
      </c>
      <c r="CG15" s="154">
        <f t="shared" si="166"/>
        <v>0</v>
      </c>
      <c r="CH15" s="154">
        <f t="shared" si="167"/>
        <v>0</v>
      </c>
      <c r="CI15" s="154">
        <f t="shared" si="168"/>
        <v>280000</v>
      </c>
      <c r="CJ15" s="154">
        <f t="shared" si="169"/>
        <v>280000</v>
      </c>
      <c r="CK15" s="154">
        <f t="shared" si="170"/>
        <v>8316</v>
      </c>
      <c r="CL15" s="154">
        <f t="shared" si="171"/>
        <v>8316</v>
      </c>
      <c r="CM15" s="154">
        <f t="shared" si="172"/>
        <v>85960</v>
      </c>
      <c r="CN15" s="154">
        <f t="shared" si="173"/>
        <v>85960</v>
      </c>
      <c r="CO15" s="157">
        <f t="shared" si="174"/>
        <v>194040</v>
      </c>
      <c r="CP15" s="154">
        <f t="shared" si="175"/>
        <v>0</v>
      </c>
      <c r="CQ15" s="158">
        <f t="shared" si="176"/>
        <v>0</v>
      </c>
      <c r="CR15" s="156">
        <f t="shared" si="151"/>
        <v>0</v>
      </c>
      <c r="CS15" s="154">
        <f t="shared" si="178"/>
        <v>0</v>
      </c>
      <c r="CT15" s="154">
        <f t="shared" si="179"/>
        <v>0</v>
      </c>
      <c r="CU15" s="154">
        <f t="shared" si="180"/>
        <v>0</v>
      </c>
      <c r="CV15" s="154">
        <f t="shared" si="181"/>
        <v>280000</v>
      </c>
      <c r="CW15" s="154">
        <f t="shared" si="182"/>
        <v>280000</v>
      </c>
      <c r="CX15" s="154">
        <f t="shared" si="183"/>
        <v>8316</v>
      </c>
      <c r="CY15" s="154">
        <f t="shared" si="184"/>
        <v>8316</v>
      </c>
      <c r="CZ15" s="154">
        <f t="shared" si="185"/>
        <v>77644</v>
      </c>
      <c r="DA15" s="154">
        <f t="shared" si="186"/>
        <v>77644</v>
      </c>
      <c r="DB15" s="157">
        <f t="shared" si="187"/>
        <v>202356</v>
      </c>
      <c r="DC15" s="154">
        <f t="shared" si="188"/>
        <v>0</v>
      </c>
      <c r="DD15" s="158">
        <f t="shared" si="189"/>
        <v>0</v>
      </c>
      <c r="DE15" s="156">
        <f t="shared" si="190"/>
        <v>0</v>
      </c>
      <c r="DF15" s="154">
        <f t="shared" si="191"/>
        <v>0</v>
      </c>
      <c r="DG15" s="154">
        <f t="shared" si="192"/>
        <v>0</v>
      </c>
      <c r="DH15" s="154">
        <f t="shared" si="193"/>
        <v>0</v>
      </c>
      <c r="DI15" s="154">
        <f t="shared" si="194"/>
        <v>280000</v>
      </c>
      <c r="DJ15" s="154">
        <f t="shared" si="195"/>
        <v>280000</v>
      </c>
      <c r="DK15" s="154">
        <f t="shared" si="196"/>
        <v>8316</v>
      </c>
      <c r="DL15" s="154">
        <f t="shared" si="197"/>
        <v>8316</v>
      </c>
      <c r="DM15" s="154">
        <f t="shared" si="198"/>
        <v>69328</v>
      </c>
      <c r="DN15" s="154">
        <f t="shared" si="199"/>
        <v>69328</v>
      </c>
      <c r="DO15" s="157">
        <f t="shared" si="200"/>
        <v>210672</v>
      </c>
      <c r="DP15" s="154">
        <f t="shared" si="201"/>
        <v>0</v>
      </c>
      <c r="DQ15" s="158">
        <f t="shared" si="202"/>
        <v>0</v>
      </c>
      <c r="DR15" s="156">
        <f t="shared" si="190"/>
        <v>0</v>
      </c>
      <c r="DS15" s="154">
        <f t="shared" si="204"/>
        <v>0</v>
      </c>
      <c r="DT15" s="154">
        <f t="shared" si="205"/>
        <v>0</v>
      </c>
      <c r="DU15" s="154">
        <f t="shared" si="206"/>
        <v>0</v>
      </c>
      <c r="DV15" s="154">
        <f t="shared" si="207"/>
        <v>280000</v>
      </c>
      <c r="DW15" s="154">
        <f t="shared" si="208"/>
        <v>280000</v>
      </c>
      <c r="DX15" s="154">
        <f t="shared" si="209"/>
        <v>8316</v>
      </c>
      <c r="DY15" s="154">
        <f t="shared" si="210"/>
        <v>8316</v>
      </c>
      <c r="DZ15" s="154">
        <f t="shared" si="211"/>
        <v>61012</v>
      </c>
      <c r="EA15" s="154">
        <f t="shared" si="212"/>
        <v>61012</v>
      </c>
      <c r="EB15" s="157">
        <f t="shared" si="213"/>
        <v>218988</v>
      </c>
      <c r="EC15" s="154">
        <f t="shared" si="214"/>
        <v>0</v>
      </c>
      <c r="ED15" s="158">
        <f t="shared" si="215"/>
        <v>0</v>
      </c>
    </row>
    <row r="16" spans="1:134" x14ac:dyDescent="0.35">
      <c r="A16" s="183">
        <v>1994</v>
      </c>
      <c r="B16" s="173" t="s">
        <v>553</v>
      </c>
      <c r="C16" s="174"/>
      <c r="D16" s="175" t="s">
        <v>100</v>
      </c>
      <c r="E16" s="176">
        <v>210000</v>
      </c>
      <c r="F16" s="177">
        <v>34881</v>
      </c>
      <c r="G16" s="178">
        <v>33.700000000000003</v>
      </c>
      <c r="H16" s="179"/>
      <c r="I16" s="180"/>
      <c r="J16" s="181"/>
      <c r="K16" s="152">
        <f t="shared" si="216"/>
        <v>2.9700000000000001E-2</v>
      </c>
      <c r="L16" s="153">
        <f t="shared" si="217"/>
        <v>6237</v>
      </c>
      <c r="M16" s="154">
        <f t="shared" si="218"/>
        <v>107089.5</v>
      </c>
      <c r="N16" s="154"/>
      <c r="O16" s="154">
        <f t="shared" si="219"/>
        <v>102910.5</v>
      </c>
      <c r="P16" s="155"/>
      <c r="Q16" s="154">
        <f t="shared" si="220"/>
        <v>210000</v>
      </c>
      <c r="R16" s="156">
        <f t="shared" si="221"/>
        <v>0</v>
      </c>
      <c r="S16" s="154">
        <f t="shared" si="222"/>
        <v>0</v>
      </c>
      <c r="T16" s="154">
        <f t="shared" si="223"/>
        <v>0</v>
      </c>
      <c r="U16" s="154">
        <f t="shared" si="224"/>
        <v>0</v>
      </c>
      <c r="V16" s="154">
        <f t="shared" si="225"/>
        <v>210000</v>
      </c>
      <c r="W16" s="154">
        <f t="shared" si="226"/>
        <v>210000</v>
      </c>
      <c r="X16" s="154">
        <f t="shared" si="227"/>
        <v>6237</v>
      </c>
      <c r="Y16" s="154">
        <f t="shared" si="228"/>
        <v>6237</v>
      </c>
      <c r="Z16" s="154">
        <f t="shared" si="229"/>
        <v>100852.5</v>
      </c>
      <c r="AA16" s="154">
        <f t="shared" si="230"/>
        <v>100852.5</v>
      </c>
      <c r="AB16" s="157">
        <f t="shared" si="231"/>
        <v>109147.5</v>
      </c>
      <c r="AC16" s="154">
        <f t="shared" si="232"/>
        <v>0</v>
      </c>
      <c r="AD16" s="158">
        <f t="shared" si="233"/>
        <v>0</v>
      </c>
      <c r="AE16" s="156">
        <f t="shared" si="112"/>
        <v>0</v>
      </c>
      <c r="AF16" s="154">
        <f t="shared" si="113"/>
        <v>0</v>
      </c>
      <c r="AG16" s="154">
        <f t="shared" si="114"/>
        <v>0</v>
      </c>
      <c r="AH16" s="154">
        <f t="shared" si="115"/>
        <v>0</v>
      </c>
      <c r="AI16" s="154">
        <f t="shared" si="116"/>
        <v>210000</v>
      </c>
      <c r="AJ16" s="154">
        <f t="shared" si="117"/>
        <v>210000</v>
      </c>
      <c r="AK16" s="154">
        <f t="shared" si="118"/>
        <v>6237</v>
      </c>
      <c r="AL16" s="154">
        <f t="shared" si="119"/>
        <v>6237</v>
      </c>
      <c r="AM16" s="154">
        <f t="shared" si="120"/>
        <v>94615.5</v>
      </c>
      <c r="AN16" s="154">
        <f t="shared" si="121"/>
        <v>94615.5</v>
      </c>
      <c r="AO16" s="157">
        <f t="shared" si="122"/>
        <v>115384.5</v>
      </c>
      <c r="AP16" s="154">
        <f t="shared" si="123"/>
        <v>0</v>
      </c>
      <c r="AQ16" s="158">
        <f t="shared" si="124"/>
        <v>0</v>
      </c>
      <c r="AR16" s="156">
        <f t="shared" si="112"/>
        <v>0</v>
      </c>
      <c r="AS16" s="154">
        <f t="shared" si="126"/>
        <v>0</v>
      </c>
      <c r="AT16" s="154">
        <f t="shared" si="127"/>
        <v>0</v>
      </c>
      <c r="AU16" s="154">
        <f t="shared" si="128"/>
        <v>0</v>
      </c>
      <c r="AV16" s="154">
        <f t="shared" si="129"/>
        <v>210000</v>
      </c>
      <c r="AW16" s="154">
        <f t="shared" si="130"/>
        <v>210000</v>
      </c>
      <c r="AX16" s="154">
        <f t="shared" si="131"/>
        <v>6237</v>
      </c>
      <c r="AY16" s="154">
        <f t="shared" si="132"/>
        <v>6237</v>
      </c>
      <c r="AZ16" s="154">
        <f t="shared" si="133"/>
        <v>88378.5</v>
      </c>
      <c r="BA16" s="154">
        <f t="shared" si="134"/>
        <v>88378.5</v>
      </c>
      <c r="BB16" s="157">
        <f t="shared" si="135"/>
        <v>121621.5</v>
      </c>
      <c r="BC16" s="154">
        <f t="shared" si="136"/>
        <v>0</v>
      </c>
      <c r="BD16" s="158">
        <f t="shared" si="137"/>
        <v>0</v>
      </c>
      <c r="BE16" s="156">
        <f t="shared" si="112"/>
        <v>0</v>
      </c>
      <c r="BF16" s="154">
        <f t="shared" si="139"/>
        <v>0</v>
      </c>
      <c r="BG16" s="154">
        <f t="shared" si="140"/>
        <v>0</v>
      </c>
      <c r="BH16" s="154">
        <f t="shared" si="141"/>
        <v>0</v>
      </c>
      <c r="BI16" s="154">
        <f t="shared" si="142"/>
        <v>210000</v>
      </c>
      <c r="BJ16" s="154">
        <f t="shared" si="143"/>
        <v>210000</v>
      </c>
      <c r="BK16" s="154">
        <f t="shared" si="144"/>
        <v>6237</v>
      </c>
      <c r="BL16" s="154">
        <f t="shared" si="145"/>
        <v>6237</v>
      </c>
      <c r="BM16" s="154">
        <f t="shared" si="146"/>
        <v>82141.5</v>
      </c>
      <c r="BN16" s="154">
        <f t="shared" si="147"/>
        <v>82141.5</v>
      </c>
      <c r="BO16" s="157">
        <f t="shared" si="148"/>
        <v>127858.5</v>
      </c>
      <c r="BP16" s="154">
        <f t="shared" si="149"/>
        <v>0</v>
      </c>
      <c r="BQ16" s="158">
        <f t="shared" si="150"/>
        <v>0</v>
      </c>
      <c r="BR16" s="156">
        <f t="shared" si="151"/>
        <v>0</v>
      </c>
      <c r="BS16" s="154">
        <f t="shared" si="152"/>
        <v>0</v>
      </c>
      <c r="BT16" s="154">
        <f t="shared" si="153"/>
        <v>0</v>
      </c>
      <c r="BU16" s="154">
        <f t="shared" si="154"/>
        <v>0</v>
      </c>
      <c r="BV16" s="154">
        <f t="shared" si="155"/>
        <v>210000</v>
      </c>
      <c r="BW16" s="154">
        <f t="shared" si="156"/>
        <v>210000</v>
      </c>
      <c r="BX16" s="154">
        <f t="shared" si="157"/>
        <v>6237</v>
      </c>
      <c r="BY16" s="154">
        <f t="shared" si="158"/>
        <v>6237</v>
      </c>
      <c r="BZ16" s="154">
        <f t="shared" si="159"/>
        <v>75904.5</v>
      </c>
      <c r="CA16" s="154">
        <f t="shared" si="160"/>
        <v>75904.5</v>
      </c>
      <c r="CB16" s="157">
        <f t="shared" si="161"/>
        <v>134095.5</v>
      </c>
      <c r="CC16" s="154">
        <f t="shared" si="162"/>
        <v>0</v>
      </c>
      <c r="CD16" s="158">
        <f t="shared" si="163"/>
        <v>0</v>
      </c>
      <c r="CE16" s="156">
        <f t="shared" si="151"/>
        <v>0</v>
      </c>
      <c r="CF16" s="154">
        <f t="shared" si="165"/>
        <v>0</v>
      </c>
      <c r="CG16" s="154">
        <f t="shared" si="166"/>
        <v>0</v>
      </c>
      <c r="CH16" s="154">
        <f t="shared" si="167"/>
        <v>0</v>
      </c>
      <c r="CI16" s="154">
        <f t="shared" si="168"/>
        <v>210000</v>
      </c>
      <c r="CJ16" s="154">
        <f t="shared" si="169"/>
        <v>210000</v>
      </c>
      <c r="CK16" s="154">
        <f t="shared" si="170"/>
        <v>6237</v>
      </c>
      <c r="CL16" s="154">
        <f t="shared" si="171"/>
        <v>6237</v>
      </c>
      <c r="CM16" s="154">
        <f t="shared" si="172"/>
        <v>69667.5</v>
      </c>
      <c r="CN16" s="154">
        <f t="shared" si="173"/>
        <v>69667.5</v>
      </c>
      <c r="CO16" s="157">
        <f t="shared" si="174"/>
        <v>140332.5</v>
      </c>
      <c r="CP16" s="154">
        <f t="shared" si="175"/>
        <v>0</v>
      </c>
      <c r="CQ16" s="158">
        <f t="shared" si="176"/>
        <v>0</v>
      </c>
      <c r="CR16" s="156">
        <f t="shared" si="151"/>
        <v>0</v>
      </c>
      <c r="CS16" s="154">
        <f t="shared" si="178"/>
        <v>0</v>
      </c>
      <c r="CT16" s="154">
        <f t="shared" si="179"/>
        <v>0</v>
      </c>
      <c r="CU16" s="154">
        <f t="shared" si="180"/>
        <v>0</v>
      </c>
      <c r="CV16" s="154">
        <f t="shared" si="181"/>
        <v>210000</v>
      </c>
      <c r="CW16" s="154">
        <f t="shared" si="182"/>
        <v>210000</v>
      </c>
      <c r="CX16" s="154">
        <f t="shared" si="183"/>
        <v>6237</v>
      </c>
      <c r="CY16" s="154">
        <f t="shared" si="184"/>
        <v>6237</v>
      </c>
      <c r="CZ16" s="154">
        <f t="shared" si="185"/>
        <v>63430.5</v>
      </c>
      <c r="DA16" s="154">
        <f t="shared" si="186"/>
        <v>63430.5</v>
      </c>
      <c r="DB16" s="157">
        <f t="shared" si="187"/>
        <v>146569.5</v>
      </c>
      <c r="DC16" s="154">
        <f t="shared" si="188"/>
        <v>0</v>
      </c>
      <c r="DD16" s="158">
        <f t="shared" si="189"/>
        <v>0</v>
      </c>
      <c r="DE16" s="156">
        <f t="shared" si="190"/>
        <v>0</v>
      </c>
      <c r="DF16" s="154">
        <f t="shared" si="191"/>
        <v>0</v>
      </c>
      <c r="DG16" s="154">
        <f t="shared" si="192"/>
        <v>0</v>
      </c>
      <c r="DH16" s="154">
        <f t="shared" si="193"/>
        <v>0</v>
      </c>
      <c r="DI16" s="154">
        <f t="shared" si="194"/>
        <v>210000</v>
      </c>
      <c r="DJ16" s="154">
        <f t="shared" si="195"/>
        <v>210000</v>
      </c>
      <c r="DK16" s="154">
        <f t="shared" si="196"/>
        <v>6237</v>
      </c>
      <c r="DL16" s="154">
        <f t="shared" si="197"/>
        <v>6237</v>
      </c>
      <c r="DM16" s="154">
        <f t="shared" si="198"/>
        <v>57193.5</v>
      </c>
      <c r="DN16" s="154">
        <f t="shared" si="199"/>
        <v>57193.5</v>
      </c>
      <c r="DO16" s="157">
        <f t="shared" si="200"/>
        <v>152806.5</v>
      </c>
      <c r="DP16" s="154">
        <f t="shared" si="201"/>
        <v>0</v>
      </c>
      <c r="DQ16" s="158">
        <f t="shared" si="202"/>
        <v>0</v>
      </c>
      <c r="DR16" s="156">
        <f t="shared" si="190"/>
        <v>0</v>
      </c>
      <c r="DS16" s="154">
        <f t="shared" si="204"/>
        <v>0</v>
      </c>
      <c r="DT16" s="154">
        <f t="shared" si="205"/>
        <v>0</v>
      </c>
      <c r="DU16" s="154">
        <f t="shared" si="206"/>
        <v>0</v>
      </c>
      <c r="DV16" s="154">
        <f t="shared" si="207"/>
        <v>210000</v>
      </c>
      <c r="DW16" s="154">
        <f t="shared" si="208"/>
        <v>210000</v>
      </c>
      <c r="DX16" s="154">
        <f t="shared" si="209"/>
        <v>6237</v>
      </c>
      <c r="DY16" s="154">
        <f t="shared" si="210"/>
        <v>6237</v>
      </c>
      <c r="DZ16" s="154">
        <f t="shared" si="211"/>
        <v>50956.5</v>
      </c>
      <c r="EA16" s="154">
        <f t="shared" si="212"/>
        <v>50956.5</v>
      </c>
      <c r="EB16" s="157">
        <f t="shared" si="213"/>
        <v>159043.5</v>
      </c>
      <c r="EC16" s="154">
        <f t="shared" si="214"/>
        <v>0</v>
      </c>
      <c r="ED16" s="158">
        <f t="shared" si="215"/>
        <v>0</v>
      </c>
    </row>
    <row r="17" spans="1:134" x14ac:dyDescent="0.35">
      <c r="A17" s="183">
        <v>1995</v>
      </c>
      <c r="B17" s="173" t="s">
        <v>553</v>
      </c>
      <c r="C17" s="174"/>
      <c r="D17" s="175" t="s">
        <v>100</v>
      </c>
      <c r="E17" s="176">
        <v>250000</v>
      </c>
      <c r="F17" s="177">
        <v>35186</v>
      </c>
      <c r="G17" s="178">
        <v>33.700000000000003</v>
      </c>
      <c r="H17" s="179"/>
      <c r="I17" s="180"/>
      <c r="J17" s="181"/>
      <c r="K17" s="152">
        <f t="shared" si="216"/>
        <v>2.9700000000000001E-2</v>
      </c>
      <c r="L17" s="153">
        <f t="shared" si="217"/>
        <v>7425</v>
      </c>
      <c r="M17" s="154">
        <f t="shared" si="218"/>
        <v>133675</v>
      </c>
      <c r="N17" s="154"/>
      <c r="O17" s="154">
        <f t="shared" si="219"/>
        <v>116325</v>
      </c>
      <c r="P17" s="155"/>
      <c r="Q17" s="154">
        <f t="shared" si="220"/>
        <v>250000</v>
      </c>
      <c r="R17" s="156">
        <f t="shared" si="221"/>
        <v>0</v>
      </c>
      <c r="S17" s="154">
        <f t="shared" si="222"/>
        <v>0</v>
      </c>
      <c r="T17" s="154">
        <f t="shared" si="223"/>
        <v>0</v>
      </c>
      <c r="U17" s="154">
        <f t="shared" si="224"/>
        <v>0</v>
      </c>
      <c r="V17" s="154">
        <f t="shared" si="225"/>
        <v>250000</v>
      </c>
      <c r="W17" s="154">
        <f t="shared" si="226"/>
        <v>250000</v>
      </c>
      <c r="X17" s="154">
        <f t="shared" si="227"/>
        <v>7425</v>
      </c>
      <c r="Y17" s="154">
        <f t="shared" si="228"/>
        <v>7425</v>
      </c>
      <c r="Z17" s="154">
        <f t="shared" si="229"/>
        <v>126250</v>
      </c>
      <c r="AA17" s="154">
        <f t="shared" si="230"/>
        <v>126250</v>
      </c>
      <c r="AB17" s="157">
        <f t="shared" si="231"/>
        <v>123750</v>
      </c>
      <c r="AC17" s="154">
        <f t="shared" si="232"/>
        <v>0</v>
      </c>
      <c r="AD17" s="158">
        <f t="shared" si="233"/>
        <v>0</v>
      </c>
      <c r="AE17" s="156">
        <f t="shared" si="112"/>
        <v>0</v>
      </c>
      <c r="AF17" s="154">
        <f t="shared" si="113"/>
        <v>0</v>
      </c>
      <c r="AG17" s="154">
        <f t="shared" si="114"/>
        <v>0</v>
      </c>
      <c r="AH17" s="154">
        <f t="shared" si="115"/>
        <v>0</v>
      </c>
      <c r="AI17" s="154">
        <f t="shared" si="116"/>
        <v>250000</v>
      </c>
      <c r="AJ17" s="154">
        <f t="shared" si="117"/>
        <v>250000</v>
      </c>
      <c r="AK17" s="154">
        <f t="shared" si="118"/>
        <v>7425</v>
      </c>
      <c r="AL17" s="154">
        <f t="shared" si="119"/>
        <v>7425</v>
      </c>
      <c r="AM17" s="154">
        <f t="shared" si="120"/>
        <v>118825</v>
      </c>
      <c r="AN17" s="154">
        <f t="shared" si="121"/>
        <v>118825</v>
      </c>
      <c r="AO17" s="157">
        <f t="shared" si="122"/>
        <v>131175</v>
      </c>
      <c r="AP17" s="154">
        <f t="shared" si="123"/>
        <v>0</v>
      </c>
      <c r="AQ17" s="158">
        <f t="shared" si="124"/>
        <v>0</v>
      </c>
      <c r="AR17" s="156">
        <f t="shared" si="112"/>
        <v>0</v>
      </c>
      <c r="AS17" s="154">
        <f t="shared" si="126"/>
        <v>0</v>
      </c>
      <c r="AT17" s="154">
        <f t="shared" si="127"/>
        <v>0</v>
      </c>
      <c r="AU17" s="154">
        <f t="shared" si="128"/>
        <v>0</v>
      </c>
      <c r="AV17" s="154">
        <f t="shared" si="129"/>
        <v>250000</v>
      </c>
      <c r="AW17" s="154">
        <f t="shared" si="130"/>
        <v>250000</v>
      </c>
      <c r="AX17" s="154">
        <f t="shared" si="131"/>
        <v>7425</v>
      </c>
      <c r="AY17" s="154">
        <f t="shared" si="132"/>
        <v>7425</v>
      </c>
      <c r="AZ17" s="154">
        <f t="shared" si="133"/>
        <v>111400</v>
      </c>
      <c r="BA17" s="154">
        <f t="shared" si="134"/>
        <v>111400</v>
      </c>
      <c r="BB17" s="157">
        <f t="shared" si="135"/>
        <v>138600</v>
      </c>
      <c r="BC17" s="154">
        <f t="shared" si="136"/>
        <v>0</v>
      </c>
      <c r="BD17" s="158">
        <f t="shared" si="137"/>
        <v>0</v>
      </c>
      <c r="BE17" s="156">
        <f t="shared" si="112"/>
        <v>0</v>
      </c>
      <c r="BF17" s="154">
        <f t="shared" si="139"/>
        <v>0</v>
      </c>
      <c r="BG17" s="154">
        <f t="shared" si="140"/>
        <v>0</v>
      </c>
      <c r="BH17" s="154">
        <f t="shared" si="141"/>
        <v>0</v>
      </c>
      <c r="BI17" s="154">
        <f t="shared" si="142"/>
        <v>250000</v>
      </c>
      <c r="BJ17" s="154">
        <f t="shared" si="143"/>
        <v>250000</v>
      </c>
      <c r="BK17" s="154">
        <f t="shared" si="144"/>
        <v>7425</v>
      </c>
      <c r="BL17" s="154">
        <f t="shared" si="145"/>
        <v>7425</v>
      </c>
      <c r="BM17" s="154">
        <f t="shared" si="146"/>
        <v>103975</v>
      </c>
      <c r="BN17" s="154">
        <f t="shared" si="147"/>
        <v>103975</v>
      </c>
      <c r="BO17" s="157">
        <f t="shared" si="148"/>
        <v>146025</v>
      </c>
      <c r="BP17" s="154">
        <f t="shared" si="149"/>
        <v>0</v>
      </c>
      <c r="BQ17" s="158">
        <f t="shared" si="150"/>
        <v>0</v>
      </c>
      <c r="BR17" s="156">
        <f t="shared" si="151"/>
        <v>0</v>
      </c>
      <c r="BS17" s="154">
        <f t="shared" si="152"/>
        <v>0</v>
      </c>
      <c r="BT17" s="154">
        <f t="shared" si="153"/>
        <v>0</v>
      </c>
      <c r="BU17" s="154">
        <f t="shared" si="154"/>
        <v>0</v>
      </c>
      <c r="BV17" s="154">
        <f t="shared" si="155"/>
        <v>250000</v>
      </c>
      <c r="BW17" s="154">
        <f t="shared" si="156"/>
        <v>250000</v>
      </c>
      <c r="BX17" s="154">
        <f t="shared" si="157"/>
        <v>7425</v>
      </c>
      <c r="BY17" s="154">
        <f t="shared" si="158"/>
        <v>7425</v>
      </c>
      <c r="BZ17" s="154">
        <f t="shared" si="159"/>
        <v>96550</v>
      </c>
      <c r="CA17" s="154">
        <f t="shared" si="160"/>
        <v>96550</v>
      </c>
      <c r="CB17" s="157">
        <f t="shared" si="161"/>
        <v>153450</v>
      </c>
      <c r="CC17" s="154">
        <f t="shared" si="162"/>
        <v>0</v>
      </c>
      <c r="CD17" s="158">
        <f t="shared" si="163"/>
        <v>0</v>
      </c>
      <c r="CE17" s="156">
        <f t="shared" si="151"/>
        <v>0</v>
      </c>
      <c r="CF17" s="154">
        <f t="shared" si="165"/>
        <v>0</v>
      </c>
      <c r="CG17" s="154">
        <f t="shared" si="166"/>
        <v>0</v>
      </c>
      <c r="CH17" s="154">
        <f t="shared" si="167"/>
        <v>0</v>
      </c>
      <c r="CI17" s="154">
        <f t="shared" si="168"/>
        <v>250000</v>
      </c>
      <c r="CJ17" s="154">
        <f t="shared" si="169"/>
        <v>250000</v>
      </c>
      <c r="CK17" s="154">
        <f t="shared" si="170"/>
        <v>7425</v>
      </c>
      <c r="CL17" s="154">
        <f t="shared" si="171"/>
        <v>7425</v>
      </c>
      <c r="CM17" s="154">
        <f t="shared" si="172"/>
        <v>89125</v>
      </c>
      <c r="CN17" s="154">
        <f t="shared" si="173"/>
        <v>89125</v>
      </c>
      <c r="CO17" s="157">
        <f t="shared" si="174"/>
        <v>160875</v>
      </c>
      <c r="CP17" s="154">
        <f t="shared" si="175"/>
        <v>0</v>
      </c>
      <c r="CQ17" s="158">
        <f t="shared" si="176"/>
        <v>0</v>
      </c>
      <c r="CR17" s="156">
        <f t="shared" si="151"/>
        <v>0</v>
      </c>
      <c r="CS17" s="154">
        <f t="shared" si="178"/>
        <v>0</v>
      </c>
      <c r="CT17" s="154">
        <f t="shared" si="179"/>
        <v>0</v>
      </c>
      <c r="CU17" s="154">
        <f t="shared" si="180"/>
        <v>0</v>
      </c>
      <c r="CV17" s="154">
        <f t="shared" si="181"/>
        <v>250000</v>
      </c>
      <c r="CW17" s="154">
        <f t="shared" si="182"/>
        <v>250000</v>
      </c>
      <c r="CX17" s="154">
        <f t="shared" si="183"/>
        <v>7425</v>
      </c>
      <c r="CY17" s="154">
        <f t="shared" si="184"/>
        <v>7425</v>
      </c>
      <c r="CZ17" s="154">
        <f t="shared" si="185"/>
        <v>81700</v>
      </c>
      <c r="DA17" s="154">
        <f t="shared" si="186"/>
        <v>81700</v>
      </c>
      <c r="DB17" s="157">
        <f t="shared" si="187"/>
        <v>168300</v>
      </c>
      <c r="DC17" s="154">
        <f t="shared" si="188"/>
        <v>0</v>
      </c>
      <c r="DD17" s="158">
        <f t="shared" si="189"/>
        <v>0</v>
      </c>
      <c r="DE17" s="156">
        <f t="shared" si="190"/>
        <v>0</v>
      </c>
      <c r="DF17" s="154">
        <f t="shared" si="191"/>
        <v>0</v>
      </c>
      <c r="DG17" s="154">
        <f t="shared" si="192"/>
        <v>0</v>
      </c>
      <c r="DH17" s="154">
        <f t="shared" si="193"/>
        <v>0</v>
      </c>
      <c r="DI17" s="154">
        <f t="shared" si="194"/>
        <v>250000</v>
      </c>
      <c r="DJ17" s="154">
        <f t="shared" si="195"/>
        <v>250000</v>
      </c>
      <c r="DK17" s="154">
        <f t="shared" si="196"/>
        <v>7425</v>
      </c>
      <c r="DL17" s="154">
        <f t="shared" si="197"/>
        <v>7425</v>
      </c>
      <c r="DM17" s="154">
        <f t="shared" si="198"/>
        <v>74275</v>
      </c>
      <c r="DN17" s="154">
        <f t="shared" si="199"/>
        <v>74275</v>
      </c>
      <c r="DO17" s="157">
        <f t="shared" si="200"/>
        <v>175725</v>
      </c>
      <c r="DP17" s="154">
        <f t="shared" si="201"/>
        <v>0</v>
      </c>
      <c r="DQ17" s="158">
        <f t="shared" si="202"/>
        <v>0</v>
      </c>
      <c r="DR17" s="156">
        <f t="shared" si="190"/>
        <v>0</v>
      </c>
      <c r="DS17" s="154">
        <f t="shared" si="204"/>
        <v>0</v>
      </c>
      <c r="DT17" s="154">
        <f t="shared" si="205"/>
        <v>0</v>
      </c>
      <c r="DU17" s="154">
        <f t="shared" si="206"/>
        <v>0</v>
      </c>
      <c r="DV17" s="154">
        <f t="shared" si="207"/>
        <v>250000</v>
      </c>
      <c r="DW17" s="154">
        <f t="shared" si="208"/>
        <v>250000</v>
      </c>
      <c r="DX17" s="154">
        <f t="shared" si="209"/>
        <v>7425</v>
      </c>
      <c r="DY17" s="154">
        <f t="shared" si="210"/>
        <v>7425</v>
      </c>
      <c r="DZ17" s="154">
        <f t="shared" si="211"/>
        <v>66850</v>
      </c>
      <c r="EA17" s="154">
        <f t="shared" si="212"/>
        <v>66850</v>
      </c>
      <c r="EB17" s="157">
        <f t="shared" si="213"/>
        <v>183150</v>
      </c>
      <c r="EC17" s="154">
        <f t="shared" si="214"/>
        <v>0</v>
      </c>
      <c r="ED17" s="158">
        <f t="shared" si="215"/>
        <v>0</v>
      </c>
    </row>
    <row r="18" spans="1:134" x14ac:dyDescent="0.35">
      <c r="A18" s="183">
        <v>1996</v>
      </c>
      <c r="B18" s="173" t="s">
        <v>553</v>
      </c>
      <c r="C18" s="174"/>
      <c r="D18" s="175" t="s">
        <v>100</v>
      </c>
      <c r="E18" s="176">
        <v>300000</v>
      </c>
      <c r="F18" s="177">
        <v>35490</v>
      </c>
      <c r="G18" s="178">
        <v>33.700000000000003</v>
      </c>
      <c r="H18" s="179"/>
      <c r="I18" s="180"/>
      <c r="J18" s="181"/>
      <c r="K18" s="152">
        <f t="shared" si="216"/>
        <v>2.9700000000000001E-2</v>
      </c>
      <c r="L18" s="153">
        <f t="shared" si="217"/>
        <v>8910</v>
      </c>
      <c r="M18" s="154">
        <f t="shared" si="218"/>
        <v>167835</v>
      </c>
      <c r="N18" s="154"/>
      <c r="O18" s="154">
        <f t="shared" si="219"/>
        <v>132165</v>
      </c>
      <c r="P18" s="155"/>
      <c r="Q18" s="154">
        <f t="shared" si="220"/>
        <v>300000</v>
      </c>
      <c r="R18" s="156">
        <f t="shared" si="221"/>
        <v>0</v>
      </c>
      <c r="S18" s="154">
        <f t="shared" si="222"/>
        <v>0</v>
      </c>
      <c r="T18" s="154">
        <f t="shared" si="223"/>
        <v>0</v>
      </c>
      <c r="U18" s="154">
        <f t="shared" si="224"/>
        <v>0</v>
      </c>
      <c r="V18" s="154">
        <f t="shared" si="225"/>
        <v>300000</v>
      </c>
      <c r="W18" s="154">
        <f t="shared" si="226"/>
        <v>300000</v>
      </c>
      <c r="X18" s="154">
        <f t="shared" si="227"/>
        <v>8910</v>
      </c>
      <c r="Y18" s="154">
        <f t="shared" si="228"/>
        <v>8910</v>
      </c>
      <c r="Z18" s="154">
        <f t="shared" si="229"/>
        <v>158925</v>
      </c>
      <c r="AA18" s="154">
        <f t="shared" si="230"/>
        <v>158925</v>
      </c>
      <c r="AB18" s="157">
        <f t="shared" si="231"/>
        <v>141075</v>
      </c>
      <c r="AC18" s="154">
        <f t="shared" si="232"/>
        <v>0</v>
      </c>
      <c r="AD18" s="158">
        <f t="shared" si="233"/>
        <v>0</v>
      </c>
      <c r="AE18" s="156">
        <f t="shared" si="112"/>
        <v>0</v>
      </c>
      <c r="AF18" s="154">
        <f t="shared" si="113"/>
        <v>0</v>
      </c>
      <c r="AG18" s="154">
        <f t="shared" si="114"/>
        <v>0</v>
      </c>
      <c r="AH18" s="154">
        <f t="shared" si="115"/>
        <v>0</v>
      </c>
      <c r="AI18" s="154">
        <f t="shared" si="116"/>
        <v>300000</v>
      </c>
      <c r="AJ18" s="154">
        <f t="shared" si="117"/>
        <v>300000</v>
      </c>
      <c r="AK18" s="154">
        <f t="shared" si="118"/>
        <v>8910</v>
      </c>
      <c r="AL18" s="154">
        <f t="shared" si="119"/>
        <v>8910</v>
      </c>
      <c r="AM18" s="154">
        <f t="shared" si="120"/>
        <v>150015</v>
      </c>
      <c r="AN18" s="154">
        <f t="shared" si="121"/>
        <v>150015</v>
      </c>
      <c r="AO18" s="157">
        <f t="shared" si="122"/>
        <v>149985</v>
      </c>
      <c r="AP18" s="154">
        <f t="shared" si="123"/>
        <v>0</v>
      </c>
      <c r="AQ18" s="158">
        <f t="shared" si="124"/>
        <v>0</v>
      </c>
      <c r="AR18" s="156">
        <f t="shared" si="112"/>
        <v>0</v>
      </c>
      <c r="AS18" s="154">
        <f t="shared" si="126"/>
        <v>0</v>
      </c>
      <c r="AT18" s="154">
        <f t="shared" si="127"/>
        <v>0</v>
      </c>
      <c r="AU18" s="154">
        <f t="shared" si="128"/>
        <v>0</v>
      </c>
      <c r="AV18" s="154">
        <f t="shared" si="129"/>
        <v>300000</v>
      </c>
      <c r="AW18" s="154">
        <f t="shared" si="130"/>
        <v>300000</v>
      </c>
      <c r="AX18" s="154">
        <f t="shared" si="131"/>
        <v>8910</v>
      </c>
      <c r="AY18" s="154">
        <f t="shared" si="132"/>
        <v>8910</v>
      </c>
      <c r="AZ18" s="154">
        <f t="shared" si="133"/>
        <v>141105</v>
      </c>
      <c r="BA18" s="154">
        <f t="shared" si="134"/>
        <v>141105</v>
      </c>
      <c r="BB18" s="157">
        <f t="shared" si="135"/>
        <v>158895</v>
      </c>
      <c r="BC18" s="154">
        <f t="shared" si="136"/>
        <v>0</v>
      </c>
      <c r="BD18" s="158">
        <f t="shared" si="137"/>
        <v>0</v>
      </c>
      <c r="BE18" s="156">
        <f t="shared" si="112"/>
        <v>0</v>
      </c>
      <c r="BF18" s="154">
        <f t="shared" si="139"/>
        <v>0</v>
      </c>
      <c r="BG18" s="154">
        <f t="shared" si="140"/>
        <v>0</v>
      </c>
      <c r="BH18" s="154">
        <f t="shared" si="141"/>
        <v>0</v>
      </c>
      <c r="BI18" s="154">
        <f t="shared" si="142"/>
        <v>300000</v>
      </c>
      <c r="BJ18" s="154">
        <f t="shared" si="143"/>
        <v>300000</v>
      </c>
      <c r="BK18" s="154">
        <f t="shared" si="144"/>
        <v>8910</v>
      </c>
      <c r="BL18" s="154">
        <f t="shared" si="145"/>
        <v>8910</v>
      </c>
      <c r="BM18" s="154">
        <f t="shared" si="146"/>
        <v>132195</v>
      </c>
      <c r="BN18" s="154">
        <f t="shared" si="147"/>
        <v>132195</v>
      </c>
      <c r="BO18" s="157">
        <f t="shared" si="148"/>
        <v>167805</v>
      </c>
      <c r="BP18" s="154">
        <f t="shared" si="149"/>
        <v>0</v>
      </c>
      <c r="BQ18" s="158">
        <f t="shared" si="150"/>
        <v>0</v>
      </c>
      <c r="BR18" s="156">
        <f t="shared" si="151"/>
        <v>0</v>
      </c>
      <c r="BS18" s="154">
        <f t="shared" si="152"/>
        <v>0</v>
      </c>
      <c r="BT18" s="154">
        <f t="shared" si="153"/>
        <v>0</v>
      </c>
      <c r="BU18" s="154">
        <f t="shared" si="154"/>
        <v>0</v>
      </c>
      <c r="BV18" s="154">
        <f t="shared" si="155"/>
        <v>300000</v>
      </c>
      <c r="BW18" s="154">
        <f t="shared" si="156"/>
        <v>300000</v>
      </c>
      <c r="BX18" s="154">
        <f t="shared" si="157"/>
        <v>8910</v>
      </c>
      <c r="BY18" s="154">
        <f t="shared" si="158"/>
        <v>8910</v>
      </c>
      <c r="BZ18" s="154">
        <f t="shared" si="159"/>
        <v>123285</v>
      </c>
      <c r="CA18" s="154">
        <f t="shared" si="160"/>
        <v>123285</v>
      </c>
      <c r="CB18" s="157">
        <f t="shared" si="161"/>
        <v>176715</v>
      </c>
      <c r="CC18" s="154">
        <f t="shared" si="162"/>
        <v>0</v>
      </c>
      <c r="CD18" s="158">
        <f t="shared" si="163"/>
        <v>0</v>
      </c>
      <c r="CE18" s="156">
        <f t="shared" si="151"/>
        <v>0</v>
      </c>
      <c r="CF18" s="154">
        <f t="shared" si="165"/>
        <v>0</v>
      </c>
      <c r="CG18" s="154">
        <f t="shared" si="166"/>
        <v>0</v>
      </c>
      <c r="CH18" s="154">
        <f t="shared" si="167"/>
        <v>0</v>
      </c>
      <c r="CI18" s="154">
        <f t="shared" si="168"/>
        <v>300000</v>
      </c>
      <c r="CJ18" s="154">
        <f t="shared" si="169"/>
        <v>300000</v>
      </c>
      <c r="CK18" s="154">
        <f t="shared" si="170"/>
        <v>8910</v>
      </c>
      <c r="CL18" s="154">
        <f t="shared" si="171"/>
        <v>8910</v>
      </c>
      <c r="CM18" s="154">
        <f t="shared" si="172"/>
        <v>114375</v>
      </c>
      <c r="CN18" s="154">
        <f t="shared" si="173"/>
        <v>114375</v>
      </c>
      <c r="CO18" s="157">
        <f t="shared" si="174"/>
        <v>185625</v>
      </c>
      <c r="CP18" s="154">
        <f t="shared" si="175"/>
        <v>0</v>
      </c>
      <c r="CQ18" s="158">
        <f t="shared" si="176"/>
        <v>0</v>
      </c>
      <c r="CR18" s="156">
        <f t="shared" si="151"/>
        <v>0</v>
      </c>
      <c r="CS18" s="154">
        <f t="shared" si="178"/>
        <v>0</v>
      </c>
      <c r="CT18" s="154">
        <f t="shared" si="179"/>
        <v>0</v>
      </c>
      <c r="CU18" s="154">
        <f t="shared" si="180"/>
        <v>0</v>
      </c>
      <c r="CV18" s="154">
        <f t="shared" si="181"/>
        <v>300000</v>
      </c>
      <c r="CW18" s="154">
        <f t="shared" si="182"/>
        <v>300000</v>
      </c>
      <c r="CX18" s="154">
        <f t="shared" si="183"/>
        <v>8910</v>
      </c>
      <c r="CY18" s="154">
        <f t="shared" si="184"/>
        <v>8910</v>
      </c>
      <c r="CZ18" s="154">
        <f t="shared" si="185"/>
        <v>105465</v>
      </c>
      <c r="DA18" s="154">
        <f t="shared" si="186"/>
        <v>105465</v>
      </c>
      <c r="DB18" s="157">
        <f t="shared" si="187"/>
        <v>194535</v>
      </c>
      <c r="DC18" s="154">
        <f t="shared" si="188"/>
        <v>0</v>
      </c>
      <c r="DD18" s="158">
        <f t="shared" si="189"/>
        <v>0</v>
      </c>
      <c r="DE18" s="156">
        <f t="shared" si="190"/>
        <v>0</v>
      </c>
      <c r="DF18" s="154">
        <f t="shared" si="191"/>
        <v>0</v>
      </c>
      <c r="DG18" s="154">
        <f t="shared" si="192"/>
        <v>0</v>
      </c>
      <c r="DH18" s="154">
        <f t="shared" si="193"/>
        <v>0</v>
      </c>
      <c r="DI18" s="154">
        <f t="shared" si="194"/>
        <v>300000</v>
      </c>
      <c r="DJ18" s="154">
        <f t="shared" si="195"/>
        <v>300000</v>
      </c>
      <c r="DK18" s="154">
        <f t="shared" si="196"/>
        <v>8910</v>
      </c>
      <c r="DL18" s="154">
        <f t="shared" si="197"/>
        <v>8910</v>
      </c>
      <c r="DM18" s="154">
        <f t="shared" si="198"/>
        <v>96555</v>
      </c>
      <c r="DN18" s="154">
        <f t="shared" si="199"/>
        <v>96555</v>
      </c>
      <c r="DO18" s="157">
        <f t="shared" si="200"/>
        <v>203445</v>
      </c>
      <c r="DP18" s="154">
        <f t="shared" si="201"/>
        <v>0</v>
      </c>
      <c r="DQ18" s="158">
        <f t="shared" si="202"/>
        <v>0</v>
      </c>
      <c r="DR18" s="156">
        <f t="shared" si="190"/>
        <v>0</v>
      </c>
      <c r="DS18" s="154">
        <f t="shared" si="204"/>
        <v>0</v>
      </c>
      <c r="DT18" s="154">
        <f t="shared" si="205"/>
        <v>0</v>
      </c>
      <c r="DU18" s="154">
        <f t="shared" si="206"/>
        <v>0</v>
      </c>
      <c r="DV18" s="154">
        <f t="shared" si="207"/>
        <v>300000</v>
      </c>
      <c r="DW18" s="154">
        <f t="shared" si="208"/>
        <v>300000</v>
      </c>
      <c r="DX18" s="154">
        <f t="shared" si="209"/>
        <v>8910</v>
      </c>
      <c r="DY18" s="154">
        <f t="shared" si="210"/>
        <v>8910</v>
      </c>
      <c r="DZ18" s="154">
        <f t="shared" si="211"/>
        <v>87645</v>
      </c>
      <c r="EA18" s="154">
        <f t="shared" si="212"/>
        <v>87645</v>
      </c>
      <c r="EB18" s="157">
        <f t="shared" si="213"/>
        <v>212355</v>
      </c>
      <c r="EC18" s="154">
        <f t="shared" si="214"/>
        <v>0</v>
      </c>
      <c r="ED18" s="158">
        <f t="shared" si="215"/>
        <v>0</v>
      </c>
    </row>
    <row r="19" spans="1:134" x14ac:dyDescent="0.35">
      <c r="A19" s="183">
        <v>1997</v>
      </c>
      <c r="B19" s="173" t="s">
        <v>553</v>
      </c>
      <c r="C19" s="174"/>
      <c r="D19" s="175" t="s">
        <v>100</v>
      </c>
      <c r="E19" s="176">
        <v>140000</v>
      </c>
      <c r="F19" s="177">
        <v>35796</v>
      </c>
      <c r="G19" s="178">
        <v>33.700000000000003</v>
      </c>
      <c r="H19" s="179"/>
      <c r="I19" s="180"/>
      <c r="J19" s="181"/>
      <c r="K19" s="152">
        <f t="shared" si="216"/>
        <v>2.9700000000000001E-2</v>
      </c>
      <c r="L19" s="153">
        <f t="shared" si="217"/>
        <v>4158</v>
      </c>
      <c r="M19" s="154">
        <f t="shared" si="218"/>
        <v>81788</v>
      </c>
      <c r="N19" s="154"/>
      <c r="O19" s="154">
        <f t="shared" si="219"/>
        <v>58212</v>
      </c>
      <c r="P19" s="155"/>
      <c r="Q19" s="154">
        <f t="shared" si="220"/>
        <v>140000</v>
      </c>
      <c r="R19" s="156">
        <f t="shared" si="221"/>
        <v>0</v>
      </c>
      <c r="S19" s="154">
        <f t="shared" si="222"/>
        <v>0</v>
      </c>
      <c r="T19" s="154">
        <f t="shared" si="223"/>
        <v>0</v>
      </c>
      <c r="U19" s="154">
        <f t="shared" si="224"/>
        <v>0</v>
      </c>
      <c r="V19" s="154">
        <f t="shared" si="225"/>
        <v>140000</v>
      </c>
      <c r="W19" s="154">
        <f t="shared" si="226"/>
        <v>140000</v>
      </c>
      <c r="X19" s="154">
        <f t="shared" si="227"/>
        <v>4158</v>
      </c>
      <c r="Y19" s="154">
        <f t="shared" si="228"/>
        <v>4158</v>
      </c>
      <c r="Z19" s="154">
        <f t="shared" si="229"/>
        <v>77630</v>
      </c>
      <c r="AA19" s="154">
        <f t="shared" si="230"/>
        <v>77630</v>
      </c>
      <c r="AB19" s="157">
        <f t="shared" si="231"/>
        <v>62370</v>
      </c>
      <c r="AC19" s="154">
        <f t="shared" si="232"/>
        <v>0</v>
      </c>
      <c r="AD19" s="158">
        <f t="shared" si="233"/>
        <v>0</v>
      </c>
      <c r="AE19" s="156">
        <f t="shared" si="112"/>
        <v>0</v>
      </c>
      <c r="AF19" s="154">
        <f t="shared" si="113"/>
        <v>0</v>
      </c>
      <c r="AG19" s="154">
        <f t="shared" si="114"/>
        <v>0</v>
      </c>
      <c r="AH19" s="154">
        <f t="shared" si="115"/>
        <v>0</v>
      </c>
      <c r="AI19" s="154">
        <f t="shared" si="116"/>
        <v>140000</v>
      </c>
      <c r="AJ19" s="154">
        <f t="shared" si="117"/>
        <v>140000</v>
      </c>
      <c r="AK19" s="154">
        <f t="shared" si="118"/>
        <v>4158</v>
      </c>
      <c r="AL19" s="154">
        <f t="shared" si="119"/>
        <v>4158</v>
      </c>
      <c r="AM19" s="154">
        <f t="shared" si="120"/>
        <v>73472</v>
      </c>
      <c r="AN19" s="154">
        <f t="shared" si="121"/>
        <v>73472</v>
      </c>
      <c r="AO19" s="157">
        <f t="shared" si="122"/>
        <v>66528</v>
      </c>
      <c r="AP19" s="154">
        <f t="shared" si="123"/>
        <v>0</v>
      </c>
      <c r="AQ19" s="158">
        <f t="shared" si="124"/>
        <v>0</v>
      </c>
      <c r="AR19" s="156">
        <f t="shared" si="112"/>
        <v>0</v>
      </c>
      <c r="AS19" s="154">
        <f t="shared" si="126"/>
        <v>0</v>
      </c>
      <c r="AT19" s="154">
        <f t="shared" si="127"/>
        <v>0</v>
      </c>
      <c r="AU19" s="154">
        <f t="shared" si="128"/>
        <v>0</v>
      </c>
      <c r="AV19" s="154">
        <f t="shared" si="129"/>
        <v>140000</v>
      </c>
      <c r="AW19" s="154">
        <f t="shared" si="130"/>
        <v>140000</v>
      </c>
      <c r="AX19" s="154">
        <f t="shared" si="131"/>
        <v>4158</v>
      </c>
      <c r="AY19" s="154">
        <f t="shared" si="132"/>
        <v>4158</v>
      </c>
      <c r="AZ19" s="154">
        <f t="shared" si="133"/>
        <v>69314</v>
      </c>
      <c r="BA19" s="154">
        <f t="shared" si="134"/>
        <v>69314</v>
      </c>
      <c r="BB19" s="157">
        <f t="shared" si="135"/>
        <v>70686</v>
      </c>
      <c r="BC19" s="154">
        <f t="shared" si="136"/>
        <v>0</v>
      </c>
      <c r="BD19" s="158">
        <f t="shared" si="137"/>
        <v>0</v>
      </c>
      <c r="BE19" s="156">
        <f t="shared" si="112"/>
        <v>0</v>
      </c>
      <c r="BF19" s="154">
        <f t="shared" si="139"/>
        <v>0</v>
      </c>
      <c r="BG19" s="154">
        <f t="shared" si="140"/>
        <v>0</v>
      </c>
      <c r="BH19" s="154">
        <f t="shared" si="141"/>
        <v>0</v>
      </c>
      <c r="BI19" s="154">
        <f t="shared" si="142"/>
        <v>140000</v>
      </c>
      <c r="BJ19" s="154">
        <f t="shared" si="143"/>
        <v>140000</v>
      </c>
      <c r="BK19" s="154">
        <f t="shared" si="144"/>
        <v>4158</v>
      </c>
      <c r="BL19" s="154">
        <f t="shared" si="145"/>
        <v>4158</v>
      </c>
      <c r="BM19" s="154">
        <f t="shared" si="146"/>
        <v>65156</v>
      </c>
      <c r="BN19" s="154">
        <f t="shared" si="147"/>
        <v>65156</v>
      </c>
      <c r="BO19" s="157">
        <f t="shared" si="148"/>
        <v>74844</v>
      </c>
      <c r="BP19" s="154">
        <f t="shared" si="149"/>
        <v>0</v>
      </c>
      <c r="BQ19" s="158">
        <f t="shared" si="150"/>
        <v>0</v>
      </c>
      <c r="BR19" s="156">
        <f t="shared" si="151"/>
        <v>0</v>
      </c>
      <c r="BS19" s="154">
        <f t="shared" si="152"/>
        <v>0</v>
      </c>
      <c r="BT19" s="154">
        <f t="shared" si="153"/>
        <v>0</v>
      </c>
      <c r="BU19" s="154">
        <f t="shared" si="154"/>
        <v>0</v>
      </c>
      <c r="BV19" s="154">
        <f t="shared" si="155"/>
        <v>140000</v>
      </c>
      <c r="BW19" s="154">
        <f t="shared" si="156"/>
        <v>140000</v>
      </c>
      <c r="BX19" s="154">
        <f t="shared" si="157"/>
        <v>4158</v>
      </c>
      <c r="BY19" s="154">
        <f t="shared" si="158"/>
        <v>4158</v>
      </c>
      <c r="BZ19" s="154">
        <f t="shared" si="159"/>
        <v>60998</v>
      </c>
      <c r="CA19" s="154">
        <f t="shared" si="160"/>
        <v>60998</v>
      </c>
      <c r="CB19" s="157">
        <f t="shared" si="161"/>
        <v>79002</v>
      </c>
      <c r="CC19" s="154">
        <f t="shared" si="162"/>
        <v>0</v>
      </c>
      <c r="CD19" s="158">
        <f t="shared" si="163"/>
        <v>0</v>
      </c>
      <c r="CE19" s="156">
        <f t="shared" si="151"/>
        <v>0</v>
      </c>
      <c r="CF19" s="154">
        <f t="shared" si="165"/>
        <v>0</v>
      </c>
      <c r="CG19" s="154">
        <f t="shared" si="166"/>
        <v>0</v>
      </c>
      <c r="CH19" s="154">
        <f t="shared" si="167"/>
        <v>0</v>
      </c>
      <c r="CI19" s="154">
        <f t="shared" si="168"/>
        <v>140000</v>
      </c>
      <c r="CJ19" s="154">
        <f t="shared" si="169"/>
        <v>140000</v>
      </c>
      <c r="CK19" s="154">
        <f t="shared" si="170"/>
        <v>4158</v>
      </c>
      <c r="CL19" s="154">
        <f t="shared" si="171"/>
        <v>4158</v>
      </c>
      <c r="CM19" s="154">
        <f t="shared" si="172"/>
        <v>56840</v>
      </c>
      <c r="CN19" s="154">
        <f t="shared" si="173"/>
        <v>56840</v>
      </c>
      <c r="CO19" s="157">
        <f t="shared" si="174"/>
        <v>83160</v>
      </c>
      <c r="CP19" s="154">
        <f t="shared" si="175"/>
        <v>0</v>
      </c>
      <c r="CQ19" s="158">
        <f t="shared" si="176"/>
        <v>0</v>
      </c>
      <c r="CR19" s="156">
        <f t="shared" si="151"/>
        <v>0</v>
      </c>
      <c r="CS19" s="154">
        <f t="shared" si="178"/>
        <v>0</v>
      </c>
      <c r="CT19" s="154">
        <f t="shared" si="179"/>
        <v>0</v>
      </c>
      <c r="CU19" s="154">
        <f t="shared" si="180"/>
        <v>0</v>
      </c>
      <c r="CV19" s="154">
        <f t="shared" si="181"/>
        <v>140000</v>
      </c>
      <c r="CW19" s="154">
        <f t="shared" si="182"/>
        <v>140000</v>
      </c>
      <c r="CX19" s="154">
        <f t="shared" si="183"/>
        <v>4158</v>
      </c>
      <c r="CY19" s="154">
        <f t="shared" si="184"/>
        <v>4158</v>
      </c>
      <c r="CZ19" s="154">
        <f t="shared" si="185"/>
        <v>52682</v>
      </c>
      <c r="DA19" s="154">
        <f t="shared" si="186"/>
        <v>52682</v>
      </c>
      <c r="DB19" s="157">
        <f t="shared" si="187"/>
        <v>87318</v>
      </c>
      <c r="DC19" s="154">
        <f t="shared" si="188"/>
        <v>0</v>
      </c>
      <c r="DD19" s="158">
        <f t="shared" si="189"/>
        <v>0</v>
      </c>
      <c r="DE19" s="156">
        <f t="shared" si="190"/>
        <v>0</v>
      </c>
      <c r="DF19" s="154">
        <f t="shared" si="191"/>
        <v>0</v>
      </c>
      <c r="DG19" s="154">
        <f t="shared" si="192"/>
        <v>0</v>
      </c>
      <c r="DH19" s="154">
        <f t="shared" si="193"/>
        <v>0</v>
      </c>
      <c r="DI19" s="154">
        <f t="shared" si="194"/>
        <v>140000</v>
      </c>
      <c r="DJ19" s="154">
        <f t="shared" si="195"/>
        <v>140000</v>
      </c>
      <c r="DK19" s="154">
        <f t="shared" si="196"/>
        <v>4158</v>
      </c>
      <c r="DL19" s="154">
        <f t="shared" si="197"/>
        <v>4158</v>
      </c>
      <c r="DM19" s="154">
        <f t="shared" si="198"/>
        <v>48524</v>
      </c>
      <c r="DN19" s="154">
        <f t="shared" si="199"/>
        <v>48524</v>
      </c>
      <c r="DO19" s="157">
        <f t="shared" si="200"/>
        <v>91476</v>
      </c>
      <c r="DP19" s="154">
        <f t="shared" si="201"/>
        <v>0</v>
      </c>
      <c r="DQ19" s="158">
        <f t="shared" si="202"/>
        <v>0</v>
      </c>
      <c r="DR19" s="156">
        <f t="shared" si="190"/>
        <v>0</v>
      </c>
      <c r="DS19" s="154">
        <f t="shared" si="204"/>
        <v>0</v>
      </c>
      <c r="DT19" s="154">
        <f t="shared" si="205"/>
        <v>0</v>
      </c>
      <c r="DU19" s="154">
        <f t="shared" si="206"/>
        <v>0</v>
      </c>
      <c r="DV19" s="154">
        <f t="shared" si="207"/>
        <v>140000</v>
      </c>
      <c r="DW19" s="154">
        <f t="shared" si="208"/>
        <v>140000</v>
      </c>
      <c r="DX19" s="154">
        <f t="shared" si="209"/>
        <v>4158</v>
      </c>
      <c r="DY19" s="154">
        <f t="shared" si="210"/>
        <v>4158</v>
      </c>
      <c r="DZ19" s="154">
        <f t="shared" si="211"/>
        <v>44366</v>
      </c>
      <c r="EA19" s="154">
        <f t="shared" si="212"/>
        <v>44366</v>
      </c>
      <c r="EB19" s="157">
        <f t="shared" si="213"/>
        <v>95634</v>
      </c>
      <c r="EC19" s="154">
        <f t="shared" si="214"/>
        <v>0</v>
      </c>
      <c r="ED19" s="158">
        <f t="shared" si="215"/>
        <v>0</v>
      </c>
    </row>
    <row r="20" spans="1:134" x14ac:dyDescent="0.35">
      <c r="A20" s="183">
        <v>1998</v>
      </c>
      <c r="B20" s="173" t="s">
        <v>553</v>
      </c>
      <c r="C20" s="174"/>
      <c r="D20" s="175" t="s">
        <v>100</v>
      </c>
      <c r="E20" s="176">
        <v>290000</v>
      </c>
      <c r="F20" s="177">
        <v>36130</v>
      </c>
      <c r="G20" s="178">
        <v>33.700000000000003</v>
      </c>
      <c r="H20" s="179"/>
      <c r="I20" s="180"/>
      <c r="J20" s="181"/>
      <c r="K20" s="152">
        <f t="shared" si="216"/>
        <v>2.9700000000000001E-2</v>
      </c>
      <c r="L20" s="153">
        <f t="shared" si="217"/>
        <v>8613</v>
      </c>
      <c r="M20" s="154">
        <f t="shared" si="218"/>
        <v>177313.25</v>
      </c>
      <c r="N20" s="154"/>
      <c r="O20" s="154">
        <f t="shared" si="219"/>
        <v>112686.75</v>
      </c>
      <c r="P20" s="155"/>
      <c r="Q20" s="154">
        <f t="shared" si="220"/>
        <v>290000</v>
      </c>
      <c r="R20" s="156">
        <f t="shared" si="221"/>
        <v>0</v>
      </c>
      <c r="S20" s="154">
        <f t="shared" si="222"/>
        <v>0</v>
      </c>
      <c r="T20" s="154">
        <f t="shared" si="223"/>
        <v>0</v>
      </c>
      <c r="U20" s="154">
        <f t="shared" si="224"/>
        <v>0</v>
      </c>
      <c r="V20" s="154">
        <f t="shared" si="225"/>
        <v>290000</v>
      </c>
      <c r="W20" s="154">
        <f t="shared" si="226"/>
        <v>290000</v>
      </c>
      <c r="X20" s="154">
        <f t="shared" si="227"/>
        <v>8613</v>
      </c>
      <c r="Y20" s="154">
        <f t="shared" si="228"/>
        <v>8613</v>
      </c>
      <c r="Z20" s="154">
        <f t="shared" si="229"/>
        <v>168700.25</v>
      </c>
      <c r="AA20" s="154">
        <f t="shared" si="230"/>
        <v>168700.25</v>
      </c>
      <c r="AB20" s="157">
        <f t="shared" si="231"/>
        <v>121299.75</v>
      </c>
      <c r="AC20" s="154">
        <f t="shared" si="232"/>
        <v>0</v>
      </c>
      <c r="AD20" s="158">
        <f t="shared" si="233"/>
        <v>0</v>
      </c>
      <c r="AE20" s="156">
        <f t="shared" si="112"/>
        <v>0</v>
      </c>
      <c r="AF20" s="154">
        <f t="shared" si="113"/>
        <v>0</v>
      </c>
      <c r="AG20" s="154">
        <f t="shared" si="114"/>
        <v>0</v>
      </c>
      <c r="AH20" s="154">
        <f t="shared" si="115"/>
        <v>0</v>
      </c>
      <c r="AI20" s="154">
        <f t="shared" si="116"/>
        <v>290000</v>
      </c>
      <c r="AJ20" s="154">
        <f t="shared" si="117"/>
        <v>290000</v>
      </c>
      <c r="AK20" s="154">
        <f t="shared" si="118"/>
        <v>8613</v>
      </c>
      <c r="AL20" s="154">
        <f t="shared" si="119"/>
        <v>8613</v>
      </c>
      <c r="AM20" s="154">
        <f t="shared" si="120"/>
        <v>160087.25</v>
      </c>
      <c r="AN20" s="154">
        <f t="shared" si="121"/>
        <v>160087.25</v>
      </c>
      <c r="AO20" s="157">
        <f t="shared" si="122"/>
        <v>129912.75</v>
      </c>
      <c r="AP20" s="154">
        <f t="shared" si="123"/>
        <v>0</v>
      </c>
      <c r="AQ20" s="158">
        <f t="shared" si="124"/>
        <v>0</v>
      </c>
      <c r="AR20" s="156">
        <f t="shared" si="112"/>
        <v>0</v>
      </c>
      <c r="AS20" s="154">
        <f t="shared" si="126"/>
        <v>0</v>
      </c>
      <c r="AT20" s="154">
        <f t="shared" si="127"/>
        <v>0</v>
      </c>
      <c r="AU20" s="154">
        <f t="shared" si="128"/>
        <v>0</v>
      </c>
      <c r="AV20" s="154">
        <f t="shared" si="129"/>
        <v>290000</v>
      </c>
      <c r="AW20" s="154">
        <f t="shared" si="130"/>
        <v>290000</v>
      </c>
      <c r="AX20" s="154">
        <f t="shared" si="131"/>
        <v>8613</v>
      </c>
      <c r="AY20" s="154">
        <f t="shared" si="132"/>
        <v>8613</v>
      </c>
      <c r="AZ20" s="154">
        <f t="shared" si="133"/>
        <v>151474.25</v>
      </c>
      <c r="BA20" s="154">
        <f t="shared" si="134"/>
        <v>151474.25</v>
      </c>
      <c r="BB20" s="157">
        <f t="shared" si="135"/>
        <v>138525.75</v>
      </c>
      <c r="BC20" s="154">
        <f t="shared" si="136"/>
        <v>0</v>
      </c>
      <c r="BD20" s="158">
        <f t="shared" si="137"/>
        <v>0</v>
      </c>
      <c r="BE20" s="156">
        <f t="shared" si="112"/>
        <v>0</v>
      </c>
      <c r="BF20" s="154">
        <f t="shared" si="139"/>
        <v>0</v>
      </c>
      <c r="BG20" s="154">
        <f t="shared" si="140"/>
        <v>0</v>
      </c>
      <c r="BH20" s="154">
        <f t="shared" si="141"/>
        <v>0</v>
      </c>
      <c r="BI20" s="154">
        <f t="shared" si="142"/>
        <v>290000</v>
      </c>
      <c r="BJ20" s="154">
        <f t="shared" si="143"/>
        <v>290000</v>
      </c>
      <c r="BK20" s="154">
        <f t="shared" si="144"/>
        <v>8613</v>
      </c>
      <c r="BL20" s="154">
        <f t="shared" si="145"/>
        <v>8613</v>
      </c>
      <c r="BM20" s="154">
        <f t="shared" si="146"/>
        <v>142861.25</v>
      </c>
      <c r="BN20" s="154">
        <f t="shared" si="147"/>
        <v>142861.25</v>
      </c>
      <c r="BO20" s="157">
        <f t="shared" si="148"/>
        <v>147138.75</v>
      </c>
      <c r="BP20" s="154">
        <f t="shared" si="149"/>
        <v>0</v>
      </c>
      <c r="BQ20" s="158">
        <f t="shared" si="150"/>
        <v>0</v>
      </c>
      <c r="BR20" s="156">
        <f t="shared" si="151"/>
        <v>0</v>
      </c>
      <c r="BS20" s="154">
        <f t="shared" si="152"/>
        <v>0</v>
      </c>
      <c r="BT20" s="154">
        <f t="shared" si="153"/>
        <v>0</v>
      </c>
      <c r="BU20" s="154">
        <f t="shared" si="154"/>
        <v>0</v>
      </c>
      <c r="BV20" s="154">
        <f t="shared" si="155"/>
        <v>290000</v>
      </c>
      <c r="BW20" s="154">
        <f t="shared" si="156"/>
        <v>290000</v>
      </c>
      <c r="BX20" s="154">
        <f t="shared" si="157"/>
        <v>8613</v>
      </c>
      <c r="BY20" s="154">
        <f t="shared" si="158"/>
        <v>8613</v>
      </c>
      <c r="BZ20" s="154">
        <f t="shared" si="159"/>
        <v>134248.25</v>
      </c>
      <c r="CA20" s="154">
        <f t="shared" si="160"/>
        <v>134248.25</v>
      </c>
      <c r="CB20" s="157">
        <f t="shared" si="161"/>
        <v>155751.75</v>
      </c>
      <c r="CC20" s="154">
        <f t="shared" si="162"/>
        <v>0</v>
      </c>
      <c r="CD20" s="158">
        <f t="shared" si="163"/>
        <v>0</v>
      </c>
      <c r="CE20" s="156">
        <f t="shared" si="151"/>
        <v>0</v>
      </c>
      <c r="CF20" s="154">
        <f t="shared" si="165"/>
        <v>0</v>
      </c>
      <c r="CG20" s="154">
        <f t="shared" si="166"/>
        <v>0</v>
      </c>
      <c r="CH20" s="154">
        <f t="shared" si="167"/>
        <v>0</v>
      </c>
      <c r="CI20" s="154">
        <f t="shared" si="168"/>
        <v>290000</v>
      </c>
      <c r="CJ20" s="154">
        <f t="shared" si="169"/>
        <v>290000</v>
      </c>
      <c r="CK20" s="154">
        <f t="shared" si="170"/>
        <v>8613</v>
      </c>
      <c r="CL20" s="154">
        <f t="shared" si="171"/>
        <v>8613</v>
      </c>
      <c r="CM20" s="154">
        <f t="shared" si="172"/>
        <v>125635.25</v>
      </c>
      <c r="CN20" s="154">
        <f t="shared" si="173"/>
        <v>125635.25</v>
      </c>
      <c r="CO20" s="157">
        <f t="shared" si="174"/>
        <v>164364.75</v>
      </c>
      <c r="CP20" s="154">
        <f t="shared" si="175"/>
        <v>0</v>
      </c>
      <c r="CQ20" s="158">
        <f t="shared" si="176"/>
        <v>0</v>
      </c>
      <c r="CR20" s="156">
        <f t="shared" si="151"/>
        <v>0</v>
      </c>
      <c r="CS20" s="154">
        <f t="shared" si="178"/>
        <v>0</v>
      </c>
      <c r="CT20" s="154">
        <f t="shared" si="179"/>
        <v>0</v>
      </c>
      <c r="CU20" s="154">
        <f t="shared" si="180"/>
        <v>0</v>
      </c>
      <c r="CV20" s="154">
        <f t="shared" si="181"/>
        <v>290000</v>
      </c>
      <c r="CW20" s="154">
        <f t="shared" si="182"/>
        <v>290000</v>
      </c>
      <c r="CX20" s="154">
        <f t="shared" si="183"/>
        <v>8613</v>
      </c>
      <c r="CY20" s="154">
        <f t="shared" si="184"/>
        <v>8613</v>
      </c>
      <c r="CZ20" s="154">
        <f t="shared" si="185"/>
        <v>117022.25</v>
      </c>
      <c r="DA20" s="154">
        <f t="shared" si="186"/>
        <v>117022.25</v>
      </c>
      <c r="DB20" s="157">
        <f t="shared" si="187"/>
        <v>172977.75</v>
      </c>
      <c r="DC20" s="154">
        <f t="shared" si="188"/>
        <v>0</v>
      </c>
      <c r="DD20" s="158">
        <f t="shared" si="189"/>
        <v>0</v>
      </c>
      <c r="DE20" s="156">
        <f t="shared" si="190"/>
        <v>0</v>
      </c>
      <c r="DF20" s="154">
        <f t="shared" si="191"/>
        <v>0</v>
      </c>
      <c r="DG20" s="154">
        <f t="shared" si="192"/>
        <v>0</v>
      </c>
      <c r="DH20" s="154">
        <f t="shared" si="193"/>
        <v>0</v>
      </c>
      <c r="DI20" s="154">
        <f t="shared" si="194"/>
        <v>290000</v>
      </c>
      <c r="DJ20" s="154">
        <f t="shared" si="195"/>
        <v>290000</v>
      </c>
      <c r="DK20" s="154">
        <f t="shared" si="196"/>
        <v>8613</v>
      </c>
      <c r="DL20" s="154">
        <f t="shared" si="197"/>
        <v>8613</v>
      </c>
      <c r="DM20" s="154">
        <f t="shared" si="198"/>
        <v>108409.25</v>
      </c>
      <c r="DN20" s="154">
        <f t="shared" si="199"/>
        <v>108409.25</v>
      </c>
      <c r="DO20" s="157">
        <f t="shared" si="200"/>
        <v>181590.75</v>
      </c>
      <c r="DP20" s="154">
        <f t="shared" si="201"/>
        <v>0</v>
      </c>
      <c r="DQ20" s="158">
        <f t="shared" si="202"/>
        <v>0</v>
      </c>
      <c r="DR20" s="156">
        <f t="shared" si="190"/>
        <v>0</v>
      </c>
      <c r="DS20" s="154">
        <f t="shared" si="204"/>
        <v>0</v>
      </c>
      <c r="DT20" s="154">
        <f t="shared" si="205"/>
        <v>0</v>
      </c>
      <c r="DU20" s="154">
        <f t="shared" si="206"/>
        <v>0</v>
      </c>
      <c r="DV20" s="154">
        <f t="shared" si="207"/>
        <v>290000</v>
      </c>
      <c r="DW20" s="154">
        <f t="shared" si="208"/>
        <v>290000</v>
      </c>
      <c r="DX20" s="154">
        <f t="shared" si="209"/>
        <v>8613</v>
      </c>
      <c r="DY20" s="154">
        <f t="shared" si="210"/>
        <v>8613</v>
      </c>
      <c r="DZ20" s="154">
        <f t="shared" si="211"/>
        <v>99796.25</v>
      </c>
      <c r="EA20" s="154">
        <f t="shared" si="212"/>
        <v>99796.25</v>
      </c>
      <c r="EB20" s="157">
        <f t="shared" si="213"/>
        <v>190203.75</v>
      </c>
      <c r="EC20" s="154">
        <f t="shared" si="214"/>
        <v>0</v>
      </c>
      <c r="ED20" s="158">
        <f t="shared" si="215"/>
        <v>0</v>
      </c>
    </row>
    <row r="21" spans="1:134" x14ac:dyDescent="0.35">
      <c r="A21" s="183">
        <v>1999</v>
      </c>
      <c r="B21" s="173" t="s">
        <v>553</v>
      </c>
      <c r="C21" s="174"/>
      <c r="D21" s="175" t="s">
        <v>100</v>
      </c>
      <c r="E21" s="176">
        <v>220000</v>
      </c>
      <c r="F21" s="177">
        <v>36404</v>
      </c>
      <c r="G21" s="178">
        <v>33.700000000000003</v>
      </c>
      <c r="H21" s="179"/>
      <c r="I21" s="180"/>
      <c r="J21" s="181"/>
      <c r="K21" s="152">
        <f t="shared" si="216"/>
        <v>2.9700000000000001E-2</v>
      </c>
      <c r="L21" s="153">
        <f t="shared" si="217"/>
        <v>6534</v>
      </c>
      <c r="M21" s="154">
        <f t="shared" si="218"/>
        <v>139414</v>
      </c>
      <c r="N21" s="154"/>
      <c r="O21" s="154">
        <f t="shared" si="219"/>
        <v>80586</v>
      </c>
      <c r="P21" s="155"/>
      <c r="Q21" s="154">
        <f t="shared" si="220"/>
        <v>220000</v>
      </c>
      <c r="R21" s="156">
        <f t="shared" si="221"/>
        <v>0</v>
      </c>
      <c r="S21" s="154">
        <f t="shared" si="222"/>
        <v>0</v>
      </c>
      <c r="T21" s="154">
        <f t="shared" si="223"/>
        <v>0</v>
      </c>
      <c r="U21" s="154">
        <f t="shared" si="224"/>
        <v>0</v>
      </c>
      <c r="V21" s="154">
        <f t="shared" si="225"/>
        <v>220000</v>
      </c>
      <c r="W21" s="154">
        <f t="shared" si="226"/>
        <v>220000</v>
      </c>
      <c r="X21" s="154">
        <f t="shared" si="227"/>
        <v>6534</v>
      </c>
      <c r="Y21" s="154">
        <f t="shared" si="228"/>
        <v>6534</v>
      </c>
      <c r="Z21" s="154">
        <f t="shared" si="229"/>
        <v>132880</v>
      </c>
      <c r="AA21" s="154">
        <f t="shared" si="230"/>
        <v>132880</v>
      </c>
      <c r="AB21" s="157">
        <f t="shared" si="231"/>
        <v>87120</v>
      </c>
      <c r="AC21" s="154">
        <f t="shared" si="232"/>
        <v>0</v>
      </c>
      <c r="AD21" s="158">
        <f t="shared" si="233"/>
        <v>0</v>
      </c>
      <c r="AE21" s="156">
        <f t="shared" ref="AE21:CE36" si="234">IF(YEAR($F21)=AE$4,$E21,0)</f>
        <v>0</v>
      </c>
      <c r="AF21" s="154">
        <f t="shared" ref="AF21:AF84" si="235">IF($J21&lt;&gt;"H",AE21,0)</f>
        <v>0</v>
      </c>
      <c r="AG21" s="154">
        <f t="shared" si="114"/>
        <v>0</v>
      </c>
      <c r="AH21" s="154">
        <f t="shared" ref="AH21:AH84" si="236">IF($J21&lt;&gt;"H",AG21,0)</f>
        <v>0</v>
      </c>
      <c r="AI21" s="154">
        <f t="shared" si="116"/>
        <v>220000</v>
      </c>
      <c r="AJ21" s="154">
        <f t="shared" ref="AJ21:AJ84" si="237">IF(AK21&lt;&gt;0,ROUND(AK21/$L21*AI21,2),0)</f>
        <v>220000</v>
      </c>
      <c r="AK21" s="154">
        <f t="shared" si="118"/>
        <v>6534</v>
      </c>
      <c r="AL21" s="154">
        <f t="shared" ref="AL21:AL84" si="238">IF($J21&lt;&gt;"H",AK21,0)</f>
        <v>6534</v>
      </c>
      <c r="AM21" s="154">
        <f t="shared" si="120"/>
        <v>126346</v>
      </c>
      <c r="AN21" s="154">
        <f t="shared" ref="AN21:AN84" si="239">IF($J21&lt;&gt;"H",AM21,0)</f>
        <v>126346</v>
      </c>
      <c r="AO21" s="157">
        <f t="shared" si="122"/>
        <v>93654</v>
      </c>
      <c r="AP21" s="154">
        <f t="shared" si="123"/>
        <v>0</v>
      </c>
      <c r="AQ21" s="158">
        <f t="shared" si="124"/>
        <v>0</v>
      </c>
      <c r="AR21" s="156">
        <f t="shared" si="234"/>
        <v>0</v>
      </c>
      <c r="AS21" s="154">
        <f t="shared" ref="AS21:AS84" si="240">IF($J21&lt;&gt;"H",AR21,0)</f>
        <v>0</v>
      </c>
      <c r="AT21" s="154">
        <f t="shared" si="127"/>
        <v>0</v>
      </c>
      <c r="AU21" s="154">
        <f t="shared" ref="AU21:AU84" si="241">IF($J21&lt;&gt;"H",AT21,0)</f>
        <v>0</v>
      </c>
      <c r="AV21" s="154">
        <f t="shared" si="129"/>
        <v>220000</v>
      </c>
      <c r="AW21" s="154">
        <f t="shared" ref="AW21:AW84" si="242">IF(AX21&lt;&gt;0,ROUND(AX21/$L21*AV21,2),0)</f>
        <v>220000</v>
      </c>
      <c r="AX21" s="154">
        <f t="shared" si="131"/>
        <v>6534</v>
      </c>
      <c r="AY21" s="154">
        <f t="shared" ref="AY21:AY84" si="243">IF($J21&lt;&gt;"H",AX21,0)</f>
        <v>6534</v>
      </c>
      <c r="AZ21" s="154">
        <f t="shared" si="133"/>
        <v>119812</v>
      </c>
      <c r="BA21" s="154">
        <f t="shared" ref="BA21:BA84" si="244">IF($J21&lt;&gt;"H",AZ21,0)</f>
        <v>119812</v>
      </c>
      <c r="BB21" s="157">
        <f t="shared" si="135"/>
        <v>100188</v>
      </c>
      <c r="BC21" s="154">
        <f t="shared" si="136"/>
        <v>0</v>
      </c>
      <c r="BD21" s="158">
        <f t="shared" si="137"/>
        <v>0</v>
      </c>
      <c r="BE21" s="156">
        <f t="shared" si="234"/>
        <v>0</v>
      </c>
      <c r="BF21" s="154">
        <f t="shared" ref="BF21:BF84" si="245">IF($J21&lt;&gt;"H",BE21,0)</f>
        <v>0</v>
      </c>
      <c r="BG21" s="154">
        <f t="shared" si="140"/>
        <v>0</v>
      </c>
      <c r="BH21" s="154">
        <f t="shared" ref="BH21:BH84" si="246">IF($J21&lt;&gt;"H",BG21,0)</f>
        <v>0</v>
      </c>
      <c r="BI21" s="154">
        <f t="shared" si="142"/>
        <v>220000</v>
      </c>
      <c r="BJ21" s="154">
        <f t="shared" ref="BJ21:BJ84" si="247">IF(BK21&lt;&gt;0,ROUND(BK21/$L21*BI21,2),0)</f>
        <v>220000</v>
      </c>
      <c r="BK21" s="154">
        <f t="shared" si="144"/>
        <v>6534</v>
      </c>
      <c r="BL21" s="154">
        <f t="shared" ref="BL21:BL84" si="248">IF($J21&lt;&gt;"H",BK21,0)</f>
        <v>6534</v>
      </c>
      <c r="BM21" s="154">
        <f t="shared" si="146"/>
        <v>113278</v>
      </c>
      <c r="BN21" s="154">
        <f t="shared" ref="BN21:BN84" si="249">IF($J21&lt;&gt;"H",BM21,0)</f>
        <v>113278</v>
      </c>
      <c r="BO21" s="157">
        <f t="shared" si="148"/>
        <v>106722</v>
      </c>
      <c r="BP21" s="154">
        <f t="shared" si="149"/>
        <v>0</v>
      </c>
      <c r="BQ21" s="158">
        <f t="shared" si="150"/>
        <v>0</v>
      </c>
      <c r="BR21" s="156">
        <f t="shared" si="234"/>
        <v>0</v>
      </c>
      <c r="BS21" s="154">
        <f t="shared" ref="BS21:BS84" si="250">IF($J21&lt;&gt;"H",BR21,0)</f>
        <v>0</v>
      </c>
      <c r="BT21" s="154">
        <f t="shared" si="153"/>
        <v>0</v>
      </c>
      <c r="BU21" s="154">
        <f t="shared" ref="BU21:BU84" si="251">IF($J21&lt;&gt;"H",BT21,0)</f>
        <v>0</v>
      </c>
      <c r="BV21" s="154">
        <f t="shared" si="155"/>
        <v>220000</v>
      </c>
      <c r="BW21" s="154">
        <f t="shared" ref="BW21:BW84" si="252">IF(BX21&lt;&gt;0,ROUND(BX21/$L21*BV21,2),0)</f>
        <v>220000</v>
      </c>
      <c r="BX21" s="154">
        <f t="shared" si="157"/>
        <v>6534</v>
      </c>
      <c r="BY21" s="154">
        <f t="shared" ref="BY21:BY84" si="253">IF($J21&lt;&gt;"H",BX21,0)</f>
        <v>6534</v>
      </c>
      <c r="BZ21" s="154">
        <f t="shared" si="159"/>
        <v>106744</v>
      </c>
      <c r="CA21" s="154">
        <f t="shared" ref="CA21:CA84" si="254">IF($J21&lt;&gt;"H",BZ21,0)</f>
        <v>106744</v>
      </c>
      <c r="CB21" s="157">
        <f t="shared" si="161"/>
        <v>113256</v>
      </c>
      <c r="CC21" s="154">
        <f t="shared" si="162"/>
        <v>0</v>
      </c>
      <c r="CD21" s="158">
        <f t="shared" si="163"/>
        <v>0</v>
      </c>
      <c r="CE21" s="156">
        <f t="shared" si="234"/>
        <v>0</v>
      </c>
      <c r="CF21" s="154">
        <f t="shared" ref="CF21:CF84" si="255">IF($J21&lt;&gt;"H",CE21,0)</f>
        <v>0</v>
      </c>
      <c r="CG21" s="154">
        <f t="shared" si="166"/>
        <v>0</v>
      </c>
      <c r="CH21" s="154">
        <f t="shared" ref="CH21:CH84" si="256">IF($J21&lt;&gt;"H",CG21,0)</f>
        <v>0</v>
      </c>
      <c r="CI21" s="154">
        <f t="shared" si="168"/>
        <v>220000</v>
      </c>
      <c r="CJ21" s="154">
        <f t="shared" ref="CJ21:CJ84" si="257">IF(CK21&lt;&gt;0,ROUND(CK21/$L21*CI21,2),0)</f>
        <v>220000</v>
      </c>
      <c r="CK21" s="154">
        <f t="shared" si="170"/>
        <v>6534</v>
      </c>
      <c r="CL21" s="154">
        <f t="shared" ref="CL21:CL84" si="258">IF($J21&lt;&gt;"H",CK21,0)</f>
        <v>6534</v>
      </c>
      <c r="CM21" s="154">
        <f t="shared" si="172"/>
        <v>100210</v>
      </c>
      <c r="CN21" s="154">
        <f t="shared" ref="CN21:CN84" si="259">IF($J21&lt;&gt;"H",CM21,0)</f>
        <v>100210</v>
      </c>
      <c r="CO21" s="157">
        <f t="shared" si="174"/>
        <v>119790</v>
      </c>
      <c r="CP21" s="154">
        <f t="shared" si="175"/>
        <v>0</v>
      </c>
      <c r="CQ21" s="158">
        <f t="shared" si="176"/>
        <v>0</v>
      </c>
      <c r="CR21" s="156">
        <f t="shared" ref="CR21:DR36" si="260">IF(YEAR($F21)=CR$4,$E21,0)</f>
        <v>0</v>
      </c>
      <c r="CS21" s="154">
        <f t="shared" ref="CS21:CS84" si="261">IF($J21&lt;&gt;"H",CR21,0)</f>
        <v>0</v>
      </c>
      <c r="CT21" s="154">
        <f t="shared" si="179"/>
        <v>0</v>
      </c>
      <c r="CU21" s="154">
        <f t="shared" ref="CU21:CU84" si="262">IF($J21&lt;&gt;"H",CT21,0)</f>
        <v>0</v>
      </c>
      <c r="CV21" s="154">
        <f t="shared" si="181"/>
        <v>220000</v>
      </c>
      <c r="CW21" s="154">
        <f t="shared" ref="CW21:CW84" si="263">IF(CX21&lt;&gt;0,ROUND(CX21/$L21*CV21,2),0)</f>
        <v>220000</v>
      </c>
      <c r="CX21" s="154">
        <f t="shared" si="183"/>
        <v>6534</v>
      </c>
      <c r="CY21" s="154">
        <f t="shared" ref="CY21:CY84" si="264">IF($J21&lt;&gt;"H",CX21,0)</f>
        <v>6534</v>
      </c>
      <c r="CZ21" s="154">
        <f t="shared" si="185"/>
        <v>93676</v>
      </c>
      <c r="DA21" s="154">
        <f t="shared" ref="DA21:DA84" si="265">IF($J21&lt;&gt;"H",CZ21,0)</f>
        <v>93676</v>
      </c>
      <c r="DB21" s="157">
        <f t="shared" si="187"/>
        <v>126324</v>
      </c>
      <c r="DC21" s="154">
        <f t="shared" si="188"/>
        <v>0</v>
      </c>
      <c r="DD21" s="158">
        <f t="shared" si="189"/>
        <v>0</v>
      </c>
      <c r="DE21" s="156">
        <f t="shared" si="260"/>
        <v>0</v>
      </c>
      <c r="DF21" s="154">
        <f t="shared" ref="DF21:DF84" si="266">IF($J21&lt;&gt;"H",DE21,0)</f>
        <v>0</v>
      </c>
      <c r="DG21" s="154">
        <f t="shared" si="192"/>
        <v>0</v>
      </c>
      <c r="DH21" s="154">
        <f t="shared" ref="DH21:DH84" si="267">IF($J21&lt;&gt;"H",DG21,0)</f>
        <v>0</v>
      </c>
      <c r="DI21" s="154">
        <f t="shared" si="194"/>
        <v>220000</v>
      </c>
      <c r="DJ21" s="154">
        <f t="shared" ref="DJ21:DJ84" si="268">IF(DK21&lt;&gt;0,ROUND(DK21/$L21*DI21,2),0)</f>
        <v>220000</v>
      </c>
      <c r="DK21" s="154">
        <f t="shared" si="196"/>
        <v>6534</v>
      </c>
      <c r="DL21" s="154">
        <f t="shared" ref="DL21:DL84" si="269">IF($J21&lt;&gt;"H",DK21,0)</f>
        <v>6534</v>
      </c>
      <c r="DM21" s="154">
        <f t="shared" si="198"/>
        <v>87142</v>
      </c>
      <c r="DN21" s="154">
        <f t="shared" ref="DN21:DN84" si="270">IF($J21&lt;&gt;"H",DM21,0)</f>
        <v>87142</v>
      </c>
      <c r="DO21" s="157">
        <f t="shared" si="200"/>
        <v>132858</v>
      </c>
      <c r="DP21" s="154">
        <f t="shared" si="201"/>
        <v>0</v>
      </c>
      <c r="DQ21" s="158">
        <f t="shared" si="202"/>
        <v>0</v>
      </c>
      <c r="DR21" s="156">
        <f t="shared" si="260"/>
        <v>0</v>
      </c>
      <c r="DS21" s="154">
        <f t="shared" ref="DS21:DS84" si="271">IF($J21&lt;&gt;"H",DR21,0)</f>
        <v>0</v>
      </c>
      <c r="DT21" s="154">
        <f t="shared" si="205"/>
        <v>0</v>
      </c>
      <c r="DU21" s="154">
        <f t="shared" ref="DU21:DU84" si="272">IF($J21&lt;&gt;"H",DT21,0)</f>
        <v>0</v>
      </c>
      <c r="DV21" s="154">
        <f t="shared" si="207"/>
        <v>220000</v>
      </c>
      <c r="DW21" s="154">
        <f t="shared" ref="DW21:DW84" si="273">IF(DX21&lt;&gt;0,ROUND(DX21/$L21*DV21,2),0)</f>
        <v>220000</v>
      </c>
      <c r="DX21" s="154">
        <f t="shared" si="209"/>
        <v>6534</v>
      </c>
      <c r="DY21" s="154">
        <f t="shared" ref="DY21:DY84" si="274">IF($J21&lt;&gt;"H",DX21,0)</f>
        <v>6534</v>
      </c>
      <c r="DZ21" s="154">
        <f t="shared" si="211"/>
        <v>80608</v>
      </c>
      <c r="EA21" s="154">
        <f t="shared" ref="EA21:EA84" si="275">IF($J21&lt;&gt;"H",DZ21,0)</f>
        <v>80608</v>
      </c>
      <c r="EB21" s="157">
        <f t="shared" si="213"/>
        <v>139392</v>
      </c>
      <c r="EC21" s="154">
        <f t="shared" si="214"/>
        <v>0</v>
      </c>
      <c r="ED21" s="158">
        <f t="shared" si="215"/>
        <v>0</v>
      </c>
    </row>
    <row r="22" spans="1:134" x14ac:dyDescent="0.35">
      <c r="A22" s="183">
        <v>2000</v>
      </c>
      <c r="B22" s="173" t="s">
        <v>553</v>
      </c>
      <c r="C22" s="174"/>
      <c r="D22" s="175" t="s">
        <v>100</v>
      </c>
      <c r="E22" s="176">
        <v>100000</v>
      </c>
      <c r="F22" s="177">
        <v>36739</v>
      </c>
      <c r="G22" s="178">
        <v>33.700000000000003</v>
      </c>
      <c r="H22" s="179"/>
      <c r="I22" s="180"/>
      <c r="J22" s="181"/>
      <c r="K22" s="152">
        <f t="shared" si="216"/>
        <v>2.9700000000000001E-2</v>
      </c>
      <c r="L22" s="153">
        <f t="shared" si="217"/>
        <v>2970</v>
      </c>
      <c r="M22" s="154">
        <f t="shared" si="218"/>
        <v>66092.5</v>
      </c>
      <c r="N22" s="154"/>
      <c r="O22" s="154">
        <f t="shared" si="219"/>
        <v>33907.5</v>
      </c>
      <c r="P22" s="155"/>
      <c r="Q22" s="154">
        <f t="shared" si="220"/>
        <v>100000</v>
      </c>
      <c r="R22" s="156">
        <f t="shared" si="221"/>
        <v>0</v>
      </c>
      <c r="S22" s="154">
        <f t="shared" si="222"/>
        <v>0</v>
      </c>
      <c r="T22" s="154">
        <f t="shared" si="223"/>
        <v>0</v>
      </c>
      <c r="U22" s="154">
        <f t="shared" si="224"/>
        <v>0</v>
      </c>
      <c r="V22" s="154">
        <f t="shared" si="225"/>
        <v>100000</v>
      </c>
      <c r="W22" s="154">
        <f t="shared" si="226"/>
        <v>100000</v>
      </c>
      <c r="X22" s="154">
        <f t="shared" si="227"/>
        <v>2970</v>
      </c>
      <c r="Y22" s="154">
        <f t="shared" si="228"/>
        <v>2970</v>
      </c>
      <c r="Z22" s="154">
        <f t="shared" si="229"/>
        <v>63122.5</v>
      </c>
      <c r="AA22" s="154">
        <f t="shared" si="230"/>
        <v>63122.5</v>
      </c>
      <c r="AB22" s="157">
        <f t="shared" si="231"/>
        <v>36877.5</v>
      </c>
      <c r="AC22" s="154">
        <f t="shared" si="232"/>
        <v>0</v>
      </c>
      <c r="AD22" s="158">
        <f t="shared" si="233"/>
        <v>0</v>
      </c>
      <c r="AE22" s="156">
        <f t="shared" si="234"/>
        <v>0</v>
      </c>
      <c r="AF22" s="154">
        <f t="shared" si="235"/>
        <v>0</v>
      </c>
      <c r="AG22" s="154">
        <f t="shared" si="114"/>
        <v>0</v>
      </c>
      <c r="AH22" s="154">
        <f t="shared" si="236"/>
        <v>0</v>
      </c>
      <c r="AI22" s="154">
        <f t="shared" si="116"/>
        <v>100000</v>
      </c>
      <c r="AJ22" s="154">
        <f t="shared" si="237"/>
        <v>100000</v>
      </c>
      <c r="AK22" s="154">
        <f t="shared" si="118"/>
        <v>2970</v>
      </c>
      <c r="AL22" s="154">
        <f t="shared" si="238"/>
        <v>2970</v>
      </c>
      <c r="AM22" s="154">
        <f t="shared" si="120"/>
        <v>60152.5</v>
      </c>
      <c r="AN22" s="154">
        <f t="shared" si="239"/>
        <v>60152.5</v>
      </c>
      <c r="AO22" s="157">
        <f t="shared" si="122"/>
        <v>39847.5</v>
      </c>
      <c r="AP22" s="154">
        <f t="shared" si="123"/>
        <v>0</v>
      </c>
      <c r="AQ22" s="158">
        <f t="shared" si="124"/>
        <v>0</v>
      </c>
      <c r="AR22" s="156">
        <f t="shared" si="234"/>
        <v>0</v>
      </c>
      <c r="AS22" s="154">
        <f t="shared" si="240"/>
        <v>0</v>
      </c>
      <c r="AT22" s="154">
        <f t="shared" si="127"/>
        <v>0</v>
      </c>
      <c r="AU22" s="154">
        <f t="shared" si="241"/>
        <v>0</v>
      </c>
      <c r="AV22" s="154">
        <f t="shared" si="129"/>
        <v>100000</v>
      </c>
      <c r="AW22" s="154">
        <f t="shared" si="242"/>
        <v>100000</v>
      </c>
      <c r="AX22" s="154">
        <f t="shared" si="131"/>
        <v>2970</v>
      </c>
      <c r="AY22" s="154">
        <f t="shared" si="243"/>
        <v>2970</v>
      </c>
      <c r="AZ22" s="154">
        <f t="shared" si="133"/>
        <v>57182.5</v>
      </c>
      <c r="BA22" s="154">
        <f t="shared" si="244"/>
        <v>57182.5</v>
      </c>
      <c r="BB22" s="157">
        <f t="shared" si="135"/>
        <v>42817.5</v>
      </c>
      <c r="BC22" s="154">
        <f t="shared" si="136"/>
        <v>0</v>
      </c>
      <c r="BD22" s="158">
        <f t="shared" si="137"/>
        <v>0</v>
      </c>
      <c r="BE22" s="156">
        <f t="shared" si="234"/>
        <v>0</v>
      </c>
      <c r="BF22" s="154">
        <f t="shared" si="245"/>
        <v>0</v>
      </c>
      <c r="BG22" s="154">
        <f t="shared" si="140"/>
        <v>0</v>
      </c>
      <c r="BH22" s="154">
        <f t="shared" si="246"/>
        <v>0</v>
      </c>
      <c r="BI22" s="154">
        <f t="shared" si="142"/>
        <v>100000</v>
      </c>
      <c r="BJ22" s="154">
        <f t="shared" si="247"/>
        <v>100000</v>
      </c>
      <c r="BK22" s="154">
        <f t="shared" si="144"/>
        <v>2970</v>
      </c>
      <c r="BL22" s="154">
        <f t="shared" si="248"/>
        <v>2970</v>
      </c>
      <c r="BM22" s="154">
        <f t="shared" si="146"/>
        <v>54212.5</v>
      </c>
      <c r="BN22" s="154">
        <f t="shared" si="249"/>
        <v>54212.5</v>
      </c>
      <c r="BO22" s="157">
        <f t="shared" si="148"/>
        <v>45787.5</v>
      </c>
      <c r="BP22" s="154">
        <f t="shared" si="149"/>
        <v>0</v>
      </c>
      <c r="BQ22" s="158">
        <f t="shared" si="150"/>
        <v>0</v>
      </c>
      <c r="BR22" s="156">
        <f t="shared" si="234"/>
        <v>0</v>
      </c>
      <c r="BS22" s="154">
        <f t="shared" si="250"/>
        <v>0</v>
      </c>
      <c r="BT22" s="154">
        <f t="shared" si="153"/>
        <v>0</v>
      </c>
      <c r="BU22" s="154">
        <f t="shared" si="251"/>
        <v>0</v>
      </c>
      <c r="BV22" s="154">
        <f t="shared" si="155"/>
        <v>100000</v>
      </c>
      <c r="BW22" s="154">
        <f t="shared" si="252"/>
        <v>100000</v>
      </c>
      <c r="BX22" s="154">
        <f t="shared" si="157"/>
        <v>2970</v>
      </c>
      <c r="BY22" s="154">
        <f t="shared" si="253"/>
        <v>2970</v>
      </c>
      <c r="BZ22" s="154">
        <f t="shared" si="159"/>
        <v>51242.5</v>
      </c>
      <c r="CA22" s="154">
        <f t="shared" si="254"/>
        <v>51242.5</v>
      </c>
      <c r="CB22" s="157">
        <f t="shared" si="161"/>
        <v>48757.5</v>
      </c>
      <c r="CC22" s="154">
        <f t="shared" si="162"/>
        <v>0</v>
      </c>
      <c r="CD22" s="158">
        <f t="shared" si="163"/>
        <v>0</v>
      </c>
      <c r="CE22" s="156">
        <f t="shared" si="234"/>
        <v>0</v>
      </c>
      <c r="CF22" s="154">
        <f t="shared" si="255"/>
        <v>0</v>
      </c>
      <c r="CG22" s="154">
        <f t="shared" si="166"/>
        <v>0</v>
      </c>
      <c r="CH22" s="154">
        <f t="shared" si="256"/>
        <v>0</v>
      </c>
      <c r="CI22" s="154">
        <f t="shared" si="168"/>
        <v>100000</v>
      </c>
      <c r="CJ22" s="154">
        <f t="shared" si="257"/>
        <v>100000</v>
      </c>
      <c r="CK22" s="154">
        <f t="shared" si="170"/>
        <v>2970</v>
      </c>
      <c r="CL22" s="154">
        <f t="shared" si="258"/>
        <v>2970</v>
      </c>
      <c r="CM22" s="154">
        <f t="shared" si="172"/>
        <v>48272.5</v>
      </c>
      <c r="CN22" s="154">
        <f t="shared" si="259"/>
        <v>48272.5</v>
      </c>
      <c r="CO22" s="157">
        <f t="shared" si="174"/>
        <v>51727.5</v>
      </c>
      <c r="CP22" s="154">
        <f t="shared" si="175"/>
        <v>0</v>
      </c>
      <c r="CQ22" s="158">
        <f t="shared" si="176"/>
        <v>0</v>
      </c>
      <c r="CR22" s="156">
        <f t="shared" si="260"/>
        <v>0</v>
      </c>
      <c r="CS22" s="154">
        <f t="shared" si="261"/>
        <v>0</v>
      </c>
      <c r="CT22" s="154">
        <f t="shared" si="179"/>
        <v>0</v>
      </c>
      <c r="CU22" s="154">
        <f t="shared" si="262"/>
        <v>0</v>
      </c>
      <c r="CV22" s="154">
        <f t="shared" si="181"/>
        <v>100000</v>
      </c>
      <c r="CW22" s="154">
        <f t="shared" si="263"/>
        <v>100000</v>
      </c>
      <c r="CX22" s="154">
        <f t="shared" si="183"/>
        <v>2970</v>
      </c>
      <c r="CY22" s="154">
        <f t="shared" si="264"/>
        <v>2970</v>
      </c>
      <c r="CZ22" s="154">
        <f t="shared" si="185"/>
        <v>45302.5</v>
      </c>
      <c r="DA22" s="154">
        <f t="shared" si="265"/>
        <v>45302.5</v>
      </c>
      <c r="DB22" s="157">
        <f t="shared" si="187"/>
        <v>54697.5</v>
      </c>
      <c r="DC22" s="154">
        <f t="shared" si="188"/>
        <v>0</v>
      </c>
      <c r="DD22" s="158">
        <f t="shared" si="189"/>
        <v>0</v>
      </c>
      <c r="DE22" s="156">
        <f t="shared" si="260"/>
        <v>0</v>
      </c>
      <c r="DF22" s="154">
        <f t="shared" si="266"/>
        <v>0</v>
      </c>
      <c r="DG22" s="154">
        <f t="shared" si="192"/>
        <v>0</v>
      </c>
      <c r="DH22" s="154">
        <f t="shared" si="267"/>
        <v>0</v>
      </c>
      <c r="DI22" s="154">
        <f t="shared" si="194"/>
        <v>100000</v>
      </c>
      <c r="DJ22" s="154">
        <f t="shared" si="268"/>
        <v>100000</v>
      </c>
      <c r="DK22" s="154">
        <f t="shared" si="196"/>
        <v>2970</v>
      </c>
      <c r="DL22" s="154">
        <f t="shared" si="269"/>
        <v>2970</v>
      </c>
      <c r="DM22" s="154">
        <f t="shared" si="198"/>
        <v>42332.5</v>
      </c>
      <c r="DN22" s="154">
        <f t="shared" si="270"/>
        <v>42332.5</v>
      </c>
      <c r="DO22" s="157">
        <f t="shared" si="200"/>
        <v>57667.5</v>
      </c>
      <c r="DP22" s="154">
        <f t="shared" si="201"/>
        <v>0</v>
      </c>
      <c r="DQ22" s="158">
        <f t="shared" si="202"/>
        <v>0</v>
      </c>
      <c r="DR22" s="156">
        <f t="shared" si="260"/>
        <v>0</v>
      </c>
      <c r="DS22" s="154">
        <f t="shared" si="271"/>
        <v>0</v>
      </c>
      <c r="DT22" s="154">
        <f t="shared" si="205"/>
        <v>0</v>
      </c>
      <c r="DU22" s="154">
        <f t="shared" si="272"/>
        <v>0</v>
      </c>
      <c r="DV22" s="154">
        <f t="shared" si="207"/>
        <v>100000</v>
      </c>
      <c r="DW22" s="154">
        <f t="shared" si="273"/>
        <v>100000</v>
      </c>
      <c r="DX22" s="154">
        <f t="shared" si="209"/>
        <v>2970</v>
      </c>
      <c r="DY22" s="154">
        <f t="shared" si="274"/>
        <v>2970</v>
      </c>
      <c r="DZ22" s="154">
        <f t="shared" si="211"/>
        <v>39362.5</v>
      </c>
      <c r="EA22" s="154">
        <f t="shared" si="275"/>
        <v>39362.5</v>
      </c>
      <c r="EB22" s="157">
        <f t="shared" si="213"/>
        <v>60637.5</v>
      </c>
      <c r="EC22" s="154">
        <f t="shared" si="214"/>
        <v>0</v>
      </c>
      <c r="ED22" s="158">
        <f t="shared" si="215"/>
        <v>0</v>
      </c>
    </row>
    <row r="23" spans="1:134" x14ac:dyDescent="0.35">
      <c r="A23" s="183">
        <v>2001</v>
      </c>
      <c r="B23" s="173" t="s">
        <v>553</v>
      </c>
      <c r="C23" s="174"/>
      <c r="D23" s="175" t="s">
        <v>100</v>
      </c>
      <c r="E23" s="176">
        <v>130000</v>
      </c>
      <c r="F23" s="177">
        <v>37073</v>
      </c>
      <c r="G23" s="178">
        <v>33.700000000000003</v>
      </c>
      <c r="H23" s="179"/>
      <c r="I23" s="180"/>
      <c r="J23" s="181"/>
      <c r="K23" s="152">
        <f t="shared" si="216"/>
        <v>2.9700000000000001E-2</v>
      </c>
      <c r="L23" s="153">
        <f t="shared" si="217"/>
        <v>3861</v>
      </c>
      <c r="M23" s="154">
        <f t="shared" si="218"/>
        <v>89459.5</v>
      </c>
      <c r="N23" s="154"/>
      <c r="O23" s="154">
        <f t="shared" si="219"/>
        <v>40540.5</v>
      </c>
      <c r="P23" s="155"/>
      <c r="Q23" s="154">
        <f t="shared" si="220"/>
        <v>130000</v>
      </c>
      <c r="R23" s="156">
        <f t="shared" si="221"/>
        <v>0</v>
      </c>
      <c r="S23" s="154">
        <f t="shared" si="222"/>
        <v>0</v>
      </c>
      <c r="T23" s="154">
        <f t="shared" si="223"/>
        <v>0</v>
      </c>
      <c r="U23" s="154">
        <f t="shared" si="224"/>
        <v>0</v>
      </c>
      <c r="V23" s="154">
        <f t="shared" si="225"/>
        <v>130000</v>
      </c>
      <c r="W23" s="154">
        <f t="shared" si="226"/>
        <v>130000</v>
      </c>
      <c r="X23" s="154">
        <f t="shared" si="227"/>
        <v>3861</v>
      </c>
      <c r="Y23" s="154">
        <f t="shared" si="228"/>
        <v>3861</v>
      </c>
      <c r="Z23" s="154">
        <f t="shared" si="229"/>
        <v>85598.5</v>
      </c>
      <c r="AA23" s="154">
        <f t="shared" si="230"/>
        <v>85598.5</v>
      </c>
      <c r="AB23" s="157">
        <f t="shared" si="231"/>
        <v>44401.5</v>
      </c>
      <c r="AC23" s="154">
        <f t="shared" si="232"/>
        <v>0</v>
      </c>
      <c r="AD23" s="158">
        <f t="shared" si="233"/>
        <v>0</v>
      </c>
      <c r="AE23" s="156">
        <f t="shared" si="234"/>
        <v>0</v>
      </c>
      <c r="AF23" s="154">
        <f t="shared" si="235"/>
        <v>0</v>
      </c>
      <c r="AG23" s="154">
        <f t="shared" si="114"/>
        <v>0</v>
      </c>
      <c r="AH23" s="154">
        <f t="shared" si="236"/>
        <v>0</v>
      </c>
      <c r="AI23" s="154">
        <f t="shared" si="116"/>
        <v>130000</v>
      </c>
      <c r="AJ23" s="154">
        <f t="shared" si="237"/>
        <v>130000</v>
      </c>
      <c r="AK23" s="154">
        <f t="shared" si="118"/>
        <v>3861</v>
      </c>
      <c r="AL23" s="154">
        <f t="shared" si="238"/>
        <v>3861</v>
      </c>
      <c r="AM23" s="154">
        <f t="shared" si="120"/>
        <v>81737.5</v>
      </c>
      <c r="AN23" s="154">
        <f t="shared" si="239"/>
        <v>81737.5</v>
      </c>
      <c r="AO23" s="157">
        <f t="shared" si="122"/>
        <v>48262.5</v>
      </c>
      <c r="AP23" s="154">
        <f t="shared" si="123"/>
        <v>0</v>
      </c>
      <c r="AQ23" s="158">
        <f t="shared" si="124"/>
        <v>0</v>
      </c>
      <c r="AR23" s="156">
        <f t="shared" si="234"/>
        <v>0</v>
      </c>
      <c r="AS23" s="154">
        <f t="shared" si="240"/>
        <v>0</v>
      </c>
      <c r="AT23" s="154">
        <f t="shared" si="127"/>
        <v>0</v>
      </c>
      <c r="AU23" s="154">
        <f t="shared" si="241"/>
        <v>0</v>
      </c>
      <c r="AV23" s="154">
        <f t="shared" si="129"/>
        <v>130000</v>
      </c>
      <c r="AW23" s="154">
        <f t="shared" si="242"/>
        <v>130000</v>
      </c>
      <c r="AX23" s="154">
        <f t="shared" si="131"/>
        <v>3861</v>
      </c>
      <c r="AY23" s="154">
        <f t="shared" si="243"/>
        <v>3861</v>
      </c>
      <c r="AZ23" s="154">
        <f t="shared" si="133"/>
        <v>77876.5</v>
      </c>
      <c r="BA23" s="154">
        <f t="shared" si="244"/>
        <v>77876.5</v>
      </c>
      <c r="BB23" s="157">
        <f t="shared" si="135"/>
        <v>52123.5</v>
      </c>
      <c r="BC23" s="154">
        <f t="shared" si="136"/>
        <v>0</v>
      </c>
      <c r="BD23" s="158">
        <f t="shared" si="137"/>
        <v>0</v>
      </c>
      <c r="BE23" s="156">
        <f t="shared" si="234"/>
        <v>0</v>
      </c>
      <c r="BF23" s="154">
        <f t="shared" si="245"/>
        <v>0</v>
      </c>
      <c r="BG23" s="154">
        <f t="shared" si="140"/>
        <v>0</v>
      </c>
      <c r="BH23" s="154">
        <f t="shared" si="246"/>
        <v>0</v>
      </c>
      <c r="BI23" s="154">
        <f t="shared" si="142"/>
        <v>130000</v>
      </c>
      <c r="BJ23" s="154">
        <f t="shared" si="247"/>
        <v>130000</v>
      </c>
      <c r="BK23" s="154">
        <f t="shared" si="144"/>
        <v>3861</v>
      </c>
      <c r="BL23" s="154">
        <f t="shared" si="248"/>
        <v>3861</v>
      </c>
      <c r="BM23" s="154">
        <f t="shared" si="146"/>
        <v>74015.5</v>
      </c>
      <c r="BN23" s="154">
        <f t="shared" si="249"/>
        <v>74015.5</v>
      </c>
      <c r="BO23" s="157">
        <f t="shared" si="148"/>
        <v>55984.5</v>
      </c>
      <c r="BP23" s="154">
        <f t="shared" si="149"/>
        <v>0</v>
      </c>
      <c r="BQ23" s="158">
        <f t="shared" si="150"/>
        <v>0</v>
      </c>
      <c r="BR23" s="156">
        <f t="shared" si="234"/>
        <v>0</v>
      </c>
      <c r="BS23" s="154">
        <f t="shared" si="250"/>
        <v>0</v>
      </c>
      <c r="BT23" s="154">
        <f t="shared" si="153"/>
        <v>0</v>
      </c>
      <c r="BU23" s="154">
        <f t="shared" si="251"/>
        <v>0</v>
      </c>
      <c r="BV23" s="154">
        <f t="shared" si="155"/>
        <v>130000</v>
      </c>
      <c r="BW23" s="154">
        <f t="shared" si="252"/>
        <v>130000</v>
      </c>
      <c r="BX23" s="154">
        <f t="shared" si="157"/>
        <v>3861</v>
      </c>
      <c r="BY23" s="154">
        <f t="shared" si="253"/>
        <v>3861</v>
      </c>
      <c r="BZ23" s="154">
        <f t="shared" si="159"/>
        <v>70154.5</v>
      </c>
      <c r="CA23" s="154">
        <f t="shared" si="254"/>
        <v>70154.5</v>
      </c>
      <c r="CB23" s="157">
        <f t="shared" si="161"/>
        <v>59845.5</v>
      </c>
      <c r="CC23" s="154">
        <f t="shared" si="162"/>
        <v>0</v>
      </c>
      <c r="CD23" s="158">
        <f t="shared" si="163"/>
        <v>0</v>
      </c>
      <c r="CE23" s="156">
        <f t="shared" si="234"/>
        <v>0</v>
      </c>
      <c r="CF23" s="154">
        <f t="shared" si="255"/>
        <v>0</v>
      </c>
      <c r="CG23" s="154">
        <f t="shared" si="166"/>
        <v>0</v>
      </c>
      <c r="CH23" s="154">
        <f t="shared" si="256"/>
        <v>0</v>
      </c>
      <c r="CI23" s="154">
        <f t="shared" si="168"/>
        <v>130000</v>
      </c>
      <c r="CJ23" s="154">
        <f t="shared" si="257"/>
        <v>130000</v>
      </c>
      <c r="CK23" s="154">
        <f t="shared" si="170"/>
        <v>3861</v>
      </c>
      <c r="CL23" s="154">
        <f t="shared" si="258"/>
        <v>3861</v>
      </c>
      <c r="CM23" s="154">
        <f t="shared" si="172"/>
        <v>66293.5</v>
      </c>
      <c r="CN23" s="154">
        <f t="shared" si="259"/>
        <v>66293.5</v>
      </c>
      <c r="CO23" s="157">
        <f t="shared" si="174"/>
        <v>63706.5</v>
      </c>
      <c r="CP23" s="154">
        <f t="shared" si="175"/>
        <v>0</v>
      </c>
      <c r="CQ23" s="158">
        <f t="shared" si="176"/>
        <v>0</v>
      </c>
      <c r="CR23" s="156">
        <f t="shared" si="260"/>
        <v>0</v>
      </c>
      <c r="CS23" s="154">
        <f t="shared" si="261"/>
        <v>0</v>
      </c>
      <c r="CT23" s="154">
        <f t="shared" si="179"/>
        <v>0</v>
      </c>
      <c r="CU23" s="154">
        <f t="shared" si="262"/>
        <v>0</v>
      </c>
      <c r="CV23" s="154">
        <f t="shared" si="181"/>
        <v>130000</v>
      </c>
      <c r="CW23" s="154">
        <f t="shared" si="263"/>
        <v>130000</v>
      </c>
      <c r="CX23" s="154">
        <f t="shared" si="183"/>
        <v>3861</v>
      </c>
      <c r="CY23" s="154">
        <f t="shared" si="264"/>
        <v>3861</v>
      </c>
      <c r="CZ23" s="154">
        <f t="shared" si="185"/>
        <v>62432.5</v>
      </c>
      <c r="DA23" s="154">
        <f t="shared" si="265"/>
        <v>62432.5</v>
      </c>
      <c r="DB23" s="157">
        <f t="shared" si="187"/>
        <v>67567.5</v>
      </c>
      <c r="DC23" s="154">
        <f t="shared" si="188"/>
        <v>0</v>
      </c>
      <c r="DD23" s="158">
        <f t="shared" si="189"/>
        <v>0</v>
      </c>
      <c r="DE23" s="156">
        <f t="shared" si="260"/>
        <v>0</v>
      </c>
      <c r="DF23" s="154">
        <f t="shared" si="266"/>
        <v>0</v>
      </c>
      <c r="DG23" s="154">
        <f t="shared" si="192"/>
        <v>0</v>
      </c>
      <c r="DH23" s="154">
        <f t="shared" si="267"/>
        <v>0</v>
      </c>
      <c r="DI23" s="154">
        <f t="shared" si="194"/>
        <v>130000</v>
      </c>
      <c r="DJ23" s="154">
        <f t="shared" si="268"/>
        <v>130000</v>
      </c>
      <c r="DK23" s="154">
        <f t="shared" si="196"/>
        <v>3861</v>
      </c>
      <c r="DL23" s="154">
        <f t="shared" si="269"/>
        <v>3861</v>
      </c>
      <c r="DM23" s="154">
        <f t="shared" si="198"/>
        <v>58571.5</v>
      </c>
      <c r="DN23" s="154">
        <f t="shared" si="270"/>
        <v>58571.5</v>
      </c>
      <c r="DO23" s="157">
        <f t="shared" si="200"/>
        <v>71428.5</v>
      </c>
      <c r="DP23" s="154">
        <f t="shared" si="201"/>
        <v>0</v>
      </c>
      <c r="DQ23" s="158">
        <f t="shared" si="202"/>
        <v>0</v>
      </c>
      <c r="DR23" s="156">
        <f t="shared" si="260"/>
        <v>0</v>
      </c>
      <c r="DS23" s="154">
        <f t="shared" si="271"/>
        <v>0</v>
      </c>
      <c r="DT23" s="154">
        <f t="shared" si="205"/>
        <v>0</v>
      </c>
      <c r="DU23" s="154">
        <f t="shared" si="272"/>
        <v>0</v>
      </c>
      <c r="DV23" s="154">
        <f t="shared" si="207"/>
        <v>130000</v>
      </c>
      <c r="DW23" s="154">
        <f t="shared" si="273"/>
        <v>130000</v>
      </c>
      <c r="DX23" s="154">
        <f t="shared" si="209"/>
        <v>3861</v>
      </c>
      <c r="DY23" s="154">
        <f t="shared" si="274"/>
        <v>3861</v>
      </c>
      <c r="DZ23" s="154">
        <f t="shared" si="211"/>
        <v>54710.5</v>
      </c>
      <c r="EA23" s="154">
        <f t="shared" si="275"/>
        <v>54710.5</v>
      </c>
      <c r="EB23" s="157">
        <f t="shared" si="213"/>
        <v>75289.5</v>
      </c>
      <c r="EC23" s="154">
        <f t="shared" si="214"/>
        <v>0</v>
      </c>
      <c r="ED23" s="158">
        <f t="shared" si="215"/>
        <v>0</v>
      </c>
    </row>
    <row r="24" spans="1:134" x14ac:dyDescent="0.35">
      <c r="A24" s="183">
        <v>2002</v>
      </c>
      <c r="B24" s="173" t="s">
        <v>553</v>
      </c>
      <c r="C24" s="174"/>
      <c r="D24" s="175" t="s">
        <v>100</v>
      </c>
      <c r="E24" s="176">
        <v>300000</v>
      </c>
      <c r="F24" s="177">
        <v>37438</v>
      </c>
      <c r="G24" s="178">
        <v>33.700000000000003</v>
      </c>
      <c r="H24" s="179"/>
      <c r="I24" s="180"/>
      <c r="J24" s="181"/>
      <c r="K24" s="152">
        <f t="shared" si="216"/>
        <v>2.9700000000000001E-2</v>
      </c>
      <c r="L24" s="153">
        <f t="shared" si="217"/>
        <v>8910</v>
      </c>
      <c r="M24" s="154">
        <f t="shared" si="218"/>
        <v>215355</v>
      </c>
      <c r="N24" s="154"/>
      <c r="O24" s="154">
        <f t="shared" si="219"/>
        <v>84645</v>
      </c>
      <c r="P24" s="155"/>
      <c r="Q24" s="154">
        <f t="shared" si="220"/>
        <v>300000</v>
      </c>
      <c r="R24" s="156">
        <f t="shared" si="221"/>
        <v>0</v>
      </c>
      <c r="S24" s="154">
        <f t="shared" si="222"/>
        <v>0</v>
      </c>
      <c r="T24" s="154">
        <f t="shared" si="223"/>
        <v>0</v>
      </c>
      <c r="U24" s="154">
        <f t="shared" si="224"/>
        <v>0</v>
      </c>
      <c r="V24" s="154">
        <f t="shared" si="225"/>
        <v>300000</v>
      </c>
      <c r="W24" s="154">
        <f t="shared" si="226"/>
        <v>300000</v>
      </c>
      <c r="X24" s="154">
        <f t="shared" si="227"/>
        <v>8910</v>
      </c>
      <c r="Y24" s="154">
        <f t="shared" si="228"/>
        <v>8910</v>
      </c>
      <c r="Z24" s="154">
        <f t="shared" si="229"/>
        <v>206445</v>
      </c>
      <c r="AA24" s="154">
        <f t="shared" si="230"/>
        <v>206445</v>
      </c>
      <c r="AB24" s="157">
        <f t="shared" si="231"/>
        <v>93555</v>
      </c>
      <c r="AC24" s="154">
        <f t="shared" si="232"/>
        <v>0</v>
      </c>
      <c r="AD24" s="158">
        <f t="shared" si="233"/>
        <v>0</v>
      </c>
      <c r="AE24" s="156">
        <f t="shared" si="234"/>
        <v>0</v>
      </c>
      <c r="AF24" s="154">
        <f t="shared" si="235"/>
        <v>0</v>
      </c>
      <c r="AG24" s="154">
        <f t="shared" si="114"/>
        <v>0</v>
      </c>
      <c r="AH24" s="154">
        <f t="shared" si="236"/>
        <v>0</v>
      </c>
      <c r="AI24" s="154">
        <f t="shared" si="116"/>
        <v>300000</v>
      </c>
      <c r="AJ24" s="154">
        <f t="shared" si="237"/>
        <v>300000</v>
      </c>
      <c r="AK24" s="154">
        <f t="shared" si="118"/>
        <v>8910</v>
      </c>
      <c r="AL24" s="154">
        <f t="shared" si="238"/>
        <v>8910</v>
      </c>
      <c r="AM24" s="154">
        <f t="shared" si="120"/>
        <v>197535</v>
      </c>
      <c r="AN24" s="154">
        <f t="shared" si="239"/>
        <v>197535</v>
      </c>
      <c r="AO24" s="157">
        <f t="shared" si="122"/>
        <v>102465</v>
      </c>
      <c r="AP24" s="154">
        <f t="shared" si="123"/>
        <v>0</v>
      </c>
      <c r="AQ24" s="158">
        <f t="shared" si="124"/>
        <v>0</v>
      </c>
      <c r="AR24" s="156">
        <f t="shared" si="234"/>
        <v>0</v>
      </c>
      <c r="AS24" s="154">
        <f t="shared" si="240"/>
        <v>0</v>
      </c>
      <c r="AT24" s="154">
        <f t="shared" si="127"/>
        <v>0</v>
      </c>
      <c r="AU24" s="154">
        <f t="shared" si="241"/>
        <v>0</v>
      </c>
      <c r="AV24" s="154">
        <f t="shared" si="129"/>
        <v>300000</v>
      </c>
      <c r="AW24" s="154">
        <f t="shared" si="242"/>
        <v>300000</v>
      </c>
      <c r="AX24" s="154">
        <f t="shared" si="131"/>
        <v>8910</v>
      </c>
      <c r="AY24" s="154">
        <f t="shared" si="243"/>
        <v>8910</v>
      </c>
      <c r="AZ24" s="154">
        <f t="shared" si="133"/>
        <v>188625</v>
      </c>
      <c r="BA24" s="154">
        <f t="shared" si="244"/>
        <v>188625</v>
      </c>
      <c r="BB24" s="157">
        <f t="shared" si="135"/>
        <v>111375</v>
      </c>
      <c r="BC24" s="154">
        <f t="shared" si="136"/>
        <v>0</v>
      </c>
      <c r="BD24" s="158">
        <f t="shared" si="137"/>
        <v>0</v>
      </c>
      <c r="BE24" s="156">
        <f t="shared" si="234"/>
        <v>0</v>
      </c>
      <c r="BF24" s="154">
        <f t="shared" si="245"/>
        <v>0</v>
      </c>
      <c r="BG24" s="154">
        <f t="shared" si="140"/>
        <v>0</v>
      </c>
      <c r="BH24" s="154">
        <f t="shared" si="246"/>
        <v>0</v>
      </c>
      <c r="BI24" s="154">
        <f t="shared" si="142"/>
        <v>300000</v>
      </c>
      <c r="BJ24" s="154">
        <f t="shared" si="247"/>
        <v>300000</v>
      </c>
      <c r="BK24" s="154">
        <f t="shared" si="144"/>
        <v>8910</v>
      </c>
      <c r="BL24" s="154">
        <f t="shared" si="248"/>
        <v>8910</v>
      </c>
      <c r="BM24" s="154">
        <f t="shared" si="146"/>
        <v>179715</v>
      </c>
      <c r="BN24" s="154">
        <f t="shared" si="249"/>
        <v>179715</v>
      </c>
      <c r="BO24" s="157">
        <f t="shared" si="148"/>
        <v>120285</v>
      </c>
      <c r="BP24" s="154">
        <f t="shared" si="149"/>
        <v>0</v>
      </c>
      <c r="BQ24" s="158">
        <f t="shared" si="150"/>
        <v>0</v>
      </c>
      <c r="BR24" s="156">
        <f t="shared" si="234"/>
        <v>0</v>
      </c>
      <c r="BS24" s="154">
        <f t="shared" si="250"/>
        <v>0</v>
      </c>
      <c r="BT24" s="154">
        <f t="shared" si="153"/>
        <v>0</v>
      </c>
      <c r="BU24" s="154">
        <f t="shared" si="251"/>
        <v>0</v>
      </c>
      <c r="BV24" s="154">
        <f t="shared" si="155"/>
        <v>300000</v>
      </c>
      <c r="BW24" s="154">
        <f t="shared" si="252"/>
        <v>300000</v>
      </c>
      <c r="BX24" s="154">
        <f t="shared" si="157"/>
        <v>8910</v>
      </c>
      <c r="BY24" s="154">
        <f t="shared" si="253"/>
        <v>8910</v>
      </c>
      <c r="BZ24" s="154">
        <f t="shared" si="159"/>
        <v>170805</v>
      </c>
      <c r="CA24" s="154">
        <f t="shared" si="254"/>
        <v>170805</v>
      </c>
      <c r="CB24" s="157">
        <f t="shared" si="161"/>
        <v>129195</v>
      </c>
      <c r="CC24" s="154">
        <f t="shared" si="162"/>
        <v>0</v>
      </c>
      <c r="CD24" s="158">
        <f t="shared" si="163"/>
        <v>0</v>
      </c>
      <c r="CE24" s="156">
        <f t="shared" si="234"/>
        <v>0</v>
      </c>
      <c r="CF24" s="154">
        <f t="shared" si="255"/>
        <v>0</v>
      </c>
      <c r="CG24" s="154">
        <f t="shared" si="166"/>
        <v>0</v>
      </c>
      <c r="CH24" s="154">
        <f t="shared" si="256"/>
        <v>0</v>
      </c>
      <c r="CI24" s="154">
        <f t="shared" si="168"/>
        <v>300000</v>
      </c>
      <c r="CJ24" s="154">
        <f t="shared" si="257"/>
        <v>300000</v>
      </c>
      <c r="CK24" s="154">
        <f t="shared" si="170"/>
        <v>8910</v>
      </c>
      <c r="CL24" s="154">
        <f t="shared" si="258"/>
        <v>8910</v>
      </c>
      <c r="CM24" s="154">
        <f t="shared" si="172"/>
        <v>161895</v>
      </c>
      <c r="CN24" s="154">
        <f t="shared" si="259"/>
        <v>161895</v>
      </c>
      <c r="CO24" s="157">
        <f t="shared" si="174"/>
        <v>138105</v>
      </c>
      <c r="CP24" s="154">
        <f t="shared" si="175"/>
        <v>0</v>
      </c>
      <c r="CQ24" s="158">
        <f t="shared" si="176"/>
        <v>0</v>
      </c>
      <c r="CR24" s="156">
        <f t="shared" si="260"/>
        <v>0</v>
      </c>
      <c r="CS24" s="154">
        <f t="shared" si="261"/>
        <v>0</v>
      </c>
      <c r="CT24" s="154">
        <f t="shared" si="179"/>
        <v>0</v>
      </c>
      <c r="CU24" s="154">
        <f t="shared" si="262"/>
        <v>0</v>
      </c>
      <c r="CV24" s="154">
        <f t="shared" si="181"/>
        <v>300000</v>
      </c>
      <c r="CW24" s="154">
        <f t="shared" si="263"/>
        <v>300000</v>
      </c>
      <c r="CX24" s="154">
        <f t="shared" si="183"/>
        <v>8910</v>
      </c>
      <c r="CY24" s="154">
        <f t="shared" si="264"/>
        <v>8910</v>
      </c>
      <c r="CZ24" s="154">
        <f t="shared" si="185"/>
        <v>152985</v>
      </c>
      <c r="DA24" s="154">
        <f t="shared" si="265"/>
        <v>152985</v>
      </c>
      <c r="DB24" s="157">
        <f t="shared" si="187"/>
        <v>147015</v>
      </c>
      <c r="DC24" s="154">
        <f t="shared" si="188"/>
        <v>0</v>
      </c>
      <c r="DD24" s="158">
        <f t="shared" si="189"/>
        <v>0</v>
      </c>
      <c r="DE24" s="156">
        <f t="shared" si="260"/>
        <v>0</v>
      </c>
      <c r="DF24" s="154">
        <f t="shared" si="266"/>
        <v>0</v>
      </c>
      <c r="DG24" s="154">
        <f t="shared" si="192"/>
        <v>0</v>
      </c>
      <c r="DH24" s="154">
        <f t="shared" si="267"/>
        <v>0</v>
      </c>
      <c r="DI24" s="154">
        <f t="shared" si="194"/>
        <v>300000</v>
      </c>
      <c r="DJ24" s="154">
        <f t="shared" si="268"/>
        <v>300000</v>
      </c>
      <c r="DK24" s="154">
        <f t="shared" si="196"/>
        <v>8910</v>
      </c>
      <c r="DL24" s="154">
        <f t="shared" si="269"/>
        <v>8910</v>
      </c>
      <c r="DM24" s="154">
        <f t="shared" si="198"/>
        <v>144075</v>
      </c>
      <c r="DN24" s="154">
        <f t="shared" si="270"/>
        <v>144075</v>
      </c>
      <c r="DO24" s="157">
        <f t="shared" si="200"/>
        <v>155925</v>
      </c>
      <c r="DP24" s="154">
        <f t="shared" si="201"/>
        <v>0</v>
      </c>
      <c r="DQ24" s="158">
        <f t="shared" si="202"/>
        <v>0</v>
      </c>
      <c r="DR24" s="156">
        <f t="shared" si="260"/>
        <v>0</v>
      </c>
      <c r="DS24" s="154">
        <f t="shared" si="271"/>
        <v>0</v>
      </c>
      <c r="DT24" s="154">
        <f t="shared" si="205"/>
        <v>0</v>
      </c>
      <c r="DU24" s="154">
        <f t="shared" si="272"/>
        <v>0</v>
      </c>
      <c r="DV24" s="154">
        <f t="shared" si="207"/>
        <v>300000</v>
      </c>
      <c r="DW24" s="154">
        <f t="shared" si="273"/>
        <v>300000</v>
      </c>
      <c r="DX24" s="154">
        <f t="shared" si="209"/>
        <v>8910</v>
      </c>
      <c r="DY24" s="154">
        <f t="shared" si="274"/>
        <v>8910</v>
      </c>
      <c r="DZ24" s="154">
        <f t="shared" si="211"/>
        <v>135165</v>
      </c>
      <c r="EA24" s="154">
        <f t="shared" si="275"/>
        <v>135165</v>
      </c>
      <c r="EB24" s="157">
        <f t="shared" si="213"/>
        <v>164835</v>
      </c>
      <c r="EC24" s="154">
        <f t="shared" si="214"/>
        <v>0</v>
      </c>
      <c r="ED24" s="158">
        <f t="shared" si="215"/>
        <v>0</v>
      </c>
    </row>
    <row r="25" spans="1:134" x14ac:dyDescent="0.35">
      <c r="A25" s="183">
        <v>2003</v>
      </c>
      <c r="B25" s="173" t="s">
        <v>553</v>
      </c>
      <c r="C25" s="174"/>
      <c r="D25" s="175" t="s">
        <v>100</v>
      </c>
      <c r="E25" s="176">
        <v>230000</v>
      </c>
      <c r="F25" s="177">
        <v>37803</v>
      </c>
      <c r="G25" s="178">
        <v>33.700000000000003</v>
      </c>
      <c r="H25" s="179"/>
      <c r="I25" s="180"/>
      <c r="J25" s="181"/>
      <c r="K25" s="152">
        <f t="shared" si="216"/>
        <v>2.9700000000000001E-2</v>
      </c>
      <c r="L25" s="153">
        <f t="shared" si="217"/>
        <v>6831</v>
      </c>
      <c r="M25" s="154">
        <f t="shared" si="218"/>
        <v>171936.5</v>
      </c>
      <c r="N25" s="154"/>
      <c r="O25" s="154">
        <f t="shared" si="219"/>
        <v>58063.5</v>
      </c>
      <c r="P25" s="155"/>
      <c r="Q25" s="154">
        <f t="shared" si="220"/>
        <v>230000</v>
      </c>
      <c r="R25" s="156">
        <f t="shared" si="221"/>
        <v>0</v>
      </c>
      <c r="S25" s="154">
        <f t="shared" si="222"/>
        <v>0</v>
      </c>
      <c r="T25" s="154">
        <f t="shared" si="223"/>
        <v>0</v>
      </c>
      <c r="U25" s="154">
        <f t="shared" si="224"/>
        <v>0</v>
      </c>
      <c r="V25" s="154">
        <f t="shared" si="225"/>
        <v>230000</v>
      </c>
      <c r="W25" s="154">
        <f t="shared" si="226"/>
        <v>230000</v>
      </c>
      <c r="X25" s="154">
        <f t="shared" si="227"/>
        <v>6831</v>
      </c>
      <c r="Y25" s="154">
        <f t="shared" si="228"/>
        <v>6831</v>
      </c>
      <c r="Z25" s="154">
        <f t="shared" si="229"/>
        <v>165105.5</v>
      </c>
      <c r="AA25" s="154">
        <f t="shared" si="230"/>
        <v>165105.5</v>
      </c>
      <c r="AB25" s="157">
        <f t="shared" si="231"/>
        <v>64894.5</v>
      </c>
      <c r="AC25" s="154">
        <f t="shared" si="232"/>
        <v>0</v>
      </c>
      <c r="AD25" s="158">
        <f t="shared" si="233"/>
        <v>0</v>
      </c>
      <c r="AE25" s="156">
        <f t="shared" si="234"/>
        <v>0</v>
      </c>
      <c r="AF25" s="154">
        <f t="shared" si="235"/>
        <v>0</v>
      </c>
      <c r="AG25" s="154">
        <f t="shared" si="114"/>
        <v>0</v>
      </c>
      <c r="AH25" s="154">
        <f t="shared" si="236"/>
        <v>0</v>
      </c>
      <c r="AI25" s="154">
        <f t="shared" si="116"/>
        <v>230000</v>
      </c>
      <c r="AJ25" s="154">
        <f t="shared" si="237"/>
        <v>230000</v>
      </c>
      <c r="AK25" s="154">
        <f t="shared" si="118"/>
        <v>6831</v>
      </c>
      <c r="AL25" s="154">
        <f t="shared" si="238"/>
        <v>6831</v>
      </c>
      <c r="AM25" s="154">
        <f t="shared" si="120"/>
        <v>158274.5</v>
      </c>
      <c r="AN25" s="154">
        <f t="shared" si="239"/>
        <v>158274.5</v>
      </c>
      <c r="AO25" s="157">
        <f t="shared" si="122"/>
        <v>71725.5</v>
      </c>
      <c r="AP25" s="154">
        <f t="shared" si="123"/>
        <v>0</v>
      </c>
      <c r="AQ25" s="158">
        <f t="shared" si="124"/>
        <v>0</v>
      </c>
      <c r="AR25" s="156">
        <f t="shared" si="234"/>
        <v>0</v>
      </c>
      <c r="AS25" s="154">
        <f t="shared" si="240"/>
        <v>0</v>
      </c>
      <c r="AT25" s="154">
        <f t="shared" si="127"/>
        <v>0</v>
      </c>
      <c r="AU25" s="154">
        <f t="shared" si="241"/>
        <v>0</v>
      </c>
      <c r="AV25" s="154">
        <f t="shared" si="129"/>
        <v>230000</v>
      </c>
      <c r="AW25" s="154">
        <f t="shared" si="242"/>
        <v>230000</v>
      </c>
      <c r="AX25" s="154">
        <f t="shared" si="131"/>
        <v>6831</v>
      </c>
      <c r="AY25" s="154">
        <f t="shared" si="243"/>
        <v>6831</v>
      </c>
      <c r="AZ25" s="154">
        <f t="shared" si="133"/>
        <v>151443.5</v>
      </c>
      <c r="BA25" s="154">
        <f t="shared" si="244"/>
        <v>151443.5</v>
      </c>
      <c r="BB25" s="157">
        <f t="shared" si="135"/>
        <v>78556.5</v>
      </c>
      <c r="BC25" s="154">
        <f t="shared" si="136"/>
        <v>0</v>
      </c>
      <c r="BD25" s="158">
        <f t="shared" si="137"/>
        <v>0</v>
      </c>
      <c r="BE25" s="156">
        <f t="shared" si="234"/>
        <v>0</v>
      </c>
      <c r="BF25" s="154">
        <f t="shared" si="245"/>
        <v>0</v>
      </c>
      <c r="BG25" s="154">
        <f t="shared" si="140"/>
        <v>0</v>
      </c>
      <c r="BH25" s="154">
        <f t="shared" si="246"/>
        <v>0</v>
      </c>
      <c r="BI25" s="154">
        <f t="shared" si="142"/>
        <v>230000</v>
      </c>
      <c r="BJ25" s="154">
        <f t="shared" si="247"/>
        <v>230000</v>
      </c>
      <c r="BK25" s="154">
        <f t="shared" si="144"/>
        <v>6831</v>
      </c>
      <c r="BL25" s="154">
        <f t="shared" si="248"/>
        <v>6831</v>
      </c>
      <c r="BM25" s="154">
        <f t="shared" si="146"/>
        <v>144612.5</v>
      </c>
      <c r="BN25" s="154">
        <f t="shared" si="249"/>
        <v>144612.5</v>
      </c>
      <c r="BO25" s="157">
        <f t="shared" si="148"/>
        <v>85387.5</v>
      </c>
      <c r="BP25" s="154">
        <f t="shared" si="149"/>
        <v>0</v>
      </c>
      <c r="BQ25" s="158">
        <f t="shared" si="150"/>
        <v>0</v>
      </c>
      <c r="BR25" s="156">
        <f t="shared" si="234"/>
        <v>0</v>
      </c>
      <c r="BS25" s="154">
        <f t="shared" si="250"/>
        <v>0</v>
      </c>
      <c r="BT25" s="154">
        <f t="shared" si="153"/>
        <v>0</v>
      </c>
      <c r="BU25" s="154">
        <f t="shared" si="251"/>
        <v>0</v>
      </c>
      <c r="BV25" s="154">
        <f t="shared" si="155"/>
        <v>230000</v>
      </c>
      <c r="BW25" s="154">
        <f t="shared" si="252"/>
        <v>230000</v>
      </c>
      <c r="BX25" s="154">
        <f t="shared" si="157"/>
        <v>6831</v>
      </c>
      <c r="BY25" s="154">
        <f t="shared" si="253"/>
        <v>6831</v>
      </c>
      <c r="BZ25" s="154">
        <f t="shared" si="159"/>
        <v>137781.5</v>
      </c>
      <c r="CA25" s="154">
        <f t="shared" si="254"/>
        <v>137781.5</v>
      </c>
      <c r="CB25" s="157">
        <f t="shared" si="161"/>
        <v>92218.5</v>
      </c>
      <c r="CC25" s="154">
        <f t="shared" si="162"/>
        <v>0</v>
      </c>
      <c r="CD25" s="158">
        <f t="shared" si="163"/>
        <v>0</v>
      </c>
      <c r="CE25" s="156">
        <f t="shared" si="234"/>
        <v>0</v>
      </c>
      <c r="CF25" s="154">
        <f t="shared" si="255"/>
        <v>0</v>
      </c>
      <c r="CG25" s="154">
        <f t="shared" si="166"/>
        <v>0</v>
      </c>
      <c r="CH25" s="154">
        <f t="shared" si="256"/>
        <v>0</v>
      </c>
      <c r="CI25" s="154">
        <f t="shared" si="168"/>
        <v>230000</v>
      </c>
      <c r="CJ25" s="154">
        <f t="shared" si="257"/>
        <v>230000</v>
      </c>
      <c r="CK25" s="154">
        <f t="shared" si="170"/>
        <v>6831</v>
      </c>
      <c r="CL25" s="154">
        <f t="shared" si="258"/>
        <v>6831</v>
      </c>
      <c r="CM25" s="154">
        <f t="shared" si="172"/>
        <v>130950.5</v>
      </c>
      <c r="CN25" s="154">
        <f t="shared" si="259"/>
        <v>130950.5</v>
      </c>
      <c r="CO25" s="157">
        <f t="shared" si="174"/>
        <v>99049.5</v>
      </c>
      <c r="CP25" s="154">
        <f t="shared" si="175"/>
        <v>0</v>
      </c>
      <c r="CQ25" s="158">
        <f t="shared" si="176"/>
        <v>0</v>
      </c>
      <c r="CR25" s="156">
        <f t="shared" si="260"/>
        <v>0</v>
      </c>
      <c r="CS25" s="154">
        <f t="shared" si="261"/>
        <v>0</v>
      </c>
      <c r="CT25" s="154">
        <f t="shared" si="179"/>
        <v>0</v>
      </c>
      <c r="CU25" s="154">
        <f t="shared" si="262"/>
        <v>0</v>
      </c>
      <c r="CV25" s="154">
        <f t="shared" si="181"/>
        <v>230000</v>
      </c>
      <c r="CW25" s="154">
        <f t="shared" si="263"/>
        <v>230000</v>
      </c>
      <c r="CX25" s="154">
        <f t="shared" si="183"/>
        <v>6831</v>
      </c>
      <c r="CY25" s="154">
        <f t="shared" si="264"/>
        <v>6831</v>
      </c>
      <c r="CZ25" s="154">
        <f t="shared" si="185"/>
        <v>124119.5</v>
      </c>
      <c r="DA25" s="154">
        <f t="shared" si="265"/>
        <v>124119.5</v>
      </c>
      <c r="DB25" s="157">
        <f t="shared" si="187"/>
        <v>105880.5</v>
      </c>
      <c r="DC25" s="154">
        <f t="shared" si="188"/>
        <v>0</v>
      </c>
      <c r="DD25" s="158">
        <f t="shared" si="189"/>
        <v>0</v>
      </c>
      <c r="DE25" s="156">
        <f t="shared" si="260"/>
        <v>0</v>
      </c>
      <c r="DF25" s="154">
        <f t="shared" si="266"/>
        <v>0</v>
      </c>
      <c r="DG25" s="154">
        <f t="shared" si="192"/>
        <v>0</v>
      </c>
      <c r="DH25" s="154">
        <f t="shared" si="267"/>
        <v>0</v>
      </c>
      <c r="DI25" s="154">
        <f t="shared" si="194"/>
        <v>230000</v>
      </c>
      <c r="DJ25" s="154">
        <f t="shared" si="268"/>
        <v>230000</v>
      </c>
      <c r="DK25" s="154">
        <f t="shared" si="196"/>
        <v>6831</v>
      </c>
      <c r="DL25" s="154">
        <f t="shared" si="269"/>
        <v>6831</v>
      </c>
      <c r="DM25" s="154">
        <f t="shared" si="198"/>
        <v>117288.5</v>
      </c>
      <c r="DN25" s="154">
        <f t="shared" si="270"/>
        <v>117288.5</v>
      </c>
      <c r="DO25" s="157">
        <f t="shared" si="200"/>
        <v>112711.5</v>
      </c>
      <c r="DP25" s="154">
        <f t="shared" si="201"/>
        <v>0</v>
      </c>
      <c r="DQ25" s="158">
        <f t="shared" si="202"/>
        <v>0</v>
      </c>
      <c r="DR25" s="156">
        <f t="shared" si="260"/>
        <v>0</v>
      </c>
      <c r="DS25" s="154">
        <f t="shared" si="271"/>
        <v>0</v>
      </c>
      <c r="DT25" s="154">
        <f t="shared" si="205"/>
        <v>0</v>
      </c>
      <c r="DU25" s="154">
        <f t="shared" si="272"/>
        <v>0</v>
      </c>
      <c r="DV25" s="154">
        <f t="shared" si="207"/>
        <v>230000</v>
      </c>
      <c r="DW25" s="154">
        <f t="shared" si="273"/>
        <v>230000</v>
      </c>
      <c r="DX25" s="154">
        <f t="shared" si="209"/>
        <v>6831</v>
      </c>
      <c r="DY25" s="154">
        <f t="shared" si="274"/>
        <v>6831</v>
      </c>
      <c r="DZ25" s="154">
        <f t="shared" si="211"/>
        <v>110457.5</v>
      </c>
      <c r="EA25" s="154">
        <f t="shared" si="275"/>
        <v>110457.5</v>
      </c>
      <c r="EB25" s="157">
        <f t="shared" si="213"/>
        <v>119542.5</v>
      </c>
      <c r="EC25" s="154">
        <f t="shared" si="214"/>
        <v>0</v>
      </c>
      <c r="ED25" s="158">
        <f t="shared" si="215"/>
        <v>0</v>
      </c>
    </row>
    <row r="26" spans="1:134" x14ac:dyDescent="0.35">
      <c r="A26" s="183">
        <v>2004</v>
      </c>
      <c r="B26" s="173" t="s">
        <v>553</v>
      </c>
      <c r="C26" s="174"/>
      <c r="D26" s="175" t="s">
        <v>100</v>
      </c>
      <c r="E26" s="176">
        <v>180000</v>
      </c>
      <c r="F26" s="177">
        <v>38169</v>
      </c>
      <c r="G26" s="178">
        <v>33.700000000000003</v>
      </c>
      <c r="H26" s="179"/>
      <c r="I26" s="180"/>
      <c r="J26" s="181"/>
      <c r="K26" s="152">
        <f t="shared" si="216"/>
        <v>2.9700000000000001E-2</v>
      </c>
      <c r="L26" s="153">
        <f t="shared" si="217"/>
        <v>5346</v>
      </c>
      <c r="M26" s="154">
        <f t="shared" si="218"/>
        <v>139905</v>
      </c>
      <c r="N26" s="154"/>
      <c r="O26" s="154">
        <f t="shared" si="219"/>
        <v>40095</v>
      </c>
      <c r="P26" s="155"/>
      <c r="Q26" s="154">
        <f t="shared" si="220"/>
        <v>180000</v>
      </c>
      <c r="R26" s="156">
        <f t="shared" si="221"/>
        <v>0</v>
      </c>
      <c r="S26" s="154">
        <f t="shared" si="222"/>
        <v>0</v>
      </c>
      <c r="T26" s="154">
        <f t="shared" si="223"/>
        <v>0</v>
      </c>
      <c r="U26" s="154">
        <f t="shared" si="224"/>
        <v>0</v>
      </c>
      <c r="V26" s="154">
        <f t="shared" si="225"/>
        <v>180000</v>
      </c>
      <c r="W26" s="154">
        <f t="shared" si="226"/>
        <v>180000</v>
      </c>
      <c r="X26" s="154">
        <f t="shared" si="227"/>
        <v>5346</v>
      </c>
      <c r="Y26" s="154">
        <f t="shared" si="228"/>
        <v>5346</v>
      </c>
      <c r="Z26" s="154">
        <f t="shared" si="229"/>
        <v>134559</v>
      </c>
      <c r="AA26" s="154">
        <f t="shared" si="230"/>
        <v>134559</v>
      </c>
      <c r="AB26" s="157">
        <f t="shared" si="231"/>
        <v>45441</v>
      </c>
      <c r="AC26" s="154">
        <f t="shared" si="232"/>
        <v>0</v>
      </c>
      <c r="AD26" s="158">
        <f t="shared" si="233"/>
        <v>0</v>
      </c>
      <c r="AE26" s="156">
        <f t="shared" si="234"/>
        <v>0</v>
      </c>
      <c r="AF26" s="154">
        <f t="shared" si="235"/>
        <v>0</v>
      </c>
      <c r="AG26" s="154">
        <f t="shared" si="114"/>
        <v>0</v>
      </c>
      <c r="AH26" s="154">
        <f t="shared" si="236"/>
        <v>0</v>
      </c>
      <c r="AI26" s="154">
        <f t="shared" si="116"/>
        <v>180000</v>
      </c>
      <c r="AJ26" s="154">
        <f t="shared" si="237"/>
        <v>180000</v>
      </c>
      <c r="AK26" s="154">
        <f t="shared" si="118"/>
        <v>5346</v>
      </c>
      <c r="AL26" s="154">
        <f t="shared" si="238"/>
        <v>5346</v>
      </c>
      <c r="AM26" s="154">
        <f t="shared" si="120"/>
        <v>129213</v>
      </c>
      <c r="AN26" s="154">
        <f t="shared" si="239"/>
        <v>129213</v>
      </c>
      <c r="AO26" s="157">
        <f t="shared" si="122"/>
        <v>50787</v>
      </c>
      <c r="AP26" s="154">
        <f t="shared" si="123"/>
        <v>0</v>
      </c>
      <c r="AQ26" s="158">
        <f t="shared" si="124"/>
        <v>0</v>
      </c>
      <c r="AR26" s="156">
        <f t="shared" si="234"/>
        <v>0</v>
      </c>
      <c r="AS26" s="154">
        <f t="shared" si="240"/>
        <v>0</v>
      </c>
      <c r="AT26" s="154">
        <f t="shared" si="127"/>
        <v>0</v>
      </c>
      <c r="AU26" s="154">
        <f t="shared" si="241"/>
        <v>0</v>
      </c>
      <c r="AV26" s="154">
        <f t="shared" si="129"/>
        <v>180000</v>
      </c>
      <c r="AW26" s="154">
        <f t="shared" si="242"/>
        <v>180000</v>
      </c>
      <c r="AX26" s="154">
        <f t="shared" si="131"/>
        <v>5346</v>
      </c>
      <c r="AY26" s="154">
        <f t="shared" si="243"/>
        <v>5346</v>
      </c>
      <c r="AZ26" s="154">
        <f t="shared" si="133"/>
        <v>123867</v>
      </c>
      <c r="BA26" s="154">
        <f t="shared" si="244"/>
        <v>123867</v>
      </c>
      <c r="BB26" s="157">
        <f t="shared" si="135"/>
        <v>56133</v>
      </c>
      <c r="BC26" s="154">
        <f t="shared" si="136"/>
        <v>0</v>
      </c>
      <c r="BD26" s="158">
        <f t="shared" si="137"/>
        <v>0</v>
      </c>
      <c r="BE26" s="156">
        <f t="shared" si="234"/>
        <v>0</v>
      </c>
      <c r="BF26" s="154">
        <f t="shared" si="245"/>
        <v>0</v>
      </c>
      <c r="BG26" s="154">
        <f t="shared" si="140"/>
        <v>0</v>
      </c>
      <c r="BH26" s="154">
        <f t="shared" si="246"/>
        <v>0</v>
      </c>
      <c r="BI26" s="154">
        <f t="shared" si="142"/>
        <v>180000</v>
      </c>
      <c r="BJ26" s="154">
        <f t="shared" si="247"/>
        <v>180000</v>
      </c>
      <c r="BK26" s="154">
        <f t="shared" si="144"/>
        <v>5346</v>
      </c>
      <c r="BL26" s="154">
        <f t="shared" si="248"/>
        <v>5346</v>
      </c>
      <c r="BM26" s="154">
        <f t="shared" si="146"/>
        <v>118521</v>
      </c>
      <c r="BN26" s="154">
        <f t="shared" si="249"/>
        <v>118521</v>
      </c>
      <c r="BO26" s="157">
        <f t="shared" si="148"/>
        <v>61479</v>
      </c>
      <c r="BP26" s="154">
        <f t="shared" si="149"/>
        <v>0</v>
      </c>
      <c r="BQ26" s="158">
        <f t="shared" si="150"/>
        <v>0</v>
      </c>
      <c r="BR26" s="156">
        <f t="shared" si="234"/>
        <v>0</v>
      </c>
      <c r="BS26" s="154">
        <f t="shared" si="250"/>
        <v>0</v>
      </c>
      <c r="BT26" s="154">
        <f t="shared" si="153"/>
        <v>0</v>
      </c>
      <c r="BU26" s="154">
        <f t="shared" si="251"/>
        <v>0</v>
      </c>
      <c r="BV26" s="154">
        <f t="shared" si="155"/>
        <v>180000</v>
      </c>
      <c r="BW26" s="154">
        <f t="shared" si="252"/>
        <v>180000</v>
      </c>
      <c r="BX26" s="154">
        <f t="shared" si="157"/>
        <v>5346</v>
      </c>
      <c r="BY26" s="154">
        <f t="shared" si="253"/>
        <v>5346</v>
      </c>
      <c r="BZ26" s="154">
        <f t="shared" si="159"/>
        <v>113175</v>
      </c>
      <c r="CA26" s="154">
        <f t="shared" si="254"/>
        <v>113175</v>
      </c>
      <c r="CB26" s="157">
        <f t="shared" si="161"/>
        <v>66825</v>
      </c>
      <c r="CC26" s="154">
        <f t="shared" si="162"/>
        <v>0</v>
      </c>
      <c r="CD26" s="158">
        <f t="shared" si="163"/>
        <v>0</v>
      </c>
      <c r="CE26" s="156">
        <f t="shared" si="234"/>
        <v>0</v>
      </c>
      <c r="CF26" s="154">
        <f t="shared" si="255"/>
        <v>0</v>
      </c>
      <c r="CG26" s="154">
        <f t="shared" si="166"/>
        <v>0</v>
      </c>
      <c r="CH26" s="154">
        <f t="shared" si="256"/>
        <v>0</v>
      </c>
      <c r="CI26" s="154">
        <f t="shared" si="168"/>
        <v>180000</v>
      </c>
      <c r="CJ26" s="154">
        <f t="shared" si="257"/>
        <v>180000</v>
      </c>
      <c r="CK26" s="154">
        <f t="shared" si="170"/>
        <v>5346</v>
      </c>
      <c r="CL26" s="154">
        <f t="shared" si="258"/>
        <v>5346</v>
      </c>
      <c r="CM26" s="154">
        <f t="shared" si="172"/>
        <v>107829</v>
      </c>
      <c r="CN26" s="154">
        <f t="shared" si="259"/>
        <v>107829</v>
      </c>
      <c r="CO26" s="157">
        <f t="shared" si="174"/>
        <v>72171</v>
      </c>
      <c r="CP26" s="154">
        <f t="shared" si="175"/>
        <v>0</v>
      </c>
      <c r="CQ26" s="158">
        <f t="shared" si="176"/>
        <v>0</v>
      </c>
      <c r="CR26" s="156">
        <f t="shared" si="260"/>
        <v>0</v>
      </c>
      <c r="CS26" s="154">
        <f t="shared" si="261"/>
        <v>0</v>
      </c>
      <c r="CT26" s="154">
        <f t="shared" si="179"/>
        <v>0</v>
      </c>
      <c r="CU26" s="154">
        <f t="shared" si="262"/>
        <v>0</v>
      </c>
      <c r="CV26" s="154">
        <f t="shared" si="181"/>
        <v>180000</v>
      </c>
      <c r="CW26" s="154">
        <f t="shared" si="263"/>
        <v>180000</v>
      </c>
      <c r="CX26" s="154">
        <f t="shared" si="183"/>
        <v>5346</v>
      </c>
      <c r="CY26" s="154">
        <f t="shared" si="264"/>
        <v>5346</v>
      </c>
      <c r="CZ26" s="154">
        <f t="shared" si="185"/>
        <v>102483</v>
      </c>
      <c r="DA26" s="154">
        <f t="shared" si="265"/>
        <v>102483</v>
      </c>
      <c r="DB26" s="157">
        <f t="shared" si="187"/>
        <v>77517</v>
      </c>
      <c r="DC26" s="154">
        <f t="shared" si="188"/>
        <v>0</v>
      </c>
      <c r="DD26" s="158">
        <f t="shared" si="189"/>
        <v>0</v>
      </c>
      <c r="DE26" s="156">
        <f t="shared" si="260"/>
        <v>0</v>
      </c>
      <c r="DF26" s="154">
        <f t="shared" si="266"/>
        <v>0</v>
      </c>
      <c r="DG26" s="154">
        <f t="shared" si="192"/>
        <v>0</v>
      </c>
      <c r="DH26" s="154">
        <f t="shared" si="267"/>
        <v>0</v>
      </c>
      <c r="DI26" s="154">
        <f t="shared" si="194"/>
        <v>180000</v>
      </c>
      <c r="DJ26" s="154">
        <f t="shared" si="268"/>
        <v>180000</v>
      </c>
      <c r="DK26" s="154">
        <f t="shared" si="196"/>
        <v>5346</v>
      </c>
      <c r="DL26" s="154">
        <f t="shared" si="269"/>
        <v>5346</v>
      </c>
      <c r="DM26" s="154">
        <f t="shared" si="198"/>
        <v>97137</v>
      </c>
      <c r="DN26" s="154">
        <f t="shared" si="270"/>
        <v>97137</v>
      </c>
      <c r="DO26" s="157">
        <f t="shared" si="200"/>
        <v>82863</v>
      </c>
      <c r="DP26" s="154">
        <f t="shared" si="201"/>
        <v>0</v>
      </c>
      <c r="DQ26" s="158">
        <f t="shared" si="202"/>
        <v>0</v>
      </c>
      <c r="DR26" s="156">
        <f t="shared" si="260"/>
        <v>0</v>
      </c>
      <c r="DS26" s="154">
        <f t="shared" si="271"/>
        <v>0</v>
      </c>
      <c r="DT26" s="154">
        <f t="shared" si="205"/>
        <v>0</v>
      </c>
      <c r="DU26" s="154">
        <f t="shared" si="272"/>
        <v>0</v>
      </c>
      <c r="DV26" s="154">
        <f t="shared" si="207"/>
        <v>180000</v>
      </c>
      <c r="DW26" s="154">
        <f t="shared" si="273"/>
        <v>180000</v>
      </c>
      <c r="DX26" s="154">
        <f t="shared" si="209"/>
        <v>5346</v>
      </c>
      <c r="DY26" s="154">
        <f t="shared" si="274"/>
        <v>5346</v>
      </c>
      <c r="DZ26" s="154">
        <f t="shared" si="211"/>
        <v>91791</v>
      </c>
      <c r="EA26" s="154">
        <f t="shared" si="275"/>
        <v>91791</v>
      </c>
      <c r="EB26" s="157">
        <f t="shared" si="213"/>
        <v>88209</v>
      </c>
      <c r="EC26" s="154">
        <f t="shared" si="214"/>
        <v>0</v>
      </c>
      <c r="ED26" s="158">
        <f t="shared" si="215"/>
        <v>0</v>
      </c>
    </row>
    <row r="27" spans="1:134" x14ac:dyDescent="0.35">
      <c r="A27" s="183">
        <v>2005</v>
      </c>
      <c r="B27" s="173" t="s">
        <v>553</v>
      </c>
      <c r="C27" s="174"/>
      <c r="D27" s="175" t="s">
        <v>100</v>
      </c>
      <c r="E27" s="176">
        <v>400000</v>
      </c>
      <c r="F27" s="177">
        <v>38534</v>
      </c>
      <c r="G27" s="178">
        <v>33.700000000000003</v>
      </c>
      <c r="H27" s="179"/>
      <c r="I27" s="180"/>
      <c r="J27" s="181"/>
      <c r="K27" s="152">
        <f t="shared" si="216"/>
        <v>2.9700000000000001E-2</v>
      </c>
      <c r="L27" s="153">
        <f t="shared" si="217"/>
        <v>11880</v>
      </c>
      <c r="M27" s="154">
        <f t="shared" si="218"/>
        <v>322780</v>
      </c>
      <c r="N27" s="154"/>
      <c r="O27" s="154">
        <f t="shared" si="219"/>
        <v>77220</v>
      </c>
      <c r="P27" s="155"/>
      <c r="Q27" s="154">
        <f t="shared" si="220"/>
        <v>400000</v>
      </c>
      <c r="R27" s="156">
        <f t="shared" si="221"/>
        <v>0</v>
      </c>
      <c r="S27" s="154">
        <f t="shared" si="222"/>
        <v>0</v>
      </c>
      <c r="T27" s="154">
        <f t="shared" si="223"/>
        <v>0</v>
      </c>
      <c r="U27" s="154">
        <f t="shared" si="224"/>
        <v>0</v>
      </c>
      <c r="V27" s="154">
        <f t="shared" si="225"/>
        <v>400000</v>
      </c>
      <c r="W27" s="154">
        <f t="shared" si="226"/>
        <v>400000</v>
      </c>
      <c r="X27" s="154">
        <f t="shared" si="227"/>
        <v>11880</v>
      </c>
      <c r="Y27" s="154">
        <f t="shared" si="228"/>
        <v>11880</v>
      </c>
      <c r="Z27" s="154">
        <f t="shared" si="229"/>
        <v>310900</v>
      </c>
      <c r="AA27" s="154">
        <f t="shared" si="230"/>
        <v>310900</v>
      </c>
      <c r="AB27" s="157">
        <f t="shared" si="231"/>
        <v>89100</v>
      </c>
      <c r="AC27" s="154">
        <f t="shared" si="232"/>
        <v>0</v>
      </c>
      <c r="AD27" s="158">
        <f t="shared" si="233"/>
        <v>0</v>
      </c>
      <c r="AE27" s="156">
        <f t="shared" si="234"/>
        <v>0</v>
      </c>
      <c r="AF27" s="154">
        <f t="shared" si="235"/>
        <v>0</v>
      </c>
      <c r="AG27" s="154">
        <f t="shared" si="114"/>
        <v>0</v>
      </c>
      <c r="AH27" s="154">
        <f t="shared" si="236"/>
        <v>0</v>
      </c>
      <c r="AI27" s="154">
        <f t="shared" si="116"/>
        <v>400000</v>
      </c>
      <c r="AJ27" s="154">
        <f t="shared" si="237"/>
        <v>400000</v>
      </c>
      <c r="AK27" s="154">
        <f t="shared" si="118"/>
        <v>11880</v>
      </c>
      <c r="AL27" s="154">
        <f t="shared" si="238"/>
        <v>11880</v>
      </c>
      <c r="AM27" s="154">
        <f t="shared" si="120"/>
        <v>299020</v>
      </c>
      <c r="AN27" s="154">
        <f t="shared" si="239"/>
        <v>299020</v>
      </c>
      <c r="AO27" s="157">
        <f t="shared" si="122"/>
        <v>100980</v>
      </c>
      <c r="AP27" s="154">
        <f t="shared" si="123"/>
        <v>0</v>
      </c>
      <c r="AQ27" s="158">
        <f t="shared" si="124"/>
        <v>0</v>
      </c>
      <c r="AR27" s="156">
        <f t="shared" si="234"/>
        <v>0</v>
      </c>
      <c r="AS27" s="154">
        <f t="shared" si="240"/>
        <v>0</v>
      </c>
      <c r="AT27" s="154">
        <f t="shared" si="127"/>
        <v>0</v>
      </c>
      <c r="AU27" s="154">
        <f t="shared" si="241"/>
        <v>0</v>
      </c>
      <c r="AV27" s="154">
        <f t="shared" si="129"/>
        <v>400000</v>
      </c>
      <c r="AW27" s="154">
        <f t="shared" si="242"/>
        <v>400000</v>
      </c>
      <c r="AX27" s="154">
        <f t="shared" si="131"/>
        <v>11880</v>
      </c>
      <c r="AY27" s="154">
        <f t="shared" si="243"/>
        <v>11880</v>
      </c>
      <c r="AZ27" s="154">
        <f t="shared" si="133"/>
        <v>287140</v>
      </c>
      <c r="BA27" s="154">
        <f t="shared" si="244"/>
        <v>287140</v>
      </c>
      <c r="BB27" s="157">
        <f t="shared" si="135"/>
        <v>112860</v>
      </c>
      <c r="BC27" s="154">
        <f t="shared" si="136"/>
        <v>0</v>
      </c>
      <c r="BD27" s="158">
        <f t="shared" si="137"/>
        <v>0</v>
      </c>
      <c r="BE27" s="156">
        <f t="shared" si="234"/>
        <v>0</v>
      </c>
      <c r="BF27" s="154">
        <f t="shared" si="245"/>
        <v>0</v>
      </c>
      <c r="BG27" s="154">
        <f t="shared" si="140"/>
        <v>0</v>
      </c>
      <c r="BH27" s="154">
        <f t="shared" si="246"/>
        <v>0</v>
      </c>
      <c r="BI27" s="154">
        <f t="shared" si="142"/>
        <v>400000</v>
      </c>
      <c r="BJ27" s="154">
        <f t="shared" si="247"/>
        <v>400000</v>
      </c>
      <c r="BK27" s="154">
        <f t="shared" si="144"/>
        <v>11880</v>
      </c>
      <c r="BL27" s="154">
        <f t="shared" si="248"/>
        <v>11880</v>
      </c>
      <c r="BM27" s="154">
        <f t="shared" si="146"/>
        <v>275260</v>
      </c>
      <c r="BN27" s="154">
        <f t="shared" si="249"/>
        <v>275260</v>
      </c>
      <c r="BO27" s="157">
        <f t="shared" si="148"/>
        <v>124740</v>
      </c>
      <c r="BP27" s="154">
        <f t="shared" si="149"/>
        <v>0</v>
      </c>
      <c r="BQ27" s="158">
        <f t="shared" si="150"/>
        <v>0</v>
      </c>
      <c r="BR27" s="156">
        <f t="shared" si="234"/>
        <v>0</v>
      </c>
      <c r="BS27" s="154">
        <f t="shared" si="250"/>
        <v>0</v>
      </c>
      <c r="BT27" s="154">
        <f t="shared" si="153"/>
        <v>0</v>
      </c>
      <c r="BU27" s="154">
        <f t="shared" si="251"/>
        <v>0</v>
      </c>
      <c r="BV27" s="154">
        <f t="shared" si="155"/>
        <v>400000</v>
      </c>
      <c r="BW27" s="154">
        <f t="shared" si="252"/>
        <v>400000</v>
      </c>
      <c r="BX27" s="154">
        <f t="shared" si="157"/>
        <v>11880</v>
      </c>
      <c r="BY27" s="154">
        <f t="shared" si="253"/>
        <v>11880</v>
      </c>
      <c r="BZ27" s="154">
        <f t="shared" si="159"/>
        <v>263380</v>
      </c>
      <c r="CA27" s="154">
        <f t="shared" si="254"/>
        <v>263380</v>
      </c>
      <c r="CB27" s="157">
        <f t="shared" si="161"/>
        <v>136620</v>
      </c>
      <c r="CC27" s="154">
        <f t="shared" si="162"/>
        <v>0</v>
      </c>
      <c r="CD27" s="158">
        <f t="shared" si="163"/>
        <v>0</v>
      </c>
      <c r="CE27" s="156">
        <f t="shared" si="234"/>
        <v>0</v>
      </c>
      <c r="CF27" s="154">
        <f t="shared" si="255"/>
        <v>0</v>
      </c>
      <c r="CG27" s="154">
        <f t="shared" si="166"/>
        <v>0</v>
      </c>
      <c r="CH27" s="154">
        <f t="shared" si="256"/>
        <v>0</v>
      </c>
      <c r="CI27" s="154">
        <f t="shared" si="168"/>
        <v>400000</v>
      </c>
      <c r="CJ27" s="154">
        <f t="shared" si="257"/>
        <v>400000</v>
      </c>
      <c r="CK27" s="154">
        <f t="shared" si="170"/>
        <v>11880</v>
      </c>
      <c r="CL27" s="154">
        <f t="shared" si="258"/>
        <v>11880</v>
      </c>
      <c r="CM27" s="154">
        <f t="shared" si="172"/>
        <v>251500</v>
      </c>
      <c r="CN27" s="154">
        <f t="shared" si="259"/>
        <v>251500</v>
      </c>
      <c r="CO27" s="157">
        <f t="shared" si="174"/>
        <v>148500</v>
      </c>
      <c r="CP27" s="154">
        <f t="shared" si="175"/>
        <v>0</v>
      </c>
      <c r="CQ27" s="158">
        <f t="shared" si="176"/>
        <v>0</v>
      </c>
      <c r="CR27" s="156">
        <f t="shared" si="260"/>
        <v>0</v>
      </c>
      <c r="CS27" s="154">
        <f t="shared" si="261"/>
        <v>0</v>
      </c>
      <c r="CT27" s="154">
        <f t="shared" si="179"/>
        <v>0</v>
      </c>
      <c r="CU27" s="154">
        <f t="shared" si="262"/>
        <v>0</v>
      </c>
      <c r="CV27" s="154">
        <f t="shared" si="181"/>
        <v>400000</v>
      </c>
      <c r="CW27" s="154">
        <f t="shared" si="263"/>
        <v>400000</v>
      </c>
      <c r="CX27" s="154">
        <f t="shared" si="183"/>
        <v>11880</v>
      </c>
      <c r="CY27" s="154">
        <f t="shared" si="264"/>
        <v>11880</v>
      </c>
      <c r="CZ27" s="154">
        <f t="shared" si="185"/>
        <v>239620</v>
      </c>
      <c r="DA27" s="154">
        <f t="shared" si="265"/>
        <v>239620</v>
      </c>
      <c r="DB27" s="157">
        <f t="shared" si="187"/>
        <v>160380</v>
      </c>
      <c r="DC27" s="154">
        <f t="shared" si="188"/>
        <v>0</v>
      </c>
      <c r="DD27" s="158">
        <f t="shared" si="189"/>
        <v>0</v>
      </c>
      <c r="DE27" s="156">
        <f t="shared" si="260"/>
        <v>0</v>
      </c>
      <c r="DF27" s="154">
        <f t="shared" si="266"/>
        <v>0</v>
      </c>
      <c r="DG27" s="154">
        <f t="shared" si="192"/>
        <v>0</v>
      </c>
      <c r="DH27" s="154">
        <f t="shared" si="267"/>
        <v>0</v>
      </c>
      <c r="DI27" s="154">
        <f t="shared" si="194"/>
        <v>400000</v>
      </c>
      <c r="DJ27" s="154">
        <f t="shared" si="268"/>
        <v>400000</v>
      </c>
      <c r="DK27" s="154">
        <f t="shared" si="196"/>
        <v>11880</v>
      </c>
      <c r="DL27" s="154">
        <f t="shared" si="269"/>
        <v>11880</v>
      </c>
      <c r="DM27" s="154">
        <f t="shared" si="198"/>
        <v>227740</v>
      </c>
      <c r="DN27" s="154">
        <f t="shared" si="270"/>
        <v>227740</v>
      </c>
      <c r="DO27" s="157">
        <f t="shared" si="200"/>
        <v>172260</v>
      </c>
      <c r="DP27" s="154">
        <f t="shared" si="201"/>
        <v>0</v>
      </c>
      <c r="DQ27" s="158">
        <f t="shared" si="202"/>
        <v>0</v>
      </c>
      <c r="DR27" s="156">
        <f t="shared" si="260"/>
        <v>0</v>
      </c>
      <c r="DS27" s="154">
        <f t="shared" si="271"/>
        <v>0</v>
      </c>
      <c r="DT27" s="154">
        <f t="shared" si="205"/>
        <v>0</v>
      </c>
      <c r="DU27" s="154">
        <f t="shared" si="272"/>
        <v>0</v>
      </c>
      <c r="DV27" s="154">
        <f t="shared" si="207"/>
        <v>400000</v>
      </c>
      <c r="DW27" s="154">
        <f t="shared" si="273"/>
        <v>400000</v>
      </c>
      <c r="DX27" s="154">
        <f t="shared" si="209"/>
        <v>11880</v>
      </c>
      <c r="DY27" s="154">
        <f t="shared" si="274"/>
        <v>11880</v>
      </c>
      <c r="DZ27" s="154">
        <f t="shared" si="211"/>
        <v>215860</v>
      </c>
      <c r="EA27" s="154">
        <f t="shared" si="275"/>
        <v>215860</v>
      </c>
      <c r="EB27" s="157">
        <f t="shared" si="213"/>
        <v>184140</v>
      </c>
      <c r="EC27" s="154">
        <f t="shared" si="214"/>
        <v>0</v>
      </c>
      <c r="ED27" s="158">
        <f t="shared" si="215"/>
        <v>0</v>
      </c>
    </row>
    <row r="28" spans="1:134" x14ac:dyDescent="0.35">
      <c r="A28" s="183">
        <v>2006</v>
      </c>
      <c r="B28" s="173" t="s">
        <v>553</v>
      </c>
      <c r="C28" s="174"/>
      <c r="D28" s="175" t="s">
        <v>100</v>
      </c>
      <c r="E28" s="176">
        <v>334699</v>
      </c>
      <c r="F28" s="177">
        <v>38899</v>
      </c>
      <c r="G28" s="178">
        <v>33.700000000000003</v>
      </c>
      <c r="H28" s="179"/>
      <c r="I28" s="180"/>
      <c r="J28" s="181"/>
      <c r="K28" s="152">
        <f t="shared" si="216"/>
        <v>2.9700000000000001E-2</v>
      </c>
      <c r="L28" s="153">
        <f t="shared" si="217"/>
        <v>9940.56</v>
      </c>
      <c r="M28" s="154">
        <f t="shared" si="218"/>
        <v>280025.92</v>
      </c>
      <c r="N28" s="154"/>
      <c r="O28" s="154">
        <f t="shared" si="219"/>
        <v>54673.079999999994</v>
      </c>
      <c r="P28" s="155"/>
      <c r="Q28" s="154">
        <f t="shared" si="220"/>
        <v>334699</v>
      </c>
      <c r="R28" s="156">
        <f t="shared" si="221"/>
        <v>0</v>
      </c>
      <c r="S28" s="154">
        <f t="shared" si="222"/>
        <v>0</v>
      </c>
      <c r="T28" s="154">
        <f t="shared" si="223"/>
        <v>0</v>
      </c>
      <c r="U28" s="154">
        <f t="shared" si="224"/>
        <v>0</v>
      </c>
      <c r="V28" s="154">
        <f t="shared" si="225"/>
        <v>334699</v>
      </c>
      <c r="W28" s="154">
        <f t="shared" si="226"/>
        <v>334699</v>
      </c>
      <c r="X28" s="154">
        <f t="shared" si="227"/>
        <v>9940.56</v>
      </c>
      <c r="Y28" s="154">
        <f t="shared" si="228"/>
        <v>9940.56</v>
      </c>
      <c r="Z28" s="154">
        <f t="shared" si="229"/>
        <v>270085.36</v>
      </c>
      <c r="AA28" s="154">
        <f t="shared" si="230"/>
        <v>270085.36</v>
      </c>
      <c r="AB28" s="157">
        <f t="shared" si="231"/>
        <v>64613.639999999992</v>
      </c>
      <c r="AC28" s="154">
        <f t="shared" si="232"/>
        <v>0</v>
      </c>
      <c r="AD28" s="158">
        <f t="shared" si="233"/>
        <v>0</v>
      </c>
      <c r="AE28" s="156">
        <f t="shared" si="234"/>
        <v>0</v>
      </c>
      <c r="AF28" s="154">
        <f t="shared" si="235"/>
        <v>0</v>
      </c>
      <c r="AG28" s="154">
        <f t="shared" si="114"/>
        <v>0</v>
      </c>
      <c r="AH28" s="154">
        <f t="shared" si="236"/>
        <v>0</v>
      </c>
      <c r="AI28" s="154">
        <f t="shared" si="116"/>
        <v>334699</v>
      </c>
      <c r="AJ28" s="154">
        <f t="shared" si="237"/>
        <v>334699</v>
      </c>
      <c r="AK28" s="154">
        <f t="shared" si="118"/>
        <v>9940.56</v>
      </c>
      <c r="AL28" s="154">
        <f t="shared" si="238"/>
        <v>9940.56</v>
      </c>
      <c r="AM28" s="154">
        <f t="shared" si="120"/>
        <v>260144.8</v>
      </c>
      <c r="AN28" s="154">
        <f t="shared" si="239"/>
        <v>260144.8</v>
      </c>
      <c r="AO28" s="157">
        <f t="shared" si="122"/>
        <v>74554.2</v>
      </c>
      <c r="AP28" s="154">
        <f t="shared" si="123"/>
        <v>0</v>
      </c>
      <c r="AQ28" s="158">
        <f t="shared" si="124"/>
        <v>0</v>
      </c>
      <c r="AR28" s="156">
        <f t="shared" si="234"/>
        <v>0</v>
      </c>
      <c r="AS28" s="154">
        <f t="shared" si="240"/>
        <v>0</v>
      </c>
      <c r="AT28" s="154">
        <f t="shared" si="127"/>
        <v>0</v>
      </c>
      <c r="AU28" s="154">
        <f t="shared" si="241"/>
        <v>0</v>
      </c>
      <c r="AV28" s="154">
        <f t="shared" si="129"/>
        <v>334699</v>
      </c>
      <c r="AW28" s="154">
        <f t="shared" si="242"/>
        <v>334699</v>
      </c>
      <c r="AX28" s="154">
        <f t="shared" si="131"/>
        <v>9940.56</v>
      </c>
      <c r="AY28" s="154">
        <f t="shared" si="243"/>
        <v>9940.56</v>
      </c>
      <c r="AZ28" s="154">
        <f t="shared" si="133"/>
        <v>250204.24</v>
      </c>
      <c r="BA28" s="154">
        <f t="shared" si="244"/>
        <v>250204.24</v>
      </c>
      <c r="BB28" s="157">
        <f t="shared" si="135"/>
        <v>84494.76</v>
      </c>
      <c r="BC28" s="154">
        <f t="shared" si="136"/>
        <v>0</v>
      </c>
      <c r="BD28" s="158">
        <f t="shared" si="137"/>
        <v>0</v>
      </c>
      <c r="BE28" s="156">
        <f t="shared" si="234"/>
        <v>0</v>
      </c>
      <c r="BF28" s="154">
        <f t="shared" si="245"/>
        <v>0</v>
      </c>
      <c r="BG28" s="154">
        <f t="shared" si="140"/>
        <v>0</v>
      </c>
      <c r="BH28" s="154">
        <f t="shared" si="246"/>
        <v>0</v>
      </c>
      <c r="BI28" s="154">
        <f t="shared" si="142"/>
        <v>334699</v>
      </c>
      <c r="BJ28" s="154">
        <f t="shared" si="247"/>
        <v>334699</v>
      </c>
      <c r="BK28" s="154">
        <f t="shared" si="144"/>
        <v>9940.56</v>
      </c>
      <c r="BL28" s="154">
        <f t="shared" si="248"/>
        <v>9940.56</v>
      </c>
      <c r="BM28" s="154">
        <f t="shared" si="146"/>
        <v>240263.67999999999</v>
      </c>
      <c r="BN28" s="154">
        <f t="shared" si="249"/>
        <v>240263.67999999999</v>
      </c>
      <c r="BO28" s="157">
        <f t="shared" si="148"/>
        <v>94435.319999999992</v>
      </c>
      <c r="BP28" s="154">
        <f t="shared" si="149"/>
        <v>0</v>
      </c>
      <c r="BQ28" s="158">
        <f t="shared" si="150"/>
        <v>0</v>
      </c>
      <c r="BR28" s="156">
        <f t="shared" si="234"/>
        <v>0</v>
      </c>
      <c r="BS28" s="154">
        <f t="shared" si="250"/>
        <v>0</v>
      </c>
      <c r="BT28" s="154">
        <f t="shared" si="153"/>
        <v>0</v>
      </c>
      <c r="BU28" s="154">
        <f t="shared" si="251"/>
        <v>0</v>
      </c>
      <c r="BV28" s="154">
        <f t="shared" si="155"/>
        <v>334699</v>
      </c>
      <c r="BW28" s="154">
        <f t="shared" si="252"/>
        <v>334699</v>
      </c>
      <c r="BX28" s="154">
        <f t="shared" si="157"/>
        <v>9940.56</v>
      </c>
      <c r="BY28" s="154">
        <f t="shared" si="253"/>
        <v>9940.56</v>
      </c>
      <c r="BZ28" s="154">
        <f t="shared" si="159"/>
        <v>230323.12</v>
      </c>
      <c r="CA28" s="154">
        <f t="shared" si="254"/>
        <v>230323.12</v>
      </c>
      <c r="CB28" s="157">
        <f t="shared" si="161"/>
        <v>104375.87999999999</v>
      </c>
      <c r="CC28" s="154">
        <f t="shared" si="162"/>
        <v>0</v>
      </c>
      <c r="CD28" s="158">
        <f t="shared" si="163"/>
        <v>0</v>
      </c>
      <c r="CE28" s="156">
        <f t="shared" si="234"/>
        <v>0</v>
      </c>
      <c r="CF28" s="154">
        <f t="shared" si="255"/>
        <v>0</v>
      </c>
      <c r="CG28" s="154">
        <f t="shared" si="166"/>
        <v>0</v>
      </c>
      <c r="CH28" s="154">
        <f t="shared" si="256"/>
        <v>0</v>
      </c>
      <c r="CI28" s="154">
        <f t="shared" si="168"/>
        <v>334699</v>
      </c>
      <c r="CJ28" s="154">
        <f t="shared" si="257"/>
        <v>334699</v>
      </c>
      <c r="CK28" s="154">
        <f t="shared" si="170"/>
        <v>9940.56</v>
      </c>
      <c r="CL28" s="154">
        <f t="shared" si="258"/>
        <v>9940.56</v>
      </c>
      <c r="CM28" s="154">
        <f t="shared" si="172"/>
        <v>220382.56</v>
      </c>
      <c r="CN28" s="154">
        <f t="shared" si="259"/>
        <v>220382.56</v>
      </c>
      <c r="CO28" s="157">
        <f t="shared" si="174"/>
        <v>114316.43999999999</v>
      </c>
      <c r="CP28" s="154">
        <f t="shared" si="175"/>
        <v>0</v>
      </c>
      <c r="CQ28" s="158">
        <f t="shared" si="176"/>
        <v>0</v>
      </c>
      <c r="CR28" s="156">
        <f t="shared" si="260"/>
        <v>0</v>
      </c>
      <c r="CS28" s="154">
        <f t="shared" si="261"/>
        <v>0</v>
      </c>
      <c r="CT28" s="154">
        <f t="shared" si="179"/>
        <v>0</v>
      </c>
      <c r="CU28" s="154">
        <f t="shared" si="262"/>
        <v>0</v>
      </c>
      <c r="CV28" s="154">
        <f t="shared" si="181"/>
        <v>334699</v>
      </c>
      <c r="CW28" s="154">
        <f t="shared" si="263"/>
        <v>334699</v>
      </c>
      <c r="CX28" s="154">
        <f t="shared" si="183"/>
        <v>9940.56</v>
      </c>
      <c r="CY28" s="154">
        <f t="shared" si="264"/>
        <v>9940.56</v>
      </c>
      <c r="CZ28" s="154">
        <f t="shared" si="185"/>
        <v>210442</v>
      </c>
      <c r="DA28" s="154">
        <f t="shared" si="265"/>
        <v>210442</v>
      </c>
      <c r="DB28" s="157">
        <f t="shared" si="187"/>
        <v>124256.99999999999</v>
      </c>
      <c r="DC28" s="154">
        <f t="shared" si="188"/>
        <v>0</v>
      </c>
      <c r="DD28" s="158">
        <f t="shared" si="189"/>
        <v>0</v>
      </c>
      <c r="DE28" s="156">
        <f t="shared" si="260"/>
        <v>0</v>
      </c>
      <c r="DF28" s="154">
        <f t="shared" si="266"/>
        <v>0</v>
      </c>
      <c r="DG28" s="154">
        <f t="shared" si="192"/>
        <v>0</v>
      </c>
      <c r="DH28" s="154">
        <f t="shared" si="267"/>
        <v>0</v>
      </c>
      <c r="DI28" s="154">
        <f t="shared" si="194"/>
        <v>334699</v>
      </c>
      <c r="DJ28" s="154">
        <f t="shared" si="268"/>
        <v>334699</v>
      </c>
      <c r="DK28" s="154">
        <f t="shared" si="196"/>
        <v>9940.56</v>
      </c>
      <c r="DL28" s="154">
        <f t="shared" si="269"/>
        <v>9940.56</v>
      </c>
      <c r="DM28" s="154">
        <f t="shared" si="198"/>
        <v>200501.44</v>
      </c>
      <c r="DN28" s="154">
        <f t="shared" si="270"/>
        <v>200501.44</v>
      </c>
      <c r="DO28" s="157">
        <f t="shared" si="200"/>
        <v>134197.56</v>
      </c>
      <c r="DP28" s="154">
        <f t="shared" si="201"/>
        <v>0</v>
      </c>
      <c r="DQ28" s="158">
        <f t="shared" si="202"/>
        <v>0</v>
      </c>
      <c r="DR28" s="156">
        <f t="shared" si="260"/>
        <v>0</v>
      </c>
      <c r="DS28" s="154">
        <f t="shared" si="271"/>
        <v>0</v>
      </c>
      <c r="DT28" s="154">
        <f t="shared" si="205"/>
        <v>0</v>
      </c>
      <c r="DU28" s="154">
        <f t="shared" si="272"/>
        <v>0</v>
      </c>
      <c r="DV28" s="154">
        <f t="shared" si="207"/>
        <v>334699</v>
      </c>
      <c r="DW28" s="154">
        <f t="shared" si="273"/>
        <v>334699</v>
      </c>
      <c r="DX28" s="154">
        <f t="shared" si="209"/>
        <v>9940.56</v>
      </c>
      <c r="DY28" s="154">
        <f t="shared" si="274"/>
        <v>9940.56</v>
      </c>
      <c r="DZ28" s="154">
        <f t="shared" si="211"/>
        <v>190560.88</v>
      </c>
      <c r="EA28" s="154">
        <f t="shared" si="275"/>
        <v>190560.88</v>
      </c>
      <c r="EB28" s="157">
        <f t="shared" si="213"/>
        <v>144138.12</v>
      </c>
      <c r="EC28" s="154">
        <f t="shared" si="214"/>
        <v>0</v>
      </c>
      <c r="ED28" s="158">
        <f t="shared" si="215"/>
        <v>0</v>
      </c>
    </row>
    <row r="29" spans="1:134" x14ac:dyDescent="0.35">
      <c r="A29" s="183">
        <v>2007</v>
      </c>
      <c r="B29" s="173" t="s">
        <v>553</v>
      </c>
      <c r="C29" s="174"/>
      <c r="D29" s="175" t="s">
        <v>100</v>
      </c>
      <c r="E29" s="176">
        <v>213101</v>
      </c>
      <c r="F29" s="177">
        <v>39264</v>
      </c>
      <c r="G29" s="178">
        <v>33.700000000000003</v>
      </c>
      <c r="H29" s="179"/>
      <c r="I29" s="180"/>
      <c r="J29" s="181"/>
      <c r="K29" s="152">
        <f t="shared" si="216"/>
        <v>2.9700000000000001E-2</v>
      </c>
      <c r="L29" s="153">
        <f t="shared" si="217"/>
        <v>6329.1</v>
      </c>
      <c r="M29" s="154">
        <f t="shared" si="218"/>
        <v>184620.05</v>
      </c>
      <c r="N29" s="154"/>
      <c r="O29" s="154">
        <f t="shared" si="219"/>
        <v>28480.95</v>
      </c>
      <c r="P29" s="155"/>
      <c r="Q29" s="154">
        <f t="shared" si="220"/>
        <v>213101</v>
      </c>
      <c r="R29" s="156">
        <f t="shared" si="221"/>
        <v>0</v>
      </c>
      <c r="S29" s="154">
        <f t="shared" si="222"/>
        <v>0</v>
      </c>
      <c r="T29" s="154">
        <f t="shared" si="223"/>
        <v>0</v>
      </c>
      <c r="U29" s="154">
        <f t="shared" si="224"/>
        <v>0</v>
      </c>
      <c r="V29" s="154">
        <f t="shared" si="225"/>
        <v>213101</v>
      </c>
      <c r="W29" s="154">
        <f t="shared" si="226"/>
        <v>213101</v>
      </c>
      <c r="X29" s="154">
        <f t="shared" si="227"/>
        <v>6329.1</v>
      </c>
      <c r="Y29" s="154">
        <f t="shared" si="228"/>
        <v>6329.1</v>
      </c>
      <c r="Z29" s="154">
        <f t="shared" si="229"/>
        <v>178290.94999999998</v>
      </c>
      <c r="AA29" s="154">
        <f t="shared" si="230"/>
        <v>178290.94999999998</v>
      </c>
      <c r="AB29" s="157">
        <f t="shared" si="231"/>
        <v>34810.050000000003</v>
      </c>
      <c r="AC29" s="154">
        <f t="shared" si="232"/>
        <v>0</v>
      </c>
      <c r="AD29" s="158">
        <f t="shared" si="233"/>
        <v>0</v>
      </c>
      <c r="AE29" s="156">
        <f t="shared" si="234"/>
        <v>0</v>
      </c>
      <c r="AF29" s="154">
        <f t="shared" si="235"/>
        <v>0</v>
      </c>
      <c r="AG29" s="154">
        <f t="shared" si="114"/>
        <v>0</v>
      </c>
      <c r="AH29" s="154">
        <f t="shared" si="236"/>
        <v>0</v>
      </c>
      <c r="AI29" s="154">
        <f t="shared" si="116"/>
        <v>213101</v>
      </c>
      <c r="AJ29" s="154">
        <f t="shared" si="237"/>
        <v>213101</v>
      </c>
      <c r="AK29" s="154">
        <f t="shared" si="118"/>
        <v>6329.1</v>
      </c>
      <c r="AL29" s="154">
        <f t="shared" si="238"/>
        <v>6329.1</v>
      </c>
      <c r="AM29" s="154">
        <f t="shared" si="120"/>
        <v>171961.84999999998</v>
      </c>
      <c r="AN29" s="154">
        <f t="shared" si="239"/>
        <v>171961.84999999998</v>
      </c>
      <c r="AO29" s="157">
        <f t="shared" si="122"/>
        <v>41139.15</v>
      </c>
      <c r="AP29" s="154">
        <f t="shared" si="123"/>
        <v>0</v>
      </c>
      <c r="AQ29" s="158">
        <f t="shared" si="124"/>
        <v>0</v>
      </c>
      <c r="AR29" s="156">
        <f t="shared" si="234"/>
        <v>0</v>
      </c>
      <c r="AS29" s="154">
        <f t="shared" si="240"/>
        <v>0</v>
      </c>
      <c r="AT29" s="154">
        <f t="shared" si="127"/>
        <v>0</v>
      </c>
      <c r="AU29" s="154">
        <f t="shared" si="241"/>
        <v>0</v>
      </c>
      <c r="AV29" s="154">
        <f t="shared" si="129"/>
        <v>213101</v>
      </c>
      <c r="AW29" s="154">
        <f t="shared" si="242"/>
        <v>213101</v>
      </c>
      <c r="AX29" s="154">
        <f t="shared" si="131"/>
        <v>6329.1</v>
      </c>
      <c r="AY29" s="154">
        <f t="shared" si="243"/>
        <v>6329.1</v>
      </c>
      <c r="AZ29" s="154">
        <f t="shared" si="133"/>
        <v>165632.74999999997</v>
      </c>
      <c r="BA29" s="154">
        <f t="shared" si="244"/>
        <v>165632.74999999997</v>
      </c>
      <c r="BB29" s="157">
        <f t="shared" si="135"/>
        <v>47468.25</v>
      </c>
      <c r="BC29" s="154">
        <f t="shared" si="136"/>
        <v>0</v>
      </c>
      <c r="BD29" s="158">
        <f t="shared" si="137"/>
        <v>0</v>
      </c>
      <c r="BE29" s="156">
        <f t="shared" si="234"/>
        <v>0</v>
      </c>
      <c r="BF29" s="154">
        <f t="shared" si="245"/>
        <v>0</v>
      </c>
      <c r="BG29" s="154">
        <f t="shared" si="140"/>
        <v>0</v>
      </c>
      <c r="BH29" s="154">
        <f t="shared" si="246"/>
        <v>0</v>
      </c>
      <c r="BI29" s="154">
        <f t="shared" si="142"/>
        <v>213101</v>
      </c>
      <c r="BJ29" s="154">
        <f t="shared" si="247"/>
        <v>213101</v>
      </c>
      <c r="BK29" s="154">
        <f t="shared" si="144"/>
        <v>6329.1</v>
      </c>
      <c r="BL29" s="154">
        <f t="shared" si="248"/>
        <v>6329.1</v>
      </c>
      <c r="BM29" s="154">
        <f t="shared" si="146"/>
        <v>159303.64999999997</v>
      </c>
      <c r="BN29" s="154">
        <f t="shared" si="249"/>
        <v>159303.64999999997</v>
      </c>
      <c r="BO29" s="157">
        <f t="shared" si="148"/>
        <v>53797.35</v>
      </c>
      <c r="BP29" s="154">
        <f t="shared" si="149"/>
        <v>0</v>
      </c>
      <c r="BQ29" s="158">
        <f t="shared" si="150"/>
        <v>0</v>
      </c>
      <c r="BR29" s="156">
        <f t="shared" si="234"/>
        <v>0</v>
      </c>
      <c r="BS29" s="154">
        <f t="shared" si="250"/>
        <v>0</v>
      </c>
      <c r="BT29" s="154">
        <f t="shared" si="153"/>
        <v>0</v>
      </c>
      <c r="BU29" s="154">
        <f t="shared" si="251"/>
        <v>0</v>
      </c>
      <c r="BV29" s="154">
        <f t="shared" si="155"/>
        <v>213101</v>
      </c>
      <c r="BW29" s="154">
        <f t="shared" si="252"/>
        <v>213101</v>
      </c>
      <c r="BX29" s="154">
        <f t="shared" si="157"/>
        <v>6329.1</v>
      </c>
      <c r="BY29" s="154">
        <f t="shared" si="253"/>
        <v>6329.1</v>
      </c>
      <c r="BZ29" s="154">
        <f t="shared" si="159"/>
        <v>152974.54999999996</v>
      </c>
      <c r="CA29" s="154">
        <f t="shared" si="254"/>
        <v>152974.54999999996</v>
      </c>
      <c r="CB29" s="157">
        <f t="shared" si="161"/>
        <v>60126.45</v>
      </c>
      <c r="CC29" s="154">
        <f t="shared" si="162"/>
        <v>0</v>
      </c>
      <c r="CD29" s="158">
        <f t="shared" si="163"/>
        <v>0</v>
      </c>
      <c r="CE29" s="156">
        <f t="shared" si="234"/>
        <v>0</v>
      </c>
      <c r="CF29" s="154">
        <f t="shared" si="255"/>
        <v>0</v>
      </c>
      <c r="CG29" s="154">
        <f t="shared" si="166"/>
        <v>0</v>
      </c>
      <c r="CH29" s="154">
        <f t="shared" si="256"/>
        <v>0</v>
      </c>
      <c r="CI29" s="154">
        <f t="shared" si="168"/>
        <v>213101</v>
      </c>
      <c r="CJ29" s="154">
        <f t="shared" si="257"/>
        <v>213101</v>
      </c>
      <c r="CK29" s="154">
        <f t="shared" si="170"/>
        <v>6329.1</v>
      </c>
      <c r="CL29" s="154">
        <f t="shared" si="258"/>
        <v>6329.1</v>
      </c>
      <c r="CM29" s="154">
        <f t="shared" si="172"/>
        <v>146645.44999999995</v>
      </c>
      <c r="CN29" s="154">
        <f t="shared" si="259"/>
        <v>146645.44999999995</v>
      </c>
      <c r="CO29" s="157">
        <f t="shared" si="174"/>
        <v>66455.55</v>
      </c>
      <c r="CP29" s="154">
        <f t="shared" si="175"/>
        <v>0</v>
      </c>
      <c r="CQ29" s="158">
        <f t="shared" si="176"/>
        <v>0</v>
      </c>
      <c r="CR29" s="156">
        <f t="shared" si="260"/>
        <v>0</v>
      </c>
      <c r="CS29" s="154">
        <f t="shared" si="261"/>
        <v>0</v>
      </c>
      <c r="CT29" s="154">
        <f t="shared" si="179"/>
        <v>0</v>
      </c>
      <c r="CU29" s="154">
        <f t="shared" si="262"/>
        <v>0</v>
      </c>
      <c r="CV29" s="154">
        <f t="shared" si="181"/>
        <v>213101</v>
      </c>
      <c r="CW29" s="154">
        <f t="shared" si="263"/>
        <v>213101</v>
      </c>
      <c r="CX29" s="154">
        <f t="shared" si="183"/>
        <v>6329.1</v>
      </c>
      <c r="CY29" s="154">
        <f t="shared" si="264"/>
        <v>6329.1</v>
      </c>
      <c r="CZ29" s="154">
        <f t="shared" si="185"/>
        <v>140316.34999999995</v>
      </c>
      <c r="DA29" s="154">
        <f t="shared" si="265"/>
        <v>140316.34999999995</v>
      </c>
      <c r="DB29" s="157">
        <f t="shared" si="187"/>
        <v>72784.650000000009</v>
      </c>
      <c r="DC29" s="154">
        <f t="shared" si="188"/>
        <v>0</v>
      </c>
      <c r="DD29" s="158">
        <f t="shared" si="189"/>
        <v>0</v>
      </c>
      <c r="DE29" s="156">
        <f t="shared" si="260"/>
        <v>0</v>
      </c>
      <c r="DF29" s="154">
        <f t="shared" si="266"/>
        <v>0</v>
      </c>
      <c r="DG29" s="154">
        <f t="shared" si="192"/>
        <v>0</v>
      </c>
      <c r="DH29" s="154">
        <f t="shared" si="267"/>
        <v>0</v>
      </c>
      <c r="DI29" s="154">
        <f t="shared" si="194"/>
        <v>213101</v>
      </c>
      <c r="DJ29" s="154">
        <f t="shared" si="268"/>
        <v>213101</v>
      </c>
      <c r="DK29" s="154">
        <f t="shared" si="196"/>
        <v>6329.1</v>
      </c>
      <c r="DL29" s="154">
        <f t="shared" si="269"/>
        <v>6329.1</v>
      </c>
      <c r="DM29" s="154">
        <f t="shared" si="198"/>
        <v>133987.24999999994</v>
      </c>
      <c r="DN29" s="154">
        <f t="shared" si="270"/>
        <v>133987.24999999994</v>
      </c>
      <c r="DO29" s="157">
        <f t="shared" si="200"/>
        <v>79113.750000000015</v>
      </c>
      <c r="DP29" s="154">
        <f t="shared" si="201"/>
        <v>0</v>
      </c>
      <c r="DQ29" s="158">
        <f t="shared" si="202"/>
        <v>0</v>
      </c>
      <c r="DR29" s="156">
        <f t="shared" si="260"/>
        <v>0</v>
      </c>
      <c r="DS29" s="154">
        <f t="shared" si="271"/>
        <v>0</v>
      </c>
      <c r="DT29" s="154">
        <f t="shared" si="205"/>
        <v>0</v>
      </c>
      <c r="DU29" s="154">
        <f t="shared" si="272"/>
        <v>0</v>
      </c>
      <c r="DV29" s="154">
        <f t="shared" si="207"/>
        <v>213101</v>
      </c>
      <c r="DW29" s="154">
        <f t="shared" si="273"/>
        <v>213101</v>
      </c>
      <c r="DX29" s="154">
        <f t="shared" si="209"/>
        <v>6329.1</v>
      </c>
      <c r="DY29" s="154">
        <f t="shared" si="274"/>
        <v>6329.1</v>
      </c>
      <c r="DZ29" s="154">
        <f t="shared" si="211"/>
        <v>127658.14999999994</v>
      </c>
      <c r="EA29" s="154">
        <f t="shared" si="275"/>
        <v>127658.14999999994</v>
      </c>
      <c r="EB29" s="157">
        <f t="shared" si="213"/>
        <v>85442.85000000002</v>
      </c>
      <c r="EC29" s="154">
        <f t="shared" si="214"/>
        <v>0</v>
      </c>
      <c r="ED29" s="158">
        <f t="shared" si="215"/>
        <v>0</v>
      </c>
    </row>
    <row r="30" spans="1:134" x14ac:dyDescent="0.35">
      <c r="A30" s="183">
        <v>2008</v>
      </c>
      <c r="B30" s="173" t="s">
        <v>553</v>
      </c>
      <c r="C30" s="174"/>
      <c r="D30" s="175" t="s">
        <v>100</v>
      </c>
      <c r="E30" s="176">
        <v>59461</v>
      </c>
      <c r="F30" s="177">
        <v>39630</v>
      </c>
      <c r="G30" s="178">
        <v>33.700000000000003</v>
      </c>
      <c r="H30" s="179"/>
      <c r="I30" s="180"/>
      <c r="J30" s="181"/>
      <c r="K30" s="152">
        <f t="shared" si="216"/>
        <v>2.9700000000000001E-2</v>
      </c>
      <c r="L30" s="153">
        <f t="shared" si="217"/>
        <v>1765.99</v>
      </c>
      <c r="M30" s="154">
        <f t="shared" si="218"/>
        <v>53280.03</v>
      </c>
      <c r="N30" s="154"/>
      <c r="O30" s="154">
        <f t="shared" si="219"/>
        <v>6180.97</v>
      </c>
      <c r="P30" s="155"/>
      <c r="Q30" s="154">
        <f t="shared" si="220"/>
        <v>59461</v>
      </c>
      <c r="R30" s="156">
        <f t="shared" si="221"/>
        <v>0</v>
      </c>
      <c r="S30" s="154">
        <f t="shared" si="222"/>
        <v>0</v>
      </c>
      <c r="T30" s="154">
        <f t="shared" si="223"/>
        <v>0</v>
      </c>
      <c r="U30" s="154">
        <f t="shared" si="224"/>
        <v>0</v>
      </c>
      <c r="V30" s="154">
        <f t="shared" si="225"/>
        <v>59461</v>
      </c>
      <c r="W30" s="154">
        <f t="shared" si="226"/>
        <v>59461</v>
      </c>
      <c r="X30" s="154">
        <f t="shared" si="227"/>
        <v>1765.99</v>
      </c>
      <c r="Y30" s="154">
        <f t="shared" si="228"/>
        <v>1765.99</v>
      </c>
      <c r="Z30" s="154">
        <f t="shared" si="229"/>
        <v>51514.04</v>
      </c>
      <c r="AA30" s="154">
        <f t="shared" si="230"/>
        <v>51514.04</v>
      </c>
      <c r="AB30" s="157">
        <f t="shared" si="231"/>
        <v>7946.96</v>
      </c>
      <c r="AC30" s="154">
        <f t="shared" si="232"/>
        <v>0</v>
      </c>
      <c r="AD30" s="158">
        <f t="shared" si="233"/>
        <v>0</v>
      </c>
      <c r="AE30" s="156">
        <f t="shared" si="234"/>
        <v>0</v>
      </c>
      <c r="AF30" s="154">
        <f t="shared" si="235"/>
        <v>0</v>
      </c>
      <c r="AG30" s="154">
        <f t="shared" si="114"/>
        <v>0</v>
      </c>
      <c r="AH30" s="154">
        <f t="shared" si="236"/>
        <v>0</v>
      </c>
      <c r="AI30" s="154">
        <f t="shared" si="116"/>
        <v>59461</v>
      </c>
      <c r="AJ30" s="154">
        <f t="shared" si="237"/>
        <v>59461</v>
      </c>
      <c r="AK30" s="154">
        <f t="shared" si="118"/>
        <v>1765.99</v>
      </c>
      <c r="AL30" s="154">
        <f t="shared" si="238"/>
        <v>1765.99</v>
      </c>
      <c r="AM30" s="154">
        <f t="shared" si="120"/>
        <v>49748.05</v>
      </c>
      <c r="AN30" s="154">
        <f t="shared" si="239"/>
        <v>49748.05</v>
      </c>
      <c r="AO30" s="157">
        <f t="shared" si="122"/>
        <v>9712.9500000000007</v>
      </c>
      <c r="AP30" s="154">
        <f t="shared" si="123"/>
        <v>0</v>
      </c>
      <c r="AQ30" s="158">
        <f t="shared" si="124"/>
        <v>0</v>
      </c>
      <c r="AR30" s="156">
        <f t="shared" si="234"/>
        <v>0</v>
      </c>
      <c r="AS30" s="154">
        <f t="shared" si="240"/>
        <v>0</v>
      </c>
      <c r="AT30" s="154">
        <f t="shared" si="127"/>
        <v>0</v>
      </c>
      <c r="AU30" s="154">
        <f t="shared" si="241"/>
        <v>0</v>
      </c>
      <c r="AV30" s="154">
        <f t="shared" si="129"/>
        <v>59461</v>
      </c>
      <c r="AW30" s="154">
        <f t="shared" si="242"/>
        <v>59461</v>
      </c>
      <c r="AX30" s="154">
        <f t="shared" si="131"/>
        <v>1765.99</v>
      </c>
      <c r="AY30" s="154">
        <f t="shared" si="243"/>
        <v>1765.99</v>
      </c>
      <c r="AZ30" s="154">
        <f t="shared" si="133"/>
        <v>47982.060000000005</v>
      </c>
      <c r="BA30" s="154">
        <f t="shared" si="244"/>
        <v>47982.060000000005</v>
      </c>
      <c r="BB30" s="157">
        <f t="shared" si="135"/>
        <v>11478.94</v>
      </c>
      <c r="BC30" s="154">
        <f t="shared" si="136"/>
        <v>0</v>
      </c>
      <c r="BD30" s="158">
        <f t="shared" si="137"/>
        <v>0</v>
      </c>
      <c r="BE30" s="156">
        <f t="shared" si="234"/>
        <v>0</v>
      </c>
      <c r="BF30" s="154">
        <f t="shared" si="245"/>
        <v>0</v>
      </c>
      <c r="BG30" s="154">
        <f t="shared" si="140"/>
        <v>0</v>
      </c>
      <c r="BH30" s="154">
        <f t="shared" si="246"/>
        <v>0</v>
      </c>
      <c r="BI30" s="154">
        <f t="shared" si="142"/>
        <v>59461</v>
      </c>
      <c r="BJ30" s="154">
        <f t="shared" si="247"/>
        <v>59461</v>
      </c>
      <c r="BK30" s="154">
        <f t="shared" si="144"/>
        <v>1765.99</v>
      </c>
      <c r="BL30" s="154">
        <f t="shared" si="248"/>
        <v>1765.99</v>
      </c>
      <c r="BM30" s="154">
        <f t="shared" si="146"/>
        <v>46216.070000000007</v>
      </c>
      <c r="BN30" s="154">
        <f t="shared" si="249"/>
        <v>46216.070000000007</v>
      </c>
      <c r="BO30" s="157">
        <f t="shared" si="148"/>
        <v>13244.93</v>
      </c>
      <c r="BP30" s="154">
        <f t="shared" si="149"/>
        <v>0</v>
      </c>
      <c r="BQ30" s="158">
        <f t="shared" si="150"/>
        <v>0</v>
      </c>
      <c r="BR30" s="156">
        <f t="shared" si="234"/>
        <v>0</v>
      </c>
      <c r="BS30" s="154">
        <f t="shared" si="250"/>
        <v>0</v>
      </c>
      <c r="BT30" s="154">
        <f t="shared" si="153"/>
        <v>0</v>
      </c>
      <c r="BU30" s="154">
        <f t="shared" si="251"/>
        <v>0</v>
      </c>
      <c r="BV30" s="154">
        <f t="shared" si="155"/>
        <v>59461</v>
      </c>
      <c r="BW30" s="154">
        <f t="shared" si="252"/>
        <v>59461</v>
      </c>
      <c r="BX30" s="154">
        <f t="shared" si="157"/>
        <v>1765.99</v>
      </c>
      <c r="BY30" s="154">
        <f t="shared" si="253"/>
        <v>1765.99</v>
      </c>
      <c r="BZ30" s="154">
        <f t="shared" si="159"/>
        <v>44450.080000000009</v>
      </c>
      <c r="CA30" s="154">
        <f t="shared" si="254"/>
        <v>44450.080000000009</v>
      </c>
      <c r="CB30" s="157">
        <f t="shared" si="161"/>
        <v>15010.92</v>
      </c>
      <c r="CC30" s="154">
        <f t="shared" si="162"/>
        <v>0</v>
      </c>
      <c r="CD30" s="158">
        <f t="shared" si="163"/>
        <v>0</v>
      </c>
      <c r="CE30" s="156">
        <f t="shared" si="234"/>
        <v>0</v>
      </c>
      <c r="CF30" s="154">
        <f t="shared" si="255"/>
        <v>0</v>
      </c>
      <c r="CG30" s="154">
        <f t="shared" si="166"/>
        <v>0</v>
      </c>
      <c r="CH30" s="154">
        <f t="shared" si="256"/>
        <v>0</v>
      </c>
      <c r="CI30" s="154">
        <f t="shared" si="168"/>
        <v>59461</v>
      </c>
      <c r="CJ30" s="154">
        <f t="shared" si="257"/>
        <v>59461</v>
      </c>
      <c r="CK30" s="154">
        <f t="shared" si="170"/>
        <v>1765.99</v>
      </c>
      <c r="CL30" s="154">
        <f t="shared" si="258"/>
        <v>1765.99</v>
      </c>
      <c r="CM30" s="154">
        <f t="shared" si="172"/>
        <v>42684.090000000011</v>
      </c>
      <c r="CN30" s="154">
        <f t="shared" si="259"/>
        <v>42684.090000000011</v>
      </c>
      <c r="CO30" s="157">
        <f t="shared" si="174"/>
        <v>16776.91</v>
      </c>
      <c r="CP30" s="154">
        <f t="shared" si="175"/>
        <v>0</v>
      </c>
      <c r="CQ30" s="158">
        <f t="shared" si="176"/>
        <v>0</v>
      </c>
      <c r="CR30" s="156">
        <f t="shared" si="260"/>
        <v>0</v>
      </c>
      <c r="CS30" s="154">
        <f t="shared" si="261"/>
        <v>0</v>
      </c>
      <c r="CT30" s="154">
        <f t="shared" si="179"/>
        <v>0</v>
      </c>
      <c r="CU30" s="154">
        <f t="shared" si="262"/>
        <v>0</v>
      </c>
      <c r="CV30" s="154">
        <f t="shared" si="181"/>
        <v>59461</v>
      </c>
      <c r="CW30" s="154">
        <f t="shared" si="263"/>
        <v>59461</v>
      </c>
      <c r="CX30" s="154">
        <f t="shared" si="183"/>
        <v>1765.99</v>
      </c>
      <c r="CY30" s="154">
        <f t="shared" si="264"/>
        <v>1765.99</v>
      </c>
      <c r="CZ30" s="154">
        <f t="shared" si="185"/>
        <v>40918.100000000013</v>
      </c>
      <c r="DA30" s="154">
        <f t="shared" si="265"/>
        <v>40918.100000000013</v>
      </c>
      <c r="DB30" s="157">
        <f t="shared" si="187"/>
        <v>18542.900000000001</v>
      </c>
      <c r="DC30" s="154">
        <f t="shared" si="188"/>
        <v>0</v>
      </c>
      <c r="DD30" s="158">
        <f t="shared" si="189"/>
        <v>0</v>
      </c>
      <c r="DE30" s="156">
        <f t="shared" si="260"/>
        <v>0</v>
      </c>
      <c r="DF30" s="154">
        <f t="shared" si="266"/>
        <v>0</v>
      </c>
      <c r="DG30" s="154">
        <f t="shared" si="192"/>
        <v>0</v>
      </c>
      <c r="DH30" s="154">
        <f t="shared" si="267"/>
        <v>0</v>
      </c>
      <c r="DI30" s="154">
        <f t="shared" si="194"/>
        <v>59461</v>
      </c>
      <c r="DJ30" s="154">
        <f t="shared" si="268"/>
        <v>59461</v>
      </c>
      <c r="DK30" s="154">
        <f t="shared" si="196"/>
        <v>1765.99</v>
      </c>
      <c r="DL30" s="154">
        <f t="shared" si="269"/>
        <v>1765.99</v>
      </c>
      <c r="DM30" s="154">
        <f t="shared" si="198"/>
        <v>39152.110000000015</v>
      </c>
      <c r="DN30" s="154">
        <f t="shared" si="270"/>
        <v>39152.110000000015</v>
      </c>
      <c r="DO30" s="157">
        <f t="shared" si="200"/>
        <v>20308.890000000003</v>
      </c>
      <c r="DP30" s="154">
        <f t="shared" si="201"/>
        <v>0</v>
      </c>
      <c r="DQ30" s="158">
        <f t="shared" si="202"/>
        <v>0</v>
      </c>
      <c r="DR30" s="156">
        <f t="shared" si="260"/>
        <v>0</v>
      </c>
      <c r="DS30" s="154">
        <f t="shared" si="271"/>
        <v>0</v>
      </c>
      <c r="DT30" s="154">
        <f t="shared" si="205"/>
        <v>0</v>
      </c>
      <c r="DU30" s="154">
        <f t="shared" si="272"/>
        <v>0</v>
      </c>
      <c r="DV30" s="154">
        <f t="shared" si="207"/>
        <v>59461</v>
      </c>
      <c r="DW30" s="154">
        <f t="shared" si="273"/>
        <v>59461</v>
      </c>
      <c r="DX30" s="154">
        <f t="shared" si="209"/>
        <v>1765.99</v>
      </c>
      <c r="DY30" s="154">
        <f t="shared" si="274"/>
        <v>1765.99</v>
      </c>
      <c r="DZ30" s="154">
        <f t="shared" si="211"/>
        <v>37386.120000000017</v>
      </c>
      <c r="EA30" s="154">
        <f t="shared" si="275"/>
        <v>37386.120000000017</v>
      </c>
      <c r="EB30" s="157">
        <f t="shared" si="213"/>
        <v>22074.880000000005</v>
      </c>
      <c r="EC30" s="154">
        <f t="shared" si="214"/>
        <v>0</v>
      </c>
      <c r="ED30" s="158">
        <f t="shared" si="215"/>
        <v>0</v>
      </c>
    </row>
    <row r="31" spans="1:134" x14ac:dyDescent="0.35">
      <c r="A31" s="183">
        <v>2009</v>
      </c>
      <c r="B31" s="173" t="s">
        <v>553</v>
      </c>
      <c r="C31" s="174"/>
      <c r="D31" s="175" t="s">
        <v>100</v>
      </c>
      <c r="E31" s="176">
        <v>117942</v>
      </c>
      <c r="F31" s="177">
        <v>39995</v>
      </c>
      <c r="G31" s="178">
        <v>33.700000000000003</v>
      </c>
      <c r="H31" s="179"/>
      <c r="I31" s="180"/>
      <c r="J31" s="181"/>
      <c r="K31" s="152">
        <f t="shared" si="216"/>
        <v>2.9700000000000001E-2</v>
      </c>
      <c r="L31" s="153">
        <f t="shared" si="217"/>
        <v>3502.88</v>
      </c>
      <c r="M31" s="154">
        <f t="shared" si="218"/>
        <v>109184.8</v>
      </c>
      <c r="N31" s="154"/>
      <c r="O31" s="154">
        <f t="shared" si="219"/>
        <v>8757.2000000000007</v>
      </c>
      <c r="P31" s="155"/>
      <c r="Q31" s="154">
        <f t="shared" si="220"/>
        <v>117942</v>
      </c>
      <c r="R31" s="156">
        <f t="shared" si="221"/>
        <v>0</v>
      </c>
      <c r="S31" s="154">
        <f t="shared" si="222"/>
        <v>0</v>
      </c>
      <c r="T31" s="154">
        <f t="shared" si="223"/>
        <v>0</v>
      </c>
      <c r="U31" s="154">
        <f t="shared" si="224"/>
        <v>0</v>
      </c>
      <c r="V31" s="154">
        <f t="shared" si="225"/>
        <v>117942</v>
      </c>
      <c r="W31" s="154">
        <f t="shared" si="226"/>
        <v>117942</v>
      </c>
      <c r="X31" s="154">
        <f t="shared" si="227"/>
        <v>3502.88</v>
      </c>
      <c r="Y31" s="154">
        <f t="shared" si="228"/>
        <v>3502.88</v>
      </c>
      <c r="Z31" s="154">
        <f t="shared" si="229"/>
        <v>105681.92</v>
      </c>
      <c r="AA31" s="154">
        <f t="shared" si="230"/>
        <v>105681.92</v>
      </c>
      <c r="AB31" s="157">
        <f t="shared" si="231"/>
        <v>12260.080000000002</v>
      </c>
      <c r="AC31" s="154">
        <f t="shared" si="232"/>
        <v>0</v>
      </c>
      <c r="AD31" s="158">
        <f t="shared" si="233"/>
        <v>0</v>
      </c>
      <c r="AE31" s="156">
        <f t="shared" si="234"/>
        <v>0</v>
      </c>
      <c r="AF31" s="154">
        <f t="shared" si="235"/>
        <v>0</v>
      </c>
      <c r="AG31" s="154">
        <f t="shared" si="114"/>
        <v>0</v>
      </c>
      <c r="AH31" s="154">
        <f t="shared" si="236"/>
        <v>0</v>
      </c>
      <c r="AI31" s="154">
        <f t="shared" si="116"/>
        <v>117942</v>
      </c>
      <c r="AJ31" s="154">
        <f t="shared" si="237"/>
        <v>117942</v>
      </c>
      <c r="AK31" s="154">
        <f t="shared" si="118"/>
        <v>3502.88</v>
      </c>
      <c r="AL31" s="154">
        <f t="shared" si="238"/>
        <v>3502.88</v>
      </c>
      <c r="AM31" s="154">
        <f t="shared" si="120"/>
        <v>102179.04</v>
      </c>
      <c r="AN31" s="154">
        <f t="shared" si="239"/>
        <v>102179.04</v>
      </c>
      <c r="AO31" s="157">
        <f t="shared" si="122"/>
        <v>15762.960000000003</v>
      </c>
      <c r="AP31" s="154">
        <f t="shared" si="123"/>
        <v>0</v>
      </c>
      <c r="AQ31" s="158">
        <f t="shared" si="124"/>
        <v>0</v>
      </c>
      <c r="AR31" s="156">
        <f t="shared" si="234"/>
        <v>0</v>
      </c>
      <c r="AS31" s="154">
        <f t="shared" si="240"/>
        <v>0</v>
      </c>
      <c r="AT31" s="154">
        <f t="shared" si="127"/>
        <v>0</v>
      </c>
      <c r="AU31" s="154">
        <f t="shared" si="241"/>
        <v>0</v>
      </c>
      <c r="AV31" s="154">
        <f t="shared" si="129"/>
        <v>117942</v>
      </c>
      <c r="AW31" s="154">
        <f t="shared" si="242"/>
        <v>117942</v>
      </c>
      <c r="AX31" s="154">
        <f t="shared" si="131"/>
        <v>3502.88</v>
      </c>
      <c r="AY31" s="154">
        <f t="shared" si="243"/>
        <v>3502.88</v>
      </c>
      <c r="AZ31" s="154">
        <f t="shared" si="133"/>
        <v>98676.159999999989</v>
      </c>
      <c r="BA31" s="154">
        <f t="shared" si="244"/>
        <v>98676.159999999989</v>
      </c>
      <c r="BB31" s="157">
        <f t="shared" si="135"/>
        <v>19265.840000000004</v>
      </c>
      <c r="BC31" s="154">
        <f t="shared" si="136"/>
        <v>0</v>
      </c>
      <c r="BD31" s="158">
        <f t="shared" si="137"/>
        <v>0</v>
      </c>
      <c r="BE31" s="156">
        <f t="shared" si="234"/>
        <v>0</v>
      </c>
      <c r="BF31" s="154">
        <f t="shared" si="245"/>
        <v>0</v>
      </c>
      <c r="BG31" s="154">
        <f t="shared" si="140"/>
        <v>0</v>
      </c>
      <c r="BH31" s="154">
        <f t="shared" si="246"/>
        <v>0</v>
      </c>
      <c r="BI31" s="154">
        <f t="shared" si="142"/>
        <v>117942</v>
      </c>
      <c r="BJ31" s="154">
        <f t="shared" si="247"/>
        <v>117942</v>
      </c>
      <c r="BK31" s="154">
        <f t="shared" si="144"/>
        <v>3502.88</v>
      </c>
      <c r="BL31" s="154">
        <f t="shared" si="248"/>
        <v>3502.88</v>
      </c>
      <c r="BM31" s="154">
        <f t="shared" si="146"/>
        <v>95173.279999999984</v>
      </c>
      <c r="BN31" s="154">
        <f t="shared" si="249"/>
        <v>95173.279999999984</v>
      </c>
      <c r="BO31" s="157">
        <f t="shared" si="148"/>
        <v>22768.720000000005</v>
      </c>
      <c r="BP31" s="154">
        <f t="shared" si="149"/>
        <v>0</v>
      </c>
      <c r="BQ31" s="158">
        <f t="shared" si="150"/>
        <v>0</v>
      </c>
      <c r="BR31" s="156">
        <f t="shared" si="234"/>
        <v>0</v>
      </c>
      <c r="BS31" s="154">
        <f t="shared" si="250"/>
        <v>0</v>
      </c>
      <c r="BT31" s="154">
        <f t="shared" si="153"/>
        <v>0</v>
      </c>
      <c r="BU31" s="154">
        <f t="shared" si="251"/>
        <v>0</v>
      </c>
      <c r="BV31" s="154">
        <f t="shared" si="155"/>
        <v>117942</v>
      </c>
      <c r="BW31" s="154">
        <f t="shared" si="252"/>
        <v>117942</v>
      </c>
      <c r="BX31" s="154">
        <f t="shared" si="157"/>
        <v>3502.88</v>
      </c>
      <c r="BY31" s="154">
        <f t="shared" si="253"/>
        <v>3502.88</v>
      </c>
      <c r="BZ31" s="154">
        <f t="shared" si="159"/>
        <v>91670.39999999998</v>
      </c>
      <c r="CA31" s="154">
        <f t="shared" si="254"/>
        <v>91670.39999999998</v>
      </c>
      <c r="CB31" s="157">
        <f t="shared" si="161"/>
        <v>26271.600000000006</v>
      </c>
      <c r="CC31" s="154">
        <f t="shared" si="162"/>
        <v>0</v>
      </c>
      <c r="CD31" s="158">
        <f t="shared" si="163"/>
        <v>0</v>
      </c>
      <c r="CE31" s="156">
        <f t="shared" si="234"/>
        <v>0</v>
      </c>
      <c r="CF31" s="154">
        <f t="shared" si="255"/>
        <v>0</v>
      </c>
      <c r="CG31" s="154">
        <f t="shared" si="166"/>
        <v>0</v>
      </c>
      <c r="CH31" s="154">
        <f t="shared" si="256"/>
        <v>0</v>
      </c>
      <c r="CI31" s="154">
        <f t="shared" si="168"/>
        <v>117942</v>
      </c>
      <c r="CJ31" s="154">
        <f t="shared" si="257"/>
        <v>117942</v>
      </c>
      <c r="CK31" s="154">
        <f t="shared" si="170"/>
        <v>3502.88</v>
      </c>
      <c r="CL31" s="154">
        <f t="shared" si="258"/>
        <v>3502.88</v>
      </c>
      <c r="CM31" s="154">
        <f t="shared" si="172"/>
        <v>88167.519999999975</v>
      </c>
      <c r="CN31" s="154">
        <f t="shared" si="259"/>
        <v>88167.519999999975</v>
      </c>
      <c r="CO31" s="157">
        <f t="shared" si="174"/>
        <v>29774.480000000007</v>
      </c>
      <c r="CP31" s="154">
        <f t="shared" si="175"/>
        <v>0</v>
      </c>
      <c r="CQ31" s="158">
        <f t="shared" si="176"/>
        <v>0</v>
      </c>
      <c r="CR31" s="156">
        <f t="shared" si="260"/>
        <v>0</v>
      </c>
      <c r="CS31" s="154">
        <f t="shared" si="261"/>
        <v>0</v>
      </c>
      <c r="CT31" s="154">
        <f t="shared" si="179"/>
        <v>0</v>
      </c>
      <c r="CU31" s="154">
        <f t="shared" si="262"/>
        <v>0</v>
      </c>
      <c r="CV31" s="154">
        <f t="shared" si="181"/>
        <v>117942</v>
      </c>
      <c r="CW31" s="154">
        <f t="shared" si="263"/>
        <v>117942</v>
      </c>
      <c r="CX31" s="154">
        <f t="shared" si="183"/>
        <v>3502.88</v>
      </c>
      <c r="CY31" s="154">
        <f t="shared" si="264"/>
        <v>3502.88</v>
      </c>
      <c r="CZ31" s="154">
        <f t="shared" si="185"/>
        <v>84664.63999999997</v>
      </c>
      <c r="DA31" s="154">
        <f t="shared" si="265"/>
        <v>84664.63999999997</v>
      </c>
      <c r="DB31" s="157">
        <f t="shared" si="187"/>
        <v>33277.360000000008</v>
      </c>
      <c r="DC31" s="154">
        <f t="shared" si="188"/>
        <v>0</v>
      </c>
      <c r="DD31" s="158">
        <f t="shared" si="189"/>
        <v>0</v>
      </c>
      <c r="DE31" s="156">
        <f t="shared" si="260"/>
        <v>0</v>
      </c>
      <c r="DF31" s="154">
        <f t="shared" si="266"/>
        <v>0</v>
      </c>
      <c r="DG31" s="154">
        <f t="shared" si="192"/>
        <v>0</v>
      </c>
      <c r="DH31" s="154">
        <f t="shared" si="267"/>
        <v>0</v>
      </c>
      <c r="DI31" s="154">
        <f t="shared" si="194"/>
        <v>117942</v>
      </c>
      <c r="DJ31" s="154">
        <f t="shared" si="268"/>
        <v>117942</v>
      </c>
      <c r="DK31" s="154">
        <f t="shared" si="196"/>
        <v>3502.88</v>
      </c>
      <c r="DL31" s="154">
        <f t="shared" si="269"/>
        <v>3502.88</v>
      </c>
      <c r="DM31" s="154">
        <f t="shared" si="198"/>
        <v>81161.759999999966</v>
      </c>
      <c r="DN31" s="154">
        <f t="shared" si="270"/>
        <v>81161.759999999966</v>
      </c>
      <c r="DO31" s="157">
        <f t="shared" si="200"/>
        <v>36780.240000000005</v>
      </c>
      <c r="DP31" s="154">
        <f t="shared" si="201"/>
        <v>0</v>
      </c>
      <c r="DQ31" s="158">
        <f t="shared" si="202"/>
        <v>0</v>
      </c>
      <c r="DR31" s="156">
        <f t="shared" si="260"/>
        <v>0</v>
      </c>
      <c r="DS31" s="154">
        <f t="shared" si="271"/>
        <v>0</v>
      </c>
      <c r="DT31" s="154">
        <f t="shared" si="205"/>
        <v>0</v>
      </c>
      <c r="DU31" s="154">
        <f t="shared" si="272"/>
        <v>0</v>
      </c>
      <c r="DV31" s="154">
        <f t="shared" si="207"/>
        <v>117942</v>
      </c>
      <c r="DW31" s="154">
        <f t="shared" si="273"/>
        <v>117942</v>
      </c>
      <c r="DX31" s="154">
        <f t="shared" si="209"/>
        <v>3502.88</v>
      </c>
      <c r="DY31" s="154">
        <f t="shared" si="274"/>
        <v>3502.88</v>
      </c>
      <c r="DZ31" s="154">
        <f t="shared" si="211"/>
        <v>77658.879999999961</v>
      </c>
      <c r="EA31" s="154">
        <f t="shared" si="275"/>
        <v>77658.879999999961</v>
      </c>
      <c r="EB31" s="157">
        <f t="shared" si="213"/>
        <v>40283.120000000003</v>
      </c>
      <c r="EC31" s="154">
        <f t="shared" si="214"/>
        <v>0</v>
      </c>
      <c r="ED31" s="158">
        <f t="shared" si="215"/>
        <v>0</v>
      </c>
    </row>
    <row r="32" spans="1:134" x14ac:dyDescent="0.35">
      <c r="A32" s="172"/>
      <c r="B32" s="173"/>
      <c r="C32" s="174"/>
      <c r="D32" s="175"/>
      <c r="E32" s="176">
        <f>SUM(E8:E31)</f>
        <v>6305203</v>
      </c>
      <c r="F32" s="177"/>
      <c r="G32" s="178"/>
      <c r="H32" s="179"/>
      <c r="I32" s="180"/>
      <c r="J32" s="181"/>
      <c r="K32" s="152">
        <f t="shared" si="216"/>
        <v>0</v>
      </c>
      <c r="L32" s="153">
        <f t="shared" si="217"/>
        <v>0</v>
      </c>
      <c r="M32" s="154">
        <f t="shared" si="218"/>
        <v>0</v>
      </c>
      <c r="N32" s="154"/>
      <c r="O32" s="154">
        <f t="shared" si="219"/>
        <v>0</v>
      </c>
      <c r="P32" s="155"/>
      <c r="Q32" s="154">
        <f t="shared" si="220"/>
        <v>0</v>
      </c>
      <c r="R32" s="156">
        <f t="shared" si="221"/>
        <v>0</v>
      </c>
      <c r="S32" s="154">
        <f t="shared" si="222"/>
        <v>0</v>
      </c>
      <c r="T32" s="154">
        <f t="shared" si="223"/>
        <v>0</v>
      </c>
      <c r="U32" s="154">
        <f t="shared" si="224"/>
        <v>0</v>
      </c>
      <c r="V32" s="154">
        <f t="shared" si="225"/>
        <v>0</v>
      </c>
      <c r="W32" s="154">
        <f t="shared" si="226"/>
        <v>0</v>
      </c>
      <c r="X32" s="154">
        <f t="shared" si="227"/>
        <v>0</v>
      </c>
      <c r="Y32" s="154">
        <f t="shared" si="228"/>
        <v>0</v>
      </c>
      <c r="Z32" s="154">
        <f t="shared" si="229"/>
        <v>0</v>
      </c>
      <c r="AA32" s="154">
        <f t="shared" si="230"/>
        <v>0</v>
      </c>
      <c r="AB32" s="157">
        <f t="shared" si="231"/>
        <v>0</v>
      </c>
      <c r="AC32" s="154">
        <f t="shared" si="232"/>
        <v>0</v>
      </c>
      <c r="AD32" s="158">
        <f t="shared" si="233"/>
        <v>0</v>
      </c>
      <c r="AE32" s="156">
        <f t="shared" si="234"/>
        <v>0</v>
      </c>
      <c r="AF32" s="154">
        <f t="shared" si="235"/>
        <v>0</v>
      </c>
      <c r="AG32" s="154">
        <f t="shared" si="114"/>
        <v>0</v>
      </c>
      <c r="AH32" s="154">
        <f t="shared" si="236"/>
        <v>0</v>
      </c>
      <c r="AI32" s="154">
        <f t="shared" si="116"/>
        <v>0</v>
      </c>
      <c r="AJ32" s="154">
        <f t="shared" si="237"/>
        <v>0</v>
      </c>
      <c r="AK32" s="154">
        <f t="shared" si="118"/>
        <v>0</v>
      </c>
      <c r="AL32" s="154">
        <f t="shared" si="238"/>
        <v>0</v>
      </c>
      <c r="AM32" s="154">
        <f t="shared" si="120"/>
        <v>0</v>
      </c>
      <c r="AN32" s="154">
        <f t="shared" si="239"/>
        <v>0</v>
      </c>
      <c r="AO32" s="157">
        <f t="shared" si="122"/>
        <v>0</v>
      </c>
      <c r="AP32" s="154">
        <f t="shared" si="123"/>
        <v>0</v>
      </c>
      <c r="AQ32" s="158">
        <f t="shared" si="124"/>
        <v>0</v>
      </c>
      <c r="AR32" s="156">
        <f t="shared" si="234"/>
        <v>0</v>
      </c>
      <c r="AS32" s="154">
        <f t="shared" si="240"/>
        <v>0</v>
      </c>
      <c r="AT32" s="154">
        <f t="shared" si="127"/>
        <v>0</v>
      </c>
      <c r="AU32" s="154">
        <f t="shared" si="241"/>
        <v>0</v>
      </c>
      <c r="AV32" s="154">
        <f t="shared" si="129"/>
        <v>0</v>
      </c>
      <c r="AW32" s="154">
        <f t="shared" si="242"/>
        <v>0</v>
      </c>
      <c r="AX32" s="154">
        <f t="shared" si="131"/>
        <v>0</v>
      </c>
      <c r="AY32" s="154">
        <f t="shared" si="243"/>
        <v>0</v>
      </c>
      <c r="AZ32" s="154">
        <f t="shared" si="133"/>
        <v>0</v>
      </c>
      <c r="BA32" s="154">
        <f t="shared" si="244"/>
        <v>0</v>
      </c>
      <c r="BB32" s="157">
        <f t="shared" si="135"/>
        <v>0</v>
      </c>
      <c r="BC32" s="154">
        <f t="shared" si="136"/>
        <v>0</v>
      </c>
      <c r="BD32" s="158">
        <f t="shared" si="137"/>
        <v>0</v>
      </c>
      <c r="BE32" s="156">
        <f t="shared" si="234"/>
        <v>0</v>
      </c>
      <c r="BF32" s="154">
        <f t="shared" si="245"/>
        <v>0</v>
      </c>
      <c r="BG32" s="154">
        <f t="shared" si="140"/>
        <v>0</v>
      </c>
      <c r="BH32" s="154">
        <f t="shared" si="246"/>
        <v>0</v>
      </c>
      <c r="BI32" s="154">
        <f t="shared" si="142"/>
        <v>0</v>
      </c>
      <c r="BJ32" s="154">
        <f t="shared" si="247"/>
        <v>0</v>
      </c>
      <c r="BK32" s="154">
        <f t="shared" si="144"/>
        <v>0</v>
      </c>
      <c r="BL32" s="154">
        <f t="shared" si="248"/>
        <v>0</v>
      </c>
      <c r="BM32" s="154">
        <f t="shared" si="146"/>
        <v>0</v>
      </c>
      <c r="BN32" s="154">
        <f t="shared" si="249"/>
        <v>0</v>
      </c>
      <c r="BO32" s="157">
        <f t="shared" si="148"/>
        <v>0</v>
      </c>
      <c r="BP32" s="154">
        <f t="shared" si="149"/>
        <v>0</v>
      </c>
      <c r="BQ32" s="158">
        <f t="shared" si="150"/>
        <v>0</v>
      </c>
      <c r="BR32" s="156">
        <f t="shared" si="234"/>
        <v>0</v>
      </c>
      <c r="BS32" s="154">
        <f t="shared" si="250"/>
        <v>0</v>
      </c>
      <c r="BT32" s="154">
        <f t="shared" si="153"/>
        <v>0</v>
      </c>
      <c r="BU32" s="154">
        <f t="shared" si="251"/>
        <v>0</v>
      </c>
      <c r="BV32" s="154">
        <f t="shared" si="155"/>
        <v>0</v>
      </c>
      <c r="BW32" s="154">
        <f t="shared" si="252"/>
        <v>0</v>
      </c>
      <c r="BX32" s="154">
        <f t="shared" si="157"/>
        <v>0</v>
      </c>
      <c r="BY32" s="154">
        <f t="shared" si="253"/>
        <v>0</v>
      </c>
      <c r="BZ32" s="154">
        <f t="shared" si="159"/>
        <v>0</v>
      </c>
      <c r="CA32" s="154">
        <f t="shared" si="254"/>
        <v>0</v>
      </c>
      <c r="CB32" s="157">
        <f t="shared" si="161"/>
        <v>0</v>
      </c>
      <c r="CC32" s="154">
        <f t="shared" si="162"/>
        <v>0</v>
      </c>
      <c r="CD32" s="158">
        <f t="shared" si="163"/>
        <v>0</v>
      </c>
      <c r="CE32" s="156">
        <f t="shared" si="234"/>
        <v>0</v>
      </c>
      <c r="CF32" s="154">
        <f t="shared" si="255"/>
        <v>0</v>
      </c>
      <c r="CG32" s="154">
        <f t="shared" si="166"/>
        <v>0</v>
      </c>
      <c r="CH32" s="154">
        <f t="shared" si="256"/>
        <v>0</v>
      </c>
      <c r="CI32" s="154">
        <f t="shared" si="168"/>
        <v>0</v>
      </c>
      <c r="CJ32" s="154">
        <f t="shared" si="257"/>
        <v>0</v>
      </c>
      <c r="CK32" s="154">
        <f t="shared" si="170"/>
        <v>0</v>
      </c>
      <c r="CL32" s="154">
        <f t="shared" si="258"/>
        <v>0</v>
      </c>
      <c r="CM32" s="154">
        <f t="shared" si="172"/>
        <v>0</v>
      </c>
      <c r="CN32" s="154">
        <f t="shared" si="259"/>
        <v>0</v>
      </c>
      <c r="CO32" s="157">
        <f t="shared" si="174"/>
        <v>0</v>
      </c>
      <c r="CP32" s="154">
        <f t="shared" si="175"/>
        <v>0</v>
      </c>
      <c r="CQ32" s="158">
        <f t="shared" si="176"/>
        <v>0</v>
      </c>
      <c r="CR32" s="156">
        <f t="shared" si="260"/>
        <v>0</v>
      </c>
      <c r="CS32" s="154">
        <f t="shared" si="261"/>
        <v>0</v>
      </c>
      <c r="CT32" s="154">
        <f t="shared" si="179"/>
        <v>0</v>
      </c>
      <c r="CU32" s="154">
        <f t="shared" si="262"/>
        <v>0</v>
      </c>
      <c r="CV32" s="154">
        <f t="shared" si="181"/>
        <v>0</v>
      </c>
      <c r="CW32" s="154">
        <f t="shared" si="263"/>
        <v>0</v>
      </c>
      <c r="CX32" s="154">
        <f t="shared" si="183"/>
        <v>0</v>
      </c>
      <c r="CY32" s="154">
        <f t="shared" si="264"/>
        <v>0</v>
      </c>
      <c r="CZ32" s="154">
        <f t="shared" si="185"/>
        <v>0</v>
      </c>
      <c r="DA32" s="154">
        <f t="shared" si="265"/>
        <v>0</v>
      </c>
      <c r="DB32" s="157">
        <f t="shared" si="187"/>
        <v>0</v>
      </c>
      <c r="DC32" s="154">
        <f t="shared" si="188"/>
        <v>0</v>
      </c>
      <c r="DD32" s="158">
        <f t="shared" si="189"/>
        <v>0</v>
      </c>
      <c r="DE32" s="156">
        <f t="shared" si="260"/>
        <v>0</v>
      </c>
      <c r="DF32" s="154">
        <f t="shared" si="266"/>
        <v>0</v>
      </c>
      <c r="DG32" s="154">
        <f t="shared" si="192"/>
        <v>0</v>
      </c>
      <c r="DH32" s="154">
        <f t="shared" si="267"/>
        <v>0</v>
      </c>
      <c r="DI32" s="154">
        <f t="shared" si="194"/>
        <v>0</v>
      </c>
      <c r="DJ32" s="154">
        <f t="shared" si="268"/>
        <v>0</v>
      </c>
      <c r="DK32" s="154">
        <f t="shared" si="196"/>
        <v>0</v>
      </c>
      <c r="DL32" s="154">
        <f t="shared" si="269"/>
        <v>0</v>
      </c>
      <c r="DM32" s="154">
        <f t="shared" si="198"/>
        <v>0</v>
      </c>
      <c r="DN32" s="154">
        <f t="shared" si="270"/>
        <v>0</v>
      </c>
      <c r="DO32" s="157">
        <f t="shared" si="200"/>
        <v>0</v>
      </c>
      <c r="DP32" s="154">
        <f t="shared" si="201"/>
        <v>0</v>
      </c>
      <c r="DQ32" s="158">
        <f t="shared" si="202"/>
        <v>0</v>
      </c>
      <c r="DR32" s="156">
        <f t="shared" si="260"/>
        <v>0</v>
      </c>
      <c r="DS32" s="154">
        <f t="shared" si="271"/>
        <v>0</v>
      </c>
      <c r="DT32" s="154">
        <f t="shared" si="205"/>
        <v>0</v>
      </c>
      <c r="DU32" s="154">
        <f t="shared" si="272"/>
        <v>0</v>
      </c>
      <c r="DV32" s="154">
        <f t="shared" si="207"/>
        <v>0</v>
      </c>
      <c r="DW32" s="154">
        <f t="shared" si="273"/>
        <v>0</v>
      </c>
      <c r="DX32" s="154">
        <f t="shared" si="209"/>
        <v>0</v>
      </c>
      <c r="DY32" s="154">
        <f t="shared" si="274"/>
        <v>0</v>
      </c>
      <c r="DZ32" s="154">
        <f t="shared" si="211"/>
        <v>0</v>
      </c>
      <c r="EA32" s="154">
        <f t="shared" si="275"/>
        <v>0</v>
      </c>
      <c r="EB32" s="157">
        <f t="shared" si="213"/>
        <v>0</v>
      </c>
      <c r="EC32" s="154">
        <f t="shared" si="214"/>
        <v>0</v>
      </c>
      <c r="ED32" s="158">
        <f t="shared" si="215"/>
        <v>0</v>
      </c>
    </row>
    <row r="33" spans="1:134" x14ac:dyDescent="0.35">
      <c r="A33" s="172"/>
      <c r="B33" s="173"/>
      <c r="C33" s="174"/>
      <c r="D33" s="175"/>
      <c r="E33" s="176"/>
      <c r="F33" s="177"/>
      <c r="G33" s="178"/>
      <c r="H33" s="179"/>
      <c r="I33" s="180"/>
      <c r="J33" s="181"/>
      <c r="K33" s="152">
        <f t="shared" si="216"/>
        <v>0</v>
      </c>
      <c r="L33" s="153">
        <f t="shared" si="217"/>
        <v>0</v>
      </c>
      <c r="M33" s="154">
        <f t="shared" si="218"/>
        <v>0</v>
      </c>
      <c r="N33" s="154"/>
      <c r="O33" s="154">
        <f t="shared" si="219"/>
        <v>0</v>
      </c>
      <c r="P33" s="155"/>
      <c r="Q33" s="154">
        <f t="shared" si="220"/>
        <v>0</v>
      </c>
      <c r="R33" s="156">
        <f t="shared" si="221"/>
        <v>0</v>
      </c>
      <c r="S33" s="154">
        <f t="shared" si="222"/>
        <v>0</v>
      </c>
      <c r="T33" s="154">
        <f t="shared" si="223"/>
        <v>0</v>
      </c>
      <c r="U33" s="154">
        <f t="shared" si="224"/>
        <v>0</v>
      </c>
      <c r="V33" s="154">
        <f t="shared" si="225"/>
        <v>0</v>
      </c>
      <c r="W33" s="154">
        <f t="shared" si="226"/>
        <v>0</v>
      </c>
      <c r="X33" s="154">
        <f t="shared" si="227"/>
        <v>0</v>
      </c>
      <c r="Y33" s="154">
        <f t="shared" si="228"/>
        <v>0</v>
      </c>
      <c r="Z33" s="154">
        <f t="shared" si="229"/>
        <v>0</v>
      </c>
      <c r="AA33" s="154">
        <f t="shared" si="230"/>
        <v>0</v>
      </c>
      <c r="AB33" s="157">
        <f t="shared" si="231"/>
        <v>0</v>
      </c>
      <c r="AC33" s="154">
        <f t="shared" si="232"/>
        <v>0</v>
      </c>
      <c r="AD33" s="158">
        <f t="shared" si="233"/>
        <v>0</v>
      </c>
      <c r="AE33" s="156">
        <f t="shared" si="234"/>
        <v>0</v>
      </c>
      <c r="AF33" s="154">
        <f t="shared" si="235"/>
        <v>0</v>
      </c>
      <c r="AG33" s="154">
        <f t="shared" si="114"/>
        <v>0</v>
      </c>
      <c r="AH33" s="154">
        <f t="shared" si="236"/>
        <v>0</v>
      </c>
      <c r="AI33" s="154">
        <f t="shared" si="116"/>
        <v>0</v>
      </c>
      <c r="AJ33" s="154">
        <f t="shared" si="237"/>
        <v>0</v>
      </c>
      <c r="AK33" s="154">
        <f t="shared" si="118"/>
        <v>0</v>
      </c>
      <c r="AL33" s="154">
        <f t="shared" si="238"/>
        <v>0</v>
      </c>
      <c r="AM33" s="154">
        <f t="shared" si="120"/>
        <v>0</v>
      </c>
      <c r="AN33" s="154">
        <f t="shared" si="239"/>
        <v>0</v>
      </c>
      <c r="AO33" s="157">
        <f t="shared" si="122"/>
        <v>0</v>
      </c>
      <c r="AP33" s="154">
        <f t="shared" si="123"/>
        <v>0</v>
      </c>
      <c r="AQ33" s="158">
        <f t="shared" si="124"/>
        <v>0</v>
      </c>
      <c r="AR33" s="156">
        <f t="shared" si="234"/>
        <v>0</v>
      </c>
      <c r="AS33" s="154">
        <f t="shared" si="240"/>
        <v>0</v>
      </c>
      <c r="AT33" s="154">
        <f t="shared" si="127"/>
        <v>0</v>
      </c>
      <c r="AU33" s="154">
        <f t="shared" si="241"/>
        <v>0</v>
      </c>
      <c r="AV33" s="154">
        <f t="shared" si="129"/>
        <v>0</v>
      </c>
      <c r="AW33" s="154">
        <f t="shared" si="242"/>
        <v>0</v>
      </c>
      <c r="AX33" s="154">
        <f t="shared" si="131"/>
        <v>0</v>
      </c>
      <c r="AY33" s="154">
        <f t="shared" si="243"/>
        <v>0</v>
      </c>
      <c r="AZ33" s="154">
        <f t="shared" si="133"/>
        <v>0</v>
      </c>
      <c r="BA33" s="154">
        <f t="shared" si="244"/>
        <v>0</v>
      </c>
      <c r="BB33" s="157">
        <f t="shared" si="135"/>
        <v>0</v>
      </c>
      <c r="BC33" s="154">
        <f t="shared" si="136"/>
        <v>0</v>
      </c>
      <c r="BD33" s="158">
        <f t="shared" si="137"/>
        <v>0</v>
      </c>
      <c r="BE33" s="156">
        <f t="shared" si="234"/>
        <v>0</v>
      </c>
      <c r="BF33" s="154">
        <f t="shared" si="245"/>
        <v>0</v>
      </c>
      <c r="BG33" s="154">
        <f t="shared" si="140"/>
        <v>0</v>
      </c>
      <c r="BH33" s="154">
        <f t="shared" si="246"/>
        <v>0</v>
      </c>
      <c r="BI33" s="154">
        <f t="shared" si="142"/>
        <v>0</v>
      </c>
      <c r="BJ33" s="154">
        <f t="shared" si="247"/>
        <v>0</v>
      </c>
      <c r="BK33" s="154">
        <f t="shared" si="144"/>
        <v>0</v>
      </c>
      <c r="BL33" s="154">
        <f t="shared" si="248"/>
        <v>0</v>
      </c>
      <c r="BM33" s="154">
        <f t="shared" si="146"/>
        <v>0</v>
      </c>
      <c r="BN33" s="154">
        <f t="shared" si="249"/>
        <v>0</v>
      </c>
      <c r="BO33" s="157">
        <f t="shared" si="148"/>
        <v>0</v>
      </c>
      <c r="BP33" s="154">
        <f t="shared" si="149"/>
        <v>0</v>
      </c>
      <c r="BQ33" s="158">
        <f t="shared" si="150"/>
        <v>0</v>
      </c>
      <c r="BR33" s="156">
        <f t="shared" si="234"/>
        <v>0</v>
      </c>
      <c r="BS33" s="154">
        <f t="shared" si="250"/>
        <v>0</v>
      </c>
      <c r="BT33" s="154">
        <f t="shared" si="153"/>
        <v>0</v>
      </c>
      <c r="BU33" s="154">
        <f t="shared" si="251"/>
        <v>0</v>
      </c>
      <c r="BV33" s="154">
        <f t="shared" si="155"/>
        <v>0</v>
      </c>
      <c r="BW33" s="154">
        <f t="shared" si="252"/>
        <v>0</v>
      </c>
      <c r="BX33" s="154">
        <f t="shared" si="157"/>
        <v>0</v>
      </c>
      <c r="BY33" s="154">
        <f t="shared" si="253"/>
        <v>0</v>
      </c>
      <c r="BZ33" s="154">
        <f t="shared" si="159"/>
        <v>0</v>
      </c>
      <c r="CA33" s="154">
        <f t="shared" si="254"/>
        <v>0</v>
      </c>
      <c r="CB33" s="157">
        <f t="shared" si="161"/>
        <v>0</v>
      </c>
      <c r="CC33" s="154">
        <f t="shared" si="162"/>
        <v>0</v>
      </c>
      <c r="CD33" s="158">
        <f t="shared" si="163"/>
        <v>0</v>
      </c>
      <c r="CE33" s="156">
        <f t="shared" si="234"/>
        <v>0</v>
      </c>
      <c r="CF33" s="154">
        <f t="shared" si="255"/>
        <v>0</v>
      </c>
      <c r="CG33" s="154">
        <f t="shared" si="166"/>
        <v>0</v>
      </c>
      <c r="CH33" s="154">
        <f t="shared" si="256"/>
        <v>0</v>
      </c>
      <c r="CI33" s="154">
        <f t="shared" si="168"/>
        <v>0</v>
      </c>
      <c r="CJ33" s="154">
        <f t="shared" si="257"/>
        <v>0</v>
      </c>
      <c r="CK33" s="154">
        <f t="shared" si="170"/>
        <v>0</v>
      </c>
      <c r="CL33" s="154">
        <f t="shared" si="258"/>
        <v>0</v>
      </c>
      <c r="CM33" s="154">
        <f t="shared" si="172"/>
        <v>0</v>
      </c>
      <c r="CN33" s="154">
        <f t="shared" si="259"/>
        <v>0</v>
      </c>
      <c r="CO33" s="157">
        <f t="shared" si="174"/>
        <v>0</v>
      </c>
      <c r="CP33" s="154">
        <f t="shared" si="175"/>
        <v>0</v>
      </c>
      <c r="CQ33" s="158">
        <f t="shared" si="176"/>
        <v>0</v>
      </c>
      <c r="CR33" s="156">
        <f t="shared" si="260"/>
        <v>0</v>
      </c>
      <c r="CS33" s="154">
        <f t="shared" si="261"/>
        <v>0</v>
      </c>
      <c r="CT33" s="154">
        <f t="shared" si="179"/>
        <v>0</v>
      </c>
      <c r="CU33" s="154">
        <f t="shared" si="262"/>
        <v>0</v>
      </c>
      <c r="CV33" s="154">
        <f t="shared" si="181"/>
        <v>0</v>
      </c>
      <c r="CW33" s="154">
        <f t="shared" si="263"/>
        <v>0</v>
      </c>
      <c r="CX33" s="154">
        <f t="shared" si="183"/>
        <v>0</v>
      </c>
      <c r="CY33" s="154">
        <f t="shared" si="264"/>
        <v>0</v>
      </c>
      <c r="CZ33" s="154">
        <f t="shared" si="185"/>
        <v>0</v>
      </c>
      <c r="DA33" s="154">
        <f t="shared" si="265"/>
        <v>0</v>
      </c>
      <c r="DB33" s="157">
        <f t="shared" si="187"/>
        <v>0</v>
      </c>
      <c r="DC33" s="154">
        <f t="shared" si="188"/>
        <v>0</v>
      </c>
      <c r="DD33" s="158">
        <f t="shared" si="189"/>
        <v>0</v>
      </c>
      <c r="DE33" s="156">
        <f t="shared" si="260"/>
        <v>0</v>
      </c>
      <c r="DF33" s="154">
        <f t="shared" si="266"/>
        <v>0</v>
      </c>
      <c r="DG33" s="154">
        <f t="shared" si="192"/>
        <v>0</v>
      </c>
      <c r="DH33" s="154">
        <f t="shared" si="267"/>
        <v>0</v>
      </c>
      <c r="DI33" s="154">
        <f t="shared" si="194"/>
        <v>0</v>
      </c>
      <c r="DJ33" s="154">
        <f t="shared" si="268"/>
        <v>0</v>
      </c>
      <c r="DK33" s="154">
        <f t="shared" si="196"/>
        <v>0</v>
      </c>
      <c r="DL33" s="154">
        <f t="shared" si="269"/>
        <v>0</v>
      </c>
      <c r="DM33" s="154">
        <f t="shared" si="198"/>
        <v>0</v>
      </c>
      <c r="DN33" s="154">
        <f t="shared" si="270"/>
        <v>0</v>
      </c>
      <c r="DO33" s="157">
        <f t="shared" si="200"/>
        <v>0</v>
      </c>
      <c r="DP33" s="154">
        <f t="shared" si="201"/>
        <v>0</v>
      </c>
      <c r="DQ33" s="158">
        <f t="shared" si="202"/>
        <v>0</v>
      </c>
      <c r="DR33" s="156">
        <f t="shared" si="260"/>
        <v>0</v>
      </c>
      <c r="DS33" s="154">
        <f t="shared" si="271"/>
        <v>0</v>
      </c>
      <c r="DT33" s="154">
        <f t="shared" si="205"/>
        <v>0</v>
      </c>
      <c r="DU33" s="154">
        <f t="shared" si="272"/>
        <v>0</v>
      </c>
      <c r="DV33" s="154">
        <f t="shared" si="207"/>
        <v>0</v>
      </c>
      <c r="DW33" s="154">
        <f t="shared" si="273"/>
        <v>0</v>
      </c>
      <c r="DX33" s="154">
        <f t="shared" si="209"/>
        <v>0</v>
      </c>
      <c r="DY33" s="154">
        <f t="shared" si="274"/>
        <v>0</v>
      </c>
      <c r="DZ33" s="154">
        <f t="shared" si="211"/>
        <v>0</v>
      </c>
      <c r="EA33" s="154">
        <f t="shared" si="275"/>
        <v>0</v>
      </c>
      <c r="EB33" s="157">
        <f t="shared" si="213"/>
        <v>0</v>
      </c>
      <c r="EC33" s="154">
        <f t="shared" si="214"/>
        <v>0</v>
      </c>
      <c r="ED33" s="158">
        <f t="shared" si="215"/>
        <v>0</v>
      </c>
    </row>
    <row r="34" spans="1:134" x14ac:dyDescent="0.35">
      <c r="A34" s="172"/>
      <c r="B34" s="173"/>
      <c r="C34" s="174"/>
      <c r="D34" s="175"/>
      <c r="E34" s="176"/>
      <c r="F34" s="177"/>
      <c r="G34" s="178"/>
      <c r="H34" s="179"/>
      <c r="I34" s="180"/>
      <c r="J34" s="181"/>
      <c r="K34" s="152">
        <f t="shared" si="216"/>
        <v>0</v>
      </c>
      <c r="L34" s="153">
        <f t="shared" si="217"/>
        <v>0</v>
      </c>
      <c r="M34" s="154">
        <f t="shared" si="218"/>
        <v>0</v>
      </c>
      <c r="N34" s="154"/>
      <c r="O34" s="154">
        <f t="shared" si="219"/>
        <v>0</v>
      </c>
      <c r="P34" s="155"/>
      <c r="Q34" s="154">
        <f t="shared" si="220"/>
        <v>0</v>
      </c>
      <c r="R34" s="156">
        <f t="shared" si="221"/>
        <v>0</v>
      </c>
      <c r="S34" s="154">
        <f t="shared" si="222"/>
        <v>0</v>
      </c>
      <c r="T34" s="154">
        <f t="shared" si="223"/>
        <v>0</v>
      </c>
      <c r="U34" s="154">
        <f t="shared" si="224"/>
        <v>0</v>
      </c>
      <c r="V34" s="154">
        <f t="shared" si="225"/>
        <v>0</v>
      </c>
      <c r="W34" s="154">
        <f t="shared" si="226"/>
        <v>0</v>
      </c>
      <c r="X34" s="154">
        <f t="shared" si="227"/>
        <v>0</v>
      </c>
      <c r="Y34" s="154">
        <f t="shared" si="228"/>
        <v>0</v>
      </c>
      <c r="Z34" s="154">
        <f t="shared" si="229"/>
        <v>0</v>
      </c>
      <c r="AA34" s="154">
        <f t="shared" si="230"/>
        <v>0</v>
      </c>
      <c r="AB34" s="157">
        <f t="shared" si="231"/>
        <v>0</v>
      </c>
      <c r="AC34" s="154">
        <f t="shared" si="232"/>
        <v>0</v>
      </c>
      <c r="AD34" s="158">
        <f t="shared" si="233"/>
        <v>0</v>
      </c>
      <c r="AE34" s="156">
        <f t="shared" si="234"/>
        <v>0</v>
      </c>
      <c r="AF34" s="154">
        <f t="shared" si="235"/>
        <v>0</v>
      </c>
      <c r="AG34" s="154">
        <f t="shared" si="114"/>
        <v>0</v>
      </c>
      <c r="AH34" s="154">
        <f t="shared" si="236"/>
        <v>0</v>
      </c>
      <c r="AI34" s="154">
        <f t="shared" si="116"/>
        <v>0</v>
      </c>
      <c r="AJ34" s="154">
        <f t="shared" si="237"/>
        <v>0</v>
      </c>
      <c r="AK34" s="154">
        <f t="shared" si="118"/>
        <v>0</v>
      </c>
      <c r="AL34" s="154">
        <f t="shared" si="238"/>
        <v>0</v>
      </c>
      <c r="AM34" s="154">
        <f t="shared" si="120"/>
        <v>0</v>
      </c>
      <c r="AN34" s="154">
        <f t="shared" si="239"/>
        <v>0</v>
      </c>
      <c r="AO34" s="157">
        <f t="shared" si="122"/>
        <v>0</v>
      </c>
      <c r="AP34" s="154">
        <f t="shared" si="123"/>
        <v>0</v>
      </c>
      <c r="AQ34" s="158">
        <f t="shared" si="124"/>
        <v>0</v>
      </c>
      <c r="AR34" s="156">
        <f t="shared" si="234"/>
        <v>0</v>
      </c>
      <c r="AS34" s="154">
        <f t="shared" si="240"/>
        <v>0</v>
      </c>
      <c r="AT34" s="154">
        <f t="shared" si="127"/>
        <v>0</v>
      </c>
      <c r="AU34" s="154">
        <f t="shared" si="241"/>
        <v>0</v>
      </c>
      <c r="AV34" s="154">
        <f t="shared" si="129"/>
        <v>0</v>
      </c>
      <c r="AW34" s="154">
        <f t="shared" si="242"/>
        <v>0</v>
      </c>
      <c r="AX34" s="154">
        <f t="shared" si="131"/>
        <v>0</v>
      </c>
      <c r="AY34" s="154">
        <f t="shared" si="243"/>
        <v>0</v>
      </c>
      <c r="AZ34" s="154">
        <f t="shared" si="133"/>
        <v>0</v>
      </c>
      <c r="BA34" s="154">
        <f t="shared" si="244"/>
        <v>0</v>
      </c>
      <c r="BB34" s="157">
        <f t="shared" si="135"/>
        <v>0</v>
      </c>
      <c r="BC34" s="154">
        <f t="shared" si="136"/>
        <v>0</v>
      </c>
      <c r="BD34" s="158">
        <f t="shared" si="137"/>
        <v>0</v>
      </c>
      <c r="BE34" s="156">
        <f t="shared" si="234"/>
        <v>0</v>
      </c>
      <c r="BF34" s="154">
        <f t="shared" si="245"/>
        <v>0</v>
      </c>
      <c r="BG34" s="154">
        <f t="shared" si="140"/>
        <v>0</v>
      </c>
      <c r="BH34" s="154">
        <f t="shared" si="246"/>
        <v>0</v>
      </c>
      <c r="BI34" s="154">
        <f t="shared" si="142"/>
        <v>0</v>
      </c>
      <c r="BJ34" s="154">
        <f t="shared" si="247"/>
        <v>0</v>
      </c>
      <c r="BK34" s="154">
        <f t="shared" si="144"/>
        <v>0</v>
      </c>
      <c r="BL34" s="154">
        <f t="shared" si="248"/>
        <v>0</v>
      </c>
      <c r="BM34" s="154">
        <f t="shared" si="146"/>
        <v>0</v>
      </c>
      <c r="BN34" s="154">
        <f t="shared" si="249"/>
        <v>0</v>
      </c>
      <c r="BO34" s="157">
        <f t="shared" si="148"/>
        <v>0</v>
      </c>
      <c r="BP34" s="154">
        <f t="shared" si="149"/>
        <v>0</v>
      </c>
      <c r="BQ34" s="158">
        <f t="shared" si="150"/>
        <v>0</v>
      </c>
      <c r="BR34" s="156">
        <f t="shared" si="234"/>
        <v>0</v>
      </c>
      <c r="BS34" s="154">
        <f t="shared" si="250"/>
        <v>0</v>
      </c>
      <c r="BT34" s="154">
        <f t="shared" si="153"/>
        <v>0</v>
      </c>
      <c r="BU34" s="154">
        <f t="shared" si="251"/>
        <v>0</v>
      </c>
      <c r="BV34" s="154">
        <f t="shared" si="155"/>
        <v>0</v>
      </c>
      <c r="BW34" s="154">
        <f t="shared" si="252"/>
        <v>0</v>
      </c>
      <c r="BX34" s="154">
        <f t="shared" si="157"/>
        <v>0</v>
      </c>
      <c r="BY34" s="154">
        <f t="shared" si="253"/>
        <v>0</v>
      </c>
      <c r="BZ34" s="154">
        <f t="shared" si="159"/>
        <v>0</v>
      </c>
      <c r="CA34" s="154">
        <f t="shared" si="254"/>
        <v>0</v>
      </c>
      <c r="CB34" s="157">
        <f t="shared" si="161"/>
        <v>0</v>
      </c>
      <c r="CC34" s="154">
        <f t="shared" si="162"/>
        <v>0</v>
      </c>
      <c r="CD34" s="158">
        <f t="shared" si="163"/>
        <v>0</v>
      </c>
      <c r="CE34" s="156">
        <f t="shared" si="234"/>
        <v>0</v>
      </c>
      <c r="CF34" s="154">
        <f t="shared" si="255"/>
        <v>0</v>
      </c>
      <c r="CG34" s="154">
        <f t="shared" si="166"/>
        <v>0</v>
      </c>
      <c r="CH34" s="154">
        <f t="shared" si="256"/>
        <v>0</v>
      </c>
      <c r="CI34" s="154">
        <f t="shared" si="168"/>
        <v>0</v>
      </c>
      <c r="CJ34" s="154">
        <f t="shared" si="257"/>
        <v>0</v>
      </c>
      <c r="CK34" s="154">
        <f t="shared" si="170"/>
        <v>0</v>
      </c>
      <c r="CL34" s="154">
        <f t="shared" si="258"/>
        <v>0</v>
      </c>
      <c r="CM34" s="154">
        <f t="shared" si="172"/>
        <v>0</v>
      </c>
      <c r="CN34" s="154">
        <f t="shared" si="259"/>
        <v>0</v>
      </c>
      <c r="CO34" s="157">
        <f t="shared" si="174"/>
        <v>0</v>
      </c>
      <c r="CP34" s="154">
        <f t="shared" si="175"/>
        <v>0</v>
      </c>
      <c r="CQ34" s="158">
        <f t="shared" si="176"/>
        <v>0</v>
      </c>
      <c r="CR34" s="156">
        <f t="shared" si="260"/>
        <v>0</v>
      </c>
      <c r="CS34" s="154">
        <f t="shared" si="261"/>
        <v>0</v>
      </c>
      <c r="CT34" s="154">
        <f t="shared" si="179"/>
        <v>0</v>
      </c>
      <c r="CU34" s="154">
        <f t="shared" si="262"/>
        <v>0</v>
      </c>
      <c r="CV34" s="154">
        <f t="shared" si="181"/>
        <v>0</v>
      </c>
      <c r="CW34" s="154">
        <f t="shared" si="263"/>
        <v>0</v>
      </c>
      <c r="CX34" s="154">
        <f t="shared" si="183"/>
        <v>0</v>
      </c>
      <c r="CY34" s="154">
        <f t="shared" si="264"/>
        <v>0</v>
      </c>
      <c r="CZ34" s="154">
        <f t="shared" si="185"/>
        <v>0</v>
      </c>
      <c r="DA34" s="154">
        <f t="shared" si="265"/>
        <v>0</v>
      </c>
      <c r="DB34" s="157">
        <f t="shared" si="187"/>
        <v>0</v>
      </c>
      <c r="DC34" s="154">
        <f t="shared" si="188"/>
        <v>0</v>
      </c>
      <c r="DD34" s="158">
        <f t="shared" si="189"/>
        <v>0</v>
      </c>
      <c r="DE34" s="156">
        <f t="shared" si="260"/>
        <v>0</v>
      </c>
      <c r="DF34" s="154">
        <f t="shared" si="266"/>
        <v>0</v>
      </c>
      <c r="DG34" s="154">
        <f t="shared" si="192"/>
        <v>0</v>
      </c>
      <c r="DH34" s="154">
        <f t="shared" si="267"/>
        <v>0</v>
      </c>
      <c r="DI34" s="154">
        <f t="shared" si="194"/>
        <v>0</v>
      </c>
      <c r="DJ34" s="154">
        <f t="shared" si="268"/>
        <v>0</v>
      </c>
      <c r="DK34" s="154">
        <f t="shared" si="196"/>
        <v>0</v>
      </c>
      <c r="DL34" s="154">
        <f t="shared" si="269"/>
        <v>0</v>
      </c>
      <c r="DM34" s="154">
        <f t="shared" si="198"/>
        <v>0</v>
      </c>
      <c r="DN34" s="154">
        <f t="shared" si="270"/>
        <v>0</v>
      </c>
      <c r="DO34" s="157">
        <f t="shared" si="200"/>
        <v>0</v>
      </c>
      <c r="DP34" s="154">
        <f t="shared" si="201"/>
        <v>0</v>
      </c>
      <c r="DQ34" s="158">
        <f t="shared" si="202"/>
        <v>0</v>
      </c>
      <c r="DR34" s="156">
        <f t="shared" si="260"/>
        <v>0</v>
      </c>
      <c r="DS34" s="154">
        <f t="shared" si="271"/>
        <v>0</v>
      </c>
      <c r="DT34" s="154">
        <f t="shared" si="205"/>
        <v>0</v>
      </c>
      <c r="DU34" s="154">
        <f t="shared" si="272"/>
        <v>0</v>
      </c>
      <c r="DV34" s="154">
        <f t="shared" si="207"/>
        <v>0</v>
      </c>
      <c r="DW34" s="154">
        <f t="shared" si="273"/>
        <v>0</v>
      </c>
      <c r="DX34" s="154">
        <f t="shared" si="209"/>
        <v>0</v>
      </c>
      <c r="DY34" s="154">
        <f t="shared" si="274"/>
        <v>0</v>
      </c>
      <c r="DZ34" s="154">
        <f t="shared" si="211"/>
        <v>0</v>
      </c>
      <c r="EA34" s="154">
        <f t="shared" si="275"/>
        <v>0</v>
      </c>
      <c r="EB34" s="157">
        <f t="shared" si="213"/>
        <v>0</v>
      </c>
      <c r="EC34" s="154">
        <f t="shared" si="214"/>
        <v>0</v>
      </c>
      <c r="ED34" s="158">
        <f t="shared" si="215"/>
        <v>0</v>
      </c>
    </row>
    <row r="35" spans="1:134" x14ac:dyDescent="0.35">
      <c r="A35" s="172"/>
      <c r="B35" s="173"/>
      <c r="C35" s="174"/>
      <c r="D35" s="175"/>
      <c r="E35" s="176"/>
      <c r="F35" s="177"/>
      <c r="G35" s="178"/>
      <c r="H35" s="179"/>
      <c r="I35" s="180"/>
      <c r="J35" s="181"/>
      <c r="K35" s="152">
        <f t="shared" si="216"/>
        <v>0</v>
      </c>
      <c r="L35" s="153">
        <f t="shared" si="217"/>
        <v>0</v>
      </c>
      <c r="M35" s="154">
        <f t="shared" si="218"/>
        <v>0</v>
      </c>
      <c r="N35" s="154"/>
      <c r="O35" s="154">
        <f t="shared" si="219"/>
        <v>0</v>
      </c>
      <c r="P35" s="155"/>
      <c r="Q35" s="154">
        <f t="shared" si="220"/>
        <v>0</v>
      </c>
      <c r="R35" s="156">
        <f t="shared" si="221"/>
        <v>0</v>
      </c>
      <c r="S35" s="154">
        <f t="shared" si="222"/>
        <v>0</v>
      </c>
      <c r="T35" s="154">
        <f t="shared" si="223"/>
        <v>0</v>
      </c>
      <c r="U35" s="154">
        <f t="shared" si="224"/>
        <v>0</v>
      </c>
      <c r="V35" s="154">
        <f t="shared" si="225"/>
        <v>0</v>
      </c>
      <c r="W35" s="154">
        <f t="shared" si="226"/>
        <v>0</v>
      </c>
      <c r="X35" s="154">
        <f t="shared" si="227"/>
        <v>0</v>
      </c>
      <c r="Y35" s="154">
        <f t="shared" si="228"/>
        <v>0</v>
      </c>
      <c r="Z35" s="154">
        <f t="shared" si="229"/>
        <v>0</v>
      </c>
      <c r="AA35" s="154">
        <f t="shared" si="230"/>
        <v>0</v>
      </c>
      <c r="AB35" s="157">
        <f t="shared" si="231"/>
        <v>0</v>
      </c>
      <c r="AC35" s="154">
        <f t="shared" si="232"/>
        <v>0</v>
      </c>
      <c r="AD35" s="158">
        <f t="shared" si="233"/>
        <v>0</v>
      </c>
      <c r="AE35" s="156">
        <f t="shared" si="234"/>
        <v>0</v>
      </c>
      <c r="AF35" s="154">
        <f t="shared" si="235"/>
        <v>0</v>
      </c>
      <c r="AG35" s="154">
        <f t="shared" si="114"/>
        <v>0</v>
      </c>
      <c r="AH35" s="154">
        <f t="shared" si="236"/>
        <v>0</v>
      </c>
      <c r="AI35" s="154">
        <f t="shared" si="116"/>
        <v>0</v>
      </c>
      <c r="AJ35" s="154">
        <f t="shared" si="237"/>
        <v>0</v>
      </c>
      <c r="AK35" s="154">
        <f t="shared" si="118"/>
        <v>0</v>
      </c>
      <c r="AL35" s="154">
        <f t="shared" si="238"/>
        <v>0</v>
      </c>
      <c r="AM35" s="154">
        <f t="shared" si="120"/>
        <v>0</v>
      </c>
      <c r="AN35" s="154">
        <f t="shared" si="239"/>
        <v>0</v>
      </c>
      <c r="AO35" s="157">
        <f t="shared" si="122"/>
        <v>0</v>
      </c>
      <c r="AP35" s="154">
        <f t="shared" si="123"/>
        <v>0</v>
      </c>
      <c r="AQ35" s="158">
        <f t="shared" si="124"/>
        <v>0</v>
      </c>
      <c r="AR35" s="156">
        <f t="shared" si="234"/>
        <v>0</v>
      </c>
      <c r="AS35" s="154">
        <f t="shared" si="240"/>
        <v>0</v>
      </c>
      <c r="AT35" s="154">
        <f t="shared" si="127"/>
        <v>0</v>
      </c>
      <c r="AU35" s="154">
        <f t="shared" si="241"/>
        <v>0</v>
      </c>
      <c r="AV35" s="154">
        <f t="shared" si="129"/>
        <v>0</v>
      </c>
      <c r="AW35" s="154">
        <f t="shared" si="242"/>
        <v>0</v>
      </c>
      <c r="AX35" s="154">
        <f t="shared" si="131"/>
        <v>0</v>
      </c>
      <c r="AY35" s="154">
        <f t="shared" si="243"/>
        <v>0</v>
      </c>
      <c r="AZ35" s="154">
        <f t="shared" si="133"/>
        <v>0</v>
      </c>
      <c r="BA35" s="154">
        <f t="shared" si="244"/>
        <v>0</v>
      </c>
      <c r="BB35" s="157">
        <f t="shared" si="135"/>
        <v>0</v>
      </c>
      <c r="BC35" s="154">
        <f t="shared" si="136"/>
        <v>0</v>
      </c>
      <c r="BD35" s="158">
        <f t="shared" si="137"/>
        <v>0</v>
      </c>
      <c r="BE35" s="156">
        <f t="shared" si="234"/>
        <v>0</v>
      </c>
      <c r="BF35" s="154">
        <f t="shared" si="245"/>
        <v>0</v>
      </c>
      <c r="BG35" s="154">
        <f t="shared" si="140"/>
        <v>0</v>
      </c>
      <c r="BH35" s="154">
        <f t="shared" si="246"/>
        <v>0</v>
      </c>
      <c r="BI35" s="154">
        <f t="shared" si="142"/>
        <v>0</v>
      </c>
      <c r="BJ35" s="154">
        <f t="shared" si="247"/>
        <v>0</v>
      </c>
      <c r="BK35" s="154">
        <f t="shared" si="144"/>
        <v>0</v>
      </c>
      <c r="BL35" s="154">
        <f t="shared" si="248"/>
        <v>0</v>
      </c>
      <c r="BM35" s="154">
        <f t="shared" si="146"/>
        <v>0</v>
      </c>
      <c r="BN35" s="154">
        <f t="shared" si="249"/>
        <v>0</v>
      </c>
      <c r="BO35" s="157">
        <f t="shared" si="148"/>
        <v>0</v>
      </c>
      <c r="BP35" s="154">
        <f t="shared" si="149"/>
        <v>0</v>
      </c>
      <c r="BQ35" s="158">
        <f t="shared" si="150"/>
        <v>0</v>
      </c>
      <c r="BR35" s="156">
        <f t="shared" si="234"/>
        <v>0</v>
      </c>
      <c r="BS35" s="154">
        <f t="shared" si="250"/>
        <v>0</v>
      </c>
      <c r="BT35" s="154">
        <f t="shared" si="153"/>
        <v>0</v>
      </c>
      <c r="BU35" s="154">
        <f t="shared" si="251"/>
        <v>0</v>
      </c>
      <c r="BV35" s="154">
        <f t="shared" si="155"/>
        <v>0</v>
      </c>
      <c r="BW35" s="154">
        <f t="shared" si="252"/>
        <v>0</v>
      </c>
      <c r="BX35" s="154">
        <f t="shared" si="157"/>
        <v>0</v>
      </c>
      <c r="BY35" s="154">
        <f t="shared" si="253"/>
        <v>0</v>
      </c>
      <c r="BZ35" s="154">
        <f t="shared" si="159"/>
        <v>0</v>
      </c>
      <c r="CA35" s="154">
        <f t="shared" si="254"/>
        <v>0</v>
      </c>
      <c r="CB35" s="157">
        <f t="shared" si="161"/>
        <v>0</v>
      </c>
      <c r="CC35" s="154">
        <f t="shared" si="162"/>
        <v>0</v>
      </c>
      <c r="CD35" s="158">
        <f t="shared" si="163"/>
        <v>0</v>
      </c>
      <c r="CE35" s="156">
        <f t="shared" si="234"/>
        <v>0</v>
      </c>
      <c r="CF35" s="154">
        <f t="shared" si="255"/>
        <v>0</v>
      </c>
      <c r="CG35" s="154">
        <f t="shared" si="166"/>
        <v>0</v>
      </c>
      <c r="CH35" s="154">
        <f t="shared" si="256"/>
        <v>0</v>
      </c>
      <c r="CI35" s="154">
        <f t="shared" si="168"/>
        <v>0</v>
      </c>
      <c r="CJ35" s="154">
        <f t="shared" si="257"/>
        <v>0</v>
      </c>
      <c r="CK35" s="154">
        <f t="shared" si="170"/>
        <v>0</v>
      </c>
      <c r="CL35" s="154">
        <f t="shared" si="258"/>
        <v>0</v>
      </c>
      <c r="CM35" s="154">
        <f t="shared" si="172"/>
        <v>0</v>
      </c>
      <c r="CN35" s="154">
        <f t="shared" si="259"/>
        <v>0</v>
      </c>
      <c r="CO35" s="157">
        <f t="shared" si="174"/>
        <v>0</v>
      </c>
      <c r="CP35" s="154">
        <f t="shared" si="175"/>
        <v>0</v>
      </c>
      <c r="CQ35" s="158">
        <f t="shared" si="176"/>
        <v>0</v>
      </c>
      <c r="CR35" s="156">
        <f t="shared" si="260"/>
        <v>0</v>
      </c>
      <c r="CS35" s="154">
        <f t="shared" si="261"/>
        <v>0</v>
      </c>
      <c r="CT35" s="154">
        <f t="shared" si="179"/>
        <v>0</v>
      </c>
      <c r="CU35" s="154">
        <f t="shared" si="262"/>
        <v>0</v>
      </c>
      <c r="CV35" s="154">
        <f t="shared" si="181"/>
        <v>0</v>
      </c>
      <c r="CW35" s="154">
        <f t="shared" si="263"/>
        <v>0</v>
      </c>
      <c r="CX35" s="154">
        <f t="shared" si="183"/>
        <v>0</v>
      </c>
      <c r="CY35" s="154">
        <f t="shared" si="264"/>
        <v>0</v>
      </c>
      <c r="CZ35" s="154">
        <f t="shared" si="185"/>
        <v>0</v>
      </c>
      <c r="DA35" s="154">
        <f t="shared" si="265"/>
        <v>0</v>
      </c>
      <c r="DB35" s="157">
        <f t="shared" si="187"/>
        <v>0</v>
      </c>
      <c r="DC35" s="154">
        <f t="shared" si="188"/>
        <v>0</v>
      </c>
      <c r="DD35" s="158">
        <f t="shared" si="189"/>
        <v>0</v>
      </c>
      <c r="DE35" s="156">
        <f t="shared" si="260"/>
        <v>0</v>
      </c>
      <c r="DF35" s="154">
        <f t="shared" si="266"/>
        <v>0</v>
      </c>
      <c r="DG35" s="154">
        <f t="shared" si="192"/>
        <v>0</v>
      </c>
      <c r="DH35" s="154">
        <f t="shared" si="267"/>
        <v>0</v>
      </c>
      <c r="DI35" s="154">
        <f t="shared" si="194"/>
        <v>0</v>
      </c>
      <c r="DJ35" s="154">
        <f t="shared" si="268"/>
        <v>0</v>
      </c>
      <c r="DK35" s="154">
        <f t="shared" si="196"/>
        <v>0</v>
      </c>
      <c r="DL35" s="154">
        <f t="shared" si="269"/>
        <v>0</v>
      </c>
      <c r="DM35" s="154">
        <f t="shared" si="198"/>
        <v>0</v>
      </c>
      <c r="DN35" s="154">
        <f t="shared" si="270"/>
        <v>0</v>
      </c>
      <c r="DO35" s="157">
        <f t="shared" si="200"/>
        <v>0</v>
      </c>
      <c r="DP35" s="154">
        <f t="shared" si="201"/>
        <v>0</v>
      </c>
      <c r="DQ35" s="158">
        <f t="shared" si="202"/>
        <v>0</v>
      </c>
      <c r="DR35" s="156">
        <f t="shared" si="260"/>
        <v>0</v>
      </c>
      <c r="DS35" s="154">
        <f t="shared" si="271"/>
        <v>0</v>
      </c>
      <c r="DT35" s="154">
        <f t="shared" si="205"/>
        <v>0</v>
      </c>
      <c r="DU35" s="154">
        <f t="shared" si="272"/>
        <v>0</v>
      </c>
      <c r="DV35" s="154">
        <f t="shared" si="207"/>
        <v>0</v>
      </c>
      <c r="DW35" s="154">
        <f t="shared" si="273"/>
        <v>0</v>
      </c>
      <c r="DX35" s="154">
        <f t="shared" si="209"/>
        <v>0</v>
      </c>
      <c r="DY35" s="154">
        <f t="shared" si="274"/>
        <v>0</v>
      </c>
      <c r="DZ35" s="154">
        <f t="shared" si="211"/>
        <v>0</v>
      </c>
      <c r="EA35" s="154">
        <f t="shared" si="275"/>
        <v>0</v>
      </c>
      <c r="EB35" s="157">
        <f t="shared" si="213"/>
        <v>0</v>
      </c>
      <c r="EC35" s="154">
        <f t="shared" si="214"/>
        <v>0</v>
      </c>
      <c r="ED35" s="158">
        <f t="shared" si="215"/>
        <v>0</v>
      </c>
    </row>
    <row r="36" spans="1:134" x14ac:dyDescent="0.35">
      <c r="A36" s="172"/>
      <c r="B36" s="173"/>
      <c r="C36" s="174"/>
      <c r="D36" s="175"/>
      <c r="E36" s="176"/>
      <c r="F36" s="177"/>
      <c r="G36" s="178"/>
      <c r="H36" s="179"/>
      <c r="I36" s="180"/>
      <c r="J36" s="181"/>
      <c r="K36" s="152">
        <f t="shared" si="216"/>
        <v>0</v>
      </c>
      <c r="L36" s="153">
        <f t="shared" si="217"/>
        <v>0</v>
      </c>
      <c r="M36" s="154">
        <f t="shared" si="218"/>
        <v>0</v>
      </c>
      <c r="N36" s="154"/>
      <c r="O36" s="154">
        <f t="shared" si="219"/>
        <v>0</v>
      </c>
      <c r="P36" s="155"/>
      <c r="Q36" s="154">
        <f t="shared" si="220"/>
        <v>0</v>
      </c>
      <c r="R36" s="156">
        <f t="shared" si="221"/>
        <v>0</v>
      </c>
      <c r="S36" s="154">
        <f t="shared" si="222"/>
        <v>0</v>
      </c>
      <c r="T36" s="154">
        <f t="shared" si="223"/>
        <v>0</v>
      </c>
      <c r="U36" s="154">
        <f t="shared" si="224"/>
        <v>0</v>
      </c>
      <c r="V36" s="154">
        <f t="shared" si="225"/>
        <v>0</v>
      </c>
      <c r="W36" s="154">
        <f t="shared" si="226"/>
        <v>0</v>
      </c>
      <c r="X36" s="154">
        <f t="shared" si="227"/>
        <v>0</v>
      </c>
      <c r="Y36" s="154">
        <f t="shared" si="228"/>
        <v>0</v>
      </c>
      <c r="Z36" s="154">
        <f t="shared" si="229"/>
        <v>0</v>
      </c>
      <c r="AA36" s="154">
        <f t="shared" si="230"/>
        <v>0</v>
      </c>
      <c r="AB36" s="157">
        <f t="shared" si="231"/>
        <v>0</v>
      </c>
      <c r="AC36" s="154">
        <f t="shared" si="232"/>
        <v>0</v>
      </c>
      <c r="AD36" s="158">
        <f t="shared" si="233"/>
        <v>0</v>
      </c>
      <c r="AE36" s="156">
        <f t="shared" si="234"/>
        <v>0</v>
      </c>
      <c r="AF36" s="154">
        <f t="shared" si="235"/>
        <v>0</v>
      </c>
      <c r="AG36" s="154">
        <f t="shared" si="114"/>
        <v>0</v>
      </c>
      <c r="AH36" s="154">
        <f t="shared" si="236"/>
        <v>0</v>
      </c>
      <c r="AI36" s="154">
        <f t="shared" si="116"/>
        <v>0</v>
      </c>
      <c r="AJ36" s="154">
        <f t="shared" si="237"/>
        <v>0</v>
      </c>
      <c r="AK36" s="154">
        <f t="shared" si="118"/>
        <v>0</v>
      </c>
      <c r="AL36" s="154">
        <f t="shared" si="238"/>
        <v>0</v>
      </c>
      <c r="AM36" s="154">
        <f t="shared" si="120"/>
        <v>0</v>
      </c>
      <c r="AN36" s="154">
        <f t="shared" si="239"/>
        <v>0</v>
      </c>
      <c r="AO36" s="157">
        <f t="shared" si="122"/>
        <v>0</v>
      </c>
      <c r="AP36" s="154">
        <f t="shared" si="123"/>
        <v>0</v>
      </c>
      <c r="AQ36" s="158">
        <f t="shared" si="124"/>
        <v>0</v>
      </c>
      <c r="AR36" s="156">
        <f t="shared" si="234"/>
        <v>0</v>
      </c>
      <c r="AS36" s="154">
        <f t="shared" si="240"/>
        <v>0</v>
      </c>
      <c r="AT36" s="154">
        <f t="shared" si="127"/>
        <v>0</v>
      </c>
      <c r="AU36" s="154">
        <f t="shared" si="241"/>
        <v>0</v>
      </c>
      <c r="AV36" s="154">
        <f t="shared" si="129"/>
        <v>0</v>
      </c>
      <c r="AW36" s="154">
        <f t="shared" si="242"/>
        <v>0</v>
      </c>
      <c r="AX36" s="154">
        <f t="shared" si="131"/>
        <v>0</v>
      </c>
      <c r="AY36" s="154">
        <f t="shared" si="243"/>
        <v>0</v>
      </c>
      <c r="AZ36" s="154">
        <f t="shared" si="133"/>
        <v>0</v>
      </c>
      <c r="BA36" s="154">
        <f t="shared" si="244"/>
        <v>0</v>
      </c>
      <c r="BB36" s="157">
        <f t="shared" si="135"/>
        <v>0</v>
      </c>
      <c r="BC36" s="154">
        <f t="shared" si="136"/>
        <v>0</v>
      </c>
      <c r="BD36" s="158">
        <f t="shared" si="137"/>
        <v>0</v>
      </c>
      <c r="BE36" s="156">
        <f t="shared" si="234"/>
        <v>0</v>
      </c>
      <c r="BF36" s="154">
        <f t="shared" si="245"/>
        <v>0</v>
      </c>
      <c r="BG36" s="154">
        <f t="shared" si="140"/>
        <v>0</v>
      </c>
      <c r="BH36" s="154">
        <f t="shared" si="246"/>
        <v>0</v>
      </c>
      <c r="BI36" s="154">
        <f t="shared" si="142"/>
        <v>0</v>
      </c>
      <c r="BJ36" s="154">
        <f t="shared" si="247"/>
        <v>0</v>
      </c>
      <c r="BK36" s="154">
        <f t="shared" si="144"/>
        <v>0</v>
      </c>
      <c r="BL36" s="154">
        <f t="shared" si="248"/>
        <v>0</v>
      </c>
      <c r="BM36" s="154">
        <f t="shared" si="146"/>
        <v>0</v>
      </c>
      <c r="BN36" s="154">
        <f t="shared" si="249"/>
        <v>0</v>
      </c>
      <c r="BO36" s="157">
        <f t="shared" si="148"/>
        <v>0</v>
      </c>
      <c r="BP36" s="154">
        <f t="shared" si="149"/>
        <v>0</v>
      </c>
      <c r="BQ36" s="158">
        <f t="shared" si="150"/>
        <v>0</v>
      </c>
      <c r="BR36" s="156">
        <f t="shared" si="234"/>
        <v>0</v>
      </c>
      <c r="BS36" s="154">
        <f t="shared" si="250"/>
        <v>0</v>
      </c>
      <c r="BT36" s="154">
        <f t="shared" si="153"/>
        <v>0</v>
      </c>
      <c r="BU36" s="154">
        <f t="shared" si="251"/>
        <v>0</v>
      </c>
      <c r="BV36" s="154">
        <f t="shared" si="155"/>
        <v>0</v>
      </c>
      <c r="BW36" s="154">
        <f t="shared" si="252"/>
        <v>0</v>
      </c>
      <c r="BX36" s="154">
        <f t="shared" si="157"/>
        <v>0</v>
      </c>
      <c r="BY36" s="154">
        <f t="shared" si="253"/>
        <v>0</v>
      </c>
      <c r="BZ36" s="154">
        <f t="shared" si="159"/>
        <v>0</v>
      </c>
      <c r="CA36" s="154">
        <f t="shared" si="254"/>
        <v>0</v>
      </c>
      <c r="CB36" s="157">
        <f t="shared" si="161"/>
        <v>0</v>
      </c>
      <c r="CC36" s="154">
        <f t="shared" si="162"/>
        <v>0</v>
      </c>
      <c r="CD36" s="158">
        <f t="shared" si="163"/>
        <v>0</v>
      </c>
      <c r="CE36" s="156">
        <f t="shared" si="234"/>
        <v>0</v>
      </c>
      <c r="CF36" s="154">
        <f t="shared" si="255"/>
        <v>0</v>
      </c>
      <c r="CG36" s="154">
        <f t="shared" si="166"/>
        <v>0</v>
      </c>
      <c r="CH36" s="154">
        <f t="shared" si="256"/>
        <v>0</v>
      </c>
      <c r="CI36" s="154">
        <f t="shared" si="168"/>
        <v>0</v>
      </c>
      <c r="CJ36" s="154">
        <f t="shared" si="257"/>
        <v>0</v>
      </c>
      <c r="CK36" s="154">
        <f t="shared" si="170"/>
        <v>0</v>
      </c>
      <c r="CL36" s="154">
        <f t="shared" si="258"/>
        <v>0</v>
      </c>
      <c r="CM36" s="154">
        <f t="shared" si="172"/>
        <v>0</v>
      </c>
      <c r="CN36" s="154">
        <f t="shared" si="259"/>
        <v>0</v>
      </c>
      <c r="CO36" s="157">
        <f t="shared" si="174"/>
        <v>0</v>
      </c>
      <c r="CP36" s="154">
        <f t="shared" si="175"/>
        <v>0</v>
      </c>
      <c r="CQ36" s="158">
        <f t="shared" si="176"/>
        <v>0</v>
      </c>
      <c r="CR36" s="156">
        <f t="shared" si="260"/>
        <v>0</v>
      </c>
      <c r="CS36" s="154">
        <f t="shared" si="261"/>
        <v>0</v>
      </c>
      <c r="CT36" s="154">
        <f t="shared" si="179"/>
        <v>0</v>
      </c>
      <c r="CU36" s="154">
        <f t="shared" si="262"/>
        <v>0</v>
      </c>
      <c r="CV36" s="154">
        <f t="shared" si="181"/>
        <v>0</v>
      </c>
      <c r="CW36" s="154">
        <f t="shared" si="263"/>
        <v>0</v>
      </c>
      <c r="CX36" s="154">
        <f t="shared" si="183"/>
        <v>0</v>
      </c>
      <c r="CY36" s="154">
        <f t="shared" si="264"/>
        <v>0</v>
      </c>
      <c r="CZ36" s="154">
        <f t="shared" si="185"/>
        <v>0</v>
      </c>
      <c r="DA36" s="154">
        <f t="shared" si="265"/>
        <v>0</v>
      </c>
      <c r="DB36" s="157">
        <f t="shared" si="187"/>
        <v>0</v>
      </c>
      <c r="DC36" s="154">
        <f t="shared" si="188"/>
        <v>0</v>
      </c>
      <c r="DD36" s="158">
        <f t="shared" si="189"/>
        <v>0</v>
      </c>
      <c r="DE36" s="156">
        <f t="shared" si="260"/>
        <v>0</v>
      </c>
      <c r="DF36" s="154">
        <f t="shared" si="266"/>
        <v>0</v>
      </c>
      <c r="DG36" s="154">
        <f t="shared" si="192"/>
        <v>0</v>
      </c>
      <c r="DH36" s="154">
        <f t="shared" si="267"/>
        <v>0</v>
      </c>
      <c r="DI36" s="154">
        <f t="shared" si="194"/>
        <v>0</v>
      </c>
      <c r="DJ36" s="154">
        <f t="shared" si="268"/>
        <v>0</v>
      </c>
      <c r="DK36" s="154">
        <f t="shared" si="196"/>
        <v>0</v>
      </c>
      <c r="DL36" s="154">
        <f t="shared" si="269"/>
        <v>0</v>
      </c>
      <c r="DM36" s="154">
        <f t="shared" si="198"/>
        <v>0</v>
      </c>
      <c r="DN36" s="154">
        <f t="shared" si="270"/>
        <v>0</v>
      </c>
      <c r="DO36" s="157">
        <f t="shared" si="200"/>
        <v>0</v>
      </c>
      <c r="DP36" s="154">
        <f t="shared" si="201"/>
        <v>0</v>
      </c>
      <c r="DQ36" s="158">
        <f t="shared" si="202"/>
        <v>0</v>
      </c>
      <c r="DR36" s="156">
        <f t="shared" si="260"/>
        <v>0</v>
      </c>
      <c r="DS36" s="154">
        <f t="shared" si="271"/>
        <v>0</v>
      </c>
      <c r="DT36" s="154">
        <f t="shared" si="205"/>
        <v>0</v>
      </c>
      <c r="DU36" s="154">
        <f t="shared" si="272"/>
        <v>0</v>
      </c>
      <c r="DV36" s="154">
        <f t="shared" si="207"/>
        <v>0</v>
      </c>
      <c r="DW36" s="154">
        <f t="shared" si="273"/>
        <v>0</v>
      </c>
      <c r="DX36" s="154">
        <f t="shared" si="209"/>
        <v>0</v>
      </c>
      <c r="DY36" s="154">
        <f t="shared" si="274"/>
        <v>0</v>
      </c>
      <c r="DZ36" s="154">
        <f t="shared" si="211"/>
        <v>0</v>
      </c>
      <c r="EA36" s="154">
        <f t="shared" si="275"/>
        <v>0</v>
      </c>
      <c r="EB36" s="157">
        <f t="shared" si="213"/>
        <v>0</v>
      </c>
      <c r="EC36" s="154">
        <f t="shared" si="214"/>
        <v>0</v>
      </c>
      <c r="ED36" s="158">
        <f t="shared" si="215"/>
        <v>0</v>
      </c>
    </row>
    <row r="37" spans="1:134" x14ac:dyDescent="0.35">
      <c r="A37" s="172"/>
      <c r="B37" s="173"/>
      <c r="C37" s="174"/>
      <c r="D37" s="175"/>
      <c r="E37" s="176"/>
      <c r="F37" s="177"/>
      <c r="G37" s="178"/>
      <c r="H37" s="179"/>
      <c r="I37" s="180"/>
      <c r="J37" s="181"/>
      <c r="K37" s="152">
        <f t="shared" si="216"/>
        <v>0</v>
      </c>
      <c r="L37" s="153">
        <f t="shared" si="217"/>
        <v>0</v>
      </c>
      <c r="M37" s="154">
        <f t="shared" si="218"/>
        <v>0</v>
      </c>
      <c r="N37" s="154"/>
      <c r="O37" s="154">
        <f t="shared" si="219"/>
        <v>0</v>
      </c>
      <c r="P37" s="155"/>
      <c r="Q37" s="154">
        <f t="shared" si="220"/>
        <v>0</v>
      </c>
      <c r="R37" s="156">
        <f t="shared" si="221"/>
        <v>0</v>
      </c>
      <c r="S37" s="154">
        <f t="shared" si="222"/>
        <v>0</v>
      </c>
      <c r="T37" s="154">
        <f t="shared" si="223"/>
        <v>0</v>
      </c>
      <c r="U37" s="154">
        <f t="shared" si="224"/>
        <v>0</v>
      </c>
      <c r="V37" s="154">
        <f t="shared" si="225"/>
        <v>0</v>
      </c>
      <c r="W37" s="154">
        <f t="shared" si="226"/>
        <v>0</v>
      </c>
      <c r="X37" s="154">
        <f t="shared" si="227"/>
        <v>0</v>
      </c>
      <c r="Y37" s="154">
        <f t="shared" si="228"/>
        <v>0</v>
      </c>
      <c r="Z37" s="154">
        <f t="shared" si="229"/>
        <v>0</v>
      </c>
      <c r="AA37" s="154">
        <f t="shared" si="230"/>
        <v>0</v>
      </c>
      <c r="AB37" s="157">
        <f t="shared" si="231"/>
        <v>0</v>
      </c>
      <c r="AC37" s="154">
        <f t="shared" si="232"/>
        <v>0</v>
      </c>
      <c r="AD37" s="158">
        <f t="shared" si="233"/>
        <v>0</v>
      </c>
      <c r="AE37" s="156">
        <f t="shared" ref="AE37:CE52" si="276">IF(YEAR($F37)=AE$4,$E37,0)</f>
        <v>0</v>
      </c>
      <c r="AF37" s="154">
        <f t="shared" si="235"/>
        <v>0</v>
      </c>
      <c r="AG37" s="154">
        <f t="shared" si="114"/>
        <v>0</v>
      </c>
      <c r="AH37" s="154">
        <f t="shared" si="236"/>
        <v>0</v>
      </c>
      <c r="AI37" s="154">
        <f t="shared" si="116"/>
        <v>0</v>
      </c>
      <c r="AJ37" s="154">
        <f t="shared" si="237"/>
        <v>0</v>
      </c>
      <c r="AK37" s="154">
        <f t="shared" si="118"/>
        <v>0</v>
      </c>
      <c r="AL37" s="154">
        <f t="shared" si="238"/>
        <v>0</v>
      </c>
      <c r="AM37" s="154">
        <f t="shared" si="120"/>
        <v>0</v>
      </c>
      <c r="AN37" s="154">
        <f t="shared" si="239"/>
        <v>0</v>
      </c>
      <c r="AO37" s="157">
        <f t="shared" si="122"/>
        <v>0</v>
      </c>
      <c r="AP37" s="154">
        <f t="shared" si="123"/>
        <v>0</v>
      </c>
      <c r="AQ37" s="158">
        <f t="shared" si="124"/>
        <v>0</v>
      </c>
      <c r="AR37" s="156">
        <f t="shared" si="276"/>
        <v>0</v>
      </c>
      <c r="AS37" s="154">
        <f t="shared" si="240"/>
        <v>0</v>
      </c>
      <c r="AT37" s="154">
        <f t="shared" si="127"/>
        <v>0</v>
      </c>
      <c r="AU37" s="154">
        <f t="shared" si="241"/>
        <v>0</v>
      </c>
      <c r="AV37" s="154">
        <f t="shared" si="129"/>
        <v>0</v>
      </c>
      <c r="AW37" s="154">
        <f t="shared" si="242"/>
        <v>0</v>
      </c>
      <c r="AX37" s="154">
        <f t="shared" si="131"/>
        <v>0</v>
      </c>
      <c r="AY37" s="154">
        <f t="shared" si="243"/>
        <v>0</v>
      </c>
      <c r="AZ37" s="154">
        <f t="shared" si="133"/>
        <v>0</v>
      </c>
      <c r="BA37" s="154">
        <f t="shared" si="244"/>
        <v>0</v>
      </c>
      <c r="BB37" s="157">
        <f t="shared" si="135"/>
        <v>0</v>
      </c>
      <c r="BC37" s="154">
        <f t="shared" si="136"/>
        <v>0</v>
      </c>
      <c r="BD37" s="158">
        <f t="shared" si="137"/>
        <v>0</v>
      </c>
      <c r="BE37" s="156">
        <f t="shared" si="276"/>
        <v>0</v>
      </c>
      <c r="BF37" s="154">
        <f t="shared" si="245"/>
        <v>0</v>
      </c>
      <c r="BG37" s="154">
        <f t="shared" si="140"/>
        <v>0</v>
      </c>
      <c r="BH37" s="154">
        <f t="shared" si="246"/>
        <v>0</v>
      </c>
      <c r="BI37" s="154">
        <f t="shared" si="142"/>
        <v>0</v>
      </c>
      <c r="BJ37" s="154">
        <f t="shared" si="247"/>
        <v>0</v>
      </c>
      <c r="BK37" s="154">
        <f t="shared" si="144"/>
        <v>0</v>
      </c>
      <c r="BL37" s="154">
        <f t="shared" si="248"/>
        <v>0</v>
      </c>
      <c r="BM37" s="154">
        <f t="shared" si="146"/>
        <v>0</v>
      </c>
      <c r="BN37" s="154">
        <f t="shared" si="249"/>
        <v>0</v>
      </c>
      <c r="BO37" s="157">
        <f t="shared" si="148"/>
        <v>0</v>
      </c>
      <c r="BP37" s="154">
        <f t="shared" si="149"/>
        <v>0</v>
      </c>
      <c r="BQ37" s="158">
        <f t="shared" si="150"/>
        <v>0</v>
      </c>
      <c r="BR37" s="156">
        <f t="shared" si="276"/>
        <v>0</v>
      </c>
      <c r="BS37" s="154">
        <f t="shared" si="250"/>
        <v>0</v>
      </c>
      <c r="BT37" s="154">
        <f t="shared" si="153"/>
        <v>0</v>
      </c>
      <c r="BU37" s="154">
        <f t="shared" si="251"/>
        <v>0</v>
      </c>
      <c r="BV37" s="154">
        <f t="shared" si="155"/>
        <v>0</v>
      </c>
      <c r="BW37" s="154">
        <f t="shared" si="252"/>
        <v>0</v>
      </c>
      <c r="BX37" s="154">
        <f t="shared" si="157"/>
        <v>0</v>
      </c>
      <c r="BY37" s="154">
        <f t="shared" si="253"/>
        <v>0</v>
      </c>
      <c r="BZ37" s="154">
        <f t="shared" si="159"/>
        <v>0</v>
      </c>
      <c r="CA37" s="154">
        <f t="shared" si="254"/>
        <v>0</v>
      </c>
      <c r="CB37" s="157">
        <f t="shared" si="161"/>
        <v>0</v>
      </c>
      <c r="CC37" s="154">
        <f t="shared" si="162"/>
        <v>0</v>
      </c>
      <c r="CD37" s="158">
        <f t="shared" si="163"/>
        <v>0</v>
      </c>
      <c r="CE37" s="156">
        <f t="shared" si="276"/>
        <v>0</v>
      </c>
      <c r="CF37" s="154">
        <f t="shared" si="255"/>
        <v>0</v>
      </c>
      <c r="CG37" s="154">
        <f t="shared" si="166"/>
        <v>0</v>
      </c>
      <c r="CH37" s="154">
        <f t="shared" si="256"/>
        <v>0</v>
      </c>
      <c r="CI37" s="154">
        <f t="shared" si="168"/>
        <v>0</v>
      </c>
      <c r="CJ37" s="154">
        <f t="shared" si="257"/>
        <v>0</v>
      </c>
      <c r="CK37" s="154">
        <f t="shared" si="170"/>
        <v>0</v>
      </c>
      <c r="CL37" s="154">
        <f t="shared" si="258"/>
        <v>0</v>
      </c>
      <c r="CM37" s="154">
        <f t="shared" si="172"/>
        <v>0</v>
      </c>
      <c r="CN37" s="154">
        <f t="shared" si="259"/>
        <v>0</v>
      </c>
      <c r="CO37" s="157">
        <f t="shared" si="174"/>
        <v>0</v>
      </c>
      <c r="CP37" s="154">
        <f t="shared" si="175"/>
        <v>0</v>
      </c>
      <c r="CQ37" s="158">
        <f t="shared" si="176"/>
        <v>0</v>
      </c>
      <c r="CR37" s="156">
        <f t="shared" ref="CR37:DR52" si="277">IF(YEAR($F37)=CR$4,$E37,0)</f>
        <v>0</v>
      </c>
      <c r="CS37" s="154">
        <f t="shared" si="261"/>
        <v>0</v>
      </c>
      <c r="CT37" s="154">
        <f t="shared" si="179"/>
        <v>0</v>
      </c>
      <c r="CU37" s="154">
        <f t="shared" si="262"/>
        <v>0</v>
      </c>
      <c r="CV37" s="154">
        <f t="shared" si="181"/>
        <v>0</v>
      </c>
      <c r="CW37" s="154">
        <f t="shared" si="263"/>
        <v>0</v>
      </c>
      <c r="CX37" s="154">
        <f t="shared" si="183"/>
        <v>0</v>
      </c>
      <c r="CY37" s="154">
        <f t="shared" si="264"/>
        <v>0</v>
      </c>
      <c r="CZ37" s="154">
        <f t="shared" si="185"/>
        <v>0</v>
      </c>
      <c r="DA37" s="154">
        <f t="shared" si="265"/>
        <v>0</v>
      </c>
      <c r="DB37" s="157">
        <f t="shared" si="187"/>
        <v>0</v>
      </c>
      <c r="DC37" s="154">
        <f t="shared" si="188"/>
        <v>0</v>
      </c>
      <c r="DD37" s="158">
        <f t="shared" si="189"/>
        <v>0</v>
      </c>
      <c r="DE37" s="156">
        <f t="shared" si="277"/>
        <v>0</v>
      </c>
      <c r="DF37" s="154">
        <f t="shared" si="266"/>
        <v>0</v>
      </c>
      <c r="DG37" s="154">
        <f t="shared" si="192"/>
        <v>0</v>
      </c>
      <c r="DH37" s="154">
        <f t="shared" si="267"/>
        <v>0</v>
      </c>
      <c r="DI37" s="154">
        <f t="shared" si="194"/>
        <v>0</v>
      </c>
      <c r="DJ37" s="154">
        <f t="shared" si="268"/>
        <v>0</v>
      </c>
      <c r="DK37" s="154">
        <f t="shared" si="196"/>
        <v>0</v>
      </c>
      <c r="DL37" s="154">
        <f t="shared" si="269"/>
        <v>0</v>
      </c>
      <c r="DM37" s="154">
        <f t="shared" si="198"/>
        <v>0</v>
      </c>
      <c r="DN37" s="154">
        <f t="shared" si="270"/>
        <v>0</v>
      </c>
      <c r="DO37" s="157">
        <f t="shared" si="200"/>
        <v>0</v>
      </c>
      <c r="DP37" s="154">
        <f t="shared" si="201"/>
        <v>0</v>
      </c>
      <c r="DQ37" s="158">
        <f t="shared" si="202"/>
        <v>0</v>
      </c>
      <c r="DR37" s="156">
        <f t="shared" si="277"/>
        <v>0</v>
      </c>
      <c r="DS37" s="154">
        <f t="shared" si="271"/>
        <v>0</v>
      </c>
      <c r="DT37" s="154">
        <f t="shared" si="205"/>
        <v>0</v>
      </c>
      <c r="DU37" s="154">
        <f t="shared" si="272"/>
        <v>0</v>
      </c>
      <c r="DV37" s="154">
        <f t="shared" si="207"/>
        <v>0</v>
      </c>
      <c r="DW37" s="154">
        <f t="shared" si="273"/>
        <v>0</v>
      </c>
      <c r="DX37" s="154">
        <f t="shared" si="209"/>
        <v>0</v>
      </c>
      <c r="DY37" s="154">
        <f t="shared" si="274"/>
        <v>0</v>
      </c>
      <c r="DZ37" s="154">
        <f t="shared" si="211"/>
        <v>0</v>
      </c>
      <c r="EA37" s="154">
        <f t="shared" si="275"/>
        <v>0</v>
      </c>
      <c r="EB37" s="157">
        <f t="shared" si="213"/>
        <v>0</v>
      </c>
      <c r="EC37" s="154">
        <f t="shared" si="214"/>
        <v>0</v>
      </c>
      <c r="ED37" s="158">
        <f t="shared" si="215"/>
        <v>0</v>
      </c>
    </row>
    <row r="38" spans="1:134" x14ac:dyDescent="0.35">
      <c r="A38" s="172"/>
      <c r="B38" s="173"/>
      <c r="C38" s="174"/>
      <c r="D38" s="175"/>
      <c r="E38" s="176"/>
      <c r="F38" s="177"/>
      <c r="G38" s="178"/>
      <c r="H38" s="179"/>
      <c r="I38" s="180"/>
      <c r="J38" s="181"/>
      <c r="K38" s="152">
        <f t="shared" si="216"/>
        <v>0</v>
      </c>
      <c r="L38" s="153">
        <f t="shared" si="217"/>
        <v>0</v>
      </c>
      <c r="M38" s="154">
        <f t="shared" si="218"/>
        <v>0</v>
      </c>
      <c r="N38" s="154"/>
      <c r="O38" s="154">
        <f t="shared" si="219"/>
        <v>0</v>
      </c>
      <c r="P38" s="155"/>
      <c r="Q38" s="154">
        <f t="shared" si="220"/>
        <v>0</v>
      </c>
      <c r="R38" s="156">
        <f t="shared" si="221"/>
        <v>0</v>
      </c>
      <c r="S38" s="154">
        <f t="shared" si="222"/>
        <v>0</v>
      </c>
      <c r="T38" s="154">
        <f t="shared" si="223"/>
        <v>0</v>
      </c>
      <c r="U38" s="154">
        <f t="shared" si="224"/>
        <v>0</v>
      </c>
      <c r="V38" s="154">
        <f t="shared" si="225"/>
        <v>0</v>
      </c>
      <c r="W38" s="154">
        <f t="shared" si="226"/>
        <v>0</v>
      </c>
      <c r="X38" s="154">
        <f t="shared" si="227"/>
        <v>0</v>
      </c>
      <c r="Y38" s="154">
        <f t="shared" si="228"/>
        <v>0</v>
      </c>
      <c r="Z38" s="154">
        <f t="shared" si="229"/>
        <v>0</v>
      </c>
      <c r="AA38" s="154">
        <f t="shared" si="230"/>
        <v>0</v>
      </c>
      <c r="AB38" s="157">
        <f t="shared" si="231"/>
        <v>0</v>
      </c>
      <c r="AC38" s="154">
        <f t="shared" si="232"/>
        <v>0</v>
      </c>
      <c r="AD38" s="158">
        <f t="shared" si="233"/>
        <v>0</v>
      </c>
      <c r="AE38" s="156">
        <f t="shared" si="276"/>
        <v>0</v>
      </c>
      <c r="AF38" s="154">
        <f t="shared" si="235"/>
        <v>0</v>
      </c>
      <c r="AG38" s="154">
        <f t="shared" si="114"/>
        <v>0</v>
      </c>
      <c r="AH38" s="154">
        <f t="shared" si="236"/>
        <v>0</v>
      </c>
      <c r="AI38" s="154">
        <f t="shared" si="116"/>
        <v>0</v>
      </c>
      <c r="AJ38" s="154">
        <f t="shared" si="237"/>
        <v>0</v>
      </c>
      <c r="AK38" s="154">
        <f t="shared" si="118"/>
        <v>0</v>
      </c>
      <c r="AL38" s="154">
        <f t="shared" si="238"/>
        <v>0</v>
      </c>
      <c r="AM38" s="154">
        <f t="shared" si="120"/>
        <v>0</v>
      </c>
      <c r="AN38" s="154">
        <f t="shared" si="239"/>
        <v>0</v>
      </c>
      <c r="AO38" s="157">
        <f t="shared" si="122"/>
        <v>0</v>
      </c>
      <c r="AP38" s="154">
        <f t="shared" si="123"/>
        <v>0</v>
      </c>
      <c r="AQ38" s="158">
        <f t="shared" si="124"/>
        <v>0</v>
      </c>
      <c r="AR38" s="156">
        <f t="shared" si="276"/>
        <v>0</v>
      </c>
      <c r="AS38" s="154">
        <f t="shared" si="240"/>
        <v>0</v>
      </c>
      <c r="AT38" s="154">
        <f t="shared" si="127"/>
        <v>0</v>
      </c>
      <c r="AU38" s="154">
        <f t="shared" si="241"/>
        <v>0</v>
      </c>
      <c r="AV38" s="154">
        <f t="shared" si="129"/>
        <v>0</v>
      </c>
      <c r="AW38" s="154">
        <f t="shared" si="242"/>
        <v>0</v>
      </c>
      <c r="AX38" s="154">
        <f t="shared" si="131"/>
        <v>0</v>
      </c>
      <c r="AY38" s="154">
        <f t="shared" si="243"/>
        <v>0</v>
      </c>
      <c r="AZ38" s="154">
        <f t="shared" si="133"/>
        <v>0</v>
      </c>
      <c r="BA38" s="154">
        <f t="shared" si="244"/>
        <v>0</v>
      </c>
      <c r="BB38" s="157">
        <f t="shared" si="135"/>
        <v>0</v>
      </c>
      <c r="BC38" s="154">
        <f t="shared" si="136"/>
        <v>0</v>
      </c>
      <c r="BD38" s="158">
        <f t="shared" si="137"/>
        <v>0</v>
      </c>
      <c r="BE38" s="156">
        <f t="shared" si="276"/>
        <v>0</v>
      </c>
      <c r="BF38" s="154">
        <f t="shared" si="245"/>
        <v>0</v>
      </c>
      <c r="BG38" s="154">
        <f t="shared" si="140"/>
        <v>0</v>
      </c>
      <c r="BH38" s="154">
        <f t="shared" si="246"/>
        <v>0</v>
      </c>
      <c r="BI38" s="154">
        <f t="shared" si="142"/>
        <v>0</v>
      </c>
      <c r="BJ38" s="154">
        <f t="shared" si="247"/>
        <v>0</v>
      </c>
      <c r="BK38" s="154">
        <f t="shared" si="144"/>
        <v>0</v>
      </c>
      <c r="BL38" s="154">
        <f t="shared" si="248"/>
        <v>0</v>
      </c>
      <c r="BM38" s="154">
        <f t="shared" si="146"/>
        <v>0</v>
      </c>
      <c r="BN38" s="154">
        <f t="shared" si="249"/>
        <v>0</v>
      </c>
      <c r="BO38" s="157">
        <f t="shared" si="148"/>
        <v>0</v>
      </c>
      <c r="BP38" s="154">
        <f t="shared" si="149"/>
        <v>0</v>
      </c>
      <c r="BQ38" s="158">
        <f t="shared" si="150"/>
        <v>0</v>
      </c>
      <c r="BR38" s="156">
        <f t="shared" si="276"/>
        <v>0</v>
      </c>
      <c r="BS38" s="154">
        <f t="shared" si="250"/>
        <v>0</v>
      </c>
      <c r="BT38" s="154">
        <f t="shared" si="153"/>
        <v>0</v>
      </c>
      <c r="BU38" s="154">
        <f t="shared" si="251"/>
        <v>0</v>
      </c>
      <c r="BV38" s="154">
        <f t="shared" si="155"/>
        <v>0</v>
      </c>
      <c r="BW38" s="154">
        <f t="shared" si="252"/>
        <v>0</v>
      </c>
      <c r="BX38" s="154">
        <f t="shared" si="157"/>
        <v>0</v>
      </c>
      <c r="BY38" s="154">
        <f t="shared" si="253"/>
        <v>0</v>
      </c>
      <c r="BZ38" s="154">
        <f t="shared" si="159"/>
        <v>0</v>
      </c>
      <c r="CA38" s="154">
        <f t="shared" si="254"/>
        <v>0</v>
      </c>
      <c r="CB38" s="157">
        <f t="shared" si="161"/>
        <v>0</v>
      </c>
      <c r="CC38" s="154">
        <f t="shared" si="162"/>
        <v>0</v>
      </c>
      <c r="CD38" s="158">
        <f t="shared" si="163"/>
        <v>0</v>
      </c>
      <c r="CE38" s="156">
        <f t="shared" si="276"/>
        <v>0</v>
      </c>
      <c r="CF38" s="154">
        <f t="shared" si="255"/>
        <v>0</v>
      </c>
      <c r="CG38" s="154">
        <f t="shared" si="166"/>
        <v>0</v>
      </c>
      <c r="CH38" s="154">
        <f t="shared" si="256"/>
        <v>0</v>
      </c>
      <c r="CI38" s="154">
        <f t="shared" si="168"/>
        <v>0</v>
      </c>
      <c r="CJ38" s="154">
        <f t="shared" si="257"/>
        <v>0</v>
      </c>
      <c r="CK38" s="154">
        <f t="shared" si="170"/>
        <v>0</v>
      </c>
      <c r="CL38" s="154">
        <f t="shared" si="258"/>
        <v>0</v>
      </c>
      <c r="CM38" s="154">
        <f t="shared" si="172"/>
        <v>0</v>
      </c>
      <c r="CN38" s="154">
        <f t="shared" si="259"/>
        <v>0</v>
      </c>
      <c r="CO38" s="157">
        <f t="shared" si="174"/>
        <v>0</v>
      </c>
      <c r="CP38" s="154">
        <f t="shared" si="175"/>
        <v>0</v>
      </c>
      <c r="CQ38" s="158">
        <f t="shared" si="176"/>
        <v>0</v>
      </c>
      <c r="CR38" s="156">
        <f t="shared" si="277"/>
        <v>0</v>
      </c>
      <c r="CS38" s="154">
        <f t="shared" si="261"/>
        <v>0</v>
      </c>
      <c r="CT38" s="154">
        <f t="shared" si="179"/>
        <v>0</v>
      </c>
      <c r="CU38" s="154">
        <f t="shared" si="262"/>
        <v>0</v>
      </c>
      <c r="CV38" s="154">
        <f t="shared" si="181"/>
        <v>0</v>
      </c>
      <c r="CW38" s="154">
        <f t="shared" si="263"/>
        <v>0</v>
      </c>
      <c r="CX38" s="154">
        <f t="shared" si="183"/>
        <v>0</v>
      </c>
      <c r="CY38" s="154">
        <f t="shared" si="264"/>
        <v>0</v>
      </c>
      <c r="CZ38" s="154">
        <f t="shared" si="185"/>
        <v>0</v>
      </c>
      <c r="DA38" s="154">
        <f t="shared" si="265"/>
        <v>0</v>
      </c>
      <c r="DB38" s="157">
        <f t="shared" si="187"/>
        <v>0</v>
      </c>
      <c r="DC38" s="154">
        <f t="shared" si="188"/>
        <v>0</v>
      </c>
      <c r="DD38" s="158">
        <f t="shared" si="189"/>
        <v>0</v>
      </c>
      <c r="DE38" s="156">
        <f t="shared" si="277"/>
        <v>0</v>
      </c>
      <c r="DF38" s="154">
        <f t="shared" si="266"/>
        <v>0</v>
      </c>
      <c r="DG38" s="154">
        <f t="shared" si="192"/>
        <v>0</v>
      </c>
      <c r="DH38" s="154">
        <f t="shared" si="267"/>
        <v>0</v>
      </c>
      <c r="DI38" s="154">
        <f t="shared" si="194"/>
        <v>0</v>
      </c>
      <c r="DJ38" s="154">
        <f t="shared" si="268"/>
        <v>0</v>
      </c>
      <c r="DK38" s="154">
        <f t="shared" si="196"/>
        <v>0</v>
      </c>
      <c r="DL38" s="154">
        <f t="shared" si="269"/>
        <v>0</v>
      </c>
      <c r="DM38" s="154">
        <f t="shared" si="198"/>
        <v>0</v>
      </c>
      <c r="DN38" s="154">
        <f t="shared" si="270"/>
        <v>0</v>
      </c>
      <c r="DO38" s="157">
        <f t="shared" si="200"/>
        <v>0</v>
      </c>
      <c r="DP38" s="154">
        <f t="shared" si="201"/>
        <v>0</v>
      </c>
      <c r="DQ38" s="158">
        <f t="shared" si="202"/>
        <v>0</v>
      </c>
      <c r="DR38" s="156">
        <f t="shared" si="277"/>
        <v>0</v>
      </c>
      <c r="DS38" s="154">
        <f t="shared" si="271"/>
        <v>0</v>
      </c>
      <c r="DT38" s="154">
        <f t="shared" si="205"/>
        <v>0</v>
      </c>
      <c r="DU38" s="154">
        <f t="shared" si="272"/>
        <v>0</v>
      </c>
      <c r="DV38" s="154">
        <f t="shared" si="207"/>
        <v>0</v>
      </c>
      <c r="DW38" s="154">
        <f t="shared" si="273"/>
        <v>0</v>
      </c>
      <c r="DX38" s="154">
        <f t="shared" si="209"/>
        <v>0</v>
      </c>
      <c r="DY38" s="154">
        <f t="shared" si="274"/>
        <v>0</v>
      </c>
      <c r="DZ38" s="154">
        <f t="shared" si="211"/>
        <v>0</v>
      </c>
      <c r="EA38" s="154">
        <f t="shared" si="275"/>
        <v>0</v>
      </c>
      <c r="EB38" s="157">
        <f t="shared" si="213"/>
        <v>0</v>
      </c>
      <c r="EC38" s="154">
        <f t="shared" si="214"/>
        <v>0</v>
      </c>
      <c r="ED38" s="158">
        <f t="shared" si="215"/>
        <v>0</v>
      </c>
    </row>
    <row r="39" spans="1:134" x14ac:dyDescent="0.35">
      <c r="A39" s="172"/>
      <c r="B39" s="173"/>
      <c r="C39" s="174"/>
      <c r="D39" s="175"/>
      <c r="E39" s="176"/>
      <c r="F39" s="177"/>
      <c r="G39" s="178"/>
      <c r="H39" s="179"/>
      <c r="I39" s="180"/>
      <c r="J39" s="181"/>
      <c r="K39" s="152">
        <f t="shared" si="216"/>
        <v>0</v>
      </c>
      <c r="L39" s="153">
        <f t="shared" si="217"/>
        <v>0</v>
      </c>
      <c r="M39" s="154">
        <f t="shared" si="218"/>
        <v>0</v>
      </c>
      <c r="N39" s="154"/>
      <c r="O39" s="154">
        <f t="shared" si="219"/>
        <v>0</v>
      </c>
      <c r="P39" s="155"/>
      <c r="Q39" s="154">
        <f t="shared" si="220"/>
        <v>0</v>
      </c>
      <c r="R39" s="156">
        <f t="shared" si="221"/>
        <v>0</v>
      </c>
      <c r="S39" s="154">
        <f t="shared" si="222"/>
        <v>0</v>
      </c>
      <c r="T39" s="154">
        <f t="shared" si="223"/>
        <v>0</v>
      </c>
      <c r="U39" s="154">
        <f t="shared" si="224"/>
        <v>0</v>
      </c>
      <c r="V39" s="154">
        <f t="shared" si="225"/>
        <v>0</v>
      </c>
      <c r="W39" s="154">
        <f t="shared" si="226"/>
        <v>0</v>
      </c>
      <c r="X39" s="154">
        <f t="shared" si="227"/>
        <v>0</v>
      </c>
      <c r="Y39" s="154">
        <f t="shared" si="228"/>
        <v>0</v>
      </c>
      <c r="Z39" s="154">
        <f t="shared" si="229"/>
        <v>0</v>
      </c>
      <c r="AA39" s="154">
        <f t="shared" si="230"/>
        <v>0</v>
      </c>
      <c r="AB39" s="157">
        <f t="shared" si="231"/>
        <v>0</v>
      </c>
      <c r="AC39" s="154">
        <f t="shared" si="232"/>
        <v>0</v>
      </c>
      <c r="AD39" s="158">
        <f t="shared" si="233"/>
        <v>0</v>
      </c>
      <c r="AE39" s="156">
        <f t="shared" si="276"/>
        <v>0</v>
      </c>
      <c r="AF39" s="154">
        <f t="shared" si="235"/>
        <v>0</v>
      </c>
      <c r="AG39" s="154">
        <f t="shared" si="114"/>
        <v>0</v>
      </c>
      <c r="AH39" s="154">
        <f t="shared" si="236"/>
        <v>0</v>
      </c>
      <c r="AI39" s="154">
        <f t="shared" si="116"/>
        <v>0</v>
      </c>
      <c r="AJ39" s="154">
        <f t="shared" si="237"/>
        <v>0</v>
      </c>
      <c r="AK39" s="154">
        <f t="shared" si="118"/>
        <v>0</v>
      </c>
      <c r="AL39" s="154">
        <f t="shared" si="238"/>
        <v>0</v>
      </c>
      <c r="AM39" s="154">
        <f t="shared" si="120"/>
        <v>0</v>
      </c>
      <c r="AN39" s="154">
        <f t="shared" si="239"/>
        <v>0</v>
      </c>
      <c r="AO39" s="157">
        <f t="shared" si="122"/>
        <v>0</v>
      </c>
      <c r="AP39" s="154">
        <f t="shared" si="123"/>
        <v>0</v>
      </c>
      <c r="AQ39" s="158">
        <f t="shared" si="124"/>
        <v>0</v>
      </c>
      <c r="AR39" s="156">
        <f t="shared" si="276"/>
        <v>0</v>
      </c>
      <c r="AS39" s="154">
        <f t="shared" si="240"/>
        <v>0</v>
      </c>
      <c r="AT39" s="154">
        <f t="shared" si="127"/>
        <v>0</v>
      </c>
      <c r="AU39" s="154">
        <f t="shared" si="241"/>
        <v>0</v>
      </c>
      <c r="AV39" s="154">
        <f t="shared" si="129"/>
        <v>0</v>
      </c>
      <c r="AW39" s="154">
        <f t="shared" si="242"/>
        <v>0</v>
      </c>
      <c r="AX39" s="154">
        <f t="shared" si="131"/>
        <v>0</v>
      </c>
      <c r="AY39" s="154">
        <f t="shared" si="243"/>
        <v>0</v>
      </c>
      <c r="AZ39" s="154">
        <f t="shared" si="133"/>
        <v>0</v>
      </c>
      <c r="BA39" s="154">
        <f t="shared" si="244"/>
        <v>0</v>
      </c>
      <c r="BB39" s="157">
        <f t="shared" si="135"/>
        <v>0</v>
      </c>
      <c r="BC39" s="154">
        <f t="shared" si="136"/>
        <v>0</v>
      </c>
      <c r="BD39" s="158">
        <f t="shared" si="137"/>
        <v>0</v>
      </c>
      <c r="BE39" s="156">
        <f t="shared" si="276"/>
        <v>0</v>
      </c>
      <c r="BF39" s="154">
        <f t="shared" si="245"/>
        <v>0</v>
      </c>
      <c r="BG39" s="154">
        <f t="shared" si="140"/>
        <v>0</v>
      </c>
      <c r="BH39" s="154">
        <f t="shared" si="246"/>
        <v>0</v>
      </c>
      <c r="BI39" s="154">
        <f t="shared" si="142"/>
        <v>0</v>
      </c>
      <c r="BJ39" s="154">
        <f t="shared" si="247"/>
        <v>0</v>
      </c>
      <c r="BK39" s="154">
        <f t="shared" si="144"/>
        <v>0</v>
      </c>
      <c r="BL39" s="154">
        <f t="shared" si="248"/>
        <v>0</v>
      </c>
      <c r="BM39" s="154">
        <f t="shared" si="146"/>
        <v>0</v>
      </c>
      <c r="BN39" s="154">
        <f t="shared" si="249"/>
        <v>0</v>
      </c>
      <c r="BO39" s="157">
        <f t="shared" si="148"/>
        <v>0</v>
      </c>
      <c r="BP39" s="154">
        <f t="shared" si="149"/>
        <v>0</v>
      </c>
      <c r="BQ39" s="158">
        <f t="shared" si="150"/>
        <v>0</v>
      </c>
      <c r="BR39" s="156">
        <f t="shared" si="276"/>
        <v>0</v>
      </c>
      <c r="BS39" s="154">
        <f t="shared" si="250"/>
        <v>0</v>
      </c>
      <c r="BT39" s="154">
        <f t="shared" si="153"/>
        <v>0</v>
      </c>
      <c r="BU39" s="154">
        <f t="shared" si="251"/>
        <v>0</v>
      </c>
      <c r="BV39" s="154">
        <f t="shared" si="155"/>
        <v>0</v>
      </c>
      <c r="BW39" s="154">
        <f t="shared" si="252"/>
        <v>0</v>
      </c>
      <c r="BX39" s="154">
        <f t="shared" si="157"/>
        <v>0</v>
      </c>
      <c r="BY39" s="154">
        <f t="shared" si="253"/>
        <v>0</v>
      </c>
      <c r="BZ39" s="154">
        <f t="shared" si="159"/>
        <v>0</v>
      </c>
      <c r="CA39" s="154">
        <f t="shared" si="254"/>
        <v>0</v>
      </c>
      <c r="CB39" s="157">
        <f t="shared" si="161"/>
        <v>0</v>
      </c>
      <c r="CC39" s="154">
        <f t="shared" si="162"/>
        <v>0</v>
      </c>
      <c r="CD39" s="158">
        <f t="shared" si="163"/>
        <v>0</v>
      </c>
      <c r="CE39" s="156">
        <f t="shared" si="276"/>
        <v>0</v>
      </c>
      <c r="CF39" s="154">
        <f t="shared" si="255"/>
        <v>0</v>
      </c>
      <c r="CG39" s="154">
        <f t="shared" si="166"/>
        <v>0</v>
      </c>
      <c r="CH39" s="154">
        <f t="shared" si="256"/>
        <v>0</v>
      </c>
      <c r="CI39" s="154">
        <f t="shared" si="168"/>
        <v>0</v>
      </c>
      <c r="CJ39" s="154">
        <f t="shared" si="257"/>
        <v>0</v>
      </c>
      <c r="CK39" s="154">
        <f t="shared" si="170"/>
        <v>0</v>
      </c>
      <c r="CL39" s="154">
        <f t="shared" si="258"/>
        <v>0</v>
      </c>
      <c r="CM39" s="154">
        <f t="shared" si="172"/>
        <v>0</v>
      </c>
      <c r="CN39" s="154">
        <f t="shared" si="259"/>
        <v>0</v>
      </c>
      <c r="CO39" s="157">
        <f t="shared" si="174"/>
        <v>0</v>
      </c>
      <c r="CP39" s="154">
        <f t="shared" si="175"/>
        <v>0</v>
      </c>
      <c r="CQ39" s="158">
        <f t="shared" si="176"/>
        <v>0</v>
      </c>
      <c r="CR39" s="156">
        <f t="shared" si="277"/>
        <v>0</v>
      </c>
      <c r="CS39" s="154">
        <f t="shared" si="261"/>
        <v>0</v>
      </c>
      <c r="CT39" s="154">
        <f t="shared" si="179"/>
        <v>0</v>
      </c>
      <c r="CU39" s="154">
        <f t="shared" si="262"/>
        <v>0</v>
      </c>
      <c r="CV39" s="154">
        <f t="shared" si="181"/>
        <v>0</v>
      </c>
      <c r="CW39" s="154">
        <f t="shared" si="263"/>
        <v>0</v>
      </c>
      <c r="CX39" s="154">
        <f t="shared" si="183"/>
        <v>0</v>
      </c>
      <c r="CY39" s="154">
        <f t="shared" si="264"/>
        <v>0</v>
      </c>
      <c r="CZ39" s="154">
        <f t="shared" si="185"/>
        <v>0</v>
      </c>
      <c r="DA39" s="154">
        <f t="shared" si="265"/>
        <v>0</v>
      </c>
      <c r="DB39" s="157">
        <f t="shared" si="187"/>
        <v>0</v>
      </c>
      <c r="DC39" s="154">
        <f t="shared" si="188"/>
        <v>0</v>
      </c>
      <c r="DD39" s="158">
        <f t="shared" si="189"/>
        <v>0</v>
      </c>
      <c r="DE39" s="156">
        <f t="shared" si="277"/>
        <v>0</v>
      </c>
      <c r="DF39" s="154">
        <f t="shared" si="266"/>
        <v>0</v>
      </c>
      <c r="DG39" s="154">
        <f t="shared" si="192"/>
        <v>0</v>
      </c>
      <c r="DH39" s="154">
        <f t="shared" si="267"/>
        <v>0</v>
      </c>
      <c r="DI39" s="154">
        <f t="shared" si="194"/>
        <v>0</v>
      </c>
      <c r="DJ39" s="154">
        <f t="shared" si="268"/>
        <v>0</v>
      </c>
      <c r="DK39" s="154">
        <f t="shared" si="196"/>
        <v>0</v>
      </c>
      <c r="DL39" s="154">
        <f t="shared" si="269"/>
        <v>0</v>
      </c>
      <c r="DM39" s="154">
        <f t="shared" si="198"/>
        <v>0</v>
      </c>
      <c r="DN39" s="154">
        <f t="shared" si="270"/>
        <v>0</v>
      </c>
      <c r="DO39" s="157">
        <f t="shared" si="200"/>
        <v>0</v>
      </c>
      <c r="DP39" s="154">
        <f t="shared" si="201"/>
        <v>0</v>
      </c>
      <c r="DQ39" s="158">
        <f t="shared" si="202"/>
        <v>0</v>
      </c>
      <c r="DR39" s="156">
        <f t="shared" si="277"/>
        <v>0</v>
      </c>
      <c r="DS39" s="154">
        <f t="shared" si="271"/>
        <v>0</v>
      </c>
      <c r="DT39" s="154">
        <f t="shared" si="205"/>
        <v>0</v>
      </c>
      <c r="DU39" s="154">
        <f t="shared" si="272"/>
        <v>0</v>
      </c>
      <c r="DV39" s="154">
        <f t="shared" si="207"/>
        <v>0</v>
      </c>
      <c r="DW39" s="154">
        <f t="shared" si="273"/>
        <v>0</v>
      </c>
      <c r="DX39" s="154">
        <f t="shared" si="209"/>
        <v>0</v>
      </c>
      <c r="DY39" s="154">
        <f t="shared" si="274"/>
        <v>0</v>
      </c>
      <c r="DZ39" s="154">
        <f t="shared" si="211"/>
        <v>0</v>
      </c>
      <c r="EA39" s="154">
        <f t="shared" si="275"/>
        <v>0</v>
      </c>
      <c r="EB39" s="157">
        <f t="shared" si="213"/>
        <v>0</v>
      </c>
      <c r="EC39" s="154">
        <f t="shared" si="214"/>
        <v>0</v>
      </c>
      <c r="ED39" s="158">
        <f t="shared" si="215"/>
        <v>0</v>
      </c>
    </row>
    <row r="40" spans="1:134" x14ac:dyDescent="0.35">
      <c r="A40" s="172"/>
      <c r="B40" s="173"/>
      <c r="C40" s="174"/>
      <c r="D40" s="175"/>
      <c r="E40" s="176"/>
      <c r="F40" s="177"/>
      <c r="G40" s="178"/>
      <c r="H40" s="179"/>
      <c r="I40" s="180"/>
      <c r="J40" s="181"/>
      <c r="K40" s="152">
        <f t="shared" si="216"/>
        <v>0</v>
      </c>
      <c r="L40" s="153">
        <f t="shared" si="217"/>
        <v>0</v>
      </c>
      <c r="M40" s="154">
        <f t="shared" si="218"/>
        <v>0</v>
      </c>
      <c r="N40" s="154"/>
      <c r="O40" s="154">
        <f t="shared" si="219"/>
        <v>0</v>
      </c>
      <c r="P40" s="155"/>
      <c r="Q40" s="154">
        <f t="shared" si="220"/>
        <v>0</v>
      </c>
      <c r="R40" s="156">
        <f t="shared" si="221"/>
        <v>0</v>
      </c>
      <c r="S40" s="154">
        <f t="shared" si="222"/>
        <v>0</v>
      </c>
      <c r="T40" s="154">
        <f t="shared" si="223"/>
        <v>0</v>
      </c>
      <c r="U40" s="154">
        <f t="shared" si="224"/>
        <v>0</v>
      </c>
      <c r="V40" s="154">
        <f t="shared" si="225"/>
        <v>0</v>
      </c>
      <c r="W40" s="154">
        <f t="shared" si="226"/>
        <v>0</v>
      </c>
      <c r="X40" s="154">
        <f t="shared" si="227"/>
        <v>0</v>
      </c>
      <c r="Y40" s="154">
        <f t="shared" si="228"/>
        <v>0</v>
      </c>
      <c r="Z40" s="154">
        <f t="shared" si="229"/>
        <v>0</v>
      </c>
      <c r="AA40" s="154">
        <f t="shared" si="230"/>
        <v>0</v>
      </c>
      <c r="AB40" s="157">
        <f t="shared" si="231"/>
        <v>0</v>
      </c>
      <c r="AC40" s="154">
        <f t="shared" si="232"/>
        <v>0</v>
      </c>
      <c r="AD40" s="158">
        <f t="shared" si="233"/>
        <v>0</v>
      </c>
      <c r="AE40" s="156">
        <f t="shared" si="276"/>
        <v>0</v>
      </c>
      <c r="AF40" s="154">
        <f t="shared" si="235"/>
        <v>0</v>
      </c>
      <c r="AG40" s="154">
        <f t="shared" si="114"/>
        <v>0</v>
      </c>
      <c r="AH40" s="154">
        <f t="shared" si="236"/>
        <v>0</v>
      </c>
      <c r="AI40" s="154">
        <f t="shared" si="116"/>
        <v>0</v>
      </c>
      <c r="AJ40" s="154">
        <f t="shared" si="237"/>
        <v>0</v>
      </c>
      <c r="AK40" s="154">
        <f t="shared" si="118"/>
        <v>0</v>
      </c>
      <c r="AL40" s="154">
        <f t="shared" si="238"/>
        <v>0</v>
      </c>
      <c r="AM40" s="154">
        <f t="shared" si="120"/>
        <v>0</v>
      </c>
      <c r="AN40" s="154">
        <f t="shared" si="239"/>
        <v>0</v>
      </c>
      <c r="AO40" s="157">
        <f t="shared" si="122"/>
        <v>0</v>
      </c>
      <c r="AP40" s="154">
        <f t="shared" si="123"/>
        <v>0</v>
      </c>
      <c r="AQ40" s="158">
        <f t="shared" si="124"/>
        <v>0</v>
      </c>
      <c r="AR40" s="156">
        <f t="shared" si="276"/>
        <v>0</v>
      </c>
      <c r="AS40" s="154">
        <f t="shared" si="240"/>
        <v>0</v>
      </c>
      <c r="AT40" s="154">
        <f t="shared" si="127"/>
        <v>0</v>
      </c>
      <c r="AU40" s="154">
        <f t="shared" si="241"/>
        <v>0</v>
      </c>
      <c r="AV40" s="154">
        <f t="shared" si="129"/>
        <v>0</v>
      </c>
      <c r="AW40" s="154">
        <f t="shared" si="242"/>
        <v>0</v>
      </c>
      <c r="AX40" s="154">
        <f t="shared" si="131"/>
        <v>0</v>
      </c>
      <c r="AY40" s="154">
        <f t="shared" si="243"/>
        <v>0</v>
      </c>
      <c r="AZ40" s="154">
        <f t="shared" si="133"/>
        <v>0</v>
      </c>
      <c r="BA40" s="154">
        <f t="shared" si="244"/>
        <v>0</v>
      </c>
      <c r="BB40" s="157">
        <f t="shared" si="135"/>
        <v>0</v>
      </c>
      <c r="BC40" s="154">
        <f t="shared" si="136"/>
        <v>0</v>
      </c>
      <c r="BD40" s="158">
        <f t="shared" si="137"/>
        <v>0</v>
      </c>
      <c r="BE40" s="156">
        <f t="shared" si="276"/>
        <v>0</v>
      </c>
      <c r="BF40" s="154">
        <f t="shared" si="245"/>
        <v>0</v>
      </c>
      <c r="BG40" s="154">
        <f t="shared" si="140"/>
        <v>0</v>
      </c>
      <c r="BH40" s="154">
        <f t="shared" si="246"/>
        <v>0</v>
      </c>
      <c r="BI40" s="154">
        <f t="shared" si="142"/>
        <v>0</v>
      </c>
      <c r="BJ40" s="154">
        <f t="shared" si="247"/>
        <v>0</v>
      </c>
      <c r="BK40" s="154">
        <f t="shared" si="144"/>
        <v>0</v>
      </c>
      <c r="BL40" s="154">
        <f t="shared" si="248"/>
        <v>0</v>
      </c>
      <c r="BM40" s="154">
        <f t="shared" si="146"/>
        <v>0</v>
      </c>
      <c r="BN40" s="154">
        <f t="shared" si="249"/>
        <v>0</v>
      </c>
      <c r="BO40" s="157">
        <f t="shared" si="148"/>
        <v>0</v>
      </c>
      <c r="BP40" s="154">
        <f t="shared" si="149"/>
        <v>0</v>
      </c>
      <c r="BQ40" s="158">
        <f t="shared" si="150"/>
        <v>0</v>
      </c>
      <c r="BR40" s="156">
        <f t="shared" si="276"/>
        <v>0</v>
      </c>
      <c r="BS40" s="154">
        <f t="shared" si="250"/>
        <v>0</v>
      </c>
      <c r="BT40" s="154">
        <f t="shared" si="153"/>
        <v>0</v>
      </c>
      <c r="BU40" s="154">
        <f t="shared" si="251"/>
        <v>0</v>
      </c>
      <c r="BV40" s="154">
        <f t="shared" si="155"/>
        <v>0</v>
      </c>
      <c r="BW40" s="154">
        <f t="shared" si="252"/>
        <v>0</v>
      </c>
      <c r="BX40" s="154">
        <f t="shared" si="157"/>
        <v>0</v>
      </c>
      <c r="BY40" s="154">
        <f t="shared" si="253"/>
        <v>0</v>
      </c>
      <c r="BZ40" s="154">
        <f t="shared" si="159"/>
        <v>0</v>
      </c>
      <c r="CA40" s="154">
        <f t="shared" si="254"/>
        <v>0</v>
      </c>
      <c r="CB40" s="157">
        <f t="shared" si="161"/>
        <v>0</v>
      </c>
      <c r="CC40" s="154">
        <f t="shared" si="162"/>
        <v>0</v>
      </c>
      <c r="CD40" s="158">
        <f t="shared" si="163"/>
        <v>0</v>
      </c>
      <c r="CE40" s="156">
        <f t="shared" si="276"/>
        <v>0</v>
      </c>
      <c r="CF40" s="154">
        <f t="shared" si="255"/>
        <v>0</v>
      </c>
      <c r="CG40" s="154">
        <f t="shared" si="166"/>
        <v>0</v>
      </c>
      <c r="CH40" s="154">
        <f t="shared" si="256"/>
        <v>0</v>
      </c>
      <c r="CI40" s="154">
        <f t="shared" si="168"/>
        <v>0</v>
      </c>
      <c r="CJ40" s="154">
        <f t="shared" si="257"/>
        <v>0</v>
      </c>
      <c r="CK40" s="154">
        <f t="shared" si="170"/>
        <v>0</v>
      </c>
      <c r="CL40" s="154">
        <f t="shared" si="258"/>
        <v>0</v>
      </c>
      <c r="CM40" s="154">
        <f t="shared" si="172"/>
        <v>0</v>
      </c>
      <c r="CN40" s="154">
        <f t="shared" si="259"/>
        <v>0</v>
      </c>
      <c r="CO40" s="157">
        <f t="shared" si="174"/>
        <v>0</v>
      </c>
      <c r="CP40" s="154">
        <f t="shared" si="175"/>
        <v>0</v>
      </c>
      <c r="CQ40" s="158">
        <f t="shared" si="176"/>
        <v>0</v>
      </c>
      <c r="CR40" s="156">
        <f t="shared" si="277"/>
        <v>0</v>
      </c>
      <c r="CS40" s="154">
        <f t="shared" si="261"/>
        <v>0</v>
      </c>
      <c r="CT40" s="154">
        <f t="shared" si="179"/>
        <v>0</v>
      </c>
      <c r="CU40" s="154">
        <f t="shared" si="262"/>
        <v>0</v>
      </c>
      <c r="CV40" s="154">
        <f t="shared" si="181"/>
        <v>0</v>
      </c>
      <c r="CW40" s="154">
        <f t="shared" si="263"/>
        <v>0</v>
      </c>
      <c r="CX40" s="154">
        <f t="shared" si="183"/>
        <v>0</v>
      </c>
      <c r="CY40" s="154">
        <f t="shared" si="264"/>
        <v>0</v>
      </c>
      <c r="CZ40" s="154">
        <f t="shared" si="185"/>
        <v>0</v>
      </c>
      <c r="DA40" s="154">
        <f t="shared" si="265"/>
        <v>0</v>
      </c>
      <c r="DB40" s="157">
        <f t="shared" si="187"/>
        <v>0</v>
      </c>
      <c r="DC40" s="154">
        <f t="shared" si="188"/>
        <v>0</v>
      </c>
      <c r="DD40" s="158">
        <f t="shared" si="189"/>
        <v>0</v>
      </c>
      <c r="DE40" s="156">
        <f t="shared" si="277"/>
        <v>0</v>
      </c>
      <c r="DF40" s="154">
        <f t="shared" si="266"/>
        <v>0</v>
      </c>
      <c r="DG40" s="154">
        <f t="shared" si="192"/>
        <v>0</v>
      </c>
      <c r="DH40" s="154">
        <f t="shared" si="267"/>
        <v>0</v>
      </c>
      <c r="DI40" s="154">
        <f t="shared" si="194"/>
        <v>0</v>
      </c>
      <c r="DJ40" s="154">
        <f t="shared" si="268"/>
        <v>0</v>
      </c>
      <c r="DK40" s="154">
        <f t="shared" si="196"/>
        <v>0</v>
      </c>
      <c r="DL40" s="154">
        <f t="shared" si="269"/>
        <v>0</v>
      </c>
      <c r="DM40" s="154">
        <f t="shared" si="198"/>
        <v>0</v>
      </c>
      <c r="DN40" s="154">
        <f t="shared" si="270"/>
        <v>0</v>
      </c>
      <c r="DO40" s="157">
        <f t="shared" si="200"/>
        <v>0</v>
      </c>
      <c r="DP40" s="154">
        <f t="shared" si="201"/>
        <v>0</v>
      </c>
      <c r="DQ40" s="158">
        <f t="shared" si="202"/>
        <v>0</v>
      </c>
      <c r="DR40" s="156">
        <f t="shared" si="277"/>
        <v>0</v>
      </c>
      <c r="DS40" s="154">
        <f t="shared" si="271"/>
        <v>0</v>
      </c>
      <c r="DT40" s="154">
        <f t="shared" si="205"/>
        <v>0</v>
      </c>
      <c r="DU40" s="154">
        <f t="shared" si="272"/>
        <v>0</v>
      </c>
      <c r="DV40" s="154">
        <f t="shared" si="207"/>
        <v>0</v>
      </c>
      <c r="DW40" s="154">
        <f t="shared" si="273"/>
        <v>0</v>
      </c>
      <c r="DX40" s="154">
        <f t="shared" si="209"/>
        <v>0</v>
      </c>
      <c r="DY40" s="154">
        <f t="shared" si="274"/>
        <v>0</v>
      </c>
      <c r="DZ40" s="154">
        <f t="shared" si="211"/>
        <v>0</v>
      </c>
      <c r="EA40" s="154">
        <f t="shared" si="275"/>
        <v>0</v>
      </c>
      <c r="EB40" s="157">
        <f t="shared" si="213"/>
        <v>0</v>
      </c>
      <c r="EC40" s="154">
        <f t="shared" si="214"/>
        <v>0</v>
      </c>
      <c r="ED40" s="158">
        <f t="shared" si="215"/>
        <v>0</v>
      </c>
    </row>
    <row r="41" spans="1:134" x14ac:dyDescent="0.35">
      <c r="A41" s="172"/>
      <c r="B41" s="173"/>
      <c r="C41" s="174"/>
      <c r="D41" s="175"/>
      <c r="E41" s="176"/>
      <c r="F41" s="177"/>
      <c r="G41" s="178"/>
      <c r="H41" s="179"/>
      <c r="I41" s="180"/>
      <c r="J41" s="181"/>
      <c r="K41" s="152">
        <f t="shared" si="216"/>
        <v>0</v>
      </c>
      <c r="L41" s="153">
        <f t="shared" si="217"/>
        <v>0</v>
      </c>
      <c r="M41" s="154">
        <f t="shared" si="218"/>
        <v>0</v>
      </c>
      <c r="N41" s="154"/>
      <c r="O41" s="154">
        <f t="shared" si="219"/>
        <v>0</v>
      </c>
      <c r="P41" s="155"/>
      <c r="Q41" s="154">
        <f t="shared" si="220"/>
        <v>0</v>
      </c>
      <c r="R41" s="156">
        <f t="shared" si="221"/>
        <v>0</v>
      </c>
      <c r="S41" s="154">
        <f t="shared" si="222"/>
        <v>0</v>
      </c>
      <c r="T41" s="154">
        <f t="shared" si="223"/>
        <v>0</v>
      </c>
      <c r="U41" s="154">
        <f t="shared" si="224"/>
        <v>0</v>
      </c>
      <c r="V41" s="154">
        <f t="shared" si="225"/>
        <v>0</v>
      </c>
      <c r="W41" s="154">
        <f t="shared" si="226"/>
        <v>0</v>
      </c>
      <c r="X41" s="154">
        <f t="shared" si="227"/>
        <v>0</v>
      </c>
      <c r="Y41" s="154">
        <f t="shared" si="228"/>
        <v>0</v>
      </c>
      <c r="Z41" s="154">
        <f t="shared" si="229"/>
        <v>0</v>
      </c>
      <c r="AA41" s="154">
        <f t="shared" si="230"/>
        <v>0</v>
      </c>
      <c r="AB41" s="157">
        <f t="shared" si="231"/>
        <v>0</v>
      </c>
      <c r="AC41" s="154">
        <f t="shared" si="232"/>
        <v>0</v>
      </c>
      <c r="AD41" s="158">
        <f t="shared" si="233"/>
        <v>0</v>
      </c>
      <c r="AE41" s="156">
        <f t="shared" si="276"/>
        <v>0</v>
      </c>
      <c r="AF41" s="154">
        <f t="shared" si="235"/>
        <v>0</v>
      </c>
      <c r="AG41" s="154">
        <f t="shared" si="114"/>
        <v>0</v>
      </c>
      <c r="AH41" s="154">
        <f t="shared" si="236"/>
        <v>0</v>
      </c>
      <c r="AI41" s="154">
        <f t="shared" si="116"/>
        <v>0</v>
      </c>
      <c r="AJ41" s="154">
        <f t="shared" si="237"/>
        <v>0</v>
      </c>
      <c r="AK41" s="154">
        <f t="shared" si="118"/>
        <v>0</v>
      </c>
      <c r="AL41" s="154">
        <f t="shared" si="238"/>
        <v>0</v>
      </c>
      <c r="AM41" s="154">
        <f t="shared" si="120"/>
        <v>0</v>
      </c>
      <c r="AN41" s="154">
        <f t="shared" si="239"/>
        <v>0</v>
      </c>
      <c r="AO41" s="157">
        <f t="shared" si="122"/>
        <v>0</v>
      </c>
      <c r="AP41" s="154">
        <f t="shared" si="123"/>
        <v>0</v>
      </c>
      <c r="AQ41" s="158">
        <f t="shared" si="124"/>
        <v>0</v>
      </c>
      <c r="AR41" s="156">
        <f t="shared" si="276"/>
        <v>0</v>
      </c>
      <c r="AS41" s="154">
        <f t="shared" si="240"/>
        <v>0</v>
      </c>
      <c r="AT41" s="154">
        <f t="shared" si="127"/>
        <v>0</v>
      </c>
      <c r="AU41" s="154">
        <f t="shared" si="241"/>
        <v>0</v>
      </c>
      <c r="AV41" s="154">
        <f t="shared" si="129"/>
        <v>0</v>
      </c>
      <c r="AW41" s="154">
        <f t="shared" si="242"/>
        <v>0</v>
      </c>
      <c r="AX41" s="154">
        <f t="shared" si="131"/>
        <v>0</v>
      </c>
      <c r="AY41" s="154">
        <f t="shared" si="243"/>
        <v>0</v>
      </c>
      <c r="AZ41" s="154">
        <f t="shared" si="133"/>
        <v>0</v>
      </c>
      <c r="BA41" s="154">
        <f t="shared" si="244"/>
        <v>0</v>
      </c>
      <c r="BB41" s="157">
        <f t="shared" si="135"/>
        <v>0</v>
      </c>
      <c r="BC41" s="154">
        <f t="shared" si="136"/>
        <v>0</v>
      </c>
      <c r="BD41" s="158">
        <f t="shared" si="137"/>
        <v>0</v>
      </c>
      <c r="BE41" s="156">
        <f t="shared" si="276"/>
        <v>0</v>
      </c>
      <c r="BF41" s="154">
        <f t="shared" si="245"/>
        <v>0</v>
      </c>
      <c r="BG41" s="154">
        <f t="shared" si="140"/>
        <v>0</v>
      </c>
      <c r="BH41" s="154">
        <f t="shared" si="246"/>
        <v>0</v>
      </c>
      <c r="BI41" s="154">
        <f t="shared" si="142"/>
        <v>0</v>
      </c>
      <c r="BJ41" s="154">
        <f t="shared" si="247"/>
        <v>0</v>
      </c>
      <c r="BK41" s="154">
        <f t="shared" si="144"/>
        <v>0</v>
      </c>
      <c r="BL41" s="154">
        <f t="shared" si="248"/>
        <v>0</v>
      </c>
      <c r="BM41" s="154">
        <f t="shared" si="146"/>
        <v>0</v>
      </c>
      <c r="BN41" s="154">
        <f t="shared" si="249"/>
        <v>0</v>
      </c>
      <c r="BO41" s="157">
        <f t="shared" si="148"/>
        <v>0</v>
      </c>
      <c r="BP41" s="154">
        <f t="shared" si="149"/>
        <v>0</v>
      </c>
      <c r="BQ41" s="158">
        <f t="shared" si="150"/>
        <v>0</v>
      </c>
      <c r="BR41" s="156">
        <f t="shared" si="276"/>
        <v>0</v>
      </c>
      <c r="BS41" s="154">
        <f t="shared" si="250"/>
        <v>0</v>
      </c>
      <c r="BT41" s="154">
        <f t="shared" si="153"/>
        <v>0</v>
      </c>
      <c r="BU41" s="154">
        <f t="shared" si="251"/>
        <v>0</v>
      </c>
      <c r="BV41" s="154">
        <f t="shared" si="155"/>
        <v>0</v>
      </c>
      <c r="BW41" s="154">
        <f t="shared" si="252"/>
        <v>0</v>
      </c>
      <c r="BX41" s="154">
        <f t="shared" si="157"/>
        <v>0</v>
      </c>
      <c r="BY41" s="154">
        <f t="shared" si="253"/>
        <v>0</v>
      </c>
      <c r="BZ41" s="154">
        <f t="shared" si="159"/>
        <v>0</v>
      </c>
      <c r="CA41" s="154">
        <f t="shared" si="254"/>
        <v>0</v>
      </c>
      <c r="CB41" s="157">
        <f t="shared" si="161"/>
        <v>0</v>
      </c>
      <c r="CC41" s="154">
        <f t="shared" si="162"/>
        <v>0</v>
      </c>
      <c r="CD41" s="158">
        <f t="shared" si="163"/>
        <v>0</v>
      </c>
      <c r="CE41" s="156">
        <f t="shared" si="276"/>
        <v>0</v>
      </c>
      <c r="CF41" s="154">
        <f t="shared" si="255"/>
        <v>0</v>
      </c>
      <c r="CG41" s="154">
        <f t="shared" si="166"/>
        <v>0</v>
      </c>
      <c r="CH41" s="154">
        <f t="shared" si="256"/>
        <v>0</v>
      </c>
      <c r="CI41" s="154">
        <f t="shared" si="168"/>
        <v>0</v>
      </c>
      <c r="CJ41" s="154">
        <f t="shared" si="257"/>
        <v>0</v>
      </c>
      <c r="CK41" s="154">
        <f t="shared" si="170"/>
        <v>0</v>
      </c>
      <c r="CL41" s="154">
        <f t="shared" si="258"/>
        <v>0</v>
      </c>
      <c r="CM41" s="154">
        <f t="shared" si="172"/>
        <v>0</v>
      </c>
      <c r="CN41" s="154">
        <f t="shared" si="259"/>
        <v>0</v>
      </c>
      <c r="CO41" s="157">
        <f t="shared" si="174"/>
        <v>0</v>
      </c>
      <c r="CP41" s="154">
        <f t="shared" si="175"/>
        <v>0</v>
      </c>
      <c r="CQ41" s="158">
        <f t="shared" si="176"/>
        <v>0</v>
      </c>
      <c r="CR41" s="156">
        <f t="shared" si="277"/>
        <v>0</v>
      </c>
      <c r="CS41" s="154">
        <f t="shared" si="261"/>
        <v>0</v>
      </c>
      <c r="CT41" s="154">
        <f t="shared" si="179"/>
        <v>0</v>
      </c>
      <c r="CU41" s="154">
        <f t="shared" si="262"/>
        <v>0</v>
      </c>
      <c r="CV41" s="154">
        <f t="shared" si="181"/>
        <v>0</v>
      </c>
      <c r="CW41" s="154">
        <f t="shared" si="263"/>
        <v>0</v>
      </c>
      <c r="CX41" s="154">
        <f t="shared" si="183"/>
        <v>0</v>
      </c>
      <c r="CY41" s="154">
        <f t="shared" si="264"/>
        <v>0</v>
      </c>
      <c r="CZ41" s="154">
        <f t="shared" si="185"/>
        <v>0</v>
      </c>
      <c r="DA41" s="154">
        <f t="shared" si="265"/>
        <v>0</v>
      </c>
      <c r="DB41" s="157">
        <f t="shared" si="187"/>
        <v>0</v>
      </c>
      <c r="DC41" s="154">
        <f t="shared" si="188"/>
        <v>0</v>
      </c>
      <c r="DD41" s="158">
        <f t="shared" si="189"/>
        <v>0</v>
      </c>
      <c r="DE41" s="156">
        <f t="shared" si="277"/>
        <v>0</v>
      </c>
      <c r="DF41" s="154">
        <f t="shared" si="266"/>
        <v>0</v>
      </c>
      <c r="DG41" s="154">
        <f t="shared" si="192"/>
        <v>0</v>
      </c>
      <c r="DH41" s="154">
        <f t="shared" si="267"/>
        <v>0</v>
      </c>
      <c r="DI41" s="154">
        <f t="shared" si="194"/>
        <v>0</v>
      </c>
      <c r="DJ41" s="154">
        <f t="shared" si="268"/>
        <v>0</v>
      </c>
      <c r="DK41" s="154">
        <f t="shared" si="196"/>
        <v>0</v>
      </c>
      <c r="DL41" s="154">
        <f t="shared" si="269"/>
        <v>0</v>
      </c>
      <c r="DM41" s="154">
        <f t="shared" si="198"/>
        <v>0</v>
      </c>
      <c r="DN41" s="154">
        <f t="shared" si="270"/>
        <v>0</v>
      </c>
      <c r="DO41" s="157">
        <f t="shared" si="200"/>
        <v>0</v>
      </c>
      <c r="DP41" s="154">
        <f t="shared" si="201"/>
        <v>0</v>
      </c>
      <c r="DQ41" s="158">
        <f t="shared" si="202"/>
        <v>0</v>
      </c>
      <c r="DR41" s="156">
        <f t="shared" si="277"/>
        <v>0</v>
      </c>
      <c r="DS41" s="154">
        <f t="shared" si="271"/>
        <v>0</v>
      </c>
      <c r="DT41" s="154">
        <f t="shared" si="205"/>
        <v>0</v>
      </c>
      <c r="DU41" s="154">
        <f t="shared" si="272"/>
        <v>0</v>
      </c>
      <c r="DV41" s="154">
        <f t="shared" si="207"/>
        <v>0</v>
      </c>
      <c r="DW41" s="154">
        <f t="shared" si="273"/>
        <v>0</v>
      </c>
      <c r="DX41" s="154">
        <f t="shared" si="209"/>
        <v>0</v>
      </c>
      <c r="DY41" s="154">
        <f t="shared" si="274"/>
        <v>0</v>
      </c>
      <c r="DZ41" s="154">
        <f t="shared" si="211"/>
        <v>0</v>
      </c>
      <c r="EA41" s="154">
        <f t="shared" si="275"/>
        <v>0</v>
      </c>
      <c r="EB41" s="157">
        <f t="shared" si="213"/>
        <v>0</v>
      </c>
      <c r="EC41" s="154">
        <f t="shared" si="214"/>
        <v>0</v>
      </c>
      <c r="ED41" s="158">
        <f t="shared" si="215"/>
        <v>0</v>
      </c>
    </row>
    <row r="42" spans="1:134" x14ac:dyDescent="0.35">
      <c r="A42" s="172"/>
      <c r="B42" s="173"/>
      <c r="C42" s="174"/>
      <c r="D42" s="175"/>
      <c r="E42" s="176"/>
      <c r="F42" s="177"/>
      <c r="G42" s="178"/>
      <c r="H42" s="179"/>
      <c r="I42" s="180"/>
      <c r="J42" s="181"/>
      <c r="K42" s="152">
        <f t="shared" si="216"/>
        <v>0</v>
      </c>
      <c r="L42" s="153">
        <f t="shared" si="217"/>
        <v>0</v>
      </c>
      <c r="M42" s="154">
        <f t="shared" si="218"/>
        <v>0</v>
      </c>
      <c r="N42" s="154"/>
      <c r="O42" s="154">
        <f t="shared" si="219"/>
        <v>0</v>
      </c>
      <c r="P42" s="155"/>
      <c r="Q42" s="154">
        <f t="shared" si="220"/>
        <v>0</v>
      </c>
      <c r="R42" s="156">
        <f t="shared" si="221"/>
        <v>0</v>
      </c>
      <c r="S42" s="154">
        <f t="shared" si="222"/>
        <v>0</v>
      </c>
      <c r="T42" s="154">
        <f t="shared" si="223"/>
        <v>0</v>
      </c>
      <c r="U42" s="154">
        <f t="shared" si="224"/>
        <v>0</v>
      </c>
      <c r="V42" s="154">
        <f t="shared" si="225"/>
        <v>0</v>
      </c>
      <c r="W42" s="154">
        <f t="shared" si="226"/>
        <v>0</v>
      </c>
      <c r="X42" s="154">
        <f t="shared" si="227"/>
        <v>0</v>
      </c>
      <c r="Y42" s="154">
        <f t="shared" si="228"/>
        <v>0</v>
      </c>
      <c r="Z42" s="154">
        <f t="shared" si="229"/>
        <v>0</v>
      </c>
      <c r="AA42" s="154">
        <f t="shared" si="230"/>
        <v>0</v>
      </c>
      <c r="AB42" s="157">
        <f t="shared" si="231"/>
        <v>0</v>
      </c>
      <c r="AC42" s="154">
        <f t="shared" si="232"/>
        <v>0</v>
      </c>
      <c r="AD42" s="158">
        <f t="shared" si="233"/>
        <v>0</v>
      </c>
      <c r="AE42" s="156">
        <f t="shared" si="276"/>
        <v>0</v>
      </c>
      <c r="AF42" s="154">
        <f t="shared" si="235"/>
        <v>0</v>
      </c>
      <c r="AG42" s="154">
        <f t="shared" si="114"/>
        <v>0</v>
      </c>
      <c r="AH42" s="154">
        <f t="shared" si="236"/>
        <v>0</v>
      </c>
      <c r="AI42" s="154">
        <f t="shared" si="116"/>
        <v>0</v>
      </c>
      <c r="AJ42" s="154">
        <f t="shared" si="237"/>
        <v>0</v>
      </c>
      <c r="AK42" s="154">
        <f t="shared" si="118"/>
        <v>0</v>
      </c>
      <c r="AL42" s="154">
        <f t="shared" si="238"/>
        <v>0</v>
      </c>
      <c r="AM42" s="154">
        <f t="shared" si="120"/>
        <v>0</v>
      </c>
      <c r="AN42" s="154">
        <f t="shared" si="239"/>
        <v>0</v>
      </c>
      <c r="AO42" s="157">
        <f t="shared" si="122"/>
        <v>0</v>
      </c>
      <c r="AP42" s="154">
        <f t="shared" si="123"/>
        <v>0</v>
      </c>
      <c r="AQ42" s="158">
        <f t="shared" si="124"/>
        <v>0</v>
      </c>
      <c r="AR42" s="156">
        <f t="shared" si="276"/>
        <v>0</v>
      </c>
      <c r="AS42" s="154">
        <f t="shared" si="240"/>
        <v>0</v>
      </c>
      <c r="AT42" s="154">
        <f t="shared" si="127"/>
        <v>0</v>
      </c>
      <c r="AU42" s="154">
        <f t="shared" si="241"/>
        <v>0</v>
      </c>
      <c r="AV42" s="154">
        <f t="shared" si="129"/>
        <v>0</v>
      </c>
      <c r="AW42" s="154">
        <f t="shared" si="242"/>
        <v>0</v>
      </c>
      <c r="AX42" s="154">
        <f t="shared" si="131"/>
        <v>0</v>
      </c>
      <c r="AY42" s="154">
        <f t="shared" si="243"/>
        <v>0</v>
      </c>
      <c r="AZ42" s="154">
        <f t="shared" si="133"/>
        <v>0</v>
      </c>
      <c r="BA42" s="154">
        <f t="shared" si="244"/>
        <v>0</v>
      </c>
      <c r="BB42" s="157">
        <f t="shared" si="135"/>
        <v>0</v>
      </c>
      <c r="BC42" s="154">
        <f t="shared" si="136"/>
        <v>0</v>
      </c>
      <c r="BD42" s="158">
        <f t="shared" si="137"/>
        <v>0</v>
      </c>
      <c r="BE42" s="156">
        <f t="shared" si="276"/>
        <v>0</v>
      </c>
      <c r="BF42" s="154">
        <f t="shared" si="245"/>
        <v>0</v>
      </c>
      <c r="BG42" s="154">
        <f t="shared" si="140"/>
        <v>0</v>
      </c>
      <c r="BH42" s="154">
        <f t="shared" si="246"/>
        <v>0</v>
      </c>
      <c r="BI42" s="154">
        <f t="shared" si="142"/>
        <v>0</v>
      </c>
      <c r="BJ42" s="154">
        <f t="shared" si="247"/>
        <v>0</v>
      </c>
      <c r="BK42" s="154">
        <f t="shared" si="144"/>
        <v>0</v>
      </c>
      <c r="BL42" s="154">
        <f t="shared" si="248"/>
        <v>0</v>
      </c>
      <c r="BM42" s="154">
        <f t="shared" si="146"/>
        <v>0</v>
      </c>
      <c r="BN42" s="154">
        <f t="shared" si="249"/>
        <v>0</v>
      </c>
      <c r="BO42" s="157">
        <f t="shared" si="148"/>
        <v>0</v>
      </c>
      <c r="BP42" s="154">
        <f t="shared" si="149"/>
        <v>0</v>
      </c>
      <c r="BQ42" s="158">
        <f t="shared" si="150"/>
        <v>0</v>
      </c>
      <c r="BR42" s="156">
        <f t="shared" si="276"/>
        <v>0</v>
      </c>
      <c r="BS42" s="154">
        <f t="shared" si="250"/>
        <v>0</v>
      </c>
      <c r="BT42" s="154">
        <f t="shared" si="153"/>
        <v>0</v>
      </c>
      <c r="BU42" s="154">
        <f t="shared" si="251"/>
        <v>0</v>
      </c>
      <c r="BV42" s="154">
        <f t="shared" si="155"/>
        <v>0</v>
      </c>
      <c r="BW42" s="154">
        <f t="shared" si="252"/>
        <v>0</v>
      </c>
      <c r="BX42" s="154">
        <f t="shared" si="157"/>
        <v>0</v>
      </c>
      <c r="BY42" s="154">
        <f t="shared" si="253"/>
        <v>0</v>
      </c>
      <c r="BZ42" s="154">
        <f t="shared" si="159"/>
        <v>0</v>
      </c>
      <c r="CA42" s="154">
        <f t="shared" si="254"/>
        <v>0</v>
      </c>
      <c r="CB42" s="157">
        <f t="shared" si="161"/>
        <v>0</v>
      </c>
      <c r="CC42" s="154">
        <f t="shared" si="162"/>
        <v>0</v>
      </c>
      <c r="CD42" s="158">
        <f t="shared" si="163"/>
        <v>0</v>
      </c>
      <c r="CE42" s="156">
        <f t="shared" si="276"/>
        <v>0</v>
      </c>
      <c r="CF42" s="154">
        <f t="shared" si="255"/>
        <v>0</v>
      </c>
      <c r="CG42" s="154">
        <f t="shared" si="166"/>
        <v>0</v>
      </c>
      <c r="CH42" s="154">
        <f t="shared" si="256"/>
        <v>0</v>
      </c>
      <c r="CI42" s="154">
        <f t="shared" si="168"/>
        <v>0</v>
      </c>
      <c r="CJ42" s="154">
        <f t="shared" si="257"/>
        <v>0</v>
      </c>
      <c r="CK42" s="154">
        <f t="shared" si="170"/>
        <v>0</v>
      </c>
      <c r="CL42" s="154">
        <f t="shared" si="258"/>
        <v>0</v>
      </c>
      <c r="CM42" s="154">
        <f t="shared" si="172"/>
        <v>0</v>
      </c>
      <c r="CN42" s="154">
        <f t="shared" si="259"/>
        <v>0</v>
      </c>
      <c r="CO42" s="157">
        <f t="shared" si="174"/>
        <v>0</v>
      </c>
      <c r="CP42" s="154">
        <f t="shared" si="175"/>
        <v>0</v>
      </c>
      <c r="CQ42" s="158">
        <f t="shared" si="176"/>
        <v>0</v>
      </c>
      <c r="CR42" s="156">
        <f t="shared" si="277"/>
        <v>0</v>
      </c>
      <c r="CS42" s="154">
        <f t="shared" si="261"/>
        <v>0</v>
      </c>
      <c r="CT42" s="154">
        <f t="shared" si="179"/>
        <v>0</v>
      </c>
      <c r="CU42" s="154">
        <f t="shared" si="262"/>
        <v>0</v>
      </c>
      <c r="CV42" s="154">
        <f t="shared" si="181"/>
        <v>0</v>
      </c>
      <c r="CW42" s="154">
        <f t="shared" si="263"/>
        <v>0</v>
      </c>
      <c r="CX42" s="154">
        <f t="shared" si="183"/>
        <v>0</v>
      </c>
      <c r="CY42" s="154">
        <f t="shared" si="264"/>
        <v>0</v>
      </c>
      <c r="CZ42" s="154">
        <f t="shared" si="185"/>
        <v>0</v>
      </c>
      <c r="DA42" s="154">
        <f t="shared" si="265"/>
        <v>0</v>
      </c>
      <c r="DB42" s="157">
        <f t="shared" si="187"/>
        <v>0</v>
      </c>
      <c r="DC42" s="154">
        <f t="shared" si="188"/>
        <v>0</v>
      </c>
      <c r="DD42" s="158">
        <f t="shared" si="189"/>
        <v>0</v>
      </c>
      <c r="DE42" s="156">
        <f t="shared" si="277"/>
        <v>0</v>
      </c>
      <c r="DF42" s="154">
        <f t="shared" si="266"/>
        <v>0</v>
      </c>
      <c r="DG42" s="154">
        <f t="shared" si="192"/>
        <v>0</v>
      </c>
      <c r="DH42" s="154">
        <f t="shared" si="267"/>
        <v>0</v>
      </c>
      <c r="DI42" s="154">
        <f t="shared" si="194"/>
        <v>0</v>
      </c>
      <c r="DJ42" s="154">
        <f t="shared" si="268"/>
        <v>0</v>
      </c>
      <c r="DK42" s="154">
        <f t="shared" si="196"/>
        <v>0</v>
      </c>
      <c r="DL42" s="154">
        <f t="shared" si="269"/>
        <v>0</v>
      </c>
      <c r="DM42" s="154">
        <f t="shared" si="198"/>
        <v>0</v>
      </c>
      <c r="DN42" s="154">
        <f t="shared" si="270"/>
        <v>0</v>
      </c>
      <c r="DO42" s="157">
        <f t="shared" si="200"/>
        <v>0</v>
      </c>
      <c r="DP42" s="154">
        <f t="shared" si="201"/>
        <v>0</v>
      </c>
      <c r="DQ42" s="158">
        <f t="shared" si="202"/>
        <v>0</v>
      </c>
      <c r="DR42" s="156">
        <f t="shared" si="277"/>
        <v>0</v>
      </c>
      <c r="DS42" s="154">
        <f t="shared" si="271"/>
        <v>0</v>
      </c>
      <c r="DT42" s="154">
        <f t="shared" si="205"/>
        <v>0</v>
      </c>
      <c r="DU42" s="154">
        <f t="shared" si="272"/>
        <v>0</v>
      </c>
      <c r="DV42" s="154">
        <f t="shared" si="207"/>
        <v>0</v>
      </c>
      <c r="DW42" s="154">
        <f t="shared" si="273"/>
        <v>0</v>
      </c>
      <c r="DX42" s="154">
        <f t="shared" si="209"/>
        <v>0</v>
      </c>
      <c r="DY42" s="154">
        <f t="shared" si="274"/>
        <v>0</v>
      </c>
      <c r="DZ42" s="154">
        <f t="shared" si="211"/>
        <v>0</v>
      </c>
      <c r="EA42" s="154">
        <f t="shared" si="275"/>
        <v>0</v>
      </c>
      <c r="EB42" s="157">
        <f t="shared" si="213"/>
        <v>0</v>
      </c>
      <c r="EC42" s="154">
        <f t="shared" si="214"/>
        <v>0</v>
      </c>
      <c r="ED42" s="158">
        <f t="shared" si="215"/>
        <v>0</v>
      </c>
    </row>
    <row r="43" spans="1:134" x14ac:dyDescent="0.35">
      <c r="A43" s="172"/>
      <c r="B43" s="173"/>
      <c r="C43" s="174"/>
      <c r="D43" s="175"/>
      <c r="E43" s="176"/>
      <c r="F43" s="177"/>
      <c r="G43" s="178"/>
      <c r="H43" s="179"/>
      <c r="I43" s="180"/>
      <c r="J43" s="181"/>
      <c r="K43" s="152">
        <f t="shared" si="216"/>
        <v>0</v>
      </c>
      <c r="L43" s="153">
        <f t="shared" si="217"/>
        <v>0</v>
      </c>
      <c r="M43" s="154">
        <f t="shared" si="218"/>
        <v>0</v>
      </c>
      <c r="N43" s="154"/>
      <c r="O43" s="154">
        <f t="shared" si="219"/>
        <v>0</v>
      </c>
      <c r="P43" s="155"/>
      <c r="Q43" s="154">
        <f t="shared" si="220"/>
        <v>0</v>
      </c>
      <c r="R43" s="156">
        <f t="shared" si="221"/>
        <v>0</v>
      </c>
      <c r="S43" s="154">
        <f t="shared" si="222"/>
        <v>0</v>
      </c>
      <c r="T43" s="154">
        <f t="shared" si="223"/>
        <v>0</v>
      </c>
      <c r="U43" s="154">
        <f t="shared" si="224"/>
        <v>0</v>
      </c>
      <c r="V43" s="154">
        <f t="shared" si="225"/>
        <v>0</v>
      </c>
      <c r="W43" s="154">
        <f t="shared" si="226"/>
        <v>0</v>
      </c>
      <c r="X43" s="154">
        <f t="shared" si="227"/>
        <v>0</v>
      </c>
      <c r="Y43" s="154">
        <f t="shared" si="228"/>
        <v>0</v>
      </c>
      <c r="Z43" s="154">
        <f t="shared" si="229"/>
        <v>0</v>
      </c>
      <c r="AA43" s="154">
        <f t="shared" si="230"/>
        <v>0</v>
      </c>
      <c r="AB43" s="157">
        <f t="shared" si="231"/>
        <v>0</v>
      </c>
      <c r="AC43" s="154">
        <f t="shared" si="232"/>
        <v>0</v>
      </c>
      <c r="AD43" s="158">
        <f t="shared" si="233"/>
        <v>0</v>
      </c>
      <c r="AE43" s="156">
        <f t="shared" si="276"/>
        <v>0</v>
      </c>
      <c r="AF43" s="154">
        <f t="shared" si="235"/>
        <v>0</v>
      </c>
      <c r="AG43" s="154">
        <f t="shared" si="114"/>
        <v>0</v>
      </c>
      <c r="AH43" s="154">
        <f t="shared" si="236"/>
        <v>0</v>
      </c>
      <c r="AI43" s="154">
        <f t="shared" si="116"/>
        <v>0</v>
      </c>
      <c r="AJ43" s="154">
        <f t="shared" si="237"/>
        <v>0</v>
      </c>
      <c r="AK43" s="154">
        <f t="shared" si="118"/>
        <v>0</v>
      </c>
      <c r="AL43" s="154">
        <f t="shared" si="238"/>
        <v>0</v>
      </c>
      <c r="AM43" s="154">
        <f t="shared" si="120"/>
        <v>0</v>
      </c>
      <c r="AN43" s="154">
        <f t="shared" si="239"/>
        <v>0</v>
      </c>
      <c r="AO43" s="157">
        <f t="shared" si="122"/>
        <v>0</v>
      </c>
      <c r="AP43" s="154">
        <f t="shared" si="123"/>
        <v>0</v>
      </c>
      <c r="AQ43" s="158">
        <f t="shared" si="124"/>
        <v>0</v>
      </c>
      <c r="AR43" s="156">
        <f t="shared" si="276"/>
        <v>0</v>
      </c>
      <c r="AS43" s="154">
        <f t="shared" si="240"/>
        <v>0</v>
      </c>
      <c r="AT43" s="154">
        <f t="shared" si="127"/>
        <v>0</v>
      </c>
      <c r="AU43" s="154">
        <f t="shared" si="241"/>
        <v>0</v>
      </c>
      <c r="AV43" s="154">
        <f t="shared" si="129"/>
        <v>0</v>
      </c>
      <c r="AW43" s="154">
        <f t="shared" si="242"/>
        <v>0</v>
      </c>
      <c r="AX43" s="154">
        <f t="shared" si="131"/>
        <v>0</v>
      </c>
      <c r="AY43" s="154">
        <f t="shared" si="243"/>
        <v>0</v>
      </c>
      <c r="AZ43" s="154">
        <f t="shared" si="133"/>
        <v>0</v>
      </c>
      <c r="BA43" s="154">
        <f t="shared" si="244"/>
        <v>0</v>
      </c>
      <c r="BB43" s="157">
        <f t="shared" si="135"/>
        <v>0</v>
      </c>
      <c r="BC43" s="154">
        <f t="shared" si="136"/>
        <v>0</v>
      </c>
      <c r="BD43" s="158">
        <f t="shared" si="137"/>
        <v>0</v>
      </c>
      <c r="BE43" s="156">
        <f t="shared" si="276"/>
        <v>0</v>
      </c>
      <c r="BF43" s="154">
        <f t="shared" si="245"/>
        <v>0</v>
      </c>
      <c r="BG43" s="154">
        <f t="shared" si="140"/>
        <v>0</v>
      </c>
      <c r="BH43" s="154">
        <f t="shared" si="246"/>
        <v>0</v>
      </c>
      <c r="BI43" s="154">
        <f t="shared" si="142"/>
        <v>0</v>
      </c>
      <c r="BJ43" s="154">
        <f t="shared" si="247"/>
        <v>0</v>
      </c>
      <c r="BK43" s="154">
        <f t="shared" si="144"/>
        <v>0</v>
      </c>
      <c r="BL43" s="154">
        <f t="shared" si="248"/>
        <v>0</v>
      </c>
      <c r="BM43" s="154">
        <f t="shared" si="146"/>
        <v>0</v>
      </c>
      <c r="BN43" s="154">
        <f t="shared" si="249"/>
        <v>0</v>
      </c>
      <c r="BO43" s="157">
        <f t="shared" si="148"/>
        <v>0</v>
      </c>
      <c r="BP43" s="154">
        <f t="shared" si="149"/>
        <v>0</v>
      </c>
      <c r="BQ43" s="158">
        <f t="shared" si="150"/>
        <v>0</v>
      </c>
      <c r="BR43" s="156">
        <f t="shared" si="276"/>
        <v>0</v>
      </c>
      <c r="BS43" s="154">
        <f t="shared" si="250"/>
        <v>0</v>
      </c>
      <c r="BT43" s="154">
        <f t="shared" si="153"/>
        <v>0</v>
      </c>
      <c r="BU43" s="154">
        <f t="shared" si="251"/>
        <v>0</v>
      </c>
      <c r="BV43" s="154">
        <f t="shared" si="155"/>
        <v>0</v>
      </c>
      <c r="BW43" s="154">
        <f t="shared" si="252"/>
        <v>0</v>
      </c>
      <c r="BX43" s="154">
        <f t="shared" si="157"/>
        <v>0</v>
      </c>
      <c r="BY43" s="154">
        <f t="shared" si="253"/>
        <v>0</v>
      </c>
      <c r="BZ43" s="154">
        <f t="shared" si="159"/>
        <v>0</v>
      </c>
      <c r="CA43" s="154">
        <f t="shared" si="254"/>
        <v>0</v>
      </c>
      <c r="CB43" s="157">
        <f t="shared" si="161"/>
        <v>0</v>
      </c>
      <c r="CC43" s="154">
        <f t="shared" si="162"/>
        <v>0</v>
      </c>
      <c r="CD43" s="158">
        <f t="shared" si="163"/>
        <v>0</v>
      </c>
      <c r="CE43" s="156">
        <f t="shared" si="276"/>
        <v>0</v>
      </c>
      <c r="CF43" s="154">
        <f t="shared" si="255"/>
        <v>0</v>
      </c>
      <c r="CG43" s="154">
        <f t="shared" si="166"/>
        <v>0</v>
      </c>
      <c r="CH43" s="154">
        <f t="shared" si="256"/>
        <v>0</v>
      </c>
      <c r="CI43" s="154">
        <f t="shared" si="168"/>
        <v>0</v>
      </c>
      <c r="CJ43" s="154">
        <f t="shared" si="257"/>
        <v>0</v>
      </c>
      <c r="CK43" s="154">
        <f t="shared" si="170"/>
        <v>0</v>
      </c>
      <c r="CL43" s="154">
        <f t="shared" si="258"/>
        <v>0</v>
      </c>
      <c r="CM43" s="154">
        <f t="shared" si="172"/>
        <v>0</v>
      </c>
      <c r="CN43" s="154">
        <f t="shared" si="259"/>
        <v>0</v>
      </c>
      <c r="CO43" s="157">
        <f t="shared" si="174"/>
        <v>0</v>
      </c>
      <c r="CP43" s="154">
        <f t="shared" si="175"/>
        <v>0</v>
      </c>
      <c r="CQ43" s="158">
        <f t="shared" si="176"/>
        <v>0</v>
      </c>
      <c r="CR43" s="156">
        <f t="shared" si="277"/>
        <v>0</v>
      </c>
      <c r="CS43" s="154">
        <f t="shared" si="261"/>
        <v>0</v>
      </c>
      <c r="CT43" s="154">
        <f t="shared" si="179"/>
        <v>0</v>
      </c>
      <c r="CU43" s="154">
        <f t="shared" si="262"/>
        <v>0</v>
      </c>
      <c r="CV43" s="154">
        <f t="shared" si="181"/>
        <v>0</v>
      </c>
      <c r="CW43" s="154">
        <f t="shared" si="263"/>
        <v>0</v>
      </c>
      <c r="CX43" s="154">
        <f t="shared" si="183"/>
        <v>0</v>
      </c>
      <c r="CY43" s="154">
        <f t="shared" si="264"/>
        <v>0</v>
      </c>
      <c r="CZ43" s="154">
        <f t="shared" si="185"/>
        <v>0</v>
      </c>
      <c r="DA43" s="154">
        <f t="shared" si="265"/>
        <v>0</v>
      </c>
      <c r="DB43" s="157">
        <f t="shared" si="187"/>
        <v>0</v>
      </c>
      <c r="DC43" s="154">
        <f t="shared" si="188"/>
        <v>0</v>
      </c>
      <c r="DD43" s="158">
        <f t="shared" si="189"/>
        <v>0</v>
      </c>
      <c r="DE43" s="156">
        <f t="shared" si="277"/>
        <v>0</v>
      </c>
      <c r="DF43" s="154">
        <f t="shared" si="266"/>
        <v>0</v>
      </c>
      <c r="DG43" s="154">
        <f t="shared" si="192"/>
        <v>0</v>
      </c>
      <c r="DH43" s="154">
        <f t="shared" si="267"/>
        <v>0</v>
      </c>
      <c r="DI43" s="154">
        <f t="shared" si="194"/>
        <v>0</v>
      </c>
      <c r="DJ43" s="154">
        <f t="shared" si="268"/>
        <v>0</v>
      </c>
      <c r="DK43" s="154">
        <f t="shared" si="196"/>
        <v>0</v>
      </c>
      <c r="DL43" s="154">
        <f t="shared" si="269"/>
        <v>0</v>
      </c>
      <c r="DM43" s="154">
        <f t="shared" si="198"/>
        <v>0</v>
      </c>
      <c r="DN43" s="154">
        <f t="shared" si="270"/>
        <v>0</v>
      </c>
      <c r="DO43" s="157">
        <f t="shared" si="200"/>
        <v>0</v>
      </c>
      <c r="DP43" s="154">
        <f t="shared" si="201"/>
        <v>0</v>
      </c>
      <c r="DQ43" s="158">
        <f t="shared" si="202"/>
        <v>0</v>
      </c>
      <c r="DR43" s="156">
        <f t="shared" si="277"/>
        <v>0</v>
      </c>
      <c r="DS43" s="154">
        <f t="shared" si="271"/>
        <v>0</v>
      </c>
      <c r="DT43" s="154">
        <f t="shared" si="205"/>
        <v>0</v>
      </c>
      <c r="DU43" s="154">
        <f t="shared" si="272"/>
        <v>0</v>
      </c>
      <c r="DV43" s="154">
        <f t="shared" si="207"/>
        <v>0</v>
      </c>
      <c r="DW43" s="154">
        <f t="shared" si="273"/>
        <v>0</v>
      </c>
      <c r="DX43" s="154">
        <f t="shared" si="209"/>
        <v>0</v>
      </c>
      <c r="DY43" s="154">
        <f t="shared" si="274"/>
        <v>0</v>
      </c>
      <c r="DZ43" s="154">
        <f t="shared" si="211"/>
        <v>0</v>
      </c>
      <c r="EA43" s="154">
        <f t="shared" si="275"/>
        <v>0</v>
      </c>
      <c r="EB43" s="157">
        <f t="shared" si="213"/>
        <v>0</v>
      </c>
      <c r="EC43" s="154">
        <f t="shared" si="214"/>
        <v>0</v>
      </c>
      <c r="ED43" s="158">
        <f t="shared" si="215"/>
        <v>0</v>
      </c>
    </row>
    <row r="44" spans="1:134" x14ac:dyDescent="0.35">
      <c r="A44" s="172"/>
      <c r="B44" s="173"/>
      <c r="C44" s="174"/>
      <c r="D44" s="175"/>
      <c r="E44" s="176"/>
      <c r="F44" s="177"/>
      <c r="G44" s="178"/>
      <c r="H44" s="179"/>
      <c r="I44" s="180"/>
      <c r="J44" s="181"/>
      <c r="K44" s="152">
        <f t="shared" si="216"/>
        <v>0</v>
      </c>
      <c r="L44" s="153">
        <f t="shared" si="217"/>
        <v>0</v>
      </c>
      <c r="M44" s="154">
        <f t="shared" si="218"/>
        <v>0</v>
      </c>
      <c r="N44" s="154"/>
      <c r="O44" s="154">
        <f t="shared" si="219"/>
        <v>0</v>
      </c>
      <c r="P44" s="155"/>
      <c r="Q44" s="154">
        <f t="shared" si="220"/>
        <v>0</v>
      </c>
      <c r="R44" s="156">
        <f t="shared" si="221"/>
        <v>0</v>
      </c>
      <c r="S44" s="154">
        <f t="shared" si="222"/>
        <v>0</v>
      </c>
      <c r="T44" s="154">
        <f t="shared" si="223"/>
        <v>0</v>
      </c>
      <c r="U44" s="154">
        <f t="shared" si="224"/>
        <v>0</v>
      </c>
      <c r="V44" s="154">
        <f t="shared" si="225"/>
        <v>0</v>
      </c>
      <c r="W44" s="154">
        <f t="shared" si="226"/>
        <v>0</v>
      </c>
      <c r="X44" s="154">
        <f t="shared" si="227"/>
        <v>0</v>
      </c>
      <c r="Y44" s="154">
        <f t="shared" si="228"/>
        <v>0</v>
      </c>
      <c r="Z44" s="154">
        <f t="shared" si="229"/>
        <v>0</v>
      </c>
      <c r="AA44" s="154">
        <f t="shared" si="230"/>
        <v>0</v>
      </c>
      <c r="AB44" s="157">
        <f t="shared" si="231"/>
        <v>0</v>
      </c>
      <c r="AC44" s="154">
        <f t="shared" si="232"/>
        <v>0</v>
      </c>
      <c r="AD44" s="158">
        <f t="shared" si="233"/>
        <v>0</v>
      </c>
      <c r="AE44" s="156">
        <f t="shared" si="276"/>
        <v>0</v>
      </c>
      <c r="AF44" s="154">
        <f t="shared" si="235"/>
        <v>0</v>
      </c>
      <c r="AG44" s="154">
        <f t="shared" si="114"/>
        <v>0</v>
      </c>
      <c r="AH44" s="154">
        <f t="shared" si="236"/>
        <v>0</v>
      </c>
      <c r="AI44" s="154">
        <f t="shared" si="116"/>
        <v>0</v>
      </c>
      <c r="AJ44" s="154">
        <f t="shared" si="237"/>
        <v>0</v>
      </c>
      <c r="AK44" s="154">
        <f t="shared" si="118"/>
        <v>0</v>
      </c>
      <c r="AL44" s="154">
        <f t="shared" si="238"/>
        <v>0</v>
      </c>
      <c r="AM44" s="154">
        <f t="shared" si="120"/>
        <v>0</v>
      </c>
      <c r="AN44" s="154">
        <f t="shared" si="239"/>
        <v>0</v>
      </c>
      <c r="AO44" s="157">
        <f t="shared" si="122"/>
        <v>0</v>
      </c>
      <c r="AP44" s="154">
        <f t="shared" si="123"/>
        <v>0</v>
      </c>
      <c r="AQ44" s="158">
        <f t="shared" si="124"/>
        <v>0</v>
      </c>
      <c r="AR44" s="156">
        <f t="shared" si="276"/>
        <v>0</v>
      </c>
      <c r="AS44" s="154">
        <f t="shared" si="240"/>
        <v>0</v>
      </c>
      <c r="AT44" s="154">
        <f t="shared" si="127"/>
        <v>0</v>
      </c>
      <c r="AU44" s="154">
        <f t="shared" si="241"/>
        <v>0</v>
      </c>
      <c r="AV44" s="154">
        <f t="shared" si="129"/>
        <v>0</v>
      </c>
      <c r="AW44" s="154">
        <f t="shared" si="242"/>
        <v>0</v>
      </c>
      <c r="AX44" s="154">
        <f t="shared" si="131"/>
        <v>0</v>
      </c>
      <c r="AY44" s="154">
        <f t="shared" si="243"/>
        <v>0</v>
      </c>
      <c r="AZ44" s="154">
        <f t="shared" si="133"/>
        <v>0</v>
      </c>
      <c r="BA44" s="154">
        <f t="shared" si="244"/>
        <v>0</v>
      </c>
      <c r="BB44" s="157">
        <f t="shared" si="135"/>
        <v>0</v>
      </c>
      <c r="BC44" s="154">
        <f t="shared" si="136"/>
        <v>0</v>
      </c>
      <c r="BD44" s="158">
        <f t="shared" si="137"/>
        <v>0</v>
      </c>
      <c r="BE44" s="156">
        <f t="shared" si="276"/>
        <v>0</v>
      </c>
      <c r="BF44" s="154">
        <f t="shared" si="245"/>
        <v>0</v>
      </c>
      <c r="BG44" s="154">
        <f t="shared" si="140"/>
        <v>0</v>
      </c>
      <c r="BH44" s="154">
        <f t="shared" si="246"/>
        <v>0</v>
      </c>
      <c r="BI44" s="154">
        <f t="shared" si="142"/>
        <v>0</v>
      </c>
      <c r="BJ44" s="154">
        <f t="shared" si="247"/>
        <v>0</v>
      </c>
      <c r="BK44" s="154">
        <f t="shared" si="144"/>
        <v>0</v>
      </c>
      <c r="BL44" s="154">
        <f t="shared" si="248"/>
        <v>0</v>
      </c>
      <c r="BM44" s="154">
        <f t="shared" si="146"/>
        <v>0</v>
      </c>
      <c r="BN44" s="154">
        <f t="shared" si="249"/>
        <v>0</v>
      </c>
      <c r="BO44" s="157">
        <f t="shared" si="148"/>
        <v>0</v>
      </c>
      <c r="BP44" s="154">
        <f t="shared" si="149"/>
        <v>0</v>
      </c>
      <c r="BQ44" s="158">
        <f t="shared" si="150"/>
        <v>0</v>
      </c>
      <c r="BR44" s="156">
        <f t="shared" si="276"/>
        <v>0</v>
      </c>
      <c r="BS44" s="154">
        <f t="shared" si="250"/>
        <v>0</v>
      </c>
      <c r="BT44" s="154">
        <f t="shared" si="153"/>
        <v>0</v>
      </c>
      <c r="BU44" s="154">
        <f t="shared" si="251"/>
        <v>0</v>
      </c>
      <c r="BV44" s="154">
        <f t="shared" si="155"/>
        <v>0</v>
      </c>
      <c r="BW44" s="154">
        <f t="shared" si="252"/>
        <v>0</v>
      </c>
      <c r="BX44" s="154">
        <f t="shared" si="157"/>
        <v>0</v>
      </c>
      <c r="BY44" s="154">
        <f t="shared" si="253"/>
        <v>0</v>
      </c>
      <c r="BZ44" s="154">
        <f t="shared" si="159"/>
        <v>0</v>
      </c>
      <c r="CA44" s="154">
        <f t="shared" si="254"/>
        <v>0</v>
      </c>
      <c r="CB44" s="157">
        <f t="shared" si="161"/>
        <v>0</v>
      </c>
      <c r="CC44" s="154">
        <f t="shared" si="162"/>
        <v>0</v>
      </c>
      <c r="CD44" s="158">
        <f t="shared" si="163"/>
        <v>0</v>
      </c>
      <c r="CE44" s="156">
        <f t="shared" si="276"/>
        <v>0</v>
      </c>
      <c r="CF44" s="154">
        <f t="shared" si="255"/>
        <v>0</v>
      </c>
      <c r="CG44" s="154">
        <f t="shared" si="166"/>
        <v>0</v>
      </c>
      <c r="CH44" s="154">
        <f t="shared" si="256"/>
        <v>0</v>
      </c>
      <c r="CI44" s="154">
        <f t="shared" si="168"/>
        <v>0</v>
      </c>
      <c r="CJ44" s="154">
        <f t="shared" si="257"/>
        <v>0</v>
      </c>
      <c r="CK44" s="154">
        <f t="shared" si="170"/>
        <v>0</v>
      </c>
      <c r="CL44" s="154">
        <f t="shared" si="258"/>
        <v>0</v>
      </c>
      <c r="CM44" s="154">
        <f t="shared" si="172"/>
        <v>0</v>
      </c>
      <c r="CN44" s="154">
        <f t="shared" si="259"/>
        <v>0</v>
      </c>
      <c r="CO44" s="157">
        <f t="shared" si="174"/>
        <v>0</v>
      </c>
      <c r="CP44" s="154">
        <f t="shared" si="175"/>
        <v>0</v>
      </c>
      <c r="CQ44" s="158">
        <f t="shared" si="176"/>
        <v>0</v>
      </c>
      <c r="CR44" s="156">
        <f t="shared" si="277"/>
        <v>0</v>
      </c>
      <c r="CS44" s="154">
        <f t="shared" si="261"/>
        <v>0</v>
      </c>
      <c r="CT44" s="154">
        <f t="shared" si="179"/>
        <v>0</v>
      </c>
      <c r="CU44" s="154">
        <f t="shared" si="262"/>
        <v>0</v>
      </c>
      <c r="CV44" s="154">
        <f t="shared" si="181"/>
        <v>0</v>
      </c>
      <c r="CW44" s="154">
        <f t="shared" si="263"/>
        <v>0</v>
      </c>
      <c r="CX44" s="154">
        <f t="shared" si="183"/>
        <v>0</v>
      </c>
      <c r="CY44" s="154">
        <f t="shared" si="264"/>
        <v>0</v>
      </c>
      <c r="CZ44" s="154">
        <f t="shared" si="185"/>
        <v>0</v>
      </c>
      <c r="DA44" s="154">
        <f t="shared" si="265"/>
        <v>0</v>
      </c>
      <c r="DB44" s="157">
        <f t="shared" si="187"/>
        <v>0</v>
      </c>
      <c r="DC44" s="154">
        <f t="shared" si="188"/>
        <v>0</v>
      </c>
      <c r="DD44" s="158">
        <f t="shared" si="189"/>
        <v>0</v>
      </c>
      <c r="DE44" s="156">
        <f t="shared" si="277"/>
        <v>0</v>
      </c>
      <c r="DF44" s="154">
        <f t="shared" si="266"/>
        <v>0</v>
      </c>
      <c r="DG44" s="154">
        <f t="shared" si="192"/>
        <v>0</v>
      </c>
      <c r="DH44" s="154">
        <f t="shared" si="267"/>
        <v>0</v>
      </c>
      <c r="DI44" s="154">
        <f t="shared" si="194"/>
        <v>0</v>
      </c>
      <c r="DJ44" s="154">
        <f t="shared" si="268"/>
        <v>0</v>
      </c>
      <c r="DK44" s="154">
        <f t="shared" si="196"/>
        <v>0</v>
      </c>
      <c r="DL44" s="154">
        <f t="shared" si="269"/>
        <v>0</v>
      </c>
      <c r="DM44" s="154">
        <f t="shared" si="198"/>
        <v>0</v>
      </c>
      <c r="DN44" s="154">
        <f t="shared" si="270"/>
        <v>0</v>
      </c>
      <c r="DO44" s="157">
        <f t="shared" si="200"/>
        <v>0</v>
      </c>
      <c r="DP44" s="154">
        <f t="shared" si="201"/>
        <v>0</v>
      </c>
      <c r="DQ44" s="158">
        <f t="shared" si="202"/>
        <v>0</v>
      </c>
      <c r="DR44" s="156">
        <f t="shared" si="277"/>
        <v>0</v>
      </c>
      <c r="DS44" s="154">
        <f t="shared" si="271"/>
        <v>0</v>
      </c>
      <c r="DT44" s="154">
        <f t="shared" si="205"/>
        <v>0</v>
      </c>
      <c r="DU44" s="154">
        <f t="shared" si="272"/>
        <v>0</v>
      </c>
      <c r="DV44" s="154">
        <f t="shared" si="207"/>
        <v>0</v>
      </c>
      <c r="DW44" s="154">
        <f t="shared" si="273"/>
        <v>0</v>
      </c>
      <c r="DX44" s="154">
        <f t="shared" si="209"/>
        <v>0</v>
      </c>
      <c r="DY44" s="154">
        <f t="shared" si="274"/>
        <v>0</v>
      </c>
      <c r="DZ44" s="154">
        <f t="shared" si="211"/>
        <v>0</v>
      </c>
      <c r="EA44" s="154">
        <f t="shared" si="275"/>
        <v>0</v>
      </c>
      <c r="EB44" s="157">
        <f t="shared" si="213"/>
        <v>0</v>
      </c>
      <c r="EC44" s="154">
        <f t="shared" si="214"/>
        <v>0</v>
      </c>
      <c r="ED44" s="158">
        <f t="shared" si="215"/>
        <v>0</v>
      </c>
    </row>
    <row r="45" spans="1:134" x14ac:dyDescent="0.35">
      <c r="A45" s="172"/>
      <c r="B45" s="173"/>
      <c r="C45" s="174"/>
      <c r="D45" s="175"/>
      <c r="E45" s="176"/>
      <c r="F45" s="177"/>
      <c r="G45" s="178"/>
      <c r="H45" s="179"/>
      <c r="I45" s="180"/>
      <c r="J45" s="181"/>
      <c r="K45" s="152">
        <f t="shared" si="216"/>
        <v>0</v>
      </c>
      <c r="L45" s="153">
        <f t="shared" si="217"/>
        <v>0</v>
      </c>
      <c r="M45" s="154">
        <f t="shared" si="218"/>
        <v>0</v>
      </c>
      <c r="N45" s="154"/>
      <c r="O45" s="154">
        <f t="shared" si="219"/>
        <v>0</v>
      </c>
      <c r="P45" s="155"/>
      <c r="Q45" s="154">
        <f t="shared" si="220"/>
        <v>0</v>
      </c>
      <c r="R45" s="156">
        <f t="shared" si="221"/>
        <v>0</v>
      </c>
      <c r="S45" s="154">
        <f t="shared" si="222"/>
        <v>0</v>
      </c>
      <c r="T45" s="154">
        <f t="shared" si="223"/>
        <v>0</v>
      </c>
      <c r="U45" s="154">
        <f t="shared" si="224"/>
        <v>0</v>
      </c>
      <c r="V45" s="154">
        <f t="shared" si="225"/>
        <v>0</v>
      </c>
      <c r="W45" s="154">
        <f t="shared" si="226"/>
        <v>0</v>
      </c>
      <c r="X45" s="154">
        <f t="shared" si="227"/>
        <v>0</v>
      </c>
      <c r="Y45" s="154">
        <f t="shared" si="228"/>
        <v>0</v>
      </c>
      <c r="Z45" s="154">
        <f t="shared" si="229"/>
        <v>0</v>
      </c>
      <c r="AA45" s="154">
        <f t="shared" si="230"/>
        <v>0</v>
      </c>
      <c r="AB45" s="157">
        <f t="shared" si="231"/>
        <v>0</v>
      </c>
      <c r="AC45" s="154">
        <f t="shared" si="232"/>
        <v>0</v>
      </c>
      <c r="AD45" s="158">
        <f t="shared" si="233"/>
        <v>0</v>
      </c>
      <c r="AE45" s="156">
        <f t="shared" si="276"/>
        <v>0</v>
      </c>
      <c r="AF45" s="154">
        <f t="shared" si="235"/>
        <v>0</v>
      </c>
      <c r="AG45" s="154">
        <f t="shared" si="114"/>
        <v>0</v>
      </c>
      <c r="AH45" s="154">
        <f t="shared" si="236"/>
        <v>0</v>
      </c>
      <c r="AI45" s="154">
        <f t="shared" si="116"/>
        <v>0</v>
      </c>
      <c r="AJ45" s="154">
        <f t="shared" si="237"/>
        <v>0</v>
      </c>
      <c r="AK45" s="154">
        <f t="shared" si="118"/>
        <v>0</v>
      </c>
      <c r="AL45" s="154">
        <f t="shared" si="238"/>
        <v>0</v>
      </c>
      <c r="AM45" s="154">
        <f t="shared" si="120"/>
        <v>0</v>
      </c>
      <c r="AN45" s="154">
        <f t="shared" si="239"/>
        <v>0</v>
      </c>
      <c r="AO45" s="157">
        <f t="shared" si="122"/>
        <v>0</v>
      </c>
      <c r="AP45" s="154">
        <f t="shared" si="123"/>
        <v>0</v>
      </c>
      <c r="AQ45" s="158">
        <f t="shared" si="124"/>
        <v>0</v>
      </c>
      <c r="AR45" s="156">
        <f t="shared" si="276"/>
        <v>0</v>
      </c>
      <c r="AS45" s="154">
        <f t="shared" si="240"/>
        <v>0</v>
      </c>
      <c r="AT45" s="154">
        <f t="shared" si="127"/>
        <v>0</v>
      </c>
      <c r="AU45" s="154">
        <f t="shared" si="241"/>
        <v>0</v>
      </c>
      <c r="AV45" s="154">
        <f t="shared" si="129"/>
        <v>0</v>
      </c>
      <c r="AW45" s="154">
        <f t="shared" si="242"/>
        <v>0</v>
      </c>
      <c r="AX45" s="154">
        <f t="shared" si="131"/>
        <v>0</v>
      </c>
      <c r="AY45" s="154">
        <f t="shared" si="243"/>
        <v>0</v>
      </c>
      <c r="AZ45" s="154">
        <f t="shared" si="133"/>
        <v>0</v>
      </c>
      <c r="BA45" s="154">
        <f t="shared" si="244"/>
        <v>0</v>
      </c>
      <c r="BB45" s="157">
        <f t="shared" si="135"/>
        <v>0</v>
      </c>
      <c r="BC45" s="154">
        <f t="shared" si="136"/>
        <v>0</v>
      </c>
      <c r="BD45" s="158">
        <f t="shared" si="137"/>
        <v>0</v>
      </c>
      <c r="BE45" s="156">
        <f t="shared" si="276"/>
        <v>0</v>
      </c>
      <c r="BF45" s="154">
        <f t="shared" si="245"/>
        <v>0</v>
      </c>
      <c r="BG45" s="154">
        <f t="shared" si="140"/>
        <v>0</v>
      </c>
      <c r="BH45" s="154">
        <f t="shared" si="246"/>
        <v>0</v>
      </c>
      <c r="BI45" s="154">
        <f t="shared" si="142"/>
        <v>0</v>
      </c>
      <c r="BJ45" s="154">
        <f t="shared" si="247"/>
        <v>0</v>
      </c>
      <c r="BK45" s="154">
        <f t="shared" si="144"/>
        <v>0</v>
      </c>
      <c r="BL45" s="154">
        <f t="shared" si="248"/>
        <v>0</v>
      </c>
      <c r="BM45" s="154">
        <f t="shared" si="146"/>
        <v>0</v>
      </c>
      <c r="BN45" s="154">
        <f t="shared" si="249"/>
        <v>0</v>
      </c>
      <c r="BO45" s="157">
        <f t="shared" si="148"/>
        <v>0</v>
      </c>
      <c r="BP45" s="154">
        <f t="shared" si="149"/>
        <v>0</v>
      </c>
      <c r="BQ45" s="158">
        <f t="shared" si="150"/>
        <v>0</v>
      </c>
      <c r="BR45" s="156">
        <f t="shared" si="276"/>
        <v>0</v>
      </c>
      <c r="BS45" s="154">
        <f t="shared" si="250"/>
        <v>0</v>
      </c>
      <c r="BT45" s="154">
        <f t="shared" si="153"/>
        <v>0</v>
      </c>
      <c r="BU45" s="154">
        <f t="shared" si="251"/>
        <v>0</v>
      </c>
      <c r="BV45" s="154">
        <f t="shared" si="155"/>
        <v>0</v>
      </c>
      <c r="BW45" s="154">
        <f t="shared" si="252"/>
        <v>0</v>
      </c>
      <c r="BX45" s="154">
        <f t="shared" si="157"/>
        <v>0</v>
      </c>
      <c r="BY45" s="154">
        <f t="shared" si="253"/>
        <v>0</v>
      </c>
      <c r="BZ45" s="154">
        <f t="shared" si="159"/>
        <v>0</v>
      </c>
      <c r="CA45" s="154">
        <f t="shared" si="254"/>
        <v>0</v>
      </c>
      <c r="CB45" s="157">
        <f t="shared" si="161"/>
        <v>0</v>
      </c>
      <c r="CC45" s="154">
        <f t="shared" si="162"/>
        <v>0</v>
      </c>
      <c r="CD45" s="158">
        <f t="shared" si="163"/>
        <v>0</v>
      </c>
      <c r="CE45" s="156">
        <f t="shared" si="276"/>
        <v>0</v>
      </c>
      <c r="CF45" s="154">
        <f t="shared" si="255"/>
        <v>0</v>
      </c>
      <c r="CG45" s="154">
        <f t="shared" si="166"/>
        <v>0</v>
      </c>
      <c r="CH45" s="154">
        <f t="shared" si="256"/>
        <v>0</v>
      </c>
      <c r="CI45" s="154">
        <f t="shared" si="168"/>
        <v>0</v>
      </c>
      <c r="CJ45" s="154">
        <f t="shared" si="257"/>
        <v>0</v>
      </c>
      <c r="CK45" s="154">
        <f t="shared" si="170"/>
        <v>0</v>
      </c>
      <c r="CL45" s="154">
        <f t="shared" si="258"/>
        <v>0</v>
      </c>
      <c r="CM45" s="154">
        <f t="shared" si="172"/>
        <v>0</v>
      </c>
      <c r="CN45" s="154">
        <f t="shared" si="259"/>
        <v>0</v>
      </c>
      <c r="CO45" s="157">
        <f t="shared" si="174"/>
        <v>0</v>
      </c>
      <c r="CP45" s="154">
        <f t="shared" si="175"/>
        <v>0</v>
      </c>
      <c r="CQ45" s="158">
        <f t="shared" si="176"/>
        <v>0</v>
      </c>
      <c r="CR45" s="156">
        <f t="shared" si="277"/>
        <v>0</v>
      </c>
      <c r="CS45" s="154">
        <f t="shared" si="261"/>
        <v>0</v>
      </c>
      <c r="CT45" s="154">
        <f t="shared" si="179"/>
        <v>0</v>
      </c>
      <c r="CU45" s="154">
        <f t="shared" si="262"/>
        <v>0</v>
      </c>
      <c r="CV45" s="154">
        <f t="shared" si="181"/>
        <v>0</v>
      </c>
      <c r="CW45" s="154">
        <f t="shared" si="263"/>
        <v>0</v>
      </c>
      <c r="CX45" s="154">
        <f t="shared" si="183"/>
        <v>0</v>
      </c>
      <c r="CY45" s="154">
        <f t="shared" si="264"/>
        <v>0</v>
      </c>
      <c r="CZ45" s="154">
        <f t="shared" si="185"/>
        <v>0</v>
      </c>
      <c r="DA45" s="154">
        <f t="shared" si="265"/>
        <v>0</v>
      </c>
      <c r="DB45" s="157">
        <f t="shared" si="187"/>
        <v>0</v>
      </c>
      <c r="DC45" s="154">
        <f t="shared" si="188"/>
        <v>0</v>
      </c>
      <c r="DD45" s="158">
        <f t="shared" si="189"/>
        <v>0</v>
      </c>
      <c r="DE45" s="156">
        <f t="shared" si="277"/>
        <v>0</v>
      </c>
      <c r="DF45" s="154">
        <f t="shared" si="266"/>
        <v>0</v>
      </c>
      <c r="DG45" s="154">
        <f t="shared" si="192"/>
        <v>0</v>
      </c>
      <c r="DH45" s="154">
        <f t="shared" si="267"/>
        <v>0</v>
      </c>
      <c r="DI45" s="154">
        <f t="shared" si="194"/>
        <v>0</v>
      </c>
      <c r="DJ45" s="154">
        <f t="shared" si="268"/>
        <v>0</v>
      </c>
      <c r="DK45" s="154">
        <f t="shared" si="196"/>
        <v>0</v>
      </c>
      <c r="DL45" s="154">
        <f t="shared" si="269"/>
        <v>0</v>
      </c>
      <c r="DM45" s="154">
        <f t="shared" si="198"/>
        <v>0</v>
      </c>
      <c r="DN45" s="154">
        <f t="shared" si="270"/>
        <v>0</v>
      </c>
      <c r="DO45" s="157">
        <f t="shared" si="200"/>
        <v>0</v>
      </c>
      <c r="DP45" s="154">
        <f t="shared" si="201"/>
        <v>0</v>
      </c>
      <c r="DQ45" s="158">
        <f t="shared" si="202"/>
        <v>0</v>
      </c>
      <c r="DR45" s="156">
        <f t="shared" si="277"/>
        <v>0</v>
      </c>
      <c r="DS45" s="154">
        <f t="shared" si="271"/>
        <v>0</v>
      </c>
      <c r="DT45" s="154">
        <f t="shared" si="205"/>
        <v>0</v>
      </c>
      <c r="DU45" s="154">
        <f t="shared" si="272"/>
        <v>0</v>
      </c>
      <c r="DV45" s="154">
        <f t="shared" si="207"/>
        <v>0</v>
      </c>
      <c r="DW45" s="154">
        <f t="shared" si="273"/>
        <v>0</v>
      </c>
      <c r="DX45" s="154">
        <f t="shared" si="209"/>
        <v>0</v>
      </c>
      <c r="DY45" s="154">
        <f t="shared" si="274"/>
        <v>0</v>
      </c>
      <c r="DZ45" s="154">
        <f t="shared" si="211"/>
        <v>0</v>
      </c>
      <c r="EA45" s="154">
        <f t="shared" si="275"/>
        <v>0</v>
      </c>
      <c r="EB45" s="157">
        <f t="shared" si="213"/>
        <v>0</v>
      </c>
      <c r="EC45" s="154">
        <f t="shared" si="214"/>
        <v>0</v>
      </c>
      <c r="ED45" s="158">
        <f t="shared" si="215"/>
        <v>0</v>
      </c>
    </row>
    <row r="46" spans="1:134" x14ac:dyDescent="0.35">
      <c r="A46" s="172"/>
      <c r="B46" s="173"/>
      <c r="C46" s="174"/>
      <c r="D46" s="175"/>
      <c r="E46" s="176"/>
      <c r="F46" s="177"/>
      <c r="G46" s="178"/>
      <c r="H46" s="179"/>
      <c r="I46" s="180"/>
      <c r="J46" s="181"/>
      <c r="K46" s="152">
        <f t="shared" si="216"/>
        <v>0</v>
      </c>
      <c r="L46" s="153">
        <f t="shared" si="217"/>
        <v>0</v>
      </c>
      <c r="M46" s="154">
        <f t="shared" si="218"/>
        <v>0</v>
      </c>
      <c r="N46" s="154"/>
      <c r="O46" s="154">
        <f t="shared" si="219"/>
        <v>0</v>
      </c>
      <c r="P46" s="155"/>
      <c r="Q46" s="154">
        <f t="shared" si="220"/>
        <v>0</v>
      </c>
      <c r="R46" s="156">
        <f t="shared" si="221"/>
        <v>0</v>
      </c>
      <c r="S46" s="154">
        <f t="shared" si="222"/>
        <v>0</v>
      </c>
      <c r="T46" s="154">
        <f t="shared" si="223"/>
        <v>0</v>
      </c>
      <c r="U46" s="154">
        <f t="shared" si="224"/>
        <v>0</v>
      </c>
      <c r="V46" s="154">
        <f t="shared" si="225"/>
        <v>0</v>
      </c>
      <c r="W46" s="154">
        <f t="shared" si="226"/>
        <v>0</v>
      </c>
      <c r="X46" s="154">
        <f t="shared" si="227"/>
        <v>0</v>
      </c>
      <c r="Y46" s="154">
        <f t="shared" si="228"/>
        <v>0</v>
      </c>
      <c r="Z46" s="154">
        <f t="shared" si="229"/>
        <v>0</v>
      </c>
      <c r="AA46" s="154">
        <f t="shared" si="230"/>
        <v>0</v>
      </c>
      <c r="AB46" s="157">
        <f t="shared" si="231"/>
        <v>0</v>
      </c>
      <c r="AC46" s="154">
        <f t="shared" si="232"/>
        <v>0</v>
      </c>
      <c r="AD46" s="158">
        <f t="shared" si="233"/>
        <v>0</v>
      </c>
      <c r="AE46" s="156">
        <f t="shared" si="276"/>
        <v>0</v>
      </c>
      <c r="AF46" s="154">
        <f t="shared" si="235"/>
        <v>0</v>
      </c>
      <c r="AG46" s="154">
        <f t="shared" si="114"/>
        <v>0</v>
      </c>
      <c r="AH46" s="154">
        <f t="shared" si="236"/>
        <v>0</v>
      </c>
      <c r="AI46" s="154">
        <f t="shared" si="116"/>
        <v>0</v>
      </c>
      <c r="AJ46" s="154">
        <f t="shared" si="237"/>
        <v>0</v>
      </c>
      <c r="AK46" s="154">
        <f t="shared" si="118"/>
        <v>0</v>
      </c>
      <c r="AL46" s="154">
        <f t="shared" si="238"/>
        <v>0</v>
      </c>
      <c r="AM46" s="154">
        <f t="shared" si="120"/>
        <v>0</v>
      </c>
      <c r="AN46" s="154">
        <f t="shared" si="239"/>
        <v>0</v>
      </c>
      <c r="AO46" s="157">
        <f t="shared" si="122"/>
        <v>0</v>
      </c>
      <c r="AP46" s="154">
        <f t="shared" si="123"/>
        <v>0</v>
      </c>
      <c r="AQ46" s="158">
        <f t="shared" si="124"/>
        <v>0</v>
      </c>
      <c r="AR46" s="156">
        <f t="shared" si="276"/>
        <v>0</v>
      </c>
      <c r="AS46" s="154">
        <f t="shared" si="240"/>
        <v>0</v>
      </c>
      <c r="AT46" s="154">
        <f t="shared" si="127"/>
        <v>0</v>
      </c>
      <c r="AU46" s="154">
        <f t="shared" si="241"/>
        <v>0</v>
      </c>
      <c r="AV46" s="154">
        <f t="shared" si="129"/>
        <v>0</v>
      </c>
      <c r="AW46" s="154">
        <f t="shared" si="242"/>
        <v>0</v>
      </c>
      <c r="AX46" s="154">
        <f t="shared" si="131"/>
        <v>0</v>
      </c>
      <c r="AY46" s="154">
        <f t="shared" si="243"/>
        <v>0</v>
      </c>
      <c r="AZ46" s="154">
        <f t="shared" si="133"/>
        <v>0</v>
      </c>
      <c r="BA46" s="154">
        <f t="shared" si="244"/>
        <v>0</v>
      </c>
      <c r="BB46" s="157">
        <f t="shared" si="135"/>
        <v>0</v>
      </c>
      <c r="BC46" s="154">
        <f t="shared" si="136"/>
        <v>0</v>
      </c>
      <c r="BD46" s="158">
        <f t="shared" si="137"/>
        <v>0</v>
      </c>
      <c r="BE46" s="156">
        <f t="shared" si="276"/>
        <v>0</v>
      </c>
      <c r="BF46" s="154">
        <f t="shared" si="245"/>
        <v>0</v>
      </c>
      <c r="BG46" s="154">
        <f t="shared" si="140"/>
        <v>0</v>
      </c>
      <c r="BH46" s="154">
        <f t="shared" si="246"/>
        <v>0</v>
      </c>
      <c r="BI46" s="154">
        <f t="shared" si="142"/>
        <v>0</v>
      </c>
      <c r="BJ46" s="154">
        <f t="shared" si="247"/>
        <v>0</v>
      </c>
      <c r="BK46" s="154">
        <f t="shared" si="144"/>
        <v>0</v>
      </c>
      <c r="BL46" s="154">
        <f t="shared" si="248"/>
        <v>0</v>
      </c>
      <c r="BM46" s="154">
        <f t="shared" si="146"/>
        <v>0</v>
      </c>
      <c r="BN46" s="154">
        <f t="shared" si="249"/>
        <v>0</v>
      </c>
      <c r="BO46" s="157">
        <f t="shared" si="148"/>
        <v>0</v>
      </c>
      <c r="BP46" s="154">
        <f t="shared" si="149"/>
        <v>0</v>
      </c>
      <c r="BQ46" s="158">
        <f t="shared" si="150"/>
        <v>0</v>
      </c>
      <c r="BR46" s="156">
        <f t="shared" si="276"/>
        <v>0</v>
      </c>
      <c r="BS46" s="154">
        <f t="shared" si="250"/>
        <v>0</v>
      </c>
      <c r="BT46" s="154">
        <f t="shared" si="153"/>
        <v>0</v>
      </c>
      <c r="BU46" s="154">
        <f t="shared" si="251"/>
        <v>0</v>
      </c>
      <c r="BV46" s="154">
        <f t="shared" si="155"/>
        <v>0</v>
      </c>
      <c r="BW46" s="154">
        <f t="shared" si="252"/>
        <v>0</v>
      </c>
      <c r="BX46" s="154">
        <f t="shared" si="157"/>
        <v>0</v>
      </c>
      <c r="BY46" s="154">
        <f t="shared" si="253"/>
        <v>0</v>
      </c>
      <c r="BZ46" s="154">
        <f t="shared" si="159"/>
        <v>0</v>
      </c>
      <c r="CA46" s="154">
        <f t="shared" si="254"/>
        <v>0</v>
      </c>
      <c r="CB46" s="157">
        <f t="shared" si="161"/>
        <v>0</v>
      </c>
      <c r="CC46" s="154">
        <f t="shared" si="162"/>
        <v>0</v>
      </c>
      <c r="CD46" s="158">
        <f t="shared" si="163"/>
        <v>0</v>
      </c>
      <c r="CE46" s="156">
        <f t="shared" si="276"/>
        <v>0</v>
      </c>
      <c r="CF46" s="154">
        <f t="shared" si="255"/>
        <v>0</v>
      </c>
      <c r="CG46" s="154">
        <f t="shared" si="166"/>
        <v>0</v>
      </c>
      <c r="CH46" s="154">
        <f t="shared" si="256"/>
        <v>0</v>
      </c>
      <c r="CI46" s="154">
        <f t="shared" si="168"/>
        <v>0</v>
      </c>
      <c r="CJ46" s="154">
        <f t="shared" si="257"/>
        <v>0</v>
      </c>
      <c r="CK46" s="154">
        <f t="shared" si="170"/>
        <v>0</v>
      </c>
      <c r="CL46" s="154">
        <f t="shared" si="258"/>
        <v>0</v>
      </c>
      <c r="CM46" s="154">
        <f t="shared" si="172"/>
        <v>0</v>
      </c>
      <c r="CN46" s="154">
        <f t="shared" si="259"/>
        <v>0</v>
      </c>
      <c r="CO46" s="157">
        <f t="shared" si="174"/>
        <v>0</v>
      </c>
      <c r="CP46" s="154">
        <f t="shared" si="175"/>
        <v>0</v>
      </c>
      <c r="CQ46" s="158">
        <f t="shared" si="176"/>
        <v>0</v>
      </c>
      <c r="CR46" s="156">
        <f t="shared" si="277"/>
        <v>0</v>
      </c>
      <c r="CS46" s="154">
        <f t="shared" si="261"/>
        <v>0</v>
      </c>
      <c r="CT46" s="154">
        <f t="shared" si="179"/>
        <v>0</v>
      </c>
      <c r="CU46" s="154">
        <f t="shared" si="262"/>
        <v>0</v>
      </c>
      <c r="CV46" s="154">
        <f t="shared" si="181"/>
        <v>0</v>
      </c>
      <c r="CW46" s="154">
        <f t="shared" si="263"/>
        <v>0</v>
      </c>
      <c r="CX46" s="154">
        <f t="shared" si="183"/>
        <v>0</v>
      </c>
      <c r="CY46" s="154">
        <f t="shared" si="264"/>
        <v>0</v>
      </c>
      <c r="CZ46" s="154">
        <f t="shared" si="185"/>
        <v>0</v>
      </c>
      <c r="DA46" s="154">
        <f t="shared" si="265"/>
        <v>0</v>
      </c>
      <c r="DB46" s="157">
        <f t="shared" si="187"/>
        <v>0</v>
      </c>
      <c r="DC46" s="154">
        <f t="shared" si="188"/>
        <v>0</v>
      </c>
      <c r="DD46" s="158">
        <f t="shared" si="189"/>
        <v>0</v>
      </c>
      <c r="DE46" s="156">
        <f t="shared" si="277"/>
        <v>0</v>
      </c>
      <c r="DF46" s="154">
        <f t="shared" si="266"/>
        <v>0</v>
      </c>
      <c r="DG46" s="154">
        <f t="shared" si="192"/>
        <v>0</v>
      </c>
      <c r="DH46" s="154">
        <f t="shared" si="267"/>
        <v>0</v>
      </c>
      <c r="DI46" s="154">
        <f t="shared" si="194"/>
        <v>0</v>
      </c>
      <c r="DJ46" s="154">
        <f t="shared" si="268"/>
        <v>0</v>
      </c>
      <c r="DK46" s="154">
        <f t="shared" si="196"/>
        <v>0</v>
      </c>
      <c r="DL46" s="154">
        <f t="shared" si="269"/>
        <v>0</v>
      </c>
      <c r="DM46" s="154">
        <f t="shared" si="198"/>
        <v>0</v>
      </c>
      <c r="DN46" s="154">
        <f t="shared" si="270"/>
        <v>0</v>
      </c>
      <c r="DO46" s="157">
        <f t="shared" si="200"/>
        <v>0</v>
      </c>
      <c r="DP46" s="154">
        <f t="shared" si="201"/>
        <v>0</v>
      </c>
      <c r="DQ46" s="158">
        <f t="shared" si="202"/>
        <v>0</v>
      </c>
      <c r="DR46" s="156">
        <f t="shared" si="277"/>
        <v>0</v>
      </c>
      <c r="DS46" s="154">
        <f t="shared" si="271"/>
        <v>0</v>
      </c>
      <c r="DT46" s="154">
        <f t="shared" si="205"/>
        <v>0</v>
      </c>
      <c r="DU46" s="154">
        <f t="shared" si="272"/>
        <v>0</v>
      </c>
      <c r="DV46" s="154">
        <f t="shared" si="207"/>
        <v>0</v>
      </c>
      <c r="DW46" s="154">
        <f t="shared" si="273"/>
        <v>0</v>
      </c>
      <c r="DX46" s="154">
        <f t="shared" si="209"/>
        <v>0</v>
      </c>
      <c r="DY46" s="154">
        <f t="shared" si="274"/>
        <v>0</v>
      </c>
      <c r="DZ46" s="154">
        <f t="shared" si="211"/>
        <v>0</v>
      </c>
      <c r="EA46" s="154">
        <f t="shared" si="275"/>
        <v>0</v>
      </c>
      <c r="EB46" s="157">
        <f t="shared" si="213"/>
        <v>0</v>
      </c>
      <c r="EC46" s="154">
        <f t="shared" si="214"/>
        <v>0</v>
      </c>
      <c r="ED46" s="158">
        <f t="shared" si="215"/>
        <v>0</v>
      </c>
    </row>
    <row r="47" spans="1:134" x14ac:dyDescent="0.35">
      <c r="A47" s="172"/>
      <c r="B47" s="173"/>
      <c r="C47" s="174"/>
      <c r="D47" s="175"/>
      <c r="E47" s="176"/>
      <c r="F47" s="177"/>
      <c r="G47" s="178"/>
      <c r="H47" s="179"/>
      <c r="I47" s="180"/>
      <c r="J47" s="181"/>
      <c r="K47" s="152">
        <f t="shared" si="216"/>
        <v>0</v>
      </c>
      <c r="L47" s="153">
        <f t="shared" si="217"/>
        <v>0</v>
      </c>
      <c r="M47" s="154">
        <f t="shared" si="218"/>
        <v>0</v>
      </c>
      <c r="N47" s="154"/>
      <c r="O47" s="154">
        <f t="shared" si="219"/>
        <v>0</v>
      </c>
      <c r="P47" s="155"/>
      <c r="Q47" s="154">
        <f t="shared" si="220"/>
        <v>0</v>
      </c>
      <c r="R47" s="156">
        <f t="shared" si="221"/>
        <v>0</v>
      </c>
      <c r="S47" s="154">
        <f t="shared" si="222"/>
        <v>0</v>
      </c>
      <c r="T47" s="154">
        <f t="shared" si="223"/>
        <v>0</v>
      </c>
      <c r="U47" s="154">
        <f t="shared" si="224"/>
        <v>0</v>
      </c>
      <c r="V47" s="154">
        <f t="shared" si="225"/>
        <v>0</v>
      </c>
      <c r="W47" s="154">
        <f t="shared" si="226"/>
        <v>0</v>
      </c>
      <c r="X47" s="154">
        <f t="shared" si="227"/>
        <v>0</v>
      </c>
      <c r="Y47" s="154">
        <f t="shared" si="228"/>
        <v>0</v>
      </c>
      <c r="Z47" s="154">
        <f t="shared" si="229"/>
        <v>0</v>
      </c>
      <c r="AA47" s="154">
        <f t="shared" si="230"/>
        <v>0</v>
      </c>
      <c r="AB47" s="157">
        <f t="shared" si="231"/>
        <v>0</v>
      </c>
      <c r="AC47" s="154">
        <f t="shared" si="232"/>
        <v>0</v>
      </c>
      <c r="AD47" s="158">
        <f t="shared" si="233"/>
        <v>0</v>
      </c>
      <c r="AE47" s="156">
        <f t="shared" si="276"/>
        <v>0</v>
      </c>
      <c r="AF47" s="154">
        <f t="shared" si="235"/>
        <v>0</v>
      </c>
      <c r="AG47" s="154">
        <f t="shared" si="114"/>
        <v>0</v>
      </c>
      <c r="AH47" s="154">
        <f t="shared" si="236"/>
        <v>0</v>
      </c>
      <c r="AI47" s="154">
        <f t="shared" si="116"/>
        <v>0</v>
      </c>
      <c r="AJ47" s="154">
        <f t="shared" si="237"/>
        <v>0</v>
      </c>
      <c r="AK47" s="154">
        <f t="shared" si="118"/>
        <v>0</v>
      </c>
      <c r="AL47" s="154">
        <f t="shared" si="238"/>
        <v>0</v>
      </c>
      <c r="AM47" s="154">
        <f t="shared" si="120"/>
        <v>0</v>
      </c>
      <c r="AN47" s="154">
        <f t="shared" si="239"/>
        <v>0</v>
      </c>
      <c r="AO47" s="157">
        <f t="shared" si="122"/>
        <v>0</v>
      </c>
      <c r="AP47" s="154">
        <f t="shared" si="123"/>
        <v>0</v>
      </c>
      <c r="AQ47" s="158">
        <f t="shared" si="124"/>
        <v>0</v>
      </c>
      <c r="AR47" s="156">
        <f t="shared" si="276"/>
        <v>0</v>
      </c>
      <c r="AS47" s="154">
        <f t="shared" si="240"/>
        <v>0</v>
      </c>
      <c r="AT47" s="154">
        <f t="shared" si="127"/>
        <v>0</v>
      </c>
      <c r="AU47" s="154">
        <f t="shared" si="241"/>
        <v>0</v>
      </c>
      <c r="AV47" s="154">
        <f t="shared" si="129"/>
        <v>0</v>
      </c>
      <c r="AW47" s="154">
        <f t="shared" si="242"/>
        <v>0</v>
      </c>
      <c r="AX47" s="154">
        <f t="shared" si="131"/>
        <v>0</v>
      </c>
      <c r="AY47" s="154">
        <f t="shared" si="243"/>
        <v>0</v>
      </c>
      <c r="AZ47" s="154">
        <f t="shared" si="133"/>
        <v>0</v>
      </c>
      <c r="BA47" s="154">
        <f t="shared" si="244"/>
        <v>0</v>
      </c>
      <c r="BB47" s="157">
        <f t="shared" si="135"/>
        <v>0</v>
      </c>
      <c r="BC47" s="154">
        <f t="shared" si="136"/>
        <v>0</v>
      </c>
      <c r="BD47" s="158">
        <f t="shared" si="137"/>
        <v>0</v>
      </c>
      <c r="BE47" s="156">
        <f t="shared" si="276"/>
        <v>0</v>
      </c>
      <c r="BF47" s="154">
        <f t="shared" si="245"/>
        <v>0</v>
      </c>
      <c r="BG47" s="154">
        <f t="shared" si="140"/>
        <v>0</v>
      </c>
      <c r="BH47" s="154">
        <f t="shared" si="246"/>
        <v>0</v>
      </c>
      <c r="BI47" s="154">
        <f t="shared" si="142"/>
        <v>0</v>
      </c>
      <c r="BJ47" s="154">
        <f t="shared" si="247"/>
        <v>0</v>
      </c>
      <c r="BK47" s="154">
        <f t="shared" si="144"/>
        <v>0</v>
      </c>
      <c r="BL47" s="154">
        <f t="shared" si="248"/>
        <v>0</v>
      </c>
      <c r="BM47" s="154">
        <f t="shared" si="146"/>
        <v>0</v>
      </c>
      <c r="BN47" s="154">
        <f t="shared" si="249"/>
        <v>0</v>
      </c>
      <c r="BO47" s="157">
        <f t="shared" si="148"/>
        <v>0</v>
      </c>
      <c r="BP47" s="154">
        <f t="shared" si="149"/>
        <v>0</v>
      </c>
      <c r="BQ47" s="158">
        <f t="shared" si="150"/>
        <v>0</v>
      </c>
      <c r="BR47" s="156">
        <f t="shared" si="276"/>
        <v>0</v>
      </c>
      <c r="BS47" s="154">
        <f t="shared" si="250"/>
        <v>0</v>
      </c>
      <c r="BT47" s="154">
        <f t="shared" si="153"/>
        <v>0</v>
      </c>
      <c r="BU47" s="154">
        <f t="shared" si="251"/>
        <v>0</v>
      </c>
      <c r="BV47" s="154">
        <f t="shared" si="155"/>
        <v>0</v>
      </c>
      <c r="BW47" s="154">
        <f t="shared" si="252"/>
        <v>0</v>
      </c>
      <c r="BX47" s="154">
        <f t="shared" si="157"/>
        <v>0</v>
      </c>
      <c r="BY47" s="154">
        <f t="shared" si="253"/>
        <v>0</v>
      </c>
      <c r="BZ47" s="154">
        <f t="shared" si="159"/>
        <v>0</v>
      </c>
      <c r="CA47" s="154">
        <f t="shared" si="254"/>
        <v>0</v>
      </c>
      <c r="CB47" s="157">
        <f t="shared" si="161"/>
        <v>0</v>
      </c>
      <c r="CC47" s="154">
        <f t="shared" si="162"/>
        <v>0</v>
      </c>
      <c r="CD47" s="158">
        <f t="shared" si="163"/>
        <v>0</v>
      </c>
      <c r="CE47" s="156">
        <f t="shared" si="276"/>
        <v>0</v>
      </c>
      <c r="CF47" s="154">
        <f t="shared" si="255"/>
        <v>0</v>
      </c>
      <c r="CG47" s="154">
        <f t="shared" si="166"/>
        <v>0</v>
      </c>
      <c r="CH47" s="154">
        <f t="shared" si="256"/>
        <v>0</v>
      </c>
      <c r="CI47" s="154">
        <f t="shared" si="168"/>
        <v>0</v>
      </c>
      <c r="CJ47" s="154">
        <f t="shared" si="257"/>
        <v>0</v>
      </c>
      <c r="CK47" s="154">
        <f t="shared" si="170"/>
        <v>0</v>
      </c>
      <c r="CL47" s="154">
        <f t="shared" si="258"/>
        <v>0</v>
      </c>
      <c r="CM47" s="154">
        <f t="shared" si="172"/>
        <v>0</v>
      </c>
      <c r="CN47" s="154">
        <f t="shared" si="259"/>
        <v>0</v>
      </c>
      <c r="CO47" s="157">
        <f t="shared" si="174"/>
        <v>0</v>
      </c>
      <c r="CP47" s="154">
        <f t="shared" si="175"/>
        <v>0</v>
      </c>
      <c r="CQ47" s="158">
        <f t="shared" si="176"/>
        <v>0</v>
      </c>
      <c r="CR47" s="156">
        <f t="shared" si="277"/>
        <v>0</v>
      </c>
      <c r="CS47" s="154">
        <f t="shared" si="261"/>
        <v>0</v>
      </c>
      <c r="CT47" s="154">
        <f t="shared" si="179"/>
        <v>0</v>
      </c>
      <c r="CU47" s="154">
        <f t="shared" si="262"/>
        <v>0</v>
      </c>
      <c r="CV47" s="154">
        <f t="shared" si="181"/>
        <v>0</v>
      </c>
      <c r="CW47" s="154">
        <f t="shared" si="263"/>
        <v>0</v>
      </c>
      <c r="CX47" s="154">
        <f t="shared" si="183"/>
        <v>0</v>
      </c>
      <c r="CY47" s="154">
        <f t="shared" si="264"/>
        <v>0</v>
      </c>
      <c r="CZ47" s="154">
        <f t="shared" si="185"/>
        <v>0</v>
      </c>
      <c r="DA47" s="154">
        <f t="shared" si="265"/>
        <v>0</v>
      </c>
      <c r="DB47" s="157">
        <f t="shared" si="187"/>
        <v>0</v>
      </c>
      <c r="DC47" s="154">
        <f t="shared" si="188"/>
        <v>0</v>
      </c>
      <c r="DD47" s="158">
        <f t="shared" si="189"/>
        <v>0</v>
      </c>
      <c r="DE47" s="156">
        <f t="shared" si="277"/>
        <v>0</v>
      </c>
      <c r="DF47" s="154">
        <f t="shared" si="266"/>
        <v>0</v>
      </c>
      <c r="DG47" s="154">
        <f t="shared" si="192"/>
        <v>0</v>
      </c>
      <c r="DH47" s="154">
        <f t="shared" si="267"/>
        <v>0</v>
      </c>
      <c r="DI47" s="154">
        <f t="shared" si="194"/>
        <v>0</v>
      </c>
      <c r="DJ47" s="154">
        <f t="shared" si="268"/>
        <v>0</v>
      </c>
      <c r="DK47" s="154">
        <f t="shared" si="196"/>
        <v>0</v>
      </c>
      <c r="DL47" s="154">
        <f t="shared" si="269"/>
        <v>0</v>
      </c>
      <c r="DM47" s="154">
        <f t="shared" si="198"/>
        <v>0</v>
      </c>
      <c r="DN47" s="154">
        <f t="shared" si="270"/>
        <v>0</v>
      </c>
      <c r="DO47" s="157">
        <f t="shared" si="200"/>
        <v>0</v>
      </c>
      <c r="DP47" s="154">
        <f t="shared" si="201"/>
        <v>0</v>
      </c>
      <c r="DQ47" s="158">
        <f t="shared" si="202"/>
        <v>0</v>
      </c>
      <c r="DR47" s="156">
        <f t="shared" si="277"/>
        <v>0</v>
      </c>
      <c r="DS47" s="154">
        <f t="shared" si="271"/>
        <v>0</v>
      </c>
      <c r="DT47" s="154">
        <f t="shared" si="205"/>
        <v>0</v>
      </c>
      <c r="DU47" s="154">
        <f t="shared" si="272"/>
        <v>0</v>
      </c>
      <c r="DV47" s="154">
        <f t="shared" si="207"/>
        <v>0</v>
      </c>
      <c r="DW47" s="154">
        <f t="shared" si="273"/>
        <v>0</v>
      </c>
      <c r="DX47" s="154">
        <f t="shared" si="209"/>
        <v>0</v>
      </c>
      <c r="DY47" s="154">
        <f t="shared" si="274"/>
        <v>0</v>
      </c>
      <c r="DZ47" s="154">
        <f t="shared" si="211"/>
        <v>0</v>
      </c>
      <c r="EA47" s="154">
        <f t="shared" si="275"/>
        <v>0</v>
      </c>
      <c r="EB47" s="157">
        <f t="shared" si="213"/>
        <v>0</v>
      </c>
      <c r="EC47" s="154">
        <f t="shared" si="214"/>
        <v>0</v>
      </c>
      <c r="ED47" s="158">
        <f t="shared" si="215"/>
        <v>0</v>
      </c>
    </row>
    <row r="48" spans="1:134" x14ac:dyDescent="0.35">
      <c r="A48" s="172"/>
      <c r="B48" s="173"/>
      <c r="C48" s="174"/>
      <c r="D48" s="175"/>
      <c r="E48" s="176"/>
      <c r="F48" s="177"/>
      <c r="G48" s="178"/>
      <c r="H48" s="179"/>
      <c r="I48" s="180"/>
      <c r="J48" s="181"/>
      <c r="K48" s="152">
        <f t="shared" si="216"/>
        <v>0</v>
      </c>
      <c r="L48" s="153">
        <f t="shared" si="217"/>
        <v>0</v>
      </c>
      <c r="M48" s="154">
        <f t="shared" si="218"/>
        <v>0</v>
      </c>
      <c r="N48" s="154"/>
      <c r="O48" s="154">
        <f t="shared" si="219"/>
        <v>0</v>
      </c>
      <c r="P48" s="155"/>
      <c r="Q48" s="154">
        <f t="shared" si="220"/>
        <v>0</v>
      </c>
      <c r="R48" s="156">
        <f t="shared" si="221"/>
        <v>0</v>
      </c>
      <c r="S48" s="154">
        <f t="shared" si="222"/>
        <v>0</v>
      </c>
      <c r="T48" s="154">
        <f t="shared" si="223"/>
        <v>0</v>
      </c>
      <c r="U48" s="154">
        <f t="shared" si="224"/>
        <v>0</v>
      </c>
      <c r="V48" s="154">
        <f t="shared" si="225"/>
        <v>0</v>
      </c>
      <c r="W48" s="154">
        <f t="shared" si="226"/>
        <v>0</v>
      </c>
      <c r="X48" s="154">
        <f t="shared" si="227"/>
        <v>0</v>
      </c>
      <c r="Y48" s="154">
        <f t="shared" si="228"/>
        <v>0</v>
      </c>
      <c r="Z48" s="154">
        <f t="shared" si="229"/>
        <v>0</v>
      </c>
      <c r="AA48" s="154">
        <f t="shared" si="230"/>
        <v>0</v>
      </c>
      <c r="AB48" s="157">
        <f t="shared" si="231"/>
        <v>0</v>
      </c>
      <c r="AC48" s="154">
        <f t="shared" si="232"/>
        <v>0</v>
      </c>
      <c r="AD48" s="158">
        <f t="shared" si="233"/>
        <v>0</v>
      </c>
      <c r="AE48" s="156">
        <f t="shared" si="276"/>
        <v>0</v>
      </c>
      <c r="AF48" s="154">
        <f t="shared" si="235"/>
        <v>0</v>
      </c>
      <c r="AG48" s="154">
        <f t="shared" si="114"/>
        <v>0</v>
      </c>
      <c r="AH48" s="154">
        <f t="shared" si="236"/>
        <v>0</v>
      </c>
      <c r="AI48" s="154">
        <f t="shared" si="116"/>
        <v>0</v>
      </c>
      <c r="AJ48" s="154">
        <f t="shared" si="237"/>
        <v>0</v>
      </c>
      <c r="AK48" s="154">
        <f t="shared" si="118"/>
        <v>0</v>
      </c>
      <c r="AL48" s="154">
        <f t="shared" si="238"/>
        <v>0</v>
      </c>
      <c r="AM48" s="154">
        <f t="shared" si="120"/>
        <v>0</v>
      </c>
      <c r="AN48" s="154">
        <f t="shared" si="239"/>
        <v>0</v>
      </c>
      <c r="AO48" s="157">
        <f t="shared" si="122"/>
        <v>0</v>
      </c>
      <c r="AP48" s="154">
        <f t="shared" si="123"/>
        <v>0</v>
      </c>
      <c r="AQ48" s="158">
        <f t="shared" si="124"/>
        <v>0</v>
      </c>
      <c r="AR48" s="156">
        <f t="shared" si="276"/>
        <v>0</v>
      </c>
      <c r="AS48" s="154">
        <f t="shared" si="240"/>
        <v>0</v>
      </c>
      <c r="AT48" s="154">
        <f t="shared" si="127"/>
        <v>0</v>
      </c>
      <c r="AU48" s="154">
        <f t="shared" si="241"/>
        <v>0</v>
      </c>
      <c r="AV48" s="154">
        <f t="shared" si="129"/>
        <v>0</v>
      </c>
      <c r="AW48" s="154">
        <f t="shared" si="242"/>
        <v>0</v>
      </c>
      <c r="AX48" s="154">
        <f t="shared" si="131"/>
        <v>0</v>
      </c>
      <c r="AY48" s="154">
        <f t="shared" si="243"/>
        <v>0</v>
      </c>
      <c r="AZ48" s="154">
        <f t="shared" si="133"/>
        <v>0</v>
      </c>
      <c r="BA48" s="154">
        <f t="shared" si="244"/>
        <v>0</v>
      </c>
      <c r="BB48" s="157">
        <f t="shared" si="135"/>
        <v>0</v>
      </c>
      <c r="BC48" s="154">
        <f t="shared" si="136"/>
        <v>0</v>
      </c>
      <c r="BD48" s="158">
        <f t="shared" si="137"/>
        <v>0</v>
      </c>
      <c r="BE48" s="156">
        <f t="shared" si="276"/>
        <v>0</v>
      </c>
      <c r="BF48" s="154">
        <f t="shared" si="245"/>
        <v>0</v>
      </c>
      <c r="BG48" s="154">
        <f t="shared" si="140"/>
        <v>0</v>
      </c>
      <c r="BH48" s="154">
        <f t="shared" si="246"/>
        <v>0</v>
      </c>
      <c r="BI48" s="154">
        <f t="shared" si="142"/>
        <v>0</v>
      </c>
      <c r="BJ48" s="154">
        <f t="shared" si="247"/>
        <v>0</v>
      </c>
      <c r="BK48" s="154">
        <f t="shared" si="144"/>
        <v>0</v>
      </c>
      <c r="BL48" s="154">
        <f t="shared" si="248"/>
        <v>0</v>
      </c>
      <c r="BM48" s="154">
        <f t="shared" si="146"/>
        <v>0</v>
      </c>
      <c r="BN48" s="154">
        <f t="shared" si="249"/>
        <v>0</v>
      </c>
      <c r="BO48" s="157">
        <f t="shared" si="148"/>
        <v>0</v>
      </c>
      <c r="BP48" s="154">
        <f t="shared" si="149"/>
        <v>0</v>
      </c>
      <c r="BQ48" s="158">
        <f t="shared" si="150"/>
        <v>0</v>
      </c>
      <c r="BR48" s="156">
        <f t="shared" si="276"/>
        <v>0</v>
      </c>
      <c r="BS48" s="154">
        <f t="shared" si="250"/>
        <v>0</v>
      </c>
      <c r="BT48" s="154">
        <f t="shared" si="153"/>
        <v>0</v>
      </c>
      <c r="BU48" s="154">
        <f t="shared" si="251"/>
        <v>0</v>
      </c>
      <c r="BV48" s="154">
        <f t="shared" si="155"/>
        <v>0</v>
      </c>
      <c r="BW48" s="154">
        <f t="shared" si="252"/>
        <v>0</v>
      </c>
      <c r="BX48" s="154">
        <f t="shared" si="157"/>
        <v>0</v>
      </c>
      <c r="BY48" s="154">
        <f t="shared" si="253"/>
        <v>0</v>
      </c>
      <c r="BZ48" s="154">
        <f t="shared" si="159"/>
        <v>0</v>
      </c>
      <c r="CA48" s="154">
        <f t="shared" si="254"/>
        <v>0</v>
      </c>
      <c r="CB48" s="157">
        <f t="shared" si="161"/>
        <v>0</v>
      </c>
      <c r="CC48" s="154">
        <f t="shared" si="162"/>
        <v>0</v>
      </c>
      <c r="CD48" s="158">
        <f t="shared" si="163"/>
        <v>0</v>
      </c>
      <c r="CE48" s="156">
        <f t="shared" si="276"/>
        <v>0</v>
      </c>
      <c r="CF48" s="154">
        <f t="shared" si="255"/>
        <v>0</v>
      </c>
      <c r="CG48" s="154">
        <f t="shared" si="166"/>
        <v>0</v>
      </c>
      <c r="CH48" s="154">
        <f t="shared" si="256"/>
        <v>0</v>
      </c>
      <c r="CI48" s="154">
        <f t="shared" si="168"/>
        <v>0</v>
      </c>
      <c r="CJ48" s="154">
        <f t="shared" si="257"/>
        <v>0</v>
      </c>
      <c r="CK48" s="154">
        <f t="shared" si="170"/>
        <v>0</v>
      </c>
      <c r="CL48" s="154">
        <f t="shared" si="258"/>
        <v>0</v>
      </c>
      <c r="CM48" s="154">
        <f t="shared" si="172"/>
        <v>0</v>
      </c>
      <c r="CN48" s="154">
        <f t="shared" si="259"/>
        <v>0</v>
      </c>
      <c r="CO48" s="157">
        <f t="shared" si="174"/>
        <v>0</v>
      </c>
      <c r="CP48" s="154">
        <f t="shared" si="175"/>
        <v>0</v>
      </c>
      <c r="CQ48" s="158">
        <f t="shared" si="176"/>
        <v>0</v>
      </c>
      <c r="CR48" s="156">
        <f t="shared" si="277"/>
        <v>0</v>
      </c>
      <c r="CS48" s="154">
        <f t="shared" si="261"/>
        <v>0</v>
      </c>
      <c r="CT48" s="154">
        <f t="shared" si="179"/>
        <v>0</v>
      </c>
      <c r="CU48" s="154">
        <f t="shared" si="262"/>
        <v>0</v>
      </c>
      <c r="CV48" s="154">
        <f t="shared" si="181"/>
        <v>0</v>
      </c>
      <c r="CW48" s="154">
        <f t="shared" si="263"/>
        <v>0</v>
      </c>
      <c r="CX48" s="154">
        <f t="shared" si="183"/>
        <v>0</v>
      </c>
      <c r="CY48" s="154">
        <f t="shared" si="264"/>
        <v>0</v>
      </c>
      <c r="CZ48" s="154">
        <f t="shared" si="185"/>
        <v>0</v>
      </c>
      <c r="DA48" s="154">
        <f t="shared" si="265"/>
        <v>0</v>
      </c>
      <c r="DB48" s="157">
        <f t="shared" si="187"/>
        <v>0</v>
      </c>
      <c r="DC48" s="154">
        <f t="shared" si="188"/>
        <v>0</v>
      </c>
      <c r="DD48" s="158">
        <f t="shared" si="189"/>
        <v>0</v>
      </c>
      <c r="DE48" s="156">
        <f t="shared" si="277"/>
        <v>0</v>
      </c>
      <c r="DF48" s="154">
        <f t="shared" si="266"/>
        <v>0</v>
      </c>
      <c r="DG48" s="154">
        <f t="shared" si="192"/>
        <v>0</v>
      </c>
      <c r="DH48" s="154">
        <f t="shared" si="267"/>
        <v>0</v>
      </c>
      <c r="DI48" s="154">
        <f t="shared" si="194"/>
        <v>0</v>
      </c>
      <c r="DJ48" s="154">
        <f t="shared" si="268"/>
        <v>0</v>
      </c>
      <c r="DK48" s="154">
        <f t="shared" si="196"/>
        <v>0</v>
      </c>
      <c r="DL48" s="154">
        <f t="shared" si="269"/>
        <v>0</v>
      </c>
      <c r="DM48" s="154">
        <f t="shared" si="198"/>
        <v>0</v>
      </c>
      <c r="DN48" s="154">
        <f t="shared" si="270"/>
        <v>0</v>
      </c>
      <c r="DO48" s="157">
        <f t="shared" si="200"/>
        <v>0</v>
      </c>
      <c r="DP48" s="154">
        <f t="shared" si="201"/>
        <v>0</v>
      </c>
      <c r="DQ48" s="158">
        <f t="shared" si="202"/>
        <v>0</v>
      </c>
      <c r="DR48" s="156">
        <f t="shared" si="277"/>
        <v>0</v>
      </c>
      <c r="DS48" s="154">
        <f t="shared" si="271"/>
        <v>0</v>
      </c>
      <c r="DT48" s="154">
        <f t="shared" si="205"/>
        <v>0</v>
      </c>
      <c r="DU48" s="154">
        <f t="shared" si="272"/>
        <v>0</v>
      </c>
      <c r="DV48" s="154">
        <f t="shared" si="207"/>
        <v>0</v>
      </c>
      <c r="DW48" s="154">
        <f t="shared" si="273"/>
        <v>0</v>
      </c>
      <c r="DX48" s="154">
        <f t="shared" si="209"/>
        <v>0</v>
      </c>
      <c r="DY48" s="154">
        <f t="shared" si="274"/>
        <v>0</v>
      </c>
      <c r="DZ48" s="154">
        <f t="shared" si="211"/>
        <v>0</v>
      </c>
      <c r="EA48" s="154">
        <f t="shared" si="275"/>
        <v>0</v>
      </c>
      <c r="EB48" s="157">
        <f t="shared" si="213"/>
        <v>0</v>
      </c>
      <c r="EC48" s="154">
        <f t="shared" si="214"/>
        <v>0</v>
      </c>
      <c r="ED48" s="158">
        <f t="shared" si="215"/>
        <v>0</v>
      </c>
    </row>
    <row r="49" spans="1:134" x14ac:dyDescent="0.35">
      <c r="A49" s="172"/>
      <c r="B49" s="173"/>
      <c r="C49" s="174"/>
      <c r="D49" s="175"/>
      <c r="E49" s="176"/>
      <c r="F49" s="177"/>
      <c r="G49" s="178"/>
      <c r="H49" s="179"/>
      <c r="I49" s="180"/>
      <c r="J49" s="181"/>
      <c r="K49" s="152">
        <f t="shared" si="216"/>
        <v>0</v>
      </c>
      <c r="L49" s="153">
        <f t="shared" si="217"/>
        <v>0</v>
      </c>
      <c r="M49" s="154">
        <f t="shared" si="218"/>
        <v>0</v>
      </c>
      <c r="N49" s="154"/>
      <c r="O49" s="154">
        <f t="shared" si="219"/>
        <v>0</v>
      </c>
      <c r="P49" s="155"/>
      <c r="Q49" s="154">
        <f t="shared" si="220"/>
        <v>0</v>
      </c>
      <c r="R49" s="156">
        <f t="shared" si="221"/>
        <v>0</v>
      </c>
      <c r="S49" s="154">
        <f t="shared" si="222"/>
        <v>0</v>
      </c>
      <c r="T49" s="154">
        <f t="shared" si="223"/>
        <v>0</v>
      </c>
      <c r="U49" s="154">
        <f t="shared" si="224"/>
        <v>0</v>
      </c>
      <c r="V49" s="154">
        <f t="shared" si="225"/>
        <v>0</v>
      </c>
      <c r="W49" s="154">
        <f t="shared" si="226"/>
        <v>0</v>
      </c>
      <c r="X49" s="154">
        <f t="shared" si="227"/>
        <v>0</v>
      </c>
      <c r="Y49" s="154">
        <f t="shared" si="228"/>
        <v>0</v>
      </c>
      <c r="Z49" s="154">
        <f t="shared" si="229"/>
        <v>0</v>
      </c>
      <c r="AA49" s="154">
        <f t="shared" si="230"/>
        <v>0</v>
      </c>
      <c r="AB49" s="157">
        <f t="shared" si="231"/>
        <v>0</v>
      </c>
      <c r="AC49" s="154">
        <f t="shared" si="232"/>
        <v>0</v>
      </c>
      <c r="AD49" s="158">
        <f t="shared" si="233"/>
        <v>0</v>
      </c>
      <c r="AE49" s="156">
        <f t="shared" si="276"/>
        <v>0</v>
      </c>
      <c r="AF49" s="154">
        <f t="shared" si="235"/>
        <v>0</v>
      </c>
      <c r="AG49" s="154">
        <f t="shared" si="114"/>
        <v>0</v>
      </c>
      <c r="AH49" s="154">
        <f t="shared" si="236"/>
        <v>0</v>
      </c>
      <c r="AI49" s="154">
        <f t="shared" si="116"/>
        <v>0</v>
      </c>
      <c r="AJ49" s="154">
        <f t="shared" si="237"/>
        <v>0</v>
      </c>
      <c r="AK49" s="154">
        <f t="shared" si="118"/>
        <v>0</v>
      </c>
      <c r="AL49" s="154">
        <f t="shared" si="238"/>
        <v>0</v>
      </c>
      <c r="AM49" s="154">
        <f t="shared" si="120"/>
        <v>0</v>
      </c>
      <c r="AN49" s="154">
        <f t="shared" si="239"/>
        <v>0</v>
      </c>
      <c r="AO49" s="157">
        <f t="shared" si="122"/>
        <v>0</v>
      </c>
      <c r="AP49" s="154">
        <f t="shared" si="123"/>
        <v>0</v>
      </c>
      <c r="AQ49" s="158">
        <f t="shared" si="124"/>
        <v>0</v>
      </c>
      <c r="AR49" s="156">
        <f t="shared" si="276"/>
        <v>0</v>
      </c>
      <c r="AS49" s="154">
        <f t="shared" si="240"/>
        <v>0</v>
      </c>
      <c r="AT49" s="154">
        <f t="shared" si="127"/>
        <v>0</v>
      </c>
      <c r="AU49" s="154">
        <f t="shared" si="241"/>
        <v>0</v>
      </c>
      <c r="AV49" s="154">
        <f t="shared" si="129"/>
        <v>0</v>
      </c>
      <c r="AW49" s="154">
        <f t="shared" si="242"/>
        <v>0</v>
      </c>
      <c r="AX49" s="154">
        <f t="shared" si="131"/>
        <v>0</v>
      </c>
      <c r="AY49" s="154">
        <f t="shared" si="243"/>
        <v>0</v>
      </c>
      <c r="AZ49" s="154">
        <f t="shared" si="133"/>
        <v>0</v>
      </c>
      <c r="BA49" s="154">
        <f t="shared" si="244"/>
        <v>0</v>
      </c>
      <c r="BB49" s="157">
        <f t="shared" si="135"/>
        <v>0</v>
      </c>
      <c r="BC49" s="154">
        <f t="shared" si="136"/>
        <v>0</v>
      </c>
      <c r="BD49" s="158">
        <f t="shared" si="137"/>
        <v>0</v>
      </c>
      <c r="BE49" s="156">
        <f t="shared" si="276"/>
        <v>0</v>
      </c>
      <c r="BF49" s="154">
        <f t="shared" si="245"/>
        <v>0</v>
      </c>
      <c r="BG49" s="154">
        <f t="shared" si="140"/>
        <v>0</v>
      </c>
      <c r="BH49" s="154">
        <f t="shared" si="246"/>
        <v>0</v>
      </c>
      <c r="BI49" s="154">
        <f t="shared" si="142"/>
        <v>0</v>
      </c>
      <c r="BJ49" s="154">
        <f t="shared" si="247"/>
        <v>0</v>
      </c>
      <c r="BK49" s="154">
        <f t="shared" si="144"/>
        <v>0</v>
      </c>
      <c r="BL49" s="154">
        <f t="shared" si="248"/>
        <v>0</v>
      </c>
      <c r="BM49" s="154">
        <f t="shared" si="146"/>
        <v>0</v>
      </c>
      <c r="BN49" s="154">
        <f t="shared" si="249"/>
        <v>0</v>
      </c>
      <c r="BO49" s="157">
        <f t="shared" si="148"/>
        <v>0</v>
      </c>
      <c r="BP49" s="154">
        <f t="shared" si="149"/>
        <v>0</v>
      </c>
      <c r="BQ49" s="158">
        <f t="shared" si="150"/>
        <v>0</v>
      </c>
      <c r="BR49" s="156">
        <f t="shared" si="276"/>
        <v>0</v>
      </c>
      <c r="BS49" s="154">
        <f t="shared" si="250"/>
        <v>0</v>
      </c>
      <c r="BT49" s="154">
        <f t="shared" si="153"/>
        <v>0</v>
      </c>
      <c r="BU49" s="154">
        <f t="shared" si="251"/>
        <v>0</v>
      </c>
      <c r="BV49" s="154">
        <f t="shared" si="155"/>
        <v>0</v>
      </c>
      <c r="BW49" s="154">
        <f t="shared" si="252"/>
        <v>0</v>
      </c>
      <c r="BX49" s="154">
        <f t="shared" si="157"/>
        <v>0</v>
      </c>
      <c r="BY49" s="154">
        <f t="shared" si="253"/>
        <v>0</v>
      </c>
      <c r="BZ49" s="154">
        <f t="shared" si="159"/>
        <v>0</v>
      </c>
      <c r="CA49" s="154">
        <f t="shared" si="254"/>
        <v>0</v>
      </c>
      <c r="CB49" s="157">
        <f t="shared" si="161"/>
        <v>0</v>
      </c>
      <c r="CC49" s="154">
        <f t="shared" si="162"/>
        <v>0</v>
      </c>
      <c r="CD49" s="158">
        <f t="shared" si="163"/>
        <v>0</v>
      </c>
      <c r="CE49" s="156">
        <f t="shared" si="276"/>
        <v>0</v>
      </c>
      <c r="CF49" s="154">
        <f t="shared" si="255"/>
        <v>0</v>
      </c>
      <c r="CG49" s="154">
        <f t="shared" si="166"/>
        <v>0</v>
      </c>
      <c r="CH49" s="154">
        <f t="shared" si="256"/>
        <v>0</v>
      </c>
      <c r="CI49" s="154">
        <f t="shared" si="168"/>
        <v>0</v>
      </c>
      <c r="CJ49" s="154">
        <f t="shared" si="257"/>
        <v>0</v>
      </c>
      <c r="CK49" s="154">
        <f t="shared" si="170"/>
        <v>0</v>
      </c>
      <c r="CL49" s="154">
        <f t="shared" si="258"/>
        <v>0</v>
      </c>
      <c r="CM49" s="154">
        <f t="shared" si="172"/>
        <v>0</v>
      </c>
      <c r="CN49" s="154">
        <f t="shared" si="259"/>
        <v>0</v>
      </c>
      <c r="CO49" s="157">
        <f t="shared" si="174"/>
        <v>0</v>
      </c>
      <c r="CP49" s="154">
        <f t="shared" si="175"/>
        <v>0</v>
      </c>
      <c r="CQ49" s="158">
        <f t="shared" si="176"/>
        <v>0</v>
      </c>
      <c r="CR49" s="156">
        <f t="shared" si="277"/>
        <v>0</v>
      </c>
      <c r="CS49" s="154">
        <f t="shared" si="261"/>
        <v>0</v>
      </c>
      <c r="CT49" s="154">
        <f t="shared" si="179"/>
        <v>0</v>
      </c>
      <c r="CU49" s="154">
        <f t="shared" si="262"/>
        <v>0</v>
      </c>
      <c r="CV49" s="154">
        <f t="shared" si="181"/>
        <v>0</v>
      </c>
      <c r="CW49" s="154">
        <f t="shared" si="263"/>
        <v>0</v>
      </c>
      <c r="CX49" s="154">
        <f t="shared" si="183"/>
        <v>0</v>
      </c>
      <c r="CY49" s="154">
        <f t="shared" si="264"/>
        <v>0</v>
      </c>
      <c r="CZ49" s="154">
        <f t="shared" si="185"/>
        <v>0</v>
      </c>
      <c r="DA49" s="154">
        <f t="shared" si="265"/>
        <v>0</v>
      </c>
      <c r="DB49" s="157">
        <f t="shared" si="187"/>
        <v>0</v>
      </c>
      <c r="DC49" s="154">
        <f t="shared" si="188"/>
        <v>0</v>
      </c>
      <c r="DD49" s="158">
        <f t="shared" si="189"/>
        <v>0</v>
      </c>
      <c r="DE49" s="156">
        <f t="shared" si="277"/>
        <v>0</v>
      </c>
      <c r="DF49" s="154">
        <f t="shared" si="266"/>
        <v>0</v>
      </c>
      <c r="DG49" s="154">
        <f t="shared" si="192"/>
        <v>0</v>
      </c>
      <c r="DH49" s="154">
        <f t="shared" si="267"/>
        <v>0</v>
      </c>
      <c r="DI49" s="154">
        <f t="shared" si="194"/>
        <v>0</v>
      </c>
      <c r="DJ49" s="154">
        <f t="shared" si="268"/>
        <v>0</v>
      </c>
      <c r="DK49" s="154">
        <f t="shared" si="196"/>
        <v>0</v>
      </c>
      <c r="DL49" s="154">
        <f t="shared" si="269"/>
        <v>0</v>
      </c>
      <c r="DM49" s="154">
        <f t="shared" si="198"/>
        <v>0</v>
      </c>
      <c r="DN49" s="154">
        <f t="shared" si="270"/>
        <v>0</v>
      </c>
      <c r="DO49" s="157">
        <f t="shared" si="200"/>
        <v>0</v>
      </c>
      <c r="DP49" s="154">
        <f t="shared" si="201"/>
        <v>0</v>
      </c>
      <c r="DQ49" s="158">
        <f t="shared" si="202"/>
        <v>0</v>
      </c>
      <c r="DR49" s="156">
        <f t="shared" si="277"/>
        <v>0</v>
      </c>
      <c r="DS49" s="154">
        <f t="shared" si="271"/>
        <v>0</v>
      </c>
      <c r="DT49" s="154">
        <f t="shared" si="205"/>
        <v>0</v>
      </c>
      <c r="DU49" s="154">
        <f t="shared" si="272"/>
        <v>0</v>
      </c>
      <c r="DV49" s="154">
        <f t="shared" si="207"/>
        <v>0</v>
      </c>
      <c r="DW49" s="154">
        <f t="shared" si="273"/>
        <v>0</v>
      </c>
      <c r="DX49" s="154">
        <f t="shared" si="209"/>
        <v>0</v>
      </c>
      <c r="DY49" s="154">
        <f t="shared" si="274"/>
        <v>0</v>
      </c>
      <c r="DZ49" s="154">
        <f t="shared" si="211"/>
        <v>0</v>
      </c>
      <c r="EA49" s="154">
        <f t="shared" si="275"/>
        <v>0</v>
      </c>
      <c r="EB49" s="157">
        <f t="shared" si="213"/>
        <v>0</v>
      </c>
      <c r="EC49" s="154">
        <f t="shared" si="214"/>
        <v>0</v>
      </c>
      <c r="ED49" s="158">
        <f t="shared" si="215"/>
        <v>0</v>
      </c>
    </row>
    <row r="50" spans="1:134" x14ac:dyDescent="0.35">
      <c r="A50" s="172"/>
      <c r="B50" s="173"/>
      <c r="C50" s="174"/>
      <c r="D50" s="175"/>
      <c r="E50" s="176"/>
      <c r="F50" s="177"/>
      <c r="G50" s="178"/>
      <c r="H50" s="179"/>
      <c r="I50" s="180"/>
      <c r="J50" s="181"/>
      <c r="K50" s="152">
        <f t="shared" si="216"/>
        <v>0</v>
      </c>
      <c r="L50" s="153">
        <f t="shared" si="217"/>
        <v>0</v>
      </c>
      <c r="M50" s="154">
        <f t="shared" si="218"/>
        <v>0</v>
      </c>
      <c r="N50" s="154"/>
      <c r="O50" s="154">
        <f t="shared" si="219"/>
        <v>0</v>
      </c>
      <c r="P50" s="155"/>
      <c r="Q50" s="154">
        <f t="shared" si="220"/>
        <v>0</v>
      </c>
      <c r="R50" s="156">
        <f t="shared" si="221"/>
        <v>0</v>
      </c>
      <c r="S50" s="154">
        <f t="shared" si="222"/>
        <v>0</v>
      </c>
      <c r="T50" s="154">
        <f t="shared" si="223"/>
        <v>0</v>
      </c>
      <c r="U50" s="154">
        <f t="shared" si="224"/>
        <v>0</v>
      </c>
      <c r="V50" s="154">
        <f t="shared" si="225"/>
        <v>0</v>
      </c>
      <c r="W50" s="154">
        <f t="shared" si="226"/>
        <v>0</v>
      </c>
      <c r="X50" s="154">
        <f t="shared" si="227"/>
        <v>0</v>
      </c>
      <c r="Y50" s="154">
        <f t="shared" si="228"/>
        <v>0</v>
      </c>
      <c r="Z50" s="154">
        <f t="shared" si="229"/>
        <v>0</v>
      </c>
      <c r="AA50" s="154">
        <f t="shared" si="230"/>
        <v>0</v>
      </c>
      <c r="AB50" s="157">
        <f t="shared" si="231"/>
        <v>0</v>
      </c>
      <c r="AC50" s="154">
        <f t="shared" si="232"/>
        <v>0</v>
      </c>
      <c r="AD50" s="158">
        <f t="shared" si="233"/>
        <v>0</v>
      </c>
      <c r="AE50" s="156">
        <f t="shared" si="276"/>
        <v>0</v>
      </c>
      <c r="AF50" s="154">
        <f t="shared" si="235"/>
        <v>0</v>
      </c>
      <c r="AG50" s="154">
        <f t="shared" si="114"/>
        <v>0</v>
      </c>
      <c r="AH50" s="154">
        <f t="shared" si="236"/>
        <v>0</v>
      </c>
      <c r="AI50" s="154">
        <f t="shared" si="116"/>
        <v>0</v>
      </c>
      <c r="AJ50" s="154">
        <f t="shared" si="237"/>
        <v>0</v>
      </c>
      <c r="AK50" s="154">
        <f t="shared" si="118"/>
        <v>0</v>
      </c>
      <c r="AL50" s="154">
        <f t="shared" si="238"/>
        <v>0</v>
      </c>
      <c r="AM50" s="154">
        <f t="shared" si="120"/>
        <v>0</v>
      </c>
      <c r="AN50" s="154">
        <f t="shared" si="239"/>
        <v>0</v>
      </c>
      <c r="AO50" s="157">
        <f t="shared" si="122"/>
        <v>0</v>
      </c>
      <c r="AP50" s="154">
        <f t="shared" si="123"/>
        <v>0</v>
      </c>
      <c r="AQ50" s="158">
        <f t="shared" si="124"/>
        <v>0</v>
      </c>
      <c r="AR50" s="156">
        <f t="shared" si="276"/>
        <v>0</v>
      </c>
      <c r="AS50" s="154">
        <f t="shared" si="240"/>
        <v>0</v>
      </c>
      <c r="AT50" s="154">
        <f t="shared" si="127"/>
        <v>0</v>
      </c>
      <c r="AU50" s="154">
        <f t="shared" si="241"/>
        <v>0</v>
      </c>
      <c r="AV50" s="154">
        <f t="shared" si="129"/>
        <v>0</v>
      </c>
      <c r="AW50" s="154">
        <f t="shared" si="242"/>
        <v>0</v>
      </c>
      <c r="AX50" s="154">
        <f t="shared" si="131"/>
        <v>0</v>
      </c>
      <c r="AY50" s="154">
        <f t="shared" si="243"/>
        <v>0</v>
      </c>
      <c r="AZ50" s="154">
        <f t="shared" si="133"/>
        <v>0</v>
      </c>
      <c r="BA50" s="154">
        <f t="shared" si="244"/>
        <v>0</v>
      </c>
      <c r="BB50" s="157">
        <f t="shared" si="135"/>
        <v>0</v>
      </c>
      <c r="BC50" s="154">
        <f t="shared" si="136"/>
        <v>0</v>
      </c>
      <c r="BD50" s="158">
        <f t="shared" si="137"/>
        <v>0</v>
      </c>
      <c r="BE50" s="156">
        <f t="shared" si="276"/>
        <v>0</v>
      </c>
      <c r="BF50" s="154">
        <f t="shared" si="245"/>
        <v>0</v>
      </c>
      <c r="BG50" s="154">
        <f t="shared" si="140"/>
        <v>0</v>
      </c>
      <c r="BH50" s="154">
        <f t="shared" si="246"/>
        <v>0</v>
      </c>
      <c r="BI50" s="154">
        <f t="shared" si="142"/>
        <v>0</v>
      </c>
      <c r="BJ50" s="154">
        <f t="shared" si="247"/>
        <v>0</v>
      </c>
      <c r="BK50" s="154">
        <f t="shared" si="144"/>
        <v>0</v>
      </c>
      <c r="BL50" s="154">
        <f t="shared" si="248"/>
        <v>0</v>
      </c>
      <c r="BM50" s="154">
        <f t="shared" si="146"/>
        <v>0</v>
      </c>
      <c r="BN50" s="154">
        <f t="shared" si="249"/>
        <v>0</v>
      </c>
      <c r="BO50" s="157">
        <f t="shared" si="148"/>
        <v>0</v>
      </c>
      <c r="BP50" s="154">
        <f t="shared" si="149"/>
        <v>0</v>
      </c>
      <c r="BQ50" s="158">
        <f t="shared" si="150"/>
        <v>0</v>
      </c>
      <c r="BR50" s="156">
        <f t="shared" si="276"/>
        <v>0</v>
      </c>
      <c r="BS50" s="154">
        <f t="shared" si="250"/>
        <v>0</v>
      </c>
      <c r="BT50" s="154">
        <f t="shared" si="153"/>
        <v>0</v>
      </c>
      <c r="BU50" s="154">
        <f t="shared" si="251"/>
        <v>0</v>
      </c>
      <c r="BV50" s="154">
        <f t="shared" si="155"/>
        <v>0</v>
      </c>
      <c r="BW50" s="154">
        <f t="shared" si="252"/>
        <v>0</v>
      </c>
      <c r="BX50" s="154">
        <f t="shared" si="157"/>
        <v>0</v>
      </c>
      <c r="BY50" s="154">
        <f t="shared" si="253"/>
        <v>0</v>
      </c>
      <c r="BZ50" s="154">
        <f t="shared" si="159"/>
        <v>0</v>
      </c>
      <c r="CA50" s="154">
        <f t="shared" si="254"/>
        <v>0</v>
      </c>
      <c r="CB50" s="157">
        <f t="shared" si="161"/>
        <v>0</v>
      </c>
      <c r="CC50" s="154">
        <f t="shared" si="162"/>
        <v>0</v>
      </c>
      <c r="CD50" s="158">
        <f t="shared" si="163"/>
        <v>0</v>
      </c>
      <c r="CE50" s="156">
        <f t="shared" si="276"/>
        <v>0</v>
      </c>
      <c r="CF50" s="154">
        <f t="shared" si="255"/>
        <v>0</v>
      </c>
      <c r="CG50" s="154">
        <f t="shared" si="166"/>
        <v>0</v>
      </c>
      <c r="CH50" s="154">
        <f t="shared" si="256"/>
        <v>0</v>
      </c>
      <c r="CI50" s="154">
        <f t="shared" si="168"/>
        <v>0</v>
      </c>
      <c r="CJ50" s="154">
        <f t="shared" si="257"/>
        <v>0</v>
      </c>
      <c r="CK50" s="154">
        <f t="shared" si="170"/>
        <v>0</v>
      </c>
      <c r="CL50" s="154">
        <f t="shared" si="258"/>
        <v>0</v>
      </c>
      <c r="CM50" s="154">
        <f t="shared" si="172"/>
        <v>0</v>
      </c>
      <c r="CN50" s="154">
        <f t="shared" si="259"/>
        <v>0</v>
      </c>
      <c r="CO50" s="157">
        <f t="shared" si="174"/>
        <v>0</v>
      </c>
      <c r="CP50" s="154">
        <f t="shared" si="175"/>
        <v>0</v>
      </c>
      <c r="CQ50" s="158">
        <f t="shared" si="176"/>
        <v>0</v>
      </c>
      <c r="CR50" s="156">
        <f t="shared" si="277"/>
        <v>0</v>
      </c>
      <c r="CS50" s="154">
        <f t="shared" si="261"/>
        <v>0</v>
      </c>
      <c r="CT50" s="154">
        <f t="shared" si="179"/>
        <v>0</v>
      </c>
      <c r="CU50" s="154">
        <f t="shared" si="262"/>
        <v>0</v>
      </c>
      <c r="CV50" s="154">
        <f t="shared" si="181"/>
        <v>0</v>
      </c>
      <c r="CW50" s="154">
        <f t="shared" si="263"/>
        <v>0</v>
      </c>
      <c r="CX50" s="154">
        <f t="shared" si="183"/>
        <v>0</v>
      </c>
      <c r="CY50" s="154">
        <f t="shared" si="264"/>
        <v>0</v>
      </c>
      <c r="CZ50" s="154">
        <f t="shared" si="185"/>
        <v>0</v>
      </c>
      <c r="DA50" s="154">
        <f t="shared" si="265"/>
        <v>0</v>
      </c>
      <c r="DB50" s="157">
        <f t="shared" si="187"/>
        <v>0</v>
      </c>
      <c r="DC50" s="154">
        <f t="shared" si="188"/>
        <v>0</v>
      </c>
      <c r="DD50" s="158">
        <f t="shared" si="189"/>
        <v>0</v>
      </c>
      <c r="DE50" s="156">
        <f t="shared" si="277"/>
        <v>0</v>
      </c>
      <c r="DF50" s="154">
        <f t="shared" si="266"/>
        <v>0</v>
      </c>
      <c r="DG50" s="154">
        <f t="shared" si="192"/>
        <v>0</v>
      </c>
      <c r="DH50" s="154">
        <f t="shared" si="267"/>
        <v>0</v>
      </c>
      <c r="DI50" s="154">
        <f t="shared" si="194"/>
        <v>0</v>
      </c>
      <c r="DJ50" s="154">
        <f t="shared" si="268"/>
        <v>0</v>
      </c>
      <c r="DK50" s="154">
        <f t="shared" si="196"/>
        <v>0</v>
      </c>
      <c r="DL50" s="154">
        <f t="shared" si="269"/>
        <v>0</v>
      </c>
      <c r="DM50" s="154">
        <f t="shared" si="198"/>
        <v>0</v>
      </c>
      <c r="DN50" s="154">
        <f t="shared" si="270"/>
        <v>0</v>
      </c>
      <c r="DO50" s="157">
        <f t="shared" si="200"/>
        <v>0</v>
      </c>
      <c r="DP50" s="154">
        <f t="shared" si="201"/>
        <v>0</v>
      </c>
      <c r="DQ50" s="158">
        <f t="shared" si="202"/>
        <v>0</v>
      </c>
      <c r="DR50" s="156">
        <f t="shared" si="277"/>
        <v>0</v>
      </c>
      <c r="DS50" s="154">
        <f t="shared" si="271"/>
        <v>0</v>
      </c>
      <c r="DT50" s="154">
        <f t="shared" si="205"/>
        <v>0</v>
      </c>
      <c r="DU50" s="154">
        <f t="shared" si="272"/>
        <v>0</v>
      </c>
      <c r="DV50" s="154">
        <f t="shared" si="207"/>
        <v>0</v>
      </c>
      <c r="DW50" s="154">
        <f t="shared" si="273"/>
        <v>0</v>
      </c>
      <c r="DX50" s="154">
        <f t="shared" si="209"/>
        <v>0</v>
      </c>
      <c r="DY50" s="154">
        <f t="shared" si="274"/>
        <v>0</v>
      </c>
      <c r="DZ50" s="154">
        <f t="shared" si="211"/>
        <v>0</v>
      </c>
      <c r="EA50" s="154">
        <f t="shared" si="275"/>
        <v>0</v>
      </c>
      <c r="EB50" s="157">
        <f t="shared" si="213"/>
        <v>0</v>
      </c>
      <c r="EC50" s="154">
        <f t="shared" si="214"/>
        <v>0</v>
      </c>
      <c r="ED50" s="158">
        <f t="shared" si="215"/>
        <v>0</v>
      </c>
    </row>
    <row r="51" spans="1:134" x14ac:dyDescent="0.35">
      <c r="A51" s="172"/>
      <c r="B51" s="173"/>
      <c r="C51" s="174"/>
      <c r="D51" s="175"/>
      <c r="E51" s="176"/>
      <c r="F51" s="177"/>
      <c r="G51" s="178"/>
      <c r="H51" s="179"/>
      <c r="I51" s="180"/>
      <c r="J51" s="181"/>
      <c r="K51" s="152">
        <f t="shared" si="216"/>
        <v>0</v>
      </c>
      <c r="L51" s="153">
        <f t="shared" si="217"/>
        <v>0</v>
      </c>
      <c r="M51" s="154">
        <f t="shared" si="218"/>
        <v>0</v>
      </c>
      <c r="N51" s="154"/>
      <c r="O51" s="154">
        <f t="shared" si="219"/>
        <v>0</v>
      </c>
      <c r="P51" s="155"/>
      <c r="Q51" s="154">
        <f t="shared" si="220"/>
        <v>0</v>
      </c>
      <c r="R51" s="156">
        <f t="shared" si="221"/>
        <v>0</v>
      </c>
      <c r="S51" s="154">
        <f t="shared" si="222"/>
        <v>0</v>
      </c>
      <c r="T51" s="154">
        <f t="shared" si="223"/>
        <v>0</v>
      </c>
      <c r="U51" s="154">
        <f t="shared" si="224"/>
        <v>0</v>
      </c>
      <c r="V51" s="154">
        <f t="shared" si="225"/>
        <v>0</v>
      </c>
      <c r="W51" s="154">
        <f t="shared" si="226"/>
        <v>0</v>
      </c>
      <c r="X51" s="154">
        <f t="shared" si="227"/>
        <v>0</v>
      </c>
      <c r="Y51" s="154">
        <f t="shared" si="228"/>
        <v>0</v>
      </c>
      <c r="Z51" s="154">
        <f t="shared" si="229"/>
        <v>0</v>
      </c>
      <c r="AA51" s="154">
        <f t="shared" si="230"/>
        <v>0</v>
      </c>
      <c r="AB51" s="157">
        <f t="shared" si="231"/>
        <v>0</v>
      </c>
      <c r="AC51" s="154">
        <f t="shared" si="232"/>
        <v>0</v>
      </c>
      <c r="AD51" s="158">
        <f t="shared" si="233"/>
        <v>0</v>
      </c>
      <c r="AE51" s="156">
        <f t="shared" si="276"/>
        <v>0</v>
      </c>
      <c r="AF51" s="154">
        <f t="shared" si="235"/>
        <v>0</v>
      </c>
      <c r="AG51" s="154">
        <f t="shared" si="114"/>
        <v>0</v>
      </c>
      <c r="AH51" s="154">
        <f t="shared" si="236"/>
        <v>0</v>
      </c>
      <c r="AI51" s="154">
        <f t="shared" si="116"/>
        <v>0</v>
      </c>
      <c r="AJ51" s="154">
        <f t="shared" si="237"/>
        <v>0</v>
      </c>
      <c r="AK51" s="154">
        <f t="shared" si="118"/>
        <v>0</v>
      </c>
      <c r="AL51" s="154">
        <f t="shared" si="238"/>
        <v>0</v>
      </c>
      <c r="AM51" s="154">
        <f t="shared" si="120"/>
        <v>0</v>
      </c>
      <c r="AN51" s="154">
        <f t="shared" si="239"/>
        <v>0</v>
      </c>
      <c r="AO51" s="157">
        <f t="shared" si="122"/>
        <v>0</v>
      </c>
      <c r="AP51" s="154">
        <f t="shared" si="123"/>
        <v>0</v>
      </c>
      <c r="AQ51" s="158">
        <f t="shared" si="124"/>
        <v>0</v>
      </c>
      <c r="AR51" s="156">
        <f t="shared" si="276"/>
        <v>0</v>
      </c>
      <c r="AS51" s="154">
        <f t="shared" si="240"/>
        <v>0</v>
      </c>
      <c r="AT51" s="154">
        <f t="shared" si="127"/>
        <v>0</v>
      </c>
      <c r="AU51" s="154">
        <f t="shared" si="241"/>
        <v>0</v>
      </c>
      <c r="AV51" s="154">
        <f t="shared" si="129"/>
        <v>0</v>
      </c>
      <c r="AW51" s="154">
        <f t="shared" si="242"/>
        <v>0</v>
      </c>
      <c r="AX51" s="154">
        <f t="shared" si="131"/>
        <v>0</v>
      </c>
      <c r="AY51" s="154">
        <f t="shared" si="243"/>
        <v>0</v>
      </c>
      <c r="AZ51" s="154">
        <f t="shared" si="133"/>
        <v>0</v>
      </c>
      <c r="BA51" s="154">
        <f t="shared" si="244"/>
        <v>0</v>
      </c>
      <c r="BB51" s="157">
        <f t="shared" si="135"/>
        <v>0</v>
      </c>
      <c r="BC51" s="154">
        <f t="shared" si="136"/>
        <v>0</v>
      </c>
      <c r="BD51" s="158">
        <f t="shared" si="137"/>
        <v>0</v>
      </c>
      <c r="BE51" s="156">
        <f t="shared" si="276"/>
        <v>0</v>
      </c>
      <c r="BF51" s="154">
        <f t="shared" si="245"/>
        <v>0</v>
      </c>
      <c r="BG51" s="154">
        <f t="shared" si="140"/>
        <v>0</v>
      </c>
      <c r="BH51" s="154">
        <f t="shared" si="246"/>
        <v>0</v>
      </c>
      <c r="BI51" s="154">
        <f t="shared" si="142"/>
        <v>0</v>
      </c>
      <c r="BJ51" s="154">
        <f t="shared" si="247"/>
        <v>0</v>
      </c>
      <c r="BK51" s="154">
        <f t="shared" si="144"/>
        <v>0</v>
      </c>
      <c r="BL51" s="154">
        <f t="shared" si="248"/>
        <v>0</v>
      </c>
      <c r="BM51" s="154">
        <f t="shared" si="146"/>
        <v>0</v>
      </c>
      <c r="BN51" s="154">
        <f t="shared" si="249"/>
        <v>0</v>
      </c>
      <c r="BO51" s="157">
        <f t="shared" si="148"/>
        <v>0</v>
      </c>
      <c r="BP51" s="154">
        <f t="shared" si="149"/>
        <v>0</v>
      </c>
      <c r="BQ51" s="158">
        <f t="shared" si="150"/>
        <v>0</v>
      </c>
      <c r="BR51" s="156">
        <f t="shared" si="276"/>
        <v>0</v>
      </c>
      <c r="BS51" s="154">
        <f t="shared" si="250"/>
        <v>0</v>
      </c>
      <c r="BT51" s="154">
        <f t="shared" si="153"/>
        <v>0</v>
      </c>
      <c r="BU51" s="154">
        <f t="shared" si="251"/>
        <v>0</v>
      </c>
      <c r="BV51" s="154">
        <f t="shared" si="155"/>
        <v>0</v>
      </c>
      <c r="BW51" s="154">
        <f t="shared" si="252"/>
        <v>0</v>
      </c>
      <c r="BX51" s="154">
        <f t="shared" si="157"/>
        <v>0</v>
      </c>
      <c r="BY51" s="154">
        <f t="shared" si="253"/>
        <v>0</v>
      </c>
      <c r="BZ51" s="154">
        <f t="shared" si="159"/>
        <v>0</v>
      </c>
      <c r="CA51" s="154">
        <f t="shared" si="254"/>
        <v>0</v>
      </c>
      <c r="CB51" s="157">
        <f t="shared" si="161"/>
        <v>0</v>
      </c>
      <c r="CC51" s="154">
        <f t="shared" si="162"/>
        <v>0</v>
      </c>
      <c r="CD51" s="158">
        <f t="shared" si="163"/>
        <v>0</v>
      </c>
      <c r="CE51" s="156">
        <f t="shared" si="276"/>
        <v>0</v>
      </c>
      <c r="CF51" s="154">
        <f t="shared" si="255"/>
        <v>0</v>
      </c>
      <c r="CG51" s="154">
        <f t="shared" si="166"/>
        <v>0</v>
      </c>
      <c r="CH51" s="154">
        <f t="shared" si="256"/>
        <v>0</v>
      </c>
      <c r="CI51" s="154">
        <f t="shared" si="168"/>
        <v>0</v>
      </c>
      <c r="CJ51" s="154">
        <f t="shared" si="257"/>
        <v>0</v>
      </c>
      <c r="CK51" s="154">
        <f t="shared" si="170"/>
        <v>0</v>
      </c>
      <c r="CL51" s="154">
        <f t="shared" si="258"/>
        <v>0</v>
      </c>
      <c r="CM51" s="154">
        <f t="shared" si="172"/>
        <v>0</v>
      </c>
      <c r="CN51" s="154">
        <f t="shared" si="259"/>
        <v>0</v>
      </c>
      <c r="CO51" s="157">
        <f t="shared" si="174"/>
        <v>0</v>
      </c>
      <c r="CP51" s="154">
        <f t="shared" si="175"/>
        <v>0</v>
      </c>
      <c r="CQ51" s="158">
        <f t="shared" si="176"/>
        <v>0</v>
      </c>
      <c r="CR51" s="156">
        <f t="shared" si="277"/>
        <v>0</v>
      </c>
      <c r="CS51" s="154">
        <f t="shared" si="261"/>
        <v>0</v>
      </c>
      <c r="CT51" s="154">
        <f t="shared" si="179"/>
        <v>0</v>
      </c>
      <c r="CU51" s="154">
        <f t="shared" si="262"/>
        <v>0</v>
      </c>
      <c r="CV51" s="154">
        <f t="shared" si="181"/>
        <v>0</v>
      </c>
      <c r="CW51" s="154">
        <f t="shared" si="263"/>
        <v>0</v>
      </c>
      <c r="CX51" s="154">
        <f t="shared" si="183"/>
        <v>0</v>
      </c>
      <c r="CY51" s="154">
        <f t="shared" si="264"/>
        <v>0</v>
      </c>
      <c r="CZ51" s="154">
        <f t="shared" si="185"/>
        <v>0</v>
      </c>
      <c r="DA51" s="154">
        <f t="shared" si="265"/>
        <v>0</v>
      </c>
      <c r="DB51" s="157">
        <f t="shared" si="187"/>
        <v>0</v>
      </c>
      <c r="DC51" s="154">
        <f t="shared" si="188"/>
        <v>0</v>
      </c>
      <c r="DD51" s="158">
        <f t="shared" si="189"/>
        <v>0</v>
      </c>
      <c r="DE51" s="156">
        <f t="shared" si="277"/>
        <v>0</v>
      </c>
      <c r="DF51" s="154">
        <f t="shared" si="266"/>
        <v>0</v>
      </c>
      <c r="DG51" s="154">
        <f t="shared" si="192"/>
        <v>0</v>
      </c>
      <c r="DH51" s="154">
        <f t="shared" si="267"/>
        <v>0</v>
      </c>
      <c r="DI51" s="154">
        <f t="shared" si="194"/>
        <v>0</v>
      </c>
      <c r="DJ51" s="154">
        <f t="shared" si="268"/>
        <v>0</v>
      </c>
      <c r="DK51" s="154">
        <f t="shared" si="196"/>
        <v>0</v>
      </c>
      <c r="DL51" s="154">
        <f t="shared" si="269"/>
        <v>0</v>
      </c>
      <c r="DM51" s="154">
        <f t="shared" si="198"/>
        <v>0</v>
      </c>
      <c r="DN51" s="154">
        <f t="shared" si="270"/>
        <v>0</v>
      </c>
      <c r="DO51" s="157">
        <f t="shared" si="200"/>
        <v>0</v>
      </c>
      <c r="DP51" s="154">
        <f t="shared" si="201"/>
        <v>0</v>
      </c>
      <c r="DQ51" s="158">
        <f t="shared" si="202"/>
        <v>0</v>
      </c>
      <c r="DR51" s="156">
        <f t="shared" si="277"/>
        <v>0</v>
      </c>
      <c r="DS51" s="154">
        <f t="shared" si="271"/>
        <v>0</v>
      </c>
      <c r="DT51" s="154">
        <f t="shared" si="205"/>
        <v>0</v>
      </c>
      <c r="DU51" s="154">
        <f t="shared" si="272"/>
        <v>0</v>
      </c>
      <c r="DV51" s="154">
        <f t="shared" si="207"/>
        <v>0</v>
      </c>
      <c r="DW51" s="154">
        <f t="shared" si="273"/>
        <v>0</v>
      </c>
      <c r="DX51" s="154">
        <f t="shared" si="209"/>
        <v>0</v>
      </c>
      <c r="DY51" s="154">
        <f t="shared" si="274"/>
        <v>0</v>
      </c>
      <c r="DZ51" s="154">
        <f t="shared" si="211"/>
        <v>0</v>
      </c>
      <c r="EA51" s="154">
        <f t="shared" si="275"/>
        <v>0</v>
      </c>
      <c r="EB51" s="157">
        <f t="shared" si="213"/>
        <v>0</v>
      </c>
      <c r="EC51" s="154">
        <f t="shared" si="214"/>
        <v>0</v>
      </c>
      <c r="ED51" s="158">
        <f t="shared" si="215"/>
        <v>0</v>
      </c>
    </row>
    <row r="52" spans="1:134" x14ac:dyDescent="0.35">
      <c r="A52" s="172"/>
      <c r="B52" s="173"/>
      <c r="C52" s="174"/>
      <c r="D52" s="175"/>
      <c r="E52" s="176"/>
      <c r="F52" s="177"/>
      <c r="G52" s="178"/>
      <c r="H52" s="179"/>
      <c r="I52" s="180"/>
      <c r="J52" s="181"/>
      <c r="K52" s="152">
        <f t="shared" si="216"/>
        <v>0</v>
      </c>
      <c r="L52" s="153">
        <f t="shared" si="217"/>
        <v>0</v>
      </c>
      <c r="M52" s="154">
        <f t="shared" si="218"/>
        <v>0</v>
      </c>
      <c r="N52" s="154"/>
      <c r="O52" s="154">
        <f t="shared" si="219"/>
        <v>0</v>
      </c>
      <c r="P52" s="155"/>
      <c r="Q52" s="154">
        <f t="shared" si="220"/>
        <v>0</v>
      </c>
      <c r="R52" s="156">
        <f t="shared" si="221"/>
        <v>0</v>
      </c>
      <c r="S52" s="154">
        <f t="shared" si="222"/>
        <v>0</v>
      </c>
      <c r="T52" s="154">
        <f t="shared" si="223"/>
        <v>0</v>
      </c>
      <c r="U52" s="154">
        <f t="shared" si="224"/>
        <v>0</v>
      </c>
      <c r="V52" s="154">
        <f t="shared" si="225"/>
        <v>0</v>
      </c>
      <c r="W52" s="154">
        <f t="shared" si="226"/>
        <v>0</v>
      </c>
      <c r="X52" s="154">
        <f t="shared" si="227"/>
        <v>0</v>
      </c>
      <c r="Y52" s="154">
        <f t="shared" si="228"/>
        <v>0</v>
      </c>
      <c r="Z52" s="154">
        <f t="shared" si="229"/>
        <v>0</v>
      </c>
      <c r="AA52" s="154">
        <f t="shared" si="230"/>
        <v>0</v>
      </c>
      <c r="AB52" s="157">
        <f t="shared" si="231"/>
        <v>0</v>
      </c>
      <c r="AC52" s="154">
        <f t="shared" si="232"/>
        <v>0</v>
      </c>
      <c r="AD52" s="158">
        <f t="shared" si="233"/>
        <v>0</v>
      </c>
      <c r="AE52" s="156">
        <f t="shared" si="276"/>
        <v>0</v>
      </c>
      <c r="AF52" s="154">
        <f t="shared" si="235"/>
        <v>0</v>
      </c>
      <c r="AG52" s="154">
        <f t="shared" si="114"/>
        <v>0</v>
      </c>
      <c r="AH52" s="154">
        <f t="shared" si="236"/>
        <v>0</v>
      </c>
      <c r="AI52" s="154">
        <f t="shared" si="116"/>
        <v>0</v>
      </c>
      <c r="AJ52" s="154">
        <f t="shared" si="237"/>
        <v>0</v>
      </c>
      <c r="AK52" s="154">
        <f t="shared" si="118"/>
        <v>0</v>
      </c>
      <c r="AL52" s="154">
        <f t="shared" si="238"/>
        <v>0</v>
      </c>
      <c r="AM52" s="154">
        <f t="shared" si="120"/>
        <v>0</v>
      </c>
      <c r="AN52" s="154">
        <f t="shared" si="239"/>
        <v>0</v>
      </c>
      <c r="AO52" s="157">
        <f t="shared" si="122"/>
        <v>0</v>
      </c>
      <c r="AP52" s="154">
        <f t="shared" si="123"/>
        <v>0</v>
      </c>
      <c r="AQ52" s="158">
        <f t="shared" si="124"/>
        <v>0</v>
      </c>
      <c r="AR52" s="156">
        <f t="shared" si="276"/>
        <v>0</v>
      </c>
      <c r="AS52" s="154">
        <f t="shared" si="240"/>
        <v>0</v>
      </c>
      <c r="AT52" s="154">
        <f t="shared" si="127"/>
        <v>0</v>
      </c>
      <c r="AU52" s="154">
        <f t="shared" si="241"/>
        <v>0</v>
      </c>
      <c r="AV52" s="154">
        <f t="shared" si="129"/>
        <v>0</v>
      </c>
      <c r="AW52" s="154">
        <f t="shared" si="242"/>
        <v>0</v>
      </c>
      <c r="AX52" s="154">
        <f t="shared" si="131"/>
        <v>0</v>
      </c>
      <c r="AY52" s="154">
        <f t="shared" si="243"/>
        <v>0</v>
      </c>
      <c r="AZ52" s="154">
        <f t="shared" si="133"/>
        <v>0</v>
      </c>
      <c r="BA52" s="154">
        <f t="shared" si="244"/>
        <v>0</v>
      </c>
      <c r="BB52" s="157">
        <f t="shared" si="135"/>
        <v>0</v>
      </c>
      <c r="BC52" s="154">
        <f t="shared" si="136"/>
        <v>0</v>
      </c>
      <c r="BD52" s="158">
        <f t="shared" si="137"/>
        <v>0</v>
      </c>
      <c r="BE52" s="156">
        <f t="shared" si="276"/>
        <v>0</v>
      </c>
      <c r="BF52" s="154">
        <f t="shared" si="245"/>
        <v>0</v>
      </c>
      <c r="BG52" s="154">
        <f t="shared" si="140"/>
        <v>0</v>
      </c>
      <c r="BH52" s="154">
        <f t="shared" si="246"/>
        <v>0</v>
      </c>
      <c r="BI52" s="154">
        <f t="shared" si="142"/>
        <v>0</v>
      </c>
      <c r="BJ52" s="154">
        <f t="shared" si="247"/>
        <v>0</v>
      </c>
      <c r="BK52" s="154">
        <f t="shared" si="144"/>
        <v>0</v>
      </c>
      <c r="BL52" s="154">
        <f t="shared" si="248"/>
        <v>0</v>
      </c>
      <c r="BM52" s="154">
        <f t="shared" si="146"/>
        <v>0</v>
      </c>
      <c r="BN52" s="154">
        <f t="shared" si="249"/>
        <v>0</v>
      </c>
      <c r="BO52" s="157">
        <f t="shared" si="148"/>
        <v>0</v>
      </c>
      <c r="BP52" s="154">
        <f t="shared" si="149"/>
        <v>0</v>
      </c>
      <c r="BQ52" s="158">
        <f t="shared" si="150"/>
        <v>0</v>
      </c>
      <c r="BR52" s="156">
        <f t="shared" si="276"/>
        <v>0</v>
      </c>
      <c r="BS52" s="154">
        <f t="shared" si="250"/>
        <v>0</v>
      </c>
      <c r="BT52" s="154">
        <f t="shared" si="153"/>
        <v>0</v>
      </c>
      <c r="BU52" s="154">
        <f t="shared" si="251"/>
        <v>0</v>
      </c>
      <c r="BV52" s="154">
        <f t="shared" si="155"/>
        <v>0</v>
      </c>
      <c r="BW52" s="154">
        <f t="shared" si="252"/>
        <v>0</v>
      </c>
      <c r="BX52" s="154">
        <f t="shared" si="157"/>
        <v>0</v>
      </c>
      <c r="BY52" s="154">
        <f t="shared" si="253"/>
        <v>0</v>
      </c>
      <c r="BZ52" s="154">
        <f t="shared" si="159"/>
        <v>0</v>
      </c>
      <c r="CA52" s="154">
        <f t="shared" si="254"/>
        <v>0</v>
      </c>
      <c r="CB52" s="157">
        <f t="shared" si="161"/>
        <v>0</v>
      </c>
      <c r="CC52" s="154">
        <f t="shared" si="162"/>
        <v>0</v>
      </c>
      <c r="CD52" s="158">
        <f t="shared" si="163"/>
        <v>0</v>
      </c>
      <c r="CE52" s="156">
        <f t="shared" si="276"/>
        <v>0</v>
      </c>
      <c r="CF52" s="154">
        <f t="shared" si="255"/>
        <v>0</v>
      </c>
      <c r="CG52" s="154">
        <f t="shared" si="166"/>
        <v>0</v>
      </c>
      <c r="CH52" s="154">
        <f t="shared" si="256"/>
        <v>0</v>
      </c>
      <c r="CI52" s="154">
        <f t="shared" si="168"/>
        <v>0</v>
      </c>
      <c r="CJ52" s="154">
        <f t="shared" si="257"/>
        <v>0</v>
      </c>
      <c r="CK52" s="154">
        <f t="shared" si="170"/>
        <v>0</v>
      </c>
      <c r="CL52" s="154">
        <f t="shared" si="258"/>
        <v>0</v>
      </c>
      <c r="CM52" s="154">
        <f t="shared" si="172"/>
        <v>0</v>
      </c>
      <c r="CN52" s="154">
        <f t="shared" si="259"/>
        <v>0</v>
      </c>
      <c r="CO52" s="157">
        <f t="shared" si="174"/>
        <v>0</v>
      </c>
      <c r="CP52" s="154">
        <f t="shared" si="175"/>
        <v>0</v>
      </c>
      <c r="CQ52" s="158">
        <f t="shared" si="176"/>
        <v>0</v>
      </c>
      <c r="CR52" s="156">
        <f t="shared" si="277"/>
        <v>0</v>
      </c>
      <c r="CS52" s="154">
        <f t="shared" si="261"/>
        <v>0</v>
      </c>
      <c r="CT52" s="154">
        <f t="shared" si="179"/>
        <v>0</v>
      </c>
      <c r="CU52" s="154">
        <f t="shared" si="262"/>
        <v>0</v>
      </c>
      <c r="CV52" s="154">
        <f t="shared" si="181"/>
        <v>0</v>
      </c>
      <c r="CW52" s="154">
        <f t="shared" si="263"/>
        <v>0</v>
      </c>
      <c r="CX52" s="154">
        <f t="shared" si="183"/>
        <v>0</v>
      </c>
      <c r="CY52" s="154">
        <f t="shared" si="264"/>
        <v>0</v>
      </c>
      <c r="CZ52" s="154">
        <f t="shared" si="185"/>
        <v>0</v>
      </c>
      <c r="DA52" s="154">
        <f t="shared" si="265"/>
        <v>0</v>
      </c>
      <c r="DB52" s="157">
        <f t="shared" si="187"/>
        <v>0</v>
      </c>
      <c r="DC52" s="154">
        <f t="shared" si="188"/>
        <v>0</v>
      </c>
      <c r="DD52" s="158">
        <f t="shared" si="189"/>
        <v>0</v>
      </c>
      <c r="DE52" s="156">
        <f t="shared" si="277"/>
        <v>0</v>
      </c>
      <c r="DF52" s="154">
        <f t="shared" si="266"/>
        <v>0</v>
      </c>
      <c r="DG52" s="154">
        <f t="shared" si="192"/>
        <v>0</v>
      </c>
      <c r="DH52" s="154">
        <f t="shared" si="267"/>
        <v>0</v>
      </c>
      <c r="DI52" s="154">
        <f t="shared" si="194"/>
        <v>0</v>
      </c>
      <c r="DJ52" s="154">
        <f t="shared" si="268"/>
        <v>0</v>
      </c>
      <c r="DK52" s="154">
        <f t="shared" si="196"/>
        <v>0</v>
      </c>
      <c r="DL52" s="154">
        <f t="shared" si="269"/>
        <v>0</v>
      </c>
      <c r="DM52" s="154">
        <f t="shared" si="198"/>
        <v>0</v>
      </c>
      <c r="DN52" s="154">
        <f t="shared" si="270"/>
        <v>0</v>
      </c>
      <c r="DO52" s="157">
        <f t="shared" si="200"/>
        <v>0</v>
      </c>
      <c r="DP52" s="154">
        <f t="shared" si="201"/>
        <v>0</v>
      </c>
      <c r="DQ52" s="158">
        <f t="shared" si="202"/>
        <v>0</v>
      </c>
      <c r="DR52" s="156">
        <f t="shared" si="277"/>
        <v>0</v>
      </c>
      <c r="DS52" s="154">
        <f t="shared" si="271"/>
        <v>0</v>
      </c>
      <c r="DT52" s="154">
        <f t="shared" si="205"/>
        <v>0</v>
      </c>
      <c r="DU52" s="154">
        <f t="shared" si="272"/>
        <v>0</v>
      </c>
      <c r="DV52" s="154">
        <f t="shared" si="207"/>
        <v>0</v>
      </c>
      <c r="DW52" s="154">
        <f t="shared" si="273"/>
        <v>0</v>
      </c>
      <c r="DX52" s="154">
        <f t="shared" si="209"/>
        <v>0</v>
      </c>
      <c r="DY52" s="154">
        <f t="shared" si="274"/>
        <v>0</v>
      </c>
      <c r="DZ52" s="154">
        <f t="shared" si="211"/>
        <v>0</v>
      </c>
      <c r="EA52" s="154">
        <f t="shared" si="275"/>
        <v>0</v>
      </c>
      <c r="EB52" s="157">
        <f t="shared" si="213"/>
        <v>0</v>
      </c>
      <c r="EC52" s="154">
        <f t="shared" si="214"/>
        <v>0</v>
      </c>
      <c r="ED52" s="158">
        <f t="shared" si="215"/>
        <v>0</v>
      </c>
    </row>
    <row r="53" spans="1:134" x14ac:dyDescent="0.35">
      <c r="A53" s="172"/>
      <c r="B53" s="173"/>
      <c r="C53" s="174"/>
      <c r="D53" s="175"/>
      <c r="E53" s="176"/>
      <c r="F53" s="177"/>
      <c r="G53" s="178"/>
      <c r="H53" s="179"/>
      <c r="I53" s="180"/>
      <c r="J53" s="181"/>
      <c r="K53" s="152">
        <f t="shared" si="216"/>
        <v>0</v>
      </c>
      <c r="L53" s="153">
        <f t="shared" si="217"/>
        <v>0</v>
      </c>
      <c r="M53" s="154">
        <f t="shared" si="218"/>
        <v>0</v>
      </c>
      <c r="N53" s="154"/>
      <c r="O53" s="154">
        <f t="shared" si="219"/>
        <v>0</v>
      </c>
      <c r="P53" s="155"/>
      <c r="Q53" s="154">
        <f t="shared" si="220"/>
        <v>0</v>
      </c>
      <c r="R53" s="156">
        <f t="shared" si="221"/>
        <v>0</v>
      </c>
      <c r="S53" s="154">
        <f t="shared" si="222"/>
        <v>0</v>
      </c>
      <c r="T53" s="154">
        <f t="shared" si="223"/>
        <v>0</v>
      </c>
      <c r="U53" s="154">
        <f t="shared" si="224"/>
        <v>0</v>
      </c>
      <c r="V53" s="154">
        <f t="shared" si="225"/>
        <v>0</v>
      </c>
      <c r="W53" s="154">
        <f t="shared" si="226"/>
        <v>0</v>
      </c>
      <c r="X53" s="154">
        <f t="shared" si="227"/>
        <v>0</v>
      </c>
      <c r="Y53" s="154">
        <f t="shared" si="228"/>
        <v>0</v>
      </c>
      <c r="Z53" s="154">
        <f t="shared" si="229"/>
        <v>0</v>
      </c>
      <c r="AA53" s="154">
        <f t="shared" si="230"/>
        <v>0</v>
      </c>
      <c r="AB53" s="157">
        <f t="shared" si="231"/>
        <v>0</v>
      </c>
      <c r="AC53" s="154">
        <f t="shared" si="232"/>
        <v>0</v>
      </c>
      <c r="AD53" s="158">
        <f t="shared" si="233"/>
        <v>0</v>
      </c>
      <c r="AE53" s="156">
        <f t="shared" ref="AE53:CE68" si="278">IF(YEAR($F53)=AE$4,$E53,0)</f>
        <v>0</v>
      </c>
      <c r="AF53" s="154">
        <f t="shared" si="235"/>
        <v>0</v>
      </c>
      <c r="AG53" s="154">
        <f t="shared" si="114"/>
        <v>0</v>
      </c>
      <c r="AH53" s="154">
        <f t="shared" si="236"/>
        <v>0</v>
      </c>
      <c r="AI53" s="154">
        <f t="shared" si="116"/>
        <v>0</v>
      </c>
      <c r="AJ53" s="154">
        <f t="shared" si="237"/>
        <v>0</v>
      </c>
      <c r="AK53" s="154">
        <f t="shared" si="118"/>
        <v>0</v>
      </c>
      <c r="AL53" s="154">
        <f t="shared" si="238"/>
        <v>0</v>
      </c>
      <c r="AM53" s="154">
        <f t="shared" si="120"/>
        <v>0</v>
      </c>
      <c r="AN53" s="154">
        <f t="shared" si="239"/>
        <v>0</v>
      </c>
      <c r="AO53" s="157">
        <f t="shared" si="122"/>
        <v>0</v>
      </c>
      <c r="AP53" s="154">
        <f t="shared" si="123"/>
        <v>0</v>
      </c>
      <c r="AQ53" s="158">
        <f t="shared" si="124"/>
        <v>0</v>
      </c>
      <c r="AR53" s="156">
        <f t="shared" si="278"/>
        <v>0</v>
      </c>
      <c r="AS53" s="154">
        <f t="shared" si="240"/>
        <v>0</v>
      </c>
      <c r="AT53" s="154">
        <f t="shared" si="127"/>
        <v>0</v>
      </c>
      <c r="AU53" s="154">
        <f t="shared" si="241"/>
        <v>0</v>
      </c>
      <c r="AV53" s="154">
        <f t="shared" si="129"/>
        <v>0</v>
      </c>
      <c r="AW53" s="154">
        <f t="shared" si="242"/>
        <v>0</v>
      </c>
      <c r="AX53" s="154">
        <f t="shared" si="131"/>
        <v>0</v>
      </c>
      <c r="AY53" s="154">
        <f t="shared" si="243"/>
        <v>0</v>
      </c>
      <c r="AZ53" s="154">
        <f t="shared" si="133"/>
        <v>0</v>
      </c>
      <c r="BA53" s="154">
        <f t="shared" si="244"/>
        <v>0</v>
      </c>
      <c r="BB53" s="157">
        <f t="shared" si="135"/>
        <v>0</v>
      </c>
      <c r="BC53" s="154">
        <f t="shared" si="136"/>
        <v>0</v>
      </c>
      <c r="BD53" s="158">
        <f t="shared" si="137"/>
        <v>0</v>
      </c>
      <c r="BE53" s="156">
        <f t="shared" si="278"/>
        <v>0</v>
      </c>
      <c r="BF53" s="154">
        <f t="shared" si="245"/>
        <v>0</v>
      </c>
      <c r="BG53" s="154">
        <f t="shared" si="140"/>
        <v>0</v>
      </c>
      <c r="BH53" s="154">
        <f t="shared" si="246"/>
        <v>0</v>
      </c>
      <c r="BI53" s="154">
        <f t="shared" si="142"/>
        <v>0</v>
      </c>
      <c r="BJ53" s="154">
        <f t="shared" si="247"/>
        <v>0</v>
      </c>
      <c r="BK53" s="154">
        <f t="shared" si="144"/>
        <v>0</v>
      </c>
      <c r="BL53" s="154">
        <f t="shared" si="248"/>
        <v>0</v>
      </c>
      <c r="BM53" s="154">
        <f t="shared" si="146"/>
        <v>0</v>
      </c>
      <c r="BN53" s="154">
        <f t="shared" si="249"/>
        <v>0</v>
      </c>
      <c r="BO53" s="157">
        <f t="shared" si="148"/>
        <v>0</v>
      </c>
      <c r="BP53" s="154">
        <f t="shared" si="149"/>
        <v>0</v>
      </c>
      <c r="BQ53" s="158">
        <f t="shared" si="150"/>
        <v>0</v>
      </c>
      <c r="BR53" s="156">
        <f t="shared" si="278"/>
        <v>0</v>
      </c>
      <c r="BS53" s="154">
        <f t="shared" si="250"/>
        <v>0</v>
      </c>
      <c r="BT53" s="154">
        <f t="shared" si="153"/>
        <v>0</v>
      </c>
      <c r="BU53" s="154">
        <f t="shared" si="251"/>
        <v>0</v>
      </c>
      <c r="BV53" s="154">
        <f t="shared" si="155"/>
        <v>0</v>
      </c>
      <c r="BW53" s="154">
        <f t="shared" si="252"/>
        <v>0</v>
      </c>
      <c r="BX53" s="154">
        <f t="shared" si="157"/>
        <v>0</v>
      </c>
      <c r="BY53" s="154">
        <f t="shared" si="253"/>
        <v>0</v>
      </c>
      <c r="BZ53" s="154">
        <f t="shared" si="159"/>
        <v>0</v>
      </c>
      <c r="CA53" s="154">
        <f t="shared" si="254"/>
        <v>0</v>
      </c>
      <c r="CB53" s="157">
        <f t="shared" si="161"/>
        <v>0</v>
      </c>
      <c r="CC53" s="154">
        <f t="shared" si="162"/>
        <v>0</v>
      </c>
      <c r="CD53" s="158">
        <f t="shared" si="163"/>
        <v>0</v>
      </c>
      <c r="CE53" s="156">
        <f t="shared" si="278"/>
        <v>0</v>
      </c>
      <c r="CF53" s="154">
        <f t="shared" si="255"/>
        <v>0</v>
      </c>
      <c r="CG53" s="154">
        <f t="shared" si="166"/>
        <v>0</v>
      </c>
      <c r="CH53" s="154">
        <f t="shared" si="256"/>
        <v>0</v>
      </c>
      <c r="CI53" s="154">
        <f t="shared" si="168"/>
        <v>0</v>
      </c>
      <c r="CJ53" s="154">
        <f t="shared" si="257"/>
        <v>0</v>
      </c>
      <c r="CK53" s="154">
        <f t="shared" si="170"/>
        <v>0</v>
      </c>
      <c r="CL53" s="154">
        <f t="shared" si="258"/>
        <v>0</v>
      </c>
      <c r="CM53" s="154">
        <f t="shared" si="172"/>
        <v>0</v>
      </c>
      <c r="CN53" s="154">
        <f t="shared" si="259"/>
        <v>0</v>
      </c>
      <c r="CO53" s="157">
        <f t="shared" si="174"/>
        <v>0</v>
      </c>
      <c r="CP53" s="154">
        <f t="shared" si="175"/>
        <v>0</v>
      </c>
      <c r="CQ53" s="158">
        <f t="shared" si="176"/>
        <v>0</v>
      </c>
      <c r="CR53" s="156">
        <f t="shared" ref="CR53:DR68" si="279">IF(YEAR($F53)=CR$4,$E53,0)</f>
        <v>0</v>
      </c>
      <c r="CS53" s="154">
        <f t="shared" si="261"/>
        <v>0</v>
      </c>
      <c r="CT53" s="154">
        <f t="shared" si="179"/>
        <v>0</v>
      </c>
      <c r="CU53" s="154">
        <f t="shared" si="262"/>
        <v>0</v>
      </c>
      <c r="CV53" s="154">
        <f t="shared" si="181"/>
        <v>0</v>
      </c>
      <c r="CW53" s="154">
        <f t="shared" si="263"/>
        <v>0</v>
      </c>
      <c r="CX53" s="154">
        <f t="shared" si="183"/>
        <v>0</v>
      </c>
      <c r="CY53" s="154">
        <f t="shared" si="264"/>
        <v>0</v>
      </c>
      <c r="CZ53" s="154">
        <f t="shared" si="185"/>
        <v>0</v>
      </c>
      <c r="DA53" s="154">
        <f t="shared" si="265"/>
        <v>0</v>
      </c>
      <c r="DB53" s="157">
        <f t="shared" si="187"/>
        <v>0</v>
      </c>
      <c r="DC53" s="154">
        <f t="shared" si="188"/>
        <v>0</v>
      </c>
      <c r="DD53" s="158">
        <f t="shared" si="189"/>
        <v>0</v>
      </c>
      <c r="DE53" s="156">
        <f t="shared" si="279"/>
        <v>0</v>
      </c>
      <c r="DF53" s="154">
        <f t="shared" si="266"/>
        <v>0</v>
      </c>
      <c r="DG53" s="154">
        <f t="shared" si="192"/>
        <v>0</v>
      </c>
      <c r="DH53" s="154">
        <f t="shared" si="267"/>
        <v>0</v>
      </c>
      <c r="DI53" s="154">
        <f t="shared" si="194"/>
        <v>0</v>
      </c>
      <c r="DJ53" s="154">
        <f t="shared" si="268"/>
        <v>0</v>
      </c>
      <c r="DK53" s="154">
        <f t="shared" si="196"/>
        <v>0</v>
      </c>
      <c r="DL53" s="154">
        <f t="shared" si="269"/>
        <v>0</v>
      </c>
      <c r="DM53" s="154">
        <f t="shared" si="198"/>
        <v>0</v>
      </c>
      <c r="DN53" s="154">
        <f t="shared" si="270"/>
        <v>0</v>
      </c>
      <c r="DO53" s="157">
        <f t="shared" si="200"/>
        <v>0</v>
      </c>
      <c r="DP53" s="154">
        <f t="shared" si="201"/>
        <v>0</v>
      </c>
      <c r="DQ53" s="158">
        <f t="shared" si="202"/>
        <v>0</v>
      </c>
      <c r="DR53" s="156">
        <f t="shared" si="279"/>
        <v>0</v>
      </c>
      <c r="DS53" s="154">
        <f t="shared" si="271"/>
        <v>0</v>
      </c>
      <c r="DT53" s="154">
        <f t="shared" si="205"/>
        <v>0</v>
      </c>
      <c r="DU53" s="154">
        <f t="shared" si="272"/>
        <v>0</v>
      </c>
      <c r="DV53" s="154">
        <f t="shared" si="207"/>
        <v>0</v>
      </c>
      <c r="DW53" s="154">
        <f t="shared" si="273"/>
        <v>0</v>
      </c>
      <c r="DX53" s="154">
        <f t="shared" si="209"/>
        <v>0</v>
      </c>
      <c r="DY53" s="154">
        <f t="shared" si="274"/>
        <v>0</v>
      </c>
      <c r="DZ53" s="154">
        <f t="shared" si="211"/>
        <v>0</v>
      </c>
      <c r="EA53" s="154">
        <f t="shared" si="275"/>
        <v>0</v>
      </c>
      <c r="EB53" s="157">
        <f t="shared" si="213"/>
        <v>0</v>
      </c>
      <c r="EC53" s="154">
        <f t="shared" si="214"/>
        <v>0</v>
      </c>
      <c r="ED53" s="158">
        <f t="shared" si="215"/>
        <v>0</v>
      </c>
    </row>
    <row r="54" spans="1:134" x14ac:dyDescent="0.35">
      <c r="A54" s="172"/>
      <c r="B54" s="173"/>
      <c r="C54" s="174"/>
      <c r="D54" s="175"/>
      <c r="E54" s="176"/>
      <c r="F54" s="177"/>
      <c r="G54" s="178"/>
      <c r="H54" s="179"/>
      <c r="I54" s="180"/>
      <c r="J54" s="181"/>
      <c r="K54" s="152">
        <f t="shared" si="216"/>
        <v>0</v>
      </c>
      <c r="L54" s="153">
        <f t="shared" si="217"/>
        <v>0</v>
      </c>
      <c r="M54" s="154">
        <f t="shared" si="218"/>
        <v>0</v>
      </c>
      <c r="N54" s="154"/>
      <c r="O54" s="154">
        <f t="shared" si="219"/>
        <v>0</v>
      </c>
      <c r="P54" s="155"/>
      <c r="Q54" s="154">
        <f t="shared" si="220"/>
        <v>0</v>
      </c>
      <c r="R54" s="156">
        <f t="shared" si="221"/>
        <v>0</v>
      </c>
      <c r="S54" s="154">
        <f t="shared" si="222"/>
        <v>0</v>
      </c>
      <c r="T54" s="154">
        <f t="shared" si="223"/>
        <v>0</v>
      </c>
      <c r="U54" s="154">
        <f t="shared" si="224"/>
        <v>0</v>
      </c>
      <c r="V54" s="154">
        <f t="shared" si="225"/>
        <v>0</v>
      </c>
      <c r="W54" s="154">
        <f t="shared" si="226"/>
        <v>0</v>
      </c>
      <c r="X54" s="154">
        <f t="shared" si="227"/>
        <v>0</v>
      </c>
      <c r="Y54" s="154">
        <f t="shared" si="228"/>
        <v>0</v>
      </c>
      <c r="Z54" s="154">
        <f t="shared" si="229"/>
        <v>0</v>
      </c>
      <c r="AA54" s="154">
        <f t="shared" si="230"/>
        <v>0</v>
      </c>
      <c r="AB54" s="157">
        <f t="shared" si="231"/>
        <v>0</v>
      </c>
      <c r="AC54" s="154">
        <f t="shared" si="232"/>
        <v>0</v>
      </c>
      <c r="AD54" s="158">
        <f t="shared" si="233"/>
        <v>0</v>
      </c>
      <c r="AE54" s="156">
        <f t="shared" si="278"/>
        <v>0</v>
      </c>
      <c r="AF54" s="154">
        <f t="shared" si="235"/>
        <v>0</v>
      </c>
      <c r="AG54" s="154">
        <f t="shared" si="114"/>
        <v>0</v>
      </c>
      <c r="AH54" s="154">
        <f t="shared" si="236"/>
        <v>0</v>
      </c>
      <c r="AI54" s="154">
        <f t="shared" si="116"/>
        <v>0</v>
      </c>
      <c r="AJ54" s="154">
        <f t="shared" si="237"/>
        <v>0</v>
      </c>
      <c r="AK54" s="154">
        <f t="shared" si="118"/>
        <v>0</v>
      </c>
      <c r="AL54" s="154">
        <f t="shared" si="238"/>
        <v>0</v>
      </c>
      <c r="AM54" s="154">
        <f t="shared" si="120"/>
        <v>0</v>
      </c>
      <c r="AN54" s="154">
        <f t="shared" si="239"/>
        <v>0</v>
      </c>
      <c r="AO54" s="157">
        <f t="shared" si="122"/>
        <v>0</v>
      </c>
      <c r="AP54" s="154">
        <f t="shared" si="123"/>
        <v>0</v>
      </c>
      <c r="AQ54" s="158">
        <f t="shared" si="124"/>
        <v>0</v>
      </c>
      <c r="AR54" s="156">
        <f t="shared" si="278"/>
        <v>0</v>
      </c>
      <c r="AS54" s="154">
        <f t="shared" si="240"/>
        <v>0</v>
      </c>
      <c r="AT54" s="154">
        <f t="shared" si="127"/>
        <v>0</v>
      </c>
      <c r="AU54" s="154">
        <f t="shared" si="241"/>
        <v>0</v>
      </c>
      <c r="AV54" s="154">
        <f t="shared" si="129"/>
        <v>0</v>
      </c>
      <c r="AW54" s="154">
        <f t="shared" si="242"/>
        <v>0</v>
      </c>
      <c r="AX54" s="154">
        <f t="shared" si="131"/>
        <v>0</v>
      </c>
      <c r="AY54" s="154">
        <f t="shared" si="243"/>
        <v>0</v>
      </c>
      <c r="AZ54" s="154">
        <f t="shared" si="133"/>
        <v>0</v>
      </c>
      <c r="BA54" s="154">
        <f t="shared" si="244"/>
        <v>0</v>
      </c>
      <c r="BB54" s="157">
        <f t="shared" si="135"/>
        <v>0</v>
      </c>
      <c r="BC54" s="154">
        <f t="shared" si="136"/>
        <v>0</v>
      </c>
      <c r="BD54" s="158">
        <f t="shared" si="137"/>
        <v>0</v>
      </c>
      <c r="BE54" s="156">
        <f t="shared" si="278"/>
        <v>0</v>
      </c>
      <c r="BF54" s="154">
        <f t="shared" si="245"/>
        <v>0</v>
      </c>
      <c r="BG54" s="154">
        <f t="shared" si="140"/>
        <v>0</v>
      </c>
      <c r="BH54" s="154">
        <f t="shared" si="246"/>
        <v>0</v>
      </c>
      <c r="BI54" s="154">
        <f t="shared" si="142"/>
        <v>0</v>
      </c>
      <c r="BJ54" s="154">
        <f t="shared" si="247"/>
        <v>0</v>
      </c>
      <c r="BK54" s="154">
        <f t="shared" si="144"/>
        <v>0</v>
      </c>
      <c r="BL54" s="154">
        <f t="shared" si="248"/>
        <v>0</v>
      </c>
      <c r="BM54" s="154">
        <f t="shared" si="146"/>
        <v>0</v>
      </c>
      <c r="BN54" s="154">
        <f t="shared" si="249"/>
        <v>0</v>
      </c>
      <c r="BO54" s="157">
        <f t="shared" si="148"/>
        <v>0</v>
      </c>
      <c r="BP54" s="154">
        <f t="shared" si="149"/>
        <v>0</v>
      </c>
      <c r="BQ54" s="158">
        <f t="shared" si="150"/>
        <v>0</v>
      </c>
      <c r="BR54" s="156">
        <f t="shared" si="278"/>
        <v>0</v>
      </c>
      <c r="BS54" s="154">
        <f t="shared" si="250"/>
        <v>0</v>
      </c>
      <c r="BT54" s="154">
        <f t="shared" si="153"/>
        <v>0</v>
      </c>
      <c r="BU54" s="154">
        <f t="shared" si="251"/>
        <v>0</v>
      </c>
      <c r="BV54" s="154">
        <f t="shared" si="155"/>
        <v>0</v>
      </c>
      <c r="BW54" s="154">
        <f t="shared" si="252"/>
        <v>0</v>
      </c>
      <c r="BX54" s="154">
        <f t="shared" si="157"/>
        <v>0</v>
      </c>
      <c r="BY54" s="154">
        <f t="shared" si="253"/>
        <v>0</v>
      </c>
      <c r="BZ54" s="154">
        <f t="shared" si="159"/>
        <v>0</v>
      </c>
      <c r="CA54" s="154">
        <f t="shared" si="254"/>
        <v>0</v>
      </c>
      <c r="CB54" s="157">
        <f t="shared" si="161"/>
        <v>0</v>
      </c>
      <c r="CC54" s="154">
        <f t="shared" si="162"/>
        <v>0</v>
      </c>
      <c r="CD54" s="158">
        <f t="shared" si="163"/>
        <v>0</v>
      </c>
      <c r="CE54" s="156">
        <f t="shared" si="278"/>
        <v>0</v>
      </c>
      <c r="CF54" s="154">
        <f t="shared" si="255"/>
        <v>0</v>
      </c>
      <c r="CG54" s="154">
        <f t="shared" si="166"/>
        <v>0</v>
      </c>
      <c r="CH54" s="154">
        <f t="shared" si="256"/>
        <v>0</v>
      </c>
      <c r="CI54" s="154">
        <f t="shared" si="168"/>
        <v>0</v>
      </c>
      <c r="CJ54" s="154">
        <f t="shared" si="257"/>
        <v>0</v>
      </c>
      <c r="CK54" s="154">
        <f t="shared" si="170"/>
        <v>0</v>
      </c>
      <c r="CL54" s="154">
        <f t="shared" si="258"/>
        <v>0</v>
      </c>
      <c r="CM54" s="154">
        <f t="shared" si="172"/>
        <v>0</v>
      </c>
      <c r="CN54" s="154">
        <f t="shared" si="259"/>
        <v>0</v>
      </c>
      <c r="CO54" s="157">
        <f t="shared" si="174"/>
        <v>0</v>
      </c>
      <c r="CP54" s="154">
        <f t="shared" si="175"/>
        <v>0</v>
      </c>
      <c r="CQ54" s="158">
        <f t="shared" si="176"/>
        <v>0</v>
      </c>
      <c r="CR54" s="156">
        <f t="shared" si="279"/>
        <v>0</v>
      </c>
      <c r="CS54" s="154">
        <f t="shared" si="261"/>
        <v>0</v>
      </c>
      <c r="CT54" s="154">
        <f t="shared" si="179"/>
        <v>0</v>
      </c>
      <c r="CU54" s="154">
        <f t="shared" si="262"/>
        <v>0</v>
      </c>
      <c r="CV54" s="154">
        <f t="shared" si="181"/>
        <v>0</v>
      </c>
      <c r="CW54" s="154">
        <f t="shared" si="263"/>
        <v>0</v>
      </c>
      <c r="CX54" s="154">
        <f t="shared" si="183"/>
        <v>0</v>
      </c>
      <c r="CY54" s="154">
        <f t="shared" si="264"/>
        <v>0</v>
      </c>
      <c r="CZ54" s="154">
        <f t="shared" si="185"/>
        <v>0</v>
      </c>
      <c r="DA54" s="154">
        <f t="shared" si="265"/>
        <v>0</v>
      </c>
      <c r="DB54" s="157">
        <f t="shared" si="187"/>
        <v>0</v>
      </c>
      <c r="DC54" s="154">
        <f t="shared" si="188"/>
        <v>0</v>
      </c>
      <c r="DD54" s="158">
        <f t="shared" si="189"/>
        <v>0</v>
      </c>
      <c r="DE54" s="156">
        <f t="shared" si="279"/>
        <v>0</v>
      </c>
      <c r="DF54" s="154">
        <f t="shared" si="266"/>
        <v>0</v>
      </c>
      <c r="DG54" s="154">
        <f t="shared" si="192"/>
        <v>0</v>
      </c>
      <c r="DH54" s="154">
        <f t="shared" si="267"/>
        <v>0</v>
      </c>
      <c r="DI54" s="154">
        <f t="shared" si="194"/>
        <v>0</v>
      </c>
      <c r="DJ54" s="154">
        <f t="shared" si="268"/>
        <v>0</v>
      </c>
      <c r="DK54" s="154">
        <f t="shared" si="196"/>
        <v>0</v>
      </c>
      <c r="DL54" s="154">
        <f t="shared" si="269"/>
        <v>0</v>
      </c>
      <c r="DM54" s="154">
        <f t="shared" si="198"/>
        <v>0</v>
      </c>
      <c r="DN54" s="154">
        <f t="shared" si="270"/>
        <v>0</v>
      </c>
      <c r="DO54" s="157">
        <f t="shared" si="200"/>
        <v>0</v>
      </c>
      <c r="DP54" s="154">
        <f t="shared" si="201"/>
        <v>0</v>
      </c>
      <c r="DQ54" s="158">
        <f t="shared" si="202"/>
        <v>0</v>
      </c>
      <c r="DR54" s="156">
        <f t="shared" si="279"/>
        <v>0</v>
      </c>
      <c r="DS54" s="154">
        <f t="shared" si="271"/>
        <v>0</v>
      </c>
      <c r="DT54" s="154">
        <f t="shared" si="205"/>
        <v>0</v>
      </c>
      <c r="DU54" s="154">
        <f t="shared" si="272"/>
        <v>0</v>
      </c>
      <c r="DV54" s="154">
        <f t="shared" si="207"/>
        <v>0</v>
      </c>
      <c r="DW54" s="154">
        <f t="shared" si="273"/>
        <v>0</v>
      </c>
      <c r="DX54" s="154">
        <f t="shared" si="209"/>
        <v>0</v>
      </c>
      <c r="DY54" s="154">
        <f t="shared" si="274"/>
        <v>0</v>
      </c>
      <c r="DZ54" s="154">
        <f t="shared" si="211"/>
        <v>0</v>
      </c>
      <c r="EA54" s="154">
        <f t="shared" si="275"/>
        <v>0</v>
      </c>
      <c r="EB54" s="157">
        <f t="shared" si="213"/>
        <v>0</v>
      </c>
      <c r="EC54" s="154">
        <f t="shared" si="214"/>
        <v>0</v>
      </c>
      <c r="ED54" s="158">
        <f t="shared" si="215"/>
        <v>0</v>
      </c>
    </row>
    <row r="55" spans="1:134" x14ac:dyDescent="0.35">
      <c r="A55" s="172"/>
      <c r="B55" s="173"/>
      <c r="C55" s="174"/>
      <c r="D55" s="175"/>
      <c r="E55" s="176"/>
      <c r="F55" s="177"/>
      <c r="G55" s="178"/>
      <c r="H55" s="179"/>
      <c r="I55" s="180"/>
      <c r="J55" s="181"/>
      <c r="K55" s="152">
        <f t="shared" si="216"/>
        <v>0</v>
      </c>
      <c r="L55" s="153">
        <f t="shared" si="217"/>
        <v>0</v>
      </c>
      <c r="M55" s="154">
        <f t="shared" si="218"/>
        <v>0</v>
      </c>
      <c r="N55" s="154"/>
      <c r="O55" s="154">
        <f t="shared" si="219"/>
        <v>0</v>
      </c>
      <c r="P55" s="155"/>
      <c r="Q55" s="154">
        <f t="shared" si="220"/>
        <v>0</v>
      </c>
      <c r="R55" s="156">
        <f t="shared" si="221"/>
        <v>0</v>
      </c>
      <c r="S55" s="154">
        <f t="shared" si="222"/>
        <v>0</v>
      </c>
      <c r="T55" s="154">
        <f t="shared" si="223"/>
        <v>0</v>
      </c>
      <c r="U55" s="154">
        <f t="shared" si="224"/>
        <v>0</v>
      </c>
      <c r="V55" s="154">
        <f t="shared" si="225"/>
        <v>0</v>
      </c>
      <c r="W55" s="154">
        <f t="shared" si="226"/>
        <v>0</v>
      </c>
      <c r="X55" s="154">
        <f t="shared" si="227"/>
        <v>0</v>
      </c>
      <c r="Y55" s="154">
        <f t="shared" si="228"/>
        <v>0</v>
      </c>
      <c r="Z55" s="154">
        <f t="shared" si="229"/>
        <v>0</v>
      </c>
      <c r="AA55" s="154">
        <f t="shared" si="230"/>
        <v>0</v>
      </c>
      <c r="AB55" s="157">
        <f t="shared" si="231"/>
        <v>0</v>
      </c>
      <c r="AC55" s="154">
        <f t="shared" si="232"/>
        <v>0</v>
      </c>
      <c r="AD55" s="158">
        <f t="shared" si="233"/>
        <v>0</v>
      </c>
      <c r="AE55" s="156">
        <f t="shared" si="278"/>
        <v>0</v>
      </c>
      <c r="AF55" s="154">
        <f t="shared" si="235"/>
        <v>0</v>
      </c>
      <c r="AG55" s="154">
        <f t="shared" si="114"/>
        <v>0</v>
      </c>
      <c r="AH55" s="154">
        <f t="shared" si="236"/>
        <v>0</v>
      </c>
      <c r="AI55" s="154">
        <f t="shared" si="116"/>
        <v>0</v>
      </c>
      <c r="AJ55" s="154">
        <f t="shared" si="237"/>
        <v>0</v>
      </c>
      <c r="AK55" s="154">
        <f t="shared" si="118"/>
        <v>0</v>
      </c>
      <c r="AL55" s="154">
        <f t="shared" si="238"/>
        <v>0</v>
      </c>
      <c r="AM55" s="154">
        <f t="shared" si="120"/>
        <v>0</v>
      </c>
      <c r="AN55" s="154">
        <f t="shared" si="239"/>
        <v>0</v>
      </c>
      <c r="AO55" s="157">
        <f t="shared" si="122"/>
        <v>0</v>
      </c>
      <c r="AP55" s="154">
        <f t="shared" si="123"/>
        <v>0</v>
      </c>
      <c r="AQ55" s="158">
        <f t="shared" si="124"/>
        <v>0</v>
      </c>
      <c r="AR55" s="156">
        <f t="shared" si="278"/>
        <v>0</v>
      </c>
      <c r="AS55" s="154">
        <f t="shared" si="240"/>
        <v>0</v>
      </c>
      <c r="AT55" s="154">
        <f t="shared" si="127"/>
        <v>0</v>
      </c>
      <c r="AU55" s="154">
        <f t="shared" si="241"/>
        <v>0</v>
      </c>
      <c r="AV55" s="154">
        <f t="shared" si="129"/>
        <v>0</v>
      </c>
      <c r="AW55" s="154">
        <f t="shared" si="242"/>
        <v>0</v>
      </c>
      <c r="AX55" s="154">
        <f t="shared" si="131"/>
        <v>0</v>
      </c>
      <c r="AY55" s="154">
        <f t="shared" si="243"/>
        <v>0</v>
      </c>
      <c r="AZ55" s="154">
        <f t="shared" si="133"/>
        <v>0</v>
      </c>
      <c r="BA55" s="154">
        <f t="shared" si="244"/>
        <v>0</v>
      </c>
      <c r="BB55" s="157">
        <f t="shared" si="135"/>
        <v>0</v>
      </c>
      <c r="BC55" s="154">
        <f t="shared" si="136"/>
        <v>0</v>
      </c>
      <c r="BD55" s="158">
        <f t="shared" si="137"/>
        <v>0</v>
      </c>
      <c r="BE55" s="156">
        <f t="shared" si="278"/>
        <v>0</v>
      </c>
      <c r="BF55" s="154">
        <f t="shared" si="245"/>
        <v>0</v>
      </c>
      <c r="BG55" s="154">
        <f t="shared" si="140"/>
        <v>0</v>
      </c>
      <c r="BH55" s="154">
        <f t="shared" si="246"/>
        <v>0</v>
      </c>
      <c r="BI55" s="154">
        <f t="shared" si="142"/>
        <v>0</v>
      </c>
      <c r="BJ55" s="154">
        <f t="shared" si="247"/>
        <v>0</v>
      </c>
      <c r="BK55" s="154">
        <f t="shared" si="144"/>
        <v>0</v>
      </c>
      <c r="BL55" s="154">
        <f t="shared" si="248"/>
        <v>0</v>
      </c>
      <c r="BM55" s="154">
        <f t="shared" si="146"/>
        <v>0</v>
      </c>
      <c r="BN55" s="154">
        <f t="shared" si="249"/>
        <v>0</v>
      </c>
      <c r="BO55" s="157">
        <f t="shared" si="148"/>
        <v>0</v>
      </c>
      <c r="BP55" s="154">
        <f t="shared" si="149"/>
        <v>0</v>
      </c>
      <c r="BQ55" s="158">
        <f t="shared" si="150"/>
        <v>0</v>
      </c>
      <c r="BR55" s="156">
        <f t="shared" si="278"/>
        <v>0</v>
      </c>
      <c r="BS55" s="154">
        <f t="shared" si="250"/>
        <v>0</v>
      </c>
      <c r="BT55" s="154">
        <f t="shared" si="153"/>
        <v>0</v>
      </c>
      <c r="BU55" s="154">
        <f t="shared" si="251"/>
        <v>0</v>
      </c>
      <c r="BV55" s="154">
        <f t="shared" si="155"/>
        <v>0</v>
      </c>
      <c r="BW55" s="154">
        <f t="shared" si="252"/>
        <v>0</v>
      </c>
      <c r="BX55" s="154">
        <f t="shared" si="157"/>
        <v>0</v>
      </c>
      <c r="BY55" s="154">
        <f t="shared" si="253"/>
        <v>0</v>
      </c>
      <c r="BZ55" s="154">
        <f t="shared" si="159"/>
        <v>0</v>
      </c>
      <c r="CA55" s="154">
        <f t="shared" si="254"/>
        <v>0</v>
      </c>
      <c r="CB55" s="157">
        <f t="shared" si="161"/>
        <v>0</v>
      </c>
      <c r="CC55" s="154">
        <f t="shared" si="162"/>
        <v>0</v>
      </c>
      <c r="CD55" s="158">
        <f t="shared" si="163"/>
        <v>0</v>
      </c>
      <c r="CE55" s="156">
        <f t="shared" si="278"/>
        <v>0</v>
      </c>
      <c r="CF55" s="154">
        <f t="shared" si="255"/>
        <v>0</v>
      </c>
      <c r="CG55" s="154">
        <f t="shared" si="166"/>
        <v>0</v>
      </c>
      <c r="CH55" s="154">
        <f t="shared" si="256"/>
        <v>0</v>
      </c>
      <c r="CI55" s="154">
        <f t="shared" si="168"/>
        <v>0</v>
      </c>
      <c r="CJ55" s="154">
        <f t="shared" si="257"/>
        <v>0</v>
      </c>
      <c r="CK55" s="154">
        <f t="shared" si="170"/>
        <v>0</v>
      </c>
      <c r="CL55" s="154">
        <f t="shared" si="258"/>
        <v>0</v>
      </c>
      <c r="CM55" s="154">
        <f t="shared" si="172"/>
        <v>0</v>
      </c>
      <c r="CN55" s="154">
        <f t="shared" si="259"/>
        <v>0</v>
      </c>
      <c r="CO55" s="157">
        <f t="shared" si="174"/>
        <v>0</v>
      </c>
      <c r="CP55" s="154">
        <f t="shared" si="175"/>
        <v>0</v>
      </c>
      <c r="CQ55" s="158">
        <f t="shared" si="176"/>
        <v>0</v>
      </c>
      <c r="CR55" s="156">
        <f t="shared" si="279"/>
        <v>0</v>
      </c>
      <c r="CS55" s="154">
        <f t="shared" si="261"/>
        <v>0</v>
      </c>
      <c r="CT55" s="154">
        <f t="shared" si="179"/>
        <v>0</v>
      </c>
      <c r="CU55" s="154">
        <f t="shared" si="262"/>
        <v>0</v>
      </c>
      <c r="CV55" s="154">
        <f t="shared" si="181"/>
        <v>0</v>
      </c>
      <c r="CW55" s="154">
        <f t="shared" si="263"/>
        <v>0</v>
      </c>
      <c r="CX55" s="154">
        <f t="shared" si="183"/>
        <v>0</v>
      </c>
      <c r="CY55" s="154">
        <f t="shared" si="264"/>
        <v>0</v>
      </c>
      <c r="CZ55" s="154">
        <f t="shared" si="185"/>
        <v>0</v>
      </c>
      <c r="DA55" s="154">
        <f t="shared" si="265"/>
        <v>0</v>
      </c>
      <c r="DB55" s="157">
        <f t="shared" si="187"/>
        <v>0</v>
      </c>
      <c r="DC55" s="154">
        <f t="shared" si="188"/>
        <v>0</v>
      </c>
      <c r="DD55" s="158">
        <f t="shared" si="189"/>
        <v>0</v>
      </c>
      <c r="DE55" s="156">
        <f t="shared" si="279"/>
        <v>0</v>
      </c>
      <c r="DF55" s="154">
        <f t="shared" si="266"/>
        <v>0</v>
      </c>
      <c r="DG55" s="154">
        <f t="shared" si="192"/>
        <v>0</v>
      </c>
      <c r="DH55" s="154">
        <f t="shared" si="267"/>
        <v>0</v>
      </c>
      <c r="DI55" s="154">
        <f t="shared" si="194"/>
        <v>0</v>
      </c>
      <c r="DJ55" s="154">
        <f t="shared" si="268"/>
        <v>0</v>
      </c>
      <c r="DK55" s="154">
        <f t="shared" si="196"/>
        <v>0</v>
      </c>
      <c r="DL55" s="154">
        <f t="shared" si="269"/>
        <v>0</v>
      </c>
      <c r="DM55" s="154">
        <f t="shared" si="198"/>
        <v>0</v>
      </c>
      <c r="DN55" s="154">
        <f t="shared" si="270"/>
        <v>0</v>
      </c>
      <c r="DO55" s="157">
        <f t="shared" si="200"/>
        <v>0</v>
      </c>
      <c r="DP55" s="154">
        <f t="shared" si="201"/>
        <v>0</v>
      </c>
      <c r="DQ55" s="158">
        <f t="shared" si="202"/>
        <v>0</v>
      </c>
      <c r="DR55" s="156">
        <f t="shared" si="279"/>
        <v>0</v>
      </c>
      <c r="DS55" s="154">
        <f t="shared" si="271"/>
        <v>0</v>
      </c>
      <c r="DT55" s="154">
        <f t="shared" si="205"/>
        <v>0</v>
      </c>
      <c r="DU55" s="154">
        <f t="shared" si="272"/>
        <v>0</v>
      </c>
      <c r="DV55" s="154">
        <f t="shared" si="207"/>
        <v>0</v>
      </c>
      <c r="DW55" s="154">
        <f t="shared" si="273"/>
        <v>0</v>
      </c>
      <c r="DX55" s="154">
        <f t="shared" si="209"/>
        <v>0</v>
      </c>
      <c r="DY55" s="154">
        <f t="shared" si="274"/>
        <v>0</v>
      </c>
      <c r="DZ55" s="154">
        <f t="shared" si="211"/>
        <v>0</v>
      </c>
      <c r="EA55" s="154">
        <f t="shared" si="275"/>
        <v>0</v>
      </c>
      <c r="EB55" s="157">
        <f t="shared" si="213"/>
        <v>0</v>
      </c>
      <c r="EC55" s="154">
        <f t="shared" si="214"/>
        <v>0</v>
      </c>
      <c r="ED55" s="158">
        <f t="shared" si="215"/>
        <v>0</v>
      </c>
    </row>
    <row r="56" spans="1:134" x14ac:dyDescent="0.35">
      <c r="A56" s="172"/>
      <c r="B56" s="173"/>
      <c r="C56" s="174"/>
      <c r="D56" s="175"/>
      <c r="E56" s="176"/>
      <c r="F56" s="177"/>
      <c r="G56" s="178"/>
      <c r="H56" s="179"/>
      <c r="I56" s="180"/>
      <c r="J56" s="181"/>
      <c r="K56" s="152">
        <f t="shared" si="216"/>
        <v>0</v>
      </c>
      <c r="L56" s="153">
        <f t="shared" si="217"/>
        <v>0</v>
      </c>
      <c r="M56" s="154">
        <f t="shared" si="218"/>
        <v>0</v>
      </c>
      <c r="N56" s="154"/>
      <c r="O56" s="154">
        <f t="shared" si="219"/>
        <v>0</v>
      </c>
      <c r="P56" s="155"/>
      <c r="Q56" s="154">
        <f t="shared" si="220"/>
        <v>0</v>
      </c>
      <c r="R56" s="156">
        <f t="shared" si="221"/>
        <v>0</v>
      </c>
      <c r="S56" s="154">
        <f t="shared" si="222"/>
        <v>0</v>
      </c>
      <c r="T56" s="154">
        <f t="shared" si="223"/>
        <v>0</v>
      </c>
      <c r="U56" s="154">
        <f t="shared" si="224"/>
        <v>0</v>
      </c>
      <c r="V56" s="154">
        <f t="shared" si="225"/>
        <v>0</v>
      </c>
      <c r="W56" s="154">
        <f t="shared" si="226"/>
        <v>0</v>
      </c>
      <c r="X56" s="154">
        <f t="shared" si="227"/>
        <v>0</v>
      </c>
      <c r="Y56" s="154">
        <f t="shared" si="228"/>
        <v>0</v>
      </c>
      <c r="Z56" s="154">
        <f t="shared" si="229"/>
        <v>0</v>
      </c>
      <c r="AA56" s="154">
        <f t="shared" si="230"/>
        <v>0</v>
      </c>
      <c r="AB56" s="157">
        <f t="shared" si="231"/>
        <v>0</v>
      </c>
      <c r="AC56" s="154">
        <f t="shared" si="232"/>
        <v>0</v>
      </c>
      <c r="AD56" s="158">
        <f t="shared" si="233"/>
        <v>0</v>
      </c>
      <c r="AE56" s="156">
        <f t="shared" si="278"/>
        <v>0</v>
      </c>
      <c r="AF56" s="154">
        <f t="shared" si="235"/>
        <v>0</v>
      </c>
      <c r="AG56" s="154">
        <f t="shared" si="114"/>
        <v>0</v>
      </c>
      <c r="AH56" s="154">
        <f t="shared" si="236"/>
        <v>0</v>
      </c>
      <c r="AI56" s="154">
        <f t="shared" si="116"/>
        <v>0</v>
      </c>
      <c r="AJ56" s="154">
        <f t="shared" si="237"/>
        <v>0</v>
      </c>
      <c r="AK56" s="154">
        <f t="shared" si="118"/>
        <v>0</v>
      </c>
      <c r="AL56" s="154">
        <f t="shared" si="238"/>
        <v>0</v>
      </c>
      <c r="AM56" s="154">
        <f t="shared" si="120"/>
        <v>0</v>
      </c>
      <c r="AN56" s="154">
        <f t="shared" si="239"/>
        <v>0</v>
      </c>
      <c r="AO56" s="157">
        <f t="shared" si="122"/>
        <v>0</v>
      </c>
      <c r="AP56" s="154">
        <f t="shared" si="123"/>
        <v>0</v>
      </c>
      <c r="AQ56" s="158">
        <f t="shared" si="124"/>
        <v>0</v>
      </c>
      <c r="AR56" s="156">
        <f t="shared" si="278"/>
        <v>0</v>
      </c>
      <c r="AS56" s="154">
        <f t="shared" si="240"/>
        <v>0</v>
      </c>
      <c r="AT56" s="154">
        <f t="shared" si="127"/>
        <v>0</v>
      </c>
      <c r="AU56" s="154">
        <f t="shared" si="241"/>
        <v>0</v>
      </c>
      <c r="AV56" s="154">
        <f t="shared" si="129"/>
        <v>0</v>
      </c>
      <c r="AW56" s="154">
        <f t="shared" si="242"/>
        <v>0</v>
      </c>
      <c r="AX56" s="154">
        <f t="shared" si="131"/>
        <v>0</v>
      </c>
      <c r="AY56" s="154">
        <f t="shared" si="243"/>
        <v>0</v>
      </c>
      <c r="AZ56" s="154">
        <f t="shared" si="133"/>
        <v>0</v>
      </c>
      <c r="BA56" s="154">
        <f t="shared" si="244"/>
        <v>0</v>
      </c>
      <c r="BB56" s="157">
        <f t="shared" si="135"/>
        <v>0</v>
      </c>
      <c r="BC56" s="154">
        <f t="shared" si="136"/>
        <v>0</v>
      </c>
      <c r="BD56" s="158">
        <f t="shared" si="137"/>
        <v>0</v>
      </c>
      <c r="BE56" s="156">
        <f t="shared" si="278"/>
        <v>0</v>
      </c>
      <c r="BF56" s="154">
        <f t="shared" si="245"/>
        <v>0</v>
      </c>
      <c r="BG56" s="154">
        <f t="shared" si="140"/>
        <v>0</v>
      </c>
      <c r="BH56" s="154">
        <f t="shared" si="246"/>
        <v>0</v>
      </c>
      <c r="BI56" s="154">
        <f t="shared" si="142"/>
        <v>0</v>
      </c>
      <c r="BJ56" s="154">
        <f t="shared" si="247"/>
        <v>0</v>
      </c>
      <c r="BK56" s="154">
        <f t="shared" si="144"/>
        <v>0</v>
      </c>
      <c r="BL56" s="154">
        <f t="shared" si="248"/>
        <v>0</v>
      </c>
      <c r="BM56" s="154">
        <f t="shared" si="146"/>
        <v>0</v>
      </c>
      <c r="BN56" s="154">
        <f t="shared" si="249"/>
        <v>0</v>
      </c>
      <c r="BO56" s="157">
        <f t="shared" si="148"/>
        <v>0</v>
      </c>
      <c r="BP56" s="154">
        <f t="shared" si="149"/>
        <v>0</v>
      </c>
      <c r="BQ56" s="158">
        <f t="shared" si="150"/>
        <v>0</v>
      </c>
      <c r="BR56" s="156">
        <f t="shared" si="278"/>
        <v>0</v>
      </c>
      <c r="BS56" s="154">
        <f t="shared" si="250"/>
        <v>0</v>
      </c>
      <c r="BT56" s="154">
        <f t="shared" si="153"/>
        <v>0</v>
      </c>
      <c r="BU56" s="154">
        <f t="shared" si="251"/>
        <v>0</v>
      </c>
      <c r="BV56" s="154">
        <f t="shared" si="155"/>
        <v>0</v>
      </c>
      <c r="BW56" s="154">
        <f t="shared" si="252"/>
        <v>0</v>
      </c>
      <c r="BX56" s="154">
        <f t="shared" si="157"/>
        <v>0</v>
      </c>
      <c r="BY56" s="154">
        <f t="shared" si="253"/>
        <v>0</v>
      </c>
      <c r="BZ56" s="154">
        <f t="shared" si="159"/>
        <v>0</v>
      </c>
      <c r="CA56" s="154">
        <f t="shared" si="254"/>
        <v>0</v>
      </c>
      <c r="CB56" s="157">
        <f t="shared" si="161"/>
        <v>0</v>
      </c>
      <c r="CC56" s="154">
        <f t="shared" si="162"/>
        <v>0</v>
      </c>
      <c r="CD56" s="158">
        <f t="shared" si="163"/>
        <v>0</v>
      </c>
      <c r="CE56" s="156">
        <f t="shared" si="278"/>
        <v>0</v>
      </c>
      <c r="CF56" s="154">
        <f t="shared" si="255"/>
        <v>0</v>
      </c>
      <c r="CG56" s="154">
        <f t="shared" si="166"/>
        <v>0</v>
      </c>
      <c r="CH56" s="154">
        <f t="shared" si="256"/>
        <v>0</v>
      </c>
      <c r="CI56" s="154">
        <f t="shared" si="168"/>
        <v>0</v>
      </c>
      <c r="CJ56" s="154">
        <f t="shared" si="257"/>
        <v>0</v>
      </c>
      <c r="CK56" s="154">
        <f t="shared" si="170"/>
        <v>0</v>
      </c>
      <c r="CL56" s="154">
        <f t="shared" si="258"/>
        <v>0</v>
      </c>
      <c r="CM56" s="154">
        <f t="shared" si="172"/>
        <v>0</v>
      </c>
      <c r="CN56" s="154">
        <f t="shared" si="259"/>
        <v>0</v>
      </c>
      <c r="CO56" s="157">
        <f t="shared" si="174"/>
        <v>0</v>
      </c>
      <c r="CP56" s="154">
        <f t="shared" si="175"/>
        <v>0</v>
      </c>
      <c r="CQ56" s="158">
        <f t="shared" si="176"/>
        <v>0</v>
      </c>
      <c r="CR56" s="156">
        <f t="shared" si="279"/>
        <v>0</v>
      </c>
      <c r="CS56" s="154">
        <f t="shared" si="261"/>
        <v>0</v>
      </c>
      <c r="CT56" s="154">
        <f t="shared" si="179"/>
        <v>0</v>
      </c>
      <c r="CU56" s="154">
        <f t="shared" si="262"/>
        <v>0</v>
      </c>
      <c r="CV56" s="154">
        <f t="shared" si="181"/>
        <v>0</v>
      </c>
      <c r="CW56" s="154">
        <f t="shared" si="263"/>
        <v>0</v>
      </c>
      <c r="CX56" s="154">
        <f t="shared" si="183"/>
        <v>0</v>
      </c>
      <c r="CY56" s="154">
        <f t="shared" si="264"/>
        <v>0</v>
      </c>
      <c r="CZ56" s="154">
        <f t="shared" si="185"/>
        <v>0</v>
      </c>
      <c r="DA56" s="154">
        <f t="shared" si="265"/>
        <v>0</v>
      </c>
      <c r="DB56" s="157">
        <f t="shared" si="187"/>
        <v>0</v>
      </c>
      <c r="DC56" s="154">
        <f t="shared" si="188"/>
        <v>0</v>
      </c>
      <c r="DD56" s="158">
        <f t="shared" si="189"/>
        <v>0</v>
      </c>
      <c r="DE56" s="156">
        <f t="shared" si="279"/>
        <v>0</v>
      </c>
      <c r="DF56" s="154">
        <f t="shared" si="266"/>
        <v>0</v>
      </c>
      <c r="DG56" s="154">
        <f t="shared" si="192"/>
        <v>0</v>
      </c>
      <c r="DH56" s="154">
        <f t="shared" si="267"/>
        <v>0</v>
      </c>
      <c r="DI56" s="154">
        <f t="shared" si="194"/>
        <v>0</v>
      </c>
      <c r="DJ56" s="154">
        <f t="shared" si="268"/>
        <v>0</v>
      </c>
      <c r="DK56" s="154">
        <f t="shared" si="196"/>
        <v>0</v>
      </c>
      <c r="DL56" s="154">
        <f t="shared" si="269"/>
        <v>0</v>
      </c>
      <c r="DM56" s="154">
        <f t="shared" si="198"/>
        <v>0</v>
      </c>
      <c r="DN56" s="154">
        <f t="shared" si="270"/>
        <v>0</v>
      </c>
      <c r="DO56" s="157">
        <f t="shared" si="200"/>
        <v>0</v>
      </c>
      <c r="DP56" s="154">
        <f t="shared" si="201"/>
        <v>0</v>
      </c>
      <c r="DQ56" s="158">
        <f t="shared" si="202"/>
        <v>0</v>
      </c>
      <c r="DR56" s="156">
        <f t="shared" si="279"/>
        <v>0</v>
      </c>
      <c r="DS56" s="154">
        <f t="shared" si="271"/>
        <v>0</v>
      </c>
      <c r="DT56" s="154">
        <f t="shared" si="205"/>
        <v>0</v>
      </c>
      <c r="DU56" s="154">
        <f t="shared" si="272"/>
        <v>0</v>
      </c>
      <c r="DV56" s="154">
        <f t="shared" si="207"/>
        <v>0</v>
      </c>
      <c r="DW56" s="154">
        <f t="shared" si="273"/>
        <v>0</v>
      </c>
      <c r="DX56" s="154">
        <f t="shared" si="209"/>
        <v>0</v>
      </c>
      <c r="DY56" s="154">
        <f t="shared" si="274"/>
        <v>0</v>
      </c>
      <c r="DZ56" s="154">
        <f t="shared" si="211"/>
        <v>0</v>
      </c>
      <c r="EA56" s="154">
        <f t="shared" si="275"/>
        <v>0</v>
      </c>
      <c r="EB56" s="157">
        <f t="shared" si="213"/>
        <v>0</v>
      </c>
      <c r="EC56" s="154">
        <f t="shared" si="214"/>
        <v>0</v>
      </c>
      <c r="ED56" s="158">
        <f t="shared" si="215"/>
        <v>0</v>
      </c>
    </row>
    <row r="57" spans="1:134" x14ac:dyDescent="0.35">
      <c r="A57" s="172"/>
      <c r="B57" s="173"/>
      <c r="C57" s="174"/>
      <c r="D57" s="175"/>
      <c r="E57" s="176"/>
      <c r="F57" s="177"/>
      <c r="G57" s="178"/>
      <c r="H57" s="179"/>
      <c r="I57" s="180"/>
      <c r="J57" s="181"/>
      <c r="K57" s="152">
        <f t="shared" si="216"/>
        <v>0</v>
      </c>
      <c r="L57" s="153">
        <f t="shared" si="217"/>
        <v>0</v>
      </c>
      <c r="M57" s="154">
        <f t="shared" si="218"/>
        <v>0</v>
      </c>
      <c r="N57" s="154"/>
      <c r="O57" s="154">
        <f t="shared" si="219"/>
        <v>0</v>
      </c>
      <c r="P57" s="155"/>
      <c r="Q57" s="154">
        <f t="shared" si="220"/>
        <v>0</v>
      </c>
      <c r="R57" s="156">
        <f t="shared" si="221"/>
        <v>0</v>
      </c>
      <c r="S57" s="154">
        <f t="shared" si="222"/>
        <v>0</v>
      </c>
      <c r="T57" s="154">
        <f t="shared" si="223"/>
        <v>0</v>
      </c>
      <c r="U57" s="154">
        <f t="shared" si="224"/>
        <v>0</v>
      </c>
      <c r="V57" s="154">
        <f t="shared" si="225"/>
        <v>0</v>
      </c>
      <c r="W57" s="154">
        <f t="shared" si="226"/>
        <v>0</v>
      </c>
      <c r="X57" s="154">
        <f t="shared" si="227"/>
        <v>0</v>
      </c>
      <c r="Y57" s="154">
        <f t="shared" si="228"/>
        <v>0</v>
      </c>
      <c r="Z57" s="154">
        <f t="shared" si="229"/>
        <v>0</v>
      </c>
      <c r="AA57" s="154">
        <f t="shared" si="230"/>
        <v>0</v>
      </c>
      <c r="AB57" s="157">
        <f t="shared" si="231"/>
        <v>0</v>
      </c>
      <c r="AC57" s="154">
        <f t="shared" si="232"/>
        <v>0</v>
      </c>
      <c r="AD57" s="158">
        <f t="shared" si="233"/>
        <v>0</v>
      </c>
      <c r="AE57" s="156">
        <f t="shared" si="278"/>
        <v>0</v>
      </c>
      <c r="AF57" s="154">
        <f t="shared" si="235"/>
        <v>0</v>
      </c>
      <c r="AG57" s="154">
        <f t="shared" si="114"/>
        <v>0</v>
      </c>
      <c r="AH57" s="154">
        <f t="shared" si="236"/>
        <v>0</v>
      </c>
      <c r="AI57" s="154">
        <f t="shared" si="116"/>
        <v>0</v>
      </c>
      <c r="AJ57" s="154">
        <f t="shared" si="237"/>
        <v>0</v>
      </c>
      <c r="AK57" s="154">
        <f t="shared" si="118"/>
        <v>0</v>
      </c>
      <c r="AL57" s="154">
        <f t="shared" si="238"/>
        <v>0</v>
      </c>
      <c r="AM57" s="154">
        <f t="shared" si="120"/>
        <v>0</v>
      </c>
      <c r="AN57" s="154">
        <f t="shared" si="239"/>
        <v>0</v>
      </c>
      <c r="AO57" s="157">
        <f t="shared" si="122"/>
        <v>0</v>
      </c>
      <c r="AP57" s="154">
        <f t="shared" si="123"/>
        <v>0</v>
      </c>
      <c r="AQ57" s="158">
        <f t="shared" si="124"/>
        <v>0</v>
      </c>
      <c r="AR57" s="156">
        <f t="shared" si="278"/>
        <v>0</v>
      </c>
      <c r="AS57" s="154">
        <f t="shared" si="240"/>
        <v>0</v>
      </c>
      <c r="AT57" s="154">
        <f t="shared" si="127"/>
        <v>0</v>
      </c>
      <c r="AU57" s="154">
        <f t="shared" si="241"/>
        <v>0</v>
      </c>
      <c r="AV57" s="154">
        <f t="shared" si="129"/>
        <v>0</v>
      </c>
      <c r="AW57" s="154">
        <f t="shared" si="242"/>
        <v>0</v>
      </c>
      <c r="AX57" s="154">
        <f t="shared" si="131"/>
        <v>0</v>
      </c>
      <c r="AY57" s="154">
        <f t="shared" si="243"/>
        <v>0</v>
      </c>
      <c r="AZ57" s="154">
        <f t="shared" si="133"/>
        <v>0</v>
      </c>
      <c r="BA57" s="154">
        <f t="shared" si="244"/>
        <v>0</v>
      </c>
      <c r="BB57" s="157">
        <f t="shared" si="135"/>
        <v>0</v>
      </c>
      <c r="BC57" s="154">
        <f t="shared" si="136"/>
        <v>0</v>
      </c>
      <c r="BD57" s="158">
        <f t="shared" si="137"/>
        <v>0</v>
      </c>
      <c r="BE57" s="156">
        <f t="shared" si="278"/>
        <v>0</v>
      </c>
      <c r="BF57" s="154">
        <f t="shared" si="245"/>
        <v>0</v>
      </c>
      <c r="BG57" s="154">
        <f t="shared" si="140"/>
        <v>0</v>
      </c>
      <c r="BH57" s="154">
        <f t="shared" si="246"/>
        <v>0</v>
      </c>
      <c r="BI57" s="154">
        <f t="shared" si="142"/>
        <v>0</v>
      </c>
      <c r="BJ57" s="154">
        <f t="shared" si="247"/>
        <v>0</v>
      </c>
      <c r="BK57" s="154">
        <f t="shared" si="144"/>
        <v>0</v>
      </c>
      <c r="BL57" s="154">
        <f t="shared" si="248"/>
        <v>0</v>
      </c>
      <c r="BM57" s="154">
        <f t="shared" si="146"/>
        <v>0</v>
      </c>
      <c r="BN57" s="154">
        <f t="shared" si="249"/>
        <v>0</v>
      </c>
      <c r="BO57" s="157">
        <f t="shared" si="148"/>
        <v>0</v>
      </c>
      <c r="BP57" s="154">
        <f t="shared" si="149"/>
        <v>0</v>
      </c>
      <c r="BQ57" s="158">
        <f t="shared" si="150"/>
        <v>0</v>
      </c>
      <c r="BR57" s="156">
        <f t="shared" si="278"/>
        <v>0</v>
      </c>
      <c r="BS57" s="154">
        <f t="shared" si="250"/>
        <v>0</v>
      </c>
      <c r="BT57" s="154">
        <f t="shared" si="153"/>
        <v>0</v>
      </c>
      <c r="BU57" s="154">
        <f t="shared" si="251"/>
        <v>0</v>
      </c>
      <c r="BV57" s="154">
        <f t="shared" si="155"/>
        <v>0</v>
      </c>
      <c r="BW57" s="154">
        <f t="shared" si="252"/>
        <v>0</v>
      </c>
      <c r="BX57" s="154">
        <f t="shared" si="157"/>
        <v>0</v>
      </c>
      <c r="BY57" s="154">
        <f t="shared" si="253"/>
        <v>0</v>
      </c>
      <c r="BZ57" s="154">
        <f t="shared" si="159"/>
        <v>0</v>
      </c>
      <c r="CA57" s="154">
        <f t="shared" si="254"/>
        <v>0</v>
      </c>
      <c r="CB57" s="157">
        <f t="shared" si="161"/>
        <v>0</v>
      </c>
      <c r="CC57" s="154">
        <f t="shared" si="162"/>
        <v>0</v>
      </c>
      <c r="CD57" s="158">
        <f t="shared" si="163"/>
        <v>0</v>
      </c>
      <c r="CE57" s="156">
        <f t="shared" si="278"/>
        <v>0</v>
      </c>
      <c r="CF57" s="154">
        <f t="shared" si="255"/>
        <v>0</v>
      </c>
      <c r="CG57" s="154">
        <f t="shared" si="166"/>
        <v>0</v>
      </c>
      <c r="CH57" s="154">
        <f t="shared" si="256"/>
        <v>0</v>
      </c>
      <c r="CI57" s="154">
        <f t="shared" si="168"/>
        <v>0</v>
      </c>
      <c r="CJ57" s="154">
        <f t="shared" si="257"/>
        <v>0</v>
      </c>
      <c r="CK57" s="154">
        <f t="shared" si="170"/>
        <v>0</v>
      </c>
      <c r="CL57" s="154">
        <f t="shared" si="258"/>
        <v>0</v>
      </c>
      <c r="CM57" s="154">
        <f t="shared" si="172"/>
        <v>0</v>
      </c>
      <c r="CN57" s="154">
        <f t="shared" si="259"/>
        <v>0</v>
      </c>
      <c r="CO57" s="157">
        <f t="shared" si="174"/>
        <v>0</v>
      </c>
      <c r="CP57" s="154">
        <f t="shared" si="175"/>
        <v>0</v>
      </c>
      <c r="CQ57" s="158">
        <f t="shared" si="176"/>
        <v>0</v>
      </c>
      <c r="CR57" s="156">
        <f t="shared" si="279"/>
        <v>0</v>
      </c>
      <c r="CS57" s="154">
        <f t="shared" si="261"/>
        <v>0</v>
      </c>
      <c r="CT57" s="154">
        <f t="shared" si="179"/>
        <v>0</v>
      </c>
      <c r="CU57" s="154">
        <f t="shared" si="262"/>
        <v>0</v>
      </c>
      <c r="CV57" s="154">
        <f t="shared" si="181"/>
        <v>0</v>
      </c>
      <c r="CW57" s="154">
        <f t="shared" si="263"/>
        <v>0</v>
      </c>
      <c r="CX57" s="154">
        <f t="shared" si="183"/>
        <v>0</v>
      </c>
      <c r="CY57" s="154">
        <f t="shared" si="264"/>
        <v>0</v>
      </c>
      <c r="CZ57" s="154">
        <f t="shared" si="185"/>
        <v>0</v>
      </c>
      <c r="DA57" s="154">
        <f t="shared" si="265"/>
        <v>0</v>
      </c>
      <c r="DB57" s="157">
        <f t="shared" si="187"/>
        <v>0</v>
      </c>
      <c r="DC57" s="154">
        <f t="shared" si="188"/>
        <v>0</v>
      </c>
      <c r="DD57" s="158">
        <f t="shared" si="189"/>
        <v>0</v>
      </c>
      <c r="DE57" s="156">
        <f t="shared" si="279"/>
        <v>0</v>
      </c>
      <c r="DF57" s="154">
        <f t="shared" si="266"/>
        <v>0</v>
      </c>
      <c r="DG57" s="154">
        <f t="shared" si="192"/>
        <v>0</v>
      </c>
      <c r="DH57" s="154">
        <f t="shared" si="267"/>
        <v>0</v>
      </c>
      <c r="DI57" s="154">
        <f t="shared" si="194"/>
        <v>0</v>
      </c>
      <c r="DJ57" s="154">
        <f t="shared" si="268"/>
        <v>0</v>
      </c>
      <c r="DK57" s="154">
        <f t="shared" si="196"/>
        <v>0</v>
      </c>
      <c r="DL57" s="154">
        <f t="shared" si="269"/>
        <v>0</v>
      </c>
      <c r="DM57" s="154">
        <f t="shared" si="198"/>
        <v>0</v>
      </c>
      <c r="DN57" s="154">
        <f t="shared" si="270"/>
        <v>0</v>
      </c>
      <c r="DO57" s="157">
        <f t="shared" si="200"/>
        <v>0</v>
      </c>
      <c r="DP57" s="154">
        <f t="shared" si="201"/>
        <v>0</v>
      </c>
      <c r="DQ57" s="158">
        <f t="shared" si="202"/>
        <v>0</v>
      </c>
      <c r="DR57" s="156">
        <f t="shared" si="279"/>
        <v>0</v>
      </c>
      <c r="DS57" s="154">
        <f t="shared" si="271"/>
        <v>0</v>
      </c>
      <c r="DT57" s="154">
        <f t="shared" si="205"/>
        <v>0</v>
      </c>
      <c r="DU57" s="154">
        <f t="shared" si="272"/>
        <v>0</v>
      </c>
      <c r="DV57" s="154">
        <f t="shared" si="207"/>
        <v>0</v>
      </c>
      <c r="DW57" s="154">
        <f t="shared" si="273"/>
        <v>0</v>
      </c>
      <c r="DX57" s="154">
        <f t="shared" si="209"/>
        <v>0</v>
      </c>
      <c r="DY57" s="154">
        <f t="shared" si="274"/>
        <v>0</v>
      </c>
      <c r="DZ57" s="154">
        <f t="shared" si="211"/>
        <v>0</v>
      </c>
      <c r="EA57" s="154">
        <f t="shared" si="275"/>
        <v>0</v>
      </c>
      <c r="EB57" s="157">
        <f t="shared" si="213"/>
        <v>0</v>
      </c>
      <c r="EC57" s="154">
        <f t="shared" si="214"/>
        <v>0</v>
      </c>
      <c r="ED57" s="158">
        <f t="shared" si="215"/>
        <v>0</v>
      </c>
    </row>
    <row r="58" spans="1:134" x14ac:dyDescent="0.35">
      <c r="A58" s="172"/>
      <c r="B58" s="173"/>
      <c r="C58" s="174"/>
      <c r="D58" s="175"/>
      <c r="E58" s="176"/>
      <c r="F58" s="177"/>
      <c r="G58" s="178"/>
      <c r="H58" s="179"/>
      <c r="I58" s="180"/>
      <c r="J58" s="181"/>
      <c r="K58" s="152">
        <f t="shared" si="216"/>
        <v>0</v>
      </c>
      <c r="L58" s="153">
        <f t="shared" si="217"/>
        <v>0</v>
      </c>
      <c r="M58" s="154">
        <f t="shared" si="218"/>
        <v>0</v>
      </c>
      <c r="N58" s="154"/>
      <c r="O58" s="154">
        <f t="shared" si="219"/>
        <v>0</v>
      </c>
      <c r="P58" s="155"/>
      <c r="Q58" s="154">
        <f t="shared" si="220"/>
        <v>0</v>
      </c>
      <c r="R58" s="156">
        <f t="shared" si="221"/>
        <v>0</v>
      </c>
      <c r="S58" s="154">
        <f t="shared" si="222"/>
        <v>0</v>
      </c>
      <c r="T58" s="154">
        <f t="shared" si="223"/>
        <v>0</v>
      </c>
      <c r="U58" s="154">
        <f t="shared" si="224"/>
        <v>0</v>
      </c>
      <c r="V58" s="154">
        <f t="shared" si="225"/>
        <v>0</v>
      </c>
      <c r="W58" s="154">
        <f t="shared" si="226"/>
        <v>0</v>
      </c>
      <c r="X58" s="154">
        <f t="shared" si="227"/>
        <v>0</v>
      </c>
      <c r="Y58" s="154">
        <f t="shared" si="228"/>
        <v>0</v>
      </c>
      <c r="Z58" s="154">
        <f t="shared" si="229"/>
        <v>0</v>
      </c>
      <c r="AA58" s="154">
        <f t="shared" si="230"/>
        <v>0</v>
      </c>
      <c r="AB58" s="157">
        <f t="shared" si="231"/>
        <v>0</v>
      </c>
      <c r="AC58" s="154">
        <f t="shared" si="232"/>
        <v>0</v>
      </c>
      <c r="AD58" s="158">
        <f t="shared" si="233"/>
        <v>0</v>
      </c>
      <c r="AE58" s="156">
        <f t="shared" si="278"/>
        <v>0</v>
      </c>
      <c r="AF58" s="154">
        <f t="shared" si="235"/>
        <v>0</v>
      </c>
      <c r="AG58" s="154">
        <f t="shared" si="114"/>
        <v>0</v>
      </c>
      <c r="AH58" s="154">
        <f t="shared" si="236"/>
        <v>0</v>
      </c>
      <c r="AI58" s="154">
        <f t="shared" si="116"/>
        <v>0</v>
      </c>
      <c r="AJ58" s="154">
        <f t="shared" si="237"/>
        <v>0</v>
      </c>
      <c r="AK58" s="154">
        <f t="shared" si="118"/>
        <v>0</v>
      </c>
      <c r="AL58" s="154">
        <f t="shared" si="238"/>
        <v>0</v>
      </c>
      <c r="AM58" s="154">
        <f t="shared" si="120"/>
        <v>0</v>
      </c>
      <c r="AN58" s="154">
        <f t="shared" si="239"/>
        <v>0</v>
      </c>
      <c r="AO58" s="157">
        <f t="shared" si="122"/>
        <v>0</v>
      </c>
      <c r="AP58" s="154">
        <f t="shared" si="123"/>
        <v>0</v>
      </c>
      <c r="AQ58" s="158">
        <f t="shared" si="124"/>
        <v>0</v>
      </c>
      <c r="AR58" s="156">
        <f t="shared" si="278"/>
        <v>0</v>
      </c>
      <c r="AS58" s="154">
        <f t="shared" si="240"/>
        <v>0</v>
      </c>
      <c r="AT58" s="154">
        <f t="shared" si="127"/>
        <v>0</v>
      </c>
      <c r="AU58" s="154">
        <f t="shared" si="241"/>
        <v>0</v>
      </c>
      <c r="AV58" s="154">
        <f t="shared" si="129"/>
        <v>0</v>
      </c>
      <c r="AW58" s="154">
        <f t="shared" si="242"/>
        <v>0</v>
      </c>
      <c r="AX58" s="154">
        <f t="shared" si="131"/>
        <v>0</v>
      </c>
      <c r="AY58" s="154">
        <f t="shared" si="243"/>
        <v>0</v>
      </c>
      <c r="AZ58" s="154">
        <f t="shared" si="133"/>
        <v>0</v>
      </c>
      <c r="BA58" s="154">
        <f t="shared" si="244"/>
        <v>0</v>
      </c>
      <c r="BB58" s="157">
        <f t="shared" si="135"/>
        <v>0</v>
      </c>
      <c r="BC58" s="154">
        <f t="shared" si="136"/>
        <v>0</v>
      </c>
      <c r="BD58" s="158">
        <f t="shared" si="137"/>
        <v>0</v>
      </c>
      <c r="BE58" s="156">
        <f t="shared" si="278"/>
        <v>0</v>
      </c>
      <c r="BF58" s="154">
        <f t="shared" si="245"/>
        <v>0</v>
      </c>
      <c r="BG58" s="154">
        <f t="shared" si="140"/>
        <v>0</v>
      </c>
      <c r="BH58" s="154">
        <f t="shared" si="246"/>
        <v>0</v>
      </c>
      <c r="BI58" s="154">
        <f t="shared" si="142"/>
        <v>0</v>
      </c>
      <c r="BJ58" s="154">
        <f t="shared" si="247"/>
        <v>0</v>
      </c>
      <c r="BK58" s="154">
        <f t="shared" si="144"/>
        <v>0</v>
      </c>
      <c r="BL58" s="154">
        <f t="shared" si="248"/>
        <v>0</v>
      </c>
      <c r="BM58" s="154">
        <f t="shared" si="146"/>
        <v>0</v>
      </c>
      <c r="BN58" s="154">
        <f t="shared" si="249"/>
        <v>0</v>
      </c>
      <c r="BO58" s="157">
        <f t="shared" si="148"/>
        <v>0</v>
      </c>
      <c r="BP58" s="154">
        <f t="shared" si="149"/>
        <v>0</v>
      </c>
      <c r="BQ58" s="158">
        <f t="shared" si="150"/>
        <v>0</v>
      </c>
      <c r="BR58" s="156">
        <f t="shared" si="278"/>
        <v>0</v>
      </c>
      <c r="BS58" s="154">
        <f t="shared" si="250"/>
        <v>0</v>
      </c>
      <c r="BT58" s="154">
        <f t="shared" si="153"/>
        <v>0</v>
      </c>
      <c r="BU58" s="154">
        <f t="shared" si="251"/>
        <v>0</v>
      </c>
      <c r="BV58" s="154">
        <f t="shared" si="155"/>
        <v>0</v>
      </c>
      <c r="BW58" s="154">
        <f t="shared" si="252"/>
        <v>0</v>
      </c>
      <c r="BX58" s="154">
        <f t="shared" si="157"/>
        <v>0</v>
      </c>
      <c r="BY58" s="154">
        <f t="shared" si="253"/>
        <v>0</v>
      </c>
      <c r="BZ58" s="154">
        <f t="shared" si="159"/>
        <v>0</v>
      </c>
      <c r="CA58" s="154">
        <f t="shared" si="254"/>
        <v>0</v>
      </c>
      <c r="CB58" s="157">
        <f t="shared" si="161"/>
        <v>0</v>
      </c>
      <c r="CC58" s="154">
        <f t="shared" si="162"/>
        <v>0</v>
      </c>
      <c r="CD58" s="158">
        <f t="shared" si="163"/>
        <v>0</v>
      </c>
      <c r="CE58" s="156">
        <f t="shared" si="278"/>
        <v>0</v>
      </c>
      <c r="CF58" s="154">
        <f t="shared" si="255"/>
        <v>0</v>
      </c>
      <c r="CG58" s="154">
        <f t="shared" si="166"/>
        <v>0</v>
      </c>
      <c r="CH58" s="154">
        <f t="shared" si="256"/>
        <v>0</v>
      </c>
      <c r="CI58" s="154">
        <f t="shared" si="168"/>
        <v>0</v>
      </c>
      <c r="CJ58" s="154">
        <f t="shared" si="257"/>
        <v>0</v>
      </c>
      <c r="CK58" s="154">
        <f t="shared" si="170"/>
        <v>0</v>
      </c>
      <c r="CL58" s="154">
        <f t="shared" si="258"/>
        <v>0</v>
      </c>
      <c r="CM58" s="154">
        <f t="shared" si="172"/>
        <v>0</v>
      </c>
      <c r="CN58" s="154">
        <f t="shared" si="259"/>
        <v>0</v>
      </c>
      <c r="CO58" s="157">
        <f t="shared" si="174"/>
        <v>0</v>
      </c>
      <c r="CP58" s="154">
        <f t="shared" si="175"/>
        <v>0</v>
      </c>
      <c r="CQ58" s="158">
        <f t="shared" si="176"/>
        <v>0</v>
      </c>
      <c r="CR58" s="156">
        <f t="shared" si="279"/>
        <v>0</v>
      </c>
      <c r="CS58" s="154">
        <f t="shared" si="261"/>
        <v>0</v>
      </c>
      <c r="CT58" s="154">
        <f t="shared" si="179"/>
        <v>0</v>
      </c>
      <c r="CU58" s="154">
        <f t="shared" si="262"/>
        <v>0</v>
      </c>
      <c r="CV58" s="154">
        <f t="shared" si="181"/>
        <v>0</v>
      </c>
      <c r="CW58" s="154">
        <f t="shared" si="263"/>
        <v>0</v>
      </c>
      <c r="CX58" s="154">
        <f t="shared" si="183"/>
        <v>0</v>
      </c>
      <c r="CY58" s="154">
        <f t="shared" si="264"/>
        <v>0</v>
      </c>
      <c r="CZ58" s="154">
        <f t="shared" si="185"/>
        <v>0</v>
      </c>
      <c r="DA58" s="154">
        <f t="shared" si="265"/>
        <v>0</v>
      </c>
      <c r="DB58" s="157">
        <f t="shared" si="187"/>
        <v>0</v>
      </c>
      <c r="DC58" s="154">
        <f t="shared" si="188"/>
        <v>0</v>
      </c>
      <c r="DD58" s="158">
        <f t="shared" si="189"/>
        <v>0</v>
      </c>
      <c r="DE58" s="156">
        <f t="shared" si="279"/>
        <v>0</v>
      </c>
      <c r="DF58" s="154">
        <f t="shared" si="266"/>
        <v>0</v>
      </c>
      <c r="DG58" s="154">
        <f t="shared" si="192"/>
        <v>0</v>
      </c>
      <c r="DH58" s="154">
        <f t="shared" si="267"/>
        <v>0</v>
      </c>
      <c r="DI58" s="154">
        <f t="shared" si="194"/>
        <v>0</v>
      </c>
      <c r="DJ58" s="154">
        <f t="shared" si="268"/>
        <v>0</v>
      </c>
      <c r="DK58" s="154">
        <f t="shared" si="196"/>
        <v>0</v>
      </c>
      <c r="DL58" s="154">
        <f t="shared" si="269"/>
        <v>0</v>
      </c>
      <c r="DM58" s="154">
        <f t="shared" si="198"/>
        <v>0</v>
      </c>
      <c r="DN58" s="154">
        <f t="shared" si="270"/>
        <v>0</v>
      </c>
      <c r="DO58" s="157">
        <f t="shared" si="200"/>
        <v>0</v>
      </c>
      <c r="DP58" s="154">
        <f t="shared" si="201"/>
        <v>0</v>
      </c>
      <c r="DQ58" s="158">
        <f t="shared" si="202"/>
        <v>0</v>
      </c>
      <c r="DR58" s="156">
        <f t="shared" si="279"/>
        <v>0</v>
      </c>
      <c r="DS58" s="154">
        <f t="shared" si="271"/>
        <v>0</v>
      </c>
      <c r="DT58" s="154">
        <f t="shared" si="205"/>
        <v>0</v>
      </c>
      <c r="DU58" s="154">
        <f t="shared" si="272"/>
        <v>0</v>
      </c>
      <c r="DV58" s="154">
        <f t="shared" si="207"/>
        <v>0</v>
      </c>
      <c r="DW58" s="154">
        <f t="shared" si="273"/>
        <v>0</v>
      </c>
      <c r="DX58" s="154">
        <f t="shared" si="209"/>
        <v>0</v>
      </c>
      <c r="DY58" s="154">
        <f t="shared" si="274"/>
        <v>0</v>
      </c>
      <c r="DZ58" s="154">
        <f t="shared" si="211"/>
        <v>0</v>
      </c>
      <c r="EA58" s="154">
        <f t="shared" si="275"/>
        <v>0</v>
      </c>
      <c r="EB58" s="157">
        <f t="shared" si="213"/>
        <v>0</v>
      </c>
      <c r="EC58" s="154">
        <f t="shared" si="214"/>
        <v>0</v>
      </c>
      <c r="ED58" s="158">
        <f t="shared" si="215"/>
        <v>0</v>
      </c>
    </row>
    <row r="59" spans="1:134" x14ac:dyDescent="0.35">
      <c r="A59" s="172"/>
      <c r="B59" s="173"/>
      <c r="C59" s="174"/>
      <c r="D59" s="175"/>
      <c r="E59" s="176"/>
      <c r="F59" s="177"/>
      <c r="G59" s="178"/>
      <c r="H59" s="179"/>
      <c r="I59" s="180"/>
      <c r="J59" s="181"/>
      <c r="K59" s="152">
        <f t="shared" si="216"/>
        <v>0</v>
      </c>
      <c r="L59" s="153">
        <f t="shared" si="217"/>
        <v>0</v>
      </c>
      <c r="M59" s="154">
        <f t="shared" si="218"/>
        <v>0</v>
      </c>
      <c r="N59" s="154"/>
      <c r="O59" s="154">
        <f t="shared" si="219"/>
        <v>0</v>
      </c>
      <c r="P59" s="155"/>
      <c r="Q59" s="154">
        <f t="shared" si="220"/>
        <v>0</v>
      </c>
      <c r="R59" s="156">
        <f t="shared" si="221"/>
        <v>0</v>
      </c>
      <c r="S59" s="154">
        <f t="shared" si="222"/>
        <v>0</v>
      </c>
      <c r="T59" s="154">
        <f t="shared" si="223"/>
        <v>0</v>
      </c>
      <c r="U59" s="154">
        <f t="shared" si="224"/>
        <v>0</v>
      </c>
      <c r="V59" s="154">
        <f t="shared" si="225"/>
        <v>0</v>
      </c>
      <c r="W59" s="154">
        <f t="shared" si="226"/>
        <v>0</v>
      </c>
      <c r="X59" s="154">
        <f t="shared" si="227"/>
        <v>0</v>
      </c>
      <c r="Y59" s="154">
        <f t="shared" si="228"/>
        <v>0</v>
      </c>
      <c r="Z59" s="154">
        <f t="shared" si="229"/>
        <v>0</v>
      </c>
      <c r="AA59" s="154">
        <f t="shared" si="230"/>
        <v>0</v>
      </c>
      <c r="AB59" s="157">
        <f t="shared" si="231"/>
        <v>0</v>
      </c>
      <c r="AC59" s="154">
        <f t="shared" si="232"/>
        <v>0</v>
      </c>
      <c r="AD59" s="158">
        <f t="shared" si="233"/>
        <v>0</v>
      </c>
      <c r="AE59" s="156">
        <f t="shared" si="278"/>
        <v>0</v>
      </c>
      <c r="AF59" s="154">
        <f t="shared" si="235"/>
        <v>0</v>
      </c>
      <c r="AG59" s="154">
        <f t="shared" si="114"/>
        <v>0</v>
      </c>
      <c r="AH59" s="154">
        <f t="shared" si="236"/>
        <v>0</v>
      </c>
      <c r="AI59" s="154">
        <f t="shared" si="116"/>
        <v>0</v>
      </c>
      <c r="AJ59" s="154">
        <f t="shared" si="237"/>
        <v>0</v>
      </c>
      <c r="AK59" s="154">
        <f t="shared" si="118"/>
        <v>0</v>
      </c>
      <c r="AL59" s="154">
        <f t="shared" si="238"/>
        <v>0</v>
      </c>
      <c r="AM59" s="154">
        <f t="shared" si="120"/>
        <v>0</v>
      </c>
      <c r="AN59" s="154">
        <f t="shared" si="239"/>
        <v>0</v>
      </c>
      <c r="AO59" s="157">
        <f t="shared" si="122"/>
        <v>0</v>
      </c>
      <c r="AP59" s="154">
        <f t="shared" si="123"/>
        <v>0</v>
      </c>
      <c r="AQ59" s="158">
        <f t="shared" si="124"/>
        <v>0</v>
      </c>
      <c r="AR59" s="156">
        <f t="shared" si="278"/>
        <v>0</v>
      </c>
      <c r="AS59" s="154">
        <f t="shared" si="240"/>
        <v>0</v>
      </c>
      <c r="AT59" s="154">
        <f t="shared" si="127"/>
        <v>0</v>
      </c>
      <c r="AU59" s="154">
        <f t="shared" si="241"/>
        <v>0</v>
      </c>
      <c r="AV59" s="154">
        <f t="shared" si="129"/>
        <v>0</v>
      </c>
      <c r="AW59" s="154">
        <f t="shared" si="242"/>
        <v>0</v>
      </c>
      <c r="AX59" s="154">
        <f t="shared" si="131"/>
        <v>0</v>
      </c>
      <c r="AY59" s="154">
        <f t="shared" si="243"/>
        <v>0</v>
      </c>
      <c r="AZ59" s="154">
        <f t="shared" si="133"/>
        <v>0</v>
      </c>
      <c r="BA59" s="154">
        <f t="shared" si="244"/>
        <v>0</v>
      </c>
      <c r="BB59" s="157">
        <f t="shared" si="135"/>
        <v>0</v>
      </c>
      <c r="BC59" s="154">
        <f t="shared" si="136"/>
        <v>0</v>
      </c>
      <c r="BD59" s="158">
        <f t="shared" si="137"/>
        <v>0</v>
      </c>
      <c r="BE59" s="156">
        <f t="shared" si="278"/>
        <v>0</v>
      </c>
      <c r="BF59" s="154">
        <f t="shared" si="245"/>
        <v>0</v>
      </c>
      <c r="BG59" s="154">
        <f t="shared" si="140"/>
        <v>0</v>
      </c>
      <c r="BH59" s="154">
        <f t="shared" si="246"/>
        <v>0</v>
      </c>
      <c r="BI59" s="154">
        <f t="shared" si="142"/>
        <v>0</v>
      </c>
      <c r="BJ59" s="154">
        <f t="shared" si="247"/>
        <v>0</v>
      </c>
      <c r="BK59" s="154">
        <f t="shared" si="144"/>
        <v>0</v>
      </c>
      <c r="BL59" s="154">
        <f t="shared" si="248"/>
        <v>0</v>
      </c>
      <c r="BM59" s="154">
        <f t="shared" si="146"/>
        <v>0</v>
      </c>
      <c r="BN59" s="154">
        <f t="shared" si="249"/>
        <v>0</v>
      </c>
      <c r="BO59" s="157">
        <f t="shared" si="148"/>
        <v>0</v>
      </c>
      <c r="BP59" s="154">
        <f t="shared" si="149"/>
        <v>0</v>
      </c>
      <c r="BQ59" s="158">
        <f t="shared" si="150"/>
        <v>0</v>
      </c>
      <c r="BR59" s="156">
        <f t="shared" si="278"/>
        <v>0</v>
      </c>
      <c r="BS59" s="154">
        <f t="shared" si="250"/>
        <v>0</v>
      </c>
      <c r="BT59" s="154">
        <f t="shared" si="153"/>
        <v>0</v>
      </c>
      <c r="BU59" s="154">
        <f t="shared" si="251"/>
        <v>0</v>
      </c>
      <c r="BV59" s="154">
        <f t="shared" si="155"/>
        <v>0</v>
      </c>
      <c r="BW59" s="154">
        <f t="shared" si="252"/>
        <v>0</v>
      </c>
      <c r="BX59" s="154">
        <f t="shared" si="157"/>
        <v>0</v>
      </c>
      <c r="BY59" s="154">
        <f t="shared" si="253"/>
        <v>0</v>
      </c>
      <c r="BZ59" s="154">
        <f t="shared" si="159"/>
        <v>0</v>
      </c>
      <c r="CA59" s="154">
        <f t="shared" si="254"/>
        <v>0</v>
      </c>
      <c r="CB59" s="157">
        <f t="shared" si="161"/>
        <v>0</v>
      </c>
      <c r="CC59" s="154">
        <f t="shared" si="162"/>
        <v>0</v>
      </c>
      <c r="CD59" s="158">
        <f t="shared" si="163"/>
        <v>0</v>
      </c>
      <c r="CE59" s="156">
        <f t="shared" si="278"/>
        <v>0</v>
      </c>
      <c r="CF59" s="154">
        <f t="shared" si="255"/>
        <v>0</v>
      </c>
      <c r="CG59" s="154">
        <f t="shared" si="166"/>
        <v>0</v>
      </c>
      <c r="CH59" s="154">
        <f t="shared" si="256"/>
        <v>0</v>
      </c>
      <c r="CI59" s="154">
        <f t="shared" si="168"/>
        <v>0</v>
      </c>
      <c r="CJ59" s="154">
        <f t="shared" si="257"/>
        <v>0</v>
      </c>
      <c r="CK59" s="154">
        <f t="shared" si="170"/>
        <v>0</v>
      </c>
      <c r="CL59" s="154">
        <f t="shared" si="258"/>
        <v>0</v>
      </c>
      <c r="CM59" s="154">
        <f t="shared" si="172"/>
        <v>0</v>
      </c>
      <c r="CN59" s="154">
        <f t="shared" si="259"/>
        <v>0</v>
      </c>
      <c r="CO59" s="157">
        <f t="shared" si="174"/>
        <v>0</v>
      </c>
      <c r="CP59" s="154">
        <f t="shared" si="175"/>
        <v>0</v>
      </c>
      <c r="CQ59" s="158">
        <f t="shared" si="176"/>
        <v>0</v>
      </c>
      <c r="CR59" s="156">
        <f t="shared" si="279"/>
        <v>0</v>
      </c>
      <c r="CS59" s="154">
        <f t="shared" si="261"/>
        <v>0</v>
      </c>
      <c r="CT59" s="154">
        <f t="shared" si="179"/>
        <v>0</v>
      </c>
      <c r="CU59" s="154">
        <f t="shared" si="262"/>
        <v>0</v>
      </c>
      <c r="CV59" s="154">
        <f t="shared" si="181"/>
        <v>0</v>
      </c>
      <c r="CW59" s="154">
        <f t="shared" si="263"/>
        <v>0</v>
      </c>
      <c r="CX59" s="154">
        <f t="shared" si="183"/>
        <v>0</v>
      </c>
      <c r="CY59" s="154">
        <f t="shared" si="264"/>
        <v>0</v>
      </c>
      <c r="CZ59" s="154">
        <f t="shared" si="185"/>
        <v>0</v>
      </c>
      <c r="DA59" s="154">
        <f t="shared" si="265"/>
        <v>0</v>
      </c>
      <c r="DB59" s="157">
        <f t="shared" si="187"/>
        <v>0</v>
      </c>
      <c r="DC59" s="154">
        <f t="shared" si="188"/>
        <v>0</v>
      </c>
      <c r="DD59" s="158">
        <f t="shared" si="189"/>
        <v>0</v>
      </c>
      <c r="DE59" s="156">
        <f t="shared" si="279"/>
        <v>0</v>
      </c>
      <c r="DF59" s="154">
        <f t="shared" si="266"/>
        <v>0</v>
      </c>
      <c r="DG59" s="154">
        <f t="shared" si="192"/>
        <v>0</v>
      </c>
      <c r="DH59" s="154">
        <f t="shared" si="267"/>
        <v>0</v>
      </c>
      <c r="DI59" s="154">
        <f t="shared" si="194"/>
        <v>0</v>
      </c>
      <c r="DJ59" s="154">
        <f t="shared" si="268"/>
        <v>0</v>
      </c>
      <c r="DK59" s="154">
        <f t="shared" si="196"/>
        <v>0</v>
      </c>
      <c r="DL59" s="154">
        <f t="shared" si="269"/>
        <v>0</v>
      </c>
      <c r="DM59" s="154">
        <f t="shared" si="198"/>
        <v>0</v>
      </c>
      <c r="DN59" s="154">
        <f t="shared" si="270"/>
        <v>0</v>
      </c>
      <c r="DO59" s="157">
        <f t="shared" si="200"/>
        <v>0</v>
      </c>
      <c r="DP59" s="154">
        <f t="shared" si="201"/>
        <v>0</v>
      </c>
      <c r="DQ59" s="158">
        <f t="shared" si="202"/>
        <v>0</v>
      </c>
      <c r="DR59" s="156">
        <f t="shared" si="279"/>
        <v>0</v>
      </c>
      <c r="DS59" s="154">
        <f t="shared" si="271"/>
        <v>0</v>
      </c>
      <c r="DT59" s="154">
        <f t="shared" si="205"/>
        <v>0</v>
      </c>
      <c r="DU59" s="154">
        <f t="shared" si="272"/>
        <v>0</v>
      </c>
      <c r="DV59" s="154">
        <f t="shared" si="207"/>
        <v>0</v>
      </c>
      <c r="DW59" s="154">
        <f t="shared" si="273"/>
        <v>0</v>
      </c>
      <c r="DX59" s="154">
        <f t="shared" si="209"/>
        <v>0</v>
      </c>
      <c r="DY59" s="154">
        <f t="shared" si="274"/>
        <v>0</v>
      </c>
      <c r="DZ59" s="154">
        <f t="shared" si="211"/>
        <v>0</v>
      </c>
      <c r="EA59" s="154">
        <f t="shared" si="275"/>
        <v>0</v>
      </c>
      <c r="EB59" s="157">
        <f t="shared" si="213"/>
        <v>0</v>
      </c>
      <c r="EC59" s="154">
        <f t="shared" si="214"/>
        <v>0</v>
      </c>
      <c r="ED59" s="158">
        <f t="shared" si="215"/>
        <v>0</v>
      </c>
    </row>
    <row r="60" spans="1:134" x14ac:dyDescent="0.35">
      <c r="A60" s="172"/>
      <c r="B60" s="173"/>
      <c r="C60" s="174"/>
      <c r="D60" s="175"/>
      <c r="E60" s="176"/>
      <c r="F60" s="177"/>
      <c r="G60" s="178"/>
      <c r="H60" s="179"/>
      <c r="I60" s="180"/>
      <c r="J60" s="181"/>
      <c r="K60" s="152">
        <f t="shared" si="216"/>
        <v>0</v>
      </c>
      <c r="L60" s="153">
        <f t="shared" si="217"/>
        <v>0</v>
      </c>
      <c r="M60" s="154">
        <f t="shared" si="218"/>
        <v>0</v>
      </c>
      <c r="N60" s="154"/>
      <c r="O60" s="154">
        <f t="shared" si="219"/>
        <v>0</v>
      </c>
      <c r="P60" s="155"/>
      <c r="Q60" s="154">
        <f t="shared" si="220"/>
        <v>0</v>
      </c>
      <c r="R60" s="156">
        <f t="shared" si="221"/>
        <v>0</v>
      </c>
      <c r="S60" s="154">
        <f t="shared" si="222"/>
        <v>0</v>
      </c>
      <c r="T60" s="154">
        <f t="shared" si="223"/>
        <v>0</v>
      </c>
      <c r="U60" s="154">
        <f t="shared" si="224"/>
        <v>0</v>
      </c>
      <c r="V60" s="154">
        <f t="shared" si="225"/>
        <v>0</v>
      </c>
      <c r="W60" s="154">
        <f t="shared" si="226"/>
        <v>0</v>
      </c>
      <c r="X60" s="154">
        <f t="shared" si="227"/>
        <v>0</v>
      </c>
      <c r="Y60" s="154">
        <f t="shared" si="228"/>
        <v>0</v>
      </c>
      <c r="Z60" s="154">
        <f t="shared" si="229"/>
        <v>0</v>
      </c>
      <c r="AA60" s="154">
        <f t="shared" si="230"/>
        <v>0</v>
      </c>
      <c r="AB60" s="157">
        <f t="shared" si="231"/>
        <v>0</v>
      </c>
      <c r="AC60" s="154">
        <f t="shared" si="232"/>
        <v>0</v>
      </c>
      <c r="AD60" s="158">
        <f t="shared" si="233"/>
        <v>0</v>
      </c>
      <c r="AE60" s="156">
        <f t="shared" si="278"/>
        <v>0</v>
      </c>
      <c r="AF60" s="154">
        <f t="shared" si="235"/>
        <v>0</v>
      </c>
      <c r="AG60" s="154">
        <f t="shared" si="114"/>
        <v>0</v>
      </c>
      <c r="AH60" s="154">
        <f t="shared" si="236"/>
        <v>0</v>
      </c>
      <c r="AI60" s="154">
        <f t="shared" si="116"/>
        <v>0</v>
      </c>
      <c r="AJ60" s="154">
        <f t="shared" si="237"/>
        <v>0</v>
      </c>
      <c r="AK60" s="154">
        <f t="shared" si="118"/>
        <v>0</v>
      </c>
      <c r="AL60" s="154">
        <f t="shared" si="238"/>
        <v>0</v>
      </c>
      <c r="AM60" s="154">
        <f t="shared" si="120"/>
        <v>0</v>
      </c>
      <c r="AN60" s="154">
        <f t="shared" si="239"/>
        <v>0</v>
      </c>
      <c r="AO60" s="157">
        <f t="shared" si="122"/>
        <v>0</v>
      </c>
      <c r="AP60" s="154">
        <f t="shared" si="123"/>
        <v>0</v>
      </c>
      <c r="AQ60" s="158">
        <f t="shared" si="124"/>
        <v>0</v>
      </c>
      <c r="AR60" s="156">
        <f t="shared" si="278"/>
        <v>0</v>
      </c>
      <c r="AS60" s="154">
        <f t="shared" si="240"/>
        <v>0</v>
      </c>
      <c r="AT60" s="154">
        <f t="shared" si="127"/>
        <v>0</v>
      </c>
      <c r="AU60" s="154">
        <f t="shared" si="241"/>
        <v>0</v>
      </c>
      <c r="AV60" s="154">
        <f t="shared" si="129"/>
        <v>0</v>
      </c>
      <c r="AW60" s="154">
        <f t="shared" si="242"/>
        <v>0</v>
      </c>
      <c r="AX60" s="154">
        <f t="shared" si="131"/>
        <v>0</v>
      </c>
      <c r="AY60" s="154">
        <f t="shared" si="243"/>
        <v>0</v>
      </c>
      <c r="AZ60" s="154">
        <f t="shared" si="133"/>
        <v>0</v>
      </c>
      <c r="BA60" s="154">
        <f t="shared" si="244"/>
        <v>0</v>
      </c>
      <c r="BB60" s="157">
        <f t="shared" si="135"/>
        <v>0</v>
      </c>
      <c r="BC60" s="154">
        <f t="shared" si="136"/>
        <v>0</v>
      </c>
      <c r="BD60" s="158">
        <f t="shared" si="137"/>
        <v>0</v>
      </c>
      <c r="BE60" s="156">
        <f t="shared" si="278"/>
        <v>0</v>
      </c>
      <c r="BF60" s="154">
        <f t="shared" si="245"/>
        <v>0</v>
      </c>
      <c r="BG60" s="154">
        <f t="shared" si="140"/>
        <v>0</v>
      </c>
      <c r="BH60" s="154">
        <f t="shared" si="246"/>
        <v>0</v>
      </c>
      <c r="BI60" s="154">
        <f t="shared" si="142"/>
        <v>0</v>
      </c>
      <c r="BJ60" s="154">
        <f t="shared" si="247"/>
        <v>0</v>
      </c>
      <c r="BK60" s="154">
        <f t="shared" si="144"/>
        <v>0</v>
      </c>
      <c r="BL60" s="154">
        <f t="shared" si="248"/>
        <v>0</v>
      </c>
      <c r="BM60" s="154">
        <f t="shared" si="146"/>
        <v>0</v>
      </c>
      <c r="BN60" s="154">
        <f t="shared" si="249"/>
        <v>0</v>
      </c>
      <c r="BO60" s="157">
        <f t="shared" si="148"/>
        <v>0</v>
      </c>
      <c r="BP60" s="154">
        <f t="shared" si="149"/>
        <v>0</v>
      </c>
      <c r="BQ60" s="158">
        <f t="shared" si="150"/>
        <v>0</v>
      </c>
      <c r="BR60" s="156">
        <f t="shared" si="278"/>
        <v>0</v>
      </c>
      <c r="BS60" s="154">
        <f t="shared" si="250"/>
        <v>0</v>
      </c>
      <c r="BT60" s="154">
        <f t="shared" si="153"/>
        <v>0</v>
      </c>
      <c r="BU60" s="154">
        <f t="shared" si="251"/>
        <v>0</v>
      </c>
      <c r="BV60" s="154">
        <f t="shared" si="155"/>
        <v>0</v>
      </c>
      <c r="BW60" s="154">
        <f t="shared" si="252"/>
        <v>0</v>
      </c>
      <c r="BX60" s="154">
        <f t="shared" si="157"/>
        <v>0</v>
      </c>
      <c r="BY60" s="154">
        <f t="shared" si="253"/>
        <v>0</v>
      </c>
      <c r="BZ60" s="154">
        <f t="shared" si="159"/>
        <v>0</v>
      </c>
      <c r="CA60" s="154">
        <f t="shared" si="254"/>
        <v>0</v>
      </c>
      <c r="CB60" s="157">
        <f t="shared" si="161"/>
        <v>0</v>
      </c>
      <c r="CC60" s="154">
        <f t="shared" si="162"/>
        <v>0</v>
      </c>
      <c r="CD60" s="158">
        <f t="shared" si="163"/>
        <v>0</v>
      </c>
      <c r="CE60" s="156">
        <f t="shared" si="278"/>
        <v>0</v>
      </c>
      <c r="CF60" s="154">
        <f t="shared" si="255"/>
        <v>0</v>
      </c>
      <c r="CG60" s="154">
        <f t="shared" si="166"/>
        <v>0</v>
      </c>
      <c r="CH60" s="154">
        <f t="shared" si="256"/>
        <v>0</v>
      </c>
      <c r="CI60" s="154">
        <f t="shared" si="168"/>
        <v>0</v>
      </c>
      <c r="CJ60" s="154">
        <f t="shared" si="257"/>
        <v>0</v>
      </c>
      <c r="CK60" s="154">
        <f t="shared" si="170"/>
        <v>0</v>
      </c>
      <c r="CL60" s="154">
        <f t="shared" si="258"/>
        <v>0</v>
      </c>
      <c r="CM60" s="154">
        <f t="shared" si="172"/>
        <v>0</v>
      </c>
      <c r="CN60" s="154">
        <f t="shared" si="259"/>
        <v>0</v>
      </c>
      <c r="CO60" s="157">
        <f t="shared" si="174"/>
        <v>0</v>
      </c>
      <c r="CP60" s="154">
        <f t="shared" si="175"/>
        <v>0</v>
      </c>
      <c r="CQ60" s="158">
        <f t="shared" si="176"/>
        <v>0</v>
      </c>
      <c r="CR60" s="156">
        <f t="shared" si="279"/>
        <v>0</v>
      </c>
      <c r="CS60" s="154">
        <f t="shared" si="261"/>
        <v>0</v>
      </c>
      <c r="CT60" s="154">
        <f t="shared" si="179"/>
        <v>0</v>
      </c>
      <c r="CU60" s="154">
        <f t="shared" si="262"/>
        <v>0</v>
      </c>
      <c r="CV60" s="154">
        <f t="shared" si="181"/>
        <v>0</v>
      </c>
      <c r="CW60" s="154">
        <f t="shared" si="263"/>
        <v>0</v>
      </c>
      <c r="CX60" s="154">
        <f t="shared" si="183"/>
        <v>0</v>
      </c>
      <c r="CY60" s="154">
        <f t="shared" si="264"/>
        <v>0</v>
      </c>
      <c r="CZ60" s="154">
        <f t="shared" si="185"/>
        <v>0</v>
      </c>
      <c r="DA60" s="154">
        <f t="shared" si="265"/>
        <v>0</v>
      </c>
      <c r="DB60" s="157">
        <f t="shared" si="187"/>
        <v>0</v>
      </c>
      <c r="DC60" s="154">
        <f t="shared" si="188"/>
        <v>0</v>
      </c>
      <c r="DD60" s="158">
        <f t="shared" si="189"/>
        <v>0</v>
      </c>
      <c r="DE60" s="156">
        <f t="shared" si="279"/>
        <v>0</v>
      </c>
      <c r="DF60" s="154">
        <f t="shared" si="266"/>
        <v>0</v>
      </c>
      <c r="DG60" s="154">
        <f t="shared" si="192"/>
        <v>0</v>
      </c>
      <c r="DH60" s="154">
        <f t="shared" si="267"/>
        <v>0</v>
      </c>
      <c r="DI60" s="154">
        <f t="shared" si="194"/>
        <v>0</v>
      </c>
      <c r="DJ60" s="154">
        <f t="shared" si="268"/>
        <v>0</v>
      </c>
      <c r="DK60" s="154">
        <f t="shared" si="196"/>
        <v>0</v>
      </c>
      <c r="DL60" s="154">
        <f t="shared" si="269"/>
        <v>0</v>
      </c>
      <c r="DM60" s="154">
        <f t="shared" si="198"/>
        <v>0</v>
      </c>
      <c r="DN60" s="154">
        <f t="shared" si="270"/>
        <v>0</v>
      </c>
      <c r="DO60" s="157">
        <f t="shared" si="200"/>
        <v>0</v>
      </c>
      <c r="DP60" s="154">
        <f t="shared" si="201"/>
        <v>0</v>
      </c>
      <c r="DQ60" s="158">
        <f t="shared" si="202"/>
        <v>0</v>
      </c>
      <c r="DR60" s="156">
        <f t="shared" si="279"/>
        <v>0</v>
      </c>
      <c r="DS60" s="154">
        <f t="shared" si="271"/>
        <v>0</v>
      </c>
      <c r="DT60" s="154">
        <f t="shared" si="205"/>
        <v>0</v>
      </c>
      <c r="DU60" s="154">
        <f t="shared" si="272"/>
        <v>0</v>
      </c>
      <c r="DV60" s="154">
        <f t="shared" si="207"/>
        <v>0</v>
      </c>
      <c r="DW60" s="154">
        <f t="shared" si="273"/>
        <v>0</v>
      </c>
      <c r="DX60" s="154">
        <f t="shared" si="209"/>
        <v>0</v>
      </c>
      <c r="DY60" s="154">
        <f t="shared" si="274"/>
        <v>0</v>
      </c>
      <c r="DZ60" s="154">
        <f t="shared" si="211"/>
        <v>0</v>
      </c>
      <c r="EA60" s="154">
        <f t="shared" si="275"/>
        <v>0</v>
      </c>
      <c r="EB60" s="157">
        <f t="shared" si="213"/>
        <v>0</v>
      </c>
      <c r="EC60" s="154">
        <f t="shared" si="214"/>
        <v>0</v>
      </c>
      <c r="ED60" s="158">
        <f t="shared" si="215"/>
        <v>0</v>
      </c>
    </row>
    <row r="61" spans="1:134" x14ac:dyDescent="0.35">
      <c r="A61" s="172"/>
      <c r="B61" s="173"/>
      <c r="C61" s="174"/>
      <c r="D61" s="175"/>
      <c r="E61" s="176"/>
      <c r="F61" s="177"/>
      <c r="G61" s="178"/>
      <c r="H61" s="179"/>
      <c r="I61" s="180"/>
      <c r="J61" s="181"/>
      <c r="K61" s="152">
        <f t="shared" si="216"/>
        <v>0</v>
      </c>
      <c r="L61" s="153">
        <f t="shared" si="217"/>
        <v>0</v>
      </c>
      <c r="M61" s="154">
        <f t="shared" si="218"/>
        <v>0</v>
      </c>
      <c r="N61" s="154"/>
      <c r="O61" s="154">
        <f t="shared" si="219"/>
        <v>0</v>
      </c>
      <c r="P61" s="155"/>
      <c r="Q61" s="154">
        <f t="shared" si="220"/>
        <v>0</v>
      </c>
      <c r="R61" s="156">
        <f t="shared" si="221"/>
        <v>0</v>
      </c>
      <c r="S61" s="154">
        <f t="shared" si="222"/>
        <v>0</v>
      </c>
      <c r="T61" s="154">
        <f t="shared" si="223"/>
        <v>0</v>
      </c>
      <c r="U61" s="154">
        <f t="shared" si="224"/>
        <v>0</v>
      </c>
      <c r="V61" s="154">
        <f t="shared" si="225"/>
        <v>0</v>
      </c>
      <c r="W61" s="154">
        <f t="shared" si="226"/>
        <v>0</v>
      </c>
      <c r="X61" s="154">
        <f t="shared" si="227"/>
        <v>0</v>
      </c>
      <c r="Y61" s="154">
        <f t="shared" si="228"/>
        <v>0</v>
      </c>
      <c r="Z61" s="154">
        <f t="shared" si="229"/>
        <v>0</v>
      </c>
      <c r="AA61" s="154">
        <f t="shared" si="230"/>
        <v>0</v>
      </c>
      <c r="AB61" s="157">
        <f t="shared" si="231"/>
        <v>0</v>
      </c>
      <c r="AC61" s="154">
        <f t="shared" si="232"/>
        <v>0</v>
      </c>
      <c r="AD61" s="158">
        <f t="shared" si="233"/>
        <v>0</v>
      </c>
      <c r="AE61" s="156">
        <f t="shared" si="278"/>
        <v>0</v>
      </c>
      <c r="AF61" s="154">
        <f t="shared" si="235"/>
        <v>0</v>
      </c>
      <c r="AG61" s="154">
        <f t="shared" si="114"/>
        <v>0</v>
      </c>
      <c r="AH61" s="154">
        <f t="shared" si="236"/>
        <v>0</v>
      </c>
      <c r="AI61" s="154">
        <f t="shared" si="116"/>
        <v>0</v>
      </c>
      <c r="AJ61" s="154">
        <f t="shared" si="237"/>
        <v>0</v>
      </c>
      <c r="AK61" s="154">
        <f t="shared" si="118"/>
        <v>0</v>
      </c>
      <c r="AL61" s="154">
        <f t="shared" si="238"/>
        <v>0</v>
      </c>
      <c r="AM61" s="154">
        <f t="shared" si="120"/>
        <v>0</v>
      </c>
      <c r="AN61" s="154">
        <f t="shared" si="239"/>
        <v>0</v>
      </c>
      <c r="AO61" s="157">
        <f t="shared" si="122"/>
        <v>0</v>
      </c>
      <c r="AP61" s="154">
        <f t="shared" si="123"/>
        <v>0</v>
      </c>
      <c r="AQ61" s="158">
        <f t="shared" si="124"/>
        <v>0</v>
      </c>
      <c r="AR61" s="156">
        <f t="shared" si="278"/>
        <v>0</v>
      </c>
      <c r="AS61" s="154">
        <f t="shared" si="240"/>
        <v>0</v>
      </c>
      <c r="AT61" s="154">
        <f t="shared" si="127"/>
        <v>0</v>
      </c>
      <c r="AU61" s="154">
        <f t="shared" si="241"/>
        <v>0</v>
      </c>
      <c r="AV61" s="154">
        <f t="shared" si="129"/>
        <v>0</v>
      </c>
      <c r="AW61" s="154">
        <f t="shared" si="242"/>
        <v>0</v>
      </c>
      <c r="AX61" s="154">
        <f t="shared" si="131"/>
        <v>0</v>
      </c>
      <c r="AY61" s="154">
        <f t="shared" si="243"/>
        <v>0</v>
      </c>
      <c r="AZ61" s="154">
        <f t="shared" si="133"/>
        <v>0</v>
      </c>
      <c r="BA61" s="154">
        <f t="shared" si="244"/>
        <v>0</v>
      </c>
      <c r="BB61" s="157">
        <f t="shared" si="135"/>
        <v>0</v>
      </c>
      <c r="BC61" s="154">
        <f t="shared" si="136"/>
        <v>0</v>
      </c>
      <c r="BD61" s="158">
        <f t="shared" si="137"/>
        <v>0</v>
      </c>
      <c r="BE61" s="156">
        <f t="shared" si="278"/>
        <v>0</v>
      </c>
      <c r="BF61" s="154">
        <f t="shared" si="245"/>
        <v>0</v>
      </c>
      <c r="BG61" s="154">
        <f t="shared" si="140"/>
        <v>0</v>
      </c>
      <c r="BH61" s="154">
        <f t="shared" si="246"/>
        <v>0</v>
      </c>
      <c r="BI61" s="154">
        <f t="shared" si="142"/>
        <v>0</v>
      </c>
      <c r="BJ61" s="154">
        <f t="shared" si="247"/>
        <v>0</v>
      </c>
      <c r="BK61" s="154">
        <f t="shared" si="144"/>
        <v>0</v>
      </c>
      <c r="BL61" s="154">
        <f t="shared" si="248"/>
        <v>0</v>
      </c>
      <c r="BM61" s="154">
        <f t="shared" si="146"/>
        <v>0</v>
      </c>
      <c r="BN61" s="154">
        <f t="shared" si="249"/>
        <v>0</v>
      </c>
      <c r="BO61" s="157">
        <f t="shared" si="148"/>
        <v>0</v>
      </c>
      <c r="BP61" s="154">
        <f t="shared" si="149"/>
        <v>0</v>
      </c>
      <c r="BQ61" s="158">
        <f t="shared" si="150"/>
        <v>0</v>
      </c>
      <c r="BR61" s="156">
        <f t="shared" si="278"/>
        <v>0</v>
      </c>
      <c r="BS61" s="154">
        <f t="shared" si="250"/>
        <v>0</v>
      </c>
      <c r="BT61" s="154">
        <f t="shared" si="153"/>
        <v>0</v>
      </c>
      <c r="BU61" s="154">
        <f t="shared" si="251"/>
        <v>0</v>
      </c>
      <c r="BV61" s="154">
        <f t="shared" si="155"/>
        <v>0</v>
      </c>
      <c r="BW61" s="154">
        <f t="shared" si="252"/>
        <v>0</v>
      </c>
      <c r="BX61" s="154">
        <f t="shared" si="157"/>
        <v>0</v>
      </c>
      <c r="BY61" s="154">
        <f t="shared" si="253"/>
        <v>0</v>
      </c>
      <c r="BZ61" s="154">
        <f t="shared" si="159"/>
        <v>0</v>
      </c>
      <c r="CA61" s="154">
        <f t="shared" si="254"/>
        <v>0</v>
      </c>
      <c r="CB61" s="157">
        <f t="shared" si="161"/>
        <v>0</v>
      </c>
      <c r="CC61" s="154">
        <f t="shared" si="162"/>
        <v>0</v>
      </c>
      <c r="CD61" s="158">
        <f t="shared" si="163"/>
        <v>0</v>
      </c>
      <c r="CE61" s="156">
        <f t="shared" si="278"/>
        <v>0</v>
      </c>
      <c r="CF61" s="154">
        <f t="shared" si="255"/>
        <v>0</v>
      </c>
      <c r="CG61" s="154">
        <f t="shared" si="166"/>
        <v>0</v>
      </c>
      <c r="CH61" s="154">
        <f t="shared" si="256"/>
        <v>0</v>
      </c>
      <c r="CI61" s="154">
        <f t="shared" si="168"/>
        <v>0</v>
      </c>
      <c r="CJ61" s="154">
        <f t="shared" si="257"/>
        <v>0</v>
      </c>
      <c r="CK61" s="154">
        <f t="shared" si="170"/>
        <v>0</v>
      </c>
      <c r="CL61" s="154">
        <f t="shared" si="258"/>
        <v>0</v>
      </c>
      <c r="CM61" s="154">
        <f t="shared" si="172"/>
        <v>0</v>
      </c>
      <c r="CN61" s="154">
        <f t="shared" si="259"/>
        <v>0</v>
      </c>
      <c r="CO61" s="157">
        <f t="shared" si="174"/>
        <v>0</v>
      </c>
      <c r="CP61" s="154">
        <f t="shared" si="175"/>
        <v>0</v>
      </c>
      <c r="CQ61" s="158">
        <f t="shared" si="176"/>
        <v>0</v>
      </c>
      <c r="CR61" s="156">
        <f t="shared" si="279"/>
        <v>0</v>
      </c>
      <c r="CS61" s="154">
        <f t="shared" si="261"/>
        <v>0</v>
      </c>
      <c r="CT61" s="154">
        <f t="shared" si="179"/>
        <v>0</v>
      </c>
      <c r="CU61" s="154">
        <f t="shared" si="262"/>
        <v>0</v>
      </c>
      <c r="CV61" s="154">
        <f t="shared" si="181"/>
        <v>0</v>
      </c>
      <c r="CW61" s="154">
        <f t="shared" si="263"/>
        <v>0</v>
      </c>
      <c r="CX61" s="154">
        <f t="shared" si="183"/>
        <v>0</v>
      </c>
      <c r="CY61" s="154">
        <f t="shared" si="264"/>
        <v>0</v>
      </c>
      <c r="CZ61" s="154">
        <f t="shared" si="185"/>
        <v>0</v>
      </c>
      <c r="DA61" s="154">
        <f t="shared" si="265"/>
        <v>0</v>
      </c>
      <c r="DB61" s="157">
        <f t="shared" si="187"/>
        <v>0</v>
      </c>
      <c r="DC61" s="154">
        <f t="shared" si="188"/>
        <v>0</v>
      </c>
      <c r="DD61" s="158">
        <f t="shared" si="189"/>
        <v>0</v>
      </c>
      <c r="DE61" s="156">
        <f t="shared" si="279"/>
        <v>0</v>
      </c>
      <c r="DF61" s="154">
        <f t="shared" si="266"/>
        <v>0</v>
      </c>
      <c r="DG61" s="154">
        <f t="shared" si="192"/>
        <v>0</v>
      </c>
      <c r="DH61" s="154">
        <f t="shared" si="267"/>
        <v>0</v>
      </c>
      <c r="DI61" s="154">
        <f t="shared" si="194"/>
        <v>0</v>
      </c>
      <c r="DJ61" s="154">
        <f t="shared" si="268"/>
        <v>0</v>
      </c>
      <c r="DK61" s="154">
        <f t="shared" si="196"/>
        <v>0</v>
      </c>
      <c r="DL61" s="154">
        <f t="shared" si="269"/>
        <v>0</v>
      </c>
      <c r="DM61" s="154">
        <f t="shared" si="198"/>
        <v>0</v>
      </c>
      <c r="DN61" s="154">
        <f t="shared" si="270"/>
        <v>0</v>
      </c>
      <c r="DO61" s="157">
        <f t="shared" si="200"/>
        <v>0</v>
      </c>
      <c r="DP61" s="154">
        <f t="shared" si="201"/>
        <v>0</v>
      </c>
      <c r="DQ61" s="158">
        <f t="shared" si="202"/>
        <v>0</v>
      </c>
      <c r="DR61" s="156">
        <f t="shared" si="279"/>
        <v>0</v>
      </c>
      <c r="DS61" s="154">
        <f t="shared" si="271"/>
        <v>0</v>
      </c>
      <c r="DT61" s="154">
        <f t="shared" si="205"/>
        <v>0</v>
      </c>
      <c r="DU61" s="154">
        <f t="shared" si="272"/>
        <v>0</v>
      </c>
      <c r="DV61" s="154">
        <f t="shared" si="207"/>
        <v>0</v>
      </c>
      <c r="DW61" s="154">
        <f t="shared" si="273"/>
        <v>0</v>
      </c>
      <c r="DX61" s="154">
        <f t="shared" si="209"/>
        <v>0</v>
      </c>
      <c r="DY61" s="154">
        <f t="shared" si="274"/>
        <v>0</v>
      </c>
      <c r="DZ61" s="154">
        <f t="shared" si="211"/>
        <v>0</v>
      </c>
      <c r="EA61" s="154">
        <f t="shared" si="275"/>
        <v>0</v>
      </c>
      <c r="EB61" s="157">
        <f t="shared" si="213"/>
        <v>0</v>
      </c>
      <c r="EC61" s="154">
        <f t="shared" si="214"/>
        <v>0</v>
      </c>
      <c r="ED61" s="158">
        <f t="shared" si="215"/>
        <v>0</v>
      </c>
    </row>
    <row r="62" spans="1:134" x14ac:dyDescent="0.35">
      <c r="A62" s="172"/>
      <c r="B62" s="173"/>
      <c r="C62" s="174"/>
      <c r="D62" s="175"/>
      <c r="E62" s="176"/>
      <c r="F62" s="177"/>
      <c r="G62" s="178"/>
      <c r="H62" s="179"/>
      <c r="I62" s="180"/>
      <c r="J62" s="181"/>
      <c r="K62" s="152">
        <f t="shared" si="216"/>
        <v>0</v>
      </c>
      <c r="L62" s="153">
        <f t="shared" si="217"/>
        <v>0</v>
      </c>
      <c r="M62" s="154">
        <f t="shared" si="218"/>
        <v>0</v>
      </c>
      <c r="N62" s="154"/>
      <c r="O62" s="154">
        <f t="shared" si="219"/>
        <v>0</v>
      </c>
      <c r="P62" s="155"/>
      <c r="Q62" s="154">
        <f t="shared" si="220"/>
        <v>0</v>
      </c>
      <c r="R62" s="156">
        <f t="shared" si="221"/>
        <v>0</v>
      </c>
      <c r="S62" s="154">
        <f t="shared" si="222"/>
        <v>0</v>
      </c>
      <c r="T62" s="154">
        <f t="shared" si="223"/>
        <v>0</v>
      </c>
      <c r="U62" s="154">
        <f t="shared" si="224"/>
        <v>0</v>
      </c>
      <c r="V62" s="154">
        <f t="shared" si="225"/>
        <v>0</v>
      </c>
      <c r="W62" s="154">
        <f t="shared" si="226"/>
        <v>0</v>
      </c>
      <c r="X62" s="154">
        <f t="shared" si="227"/>
        <v>0</v>
      </c>
      <c r="Y62" s="154">
        <f t="shared" si="228"/>
        <v>0</v>
      </c>
      <c r="Z62" s="154">
        <f t="shared" si="229"/>
        <v>0</v>
      </c>
      <c r="AA62" s="154">
        <f t="shared" si="230"/>
        <v>0</v>
      </c>
      <c r="AB62" s="157">
        <f t="shared" si="231"/>
        <v>0</v>
      </c>
      <c r="AC62" s="154">
        <f t="shared" si="232"/>
        <v>0</v>
      </c>
      <c r="AD62" s="158">
        <f t="shared" si="233"/>
        <v>0</v>
      </c>
      <c r="AE62" s="156">
        <f t="shared" si="278"/>
        <v>0</v>
      </c>
      <c r="AF62" s="154">
        <f t="shared" si="235"/>
        <v>0</v>
      </c>
      <c r="AG62" s="154">
        <f t="shared" si="114"/>
        <v>0</v>
      </c>
      <c r="AH62" s="154">
        <f t="shared" si="236"/>
        <v>0</v>
      </c>
      <c r="AI62" s="154">
        <f t="shared" si="116"/>
        <v>0</v>
      </c>
      <c r="AJ62" s="154">
        <f t="shared" si="237"/>
        <v>0</v>
      </c>
      <c r="AK62" s="154">
        <f t="shared" si="118"/>
        <v>0</v>
      </c>
      <c r="AL62" s="154">
        <f t="shared" si="238"/>
        <v>0</v>
      </c>
      <c r="AM62" s="154">
        <f t="shared" si="120"/>
        <v>0</v>
      </c>
      <c r="AN62" s="154">
        <f t="shared" si="239"/>
        <v>0</v>
      </c>
      <c r="AO62" s="157">
        <f t="shared" si="122"/>
        <v>0</v>
      </c>
      <c r="AP62" s="154">
        <f t="shared" si="123"/>
        <v>0</v>
      </c>
      <c r="AQ62" s="158">
        <f t="shared" si="124"/>
        <v>0</v>
      </c>
      <c r="AR62" s="156">
        <f t="shared" si="278"/>
        <v>0</v>
      </c>
      <c r="AS62" s="154">
        <f t="shared" si="240"/>
        <v>0</v>
      </c>
      <c r="AT62" s="154">
        <f t="shared" si="127"/>
        <v>0</v>
      </c>
      <c r="AU62" s="154">
        <f t="shared" si="241"/>
        <v>0</v>
      </c>
      <c r="AV62" s="154">
        <f t="shared" si="129"/>
        <v>0</v>
      </c>
      <c r="AW62" s="154">
        <f t="shared" si="242"/>
        <v>0</v>
      </c>
      <c r="AX62" s="154">
        <f t="shared" si="131"/>
        <v>0</v>
      </c>
      <c r="AY62" s="154">
        <f t="shared" si="243"/>
        <v>0</v>
      </c>
      <c r="AZ62" s="154">
        <f t="shared" si="133"/>
        <v>0</v>
      </c>
      <c r="BA62" s="154">
        <f t="shared" si="244"/>
        <v>0</v>
      </c>
      <c r="BB62" s="157">
        <f t="shared" si="135"/>
        <v>0</v>
      </c>
      <c r="BC62" s="154">
        <f t="shared" si="136"/>
        <v>0</v>
      </c>
      <c r="BD62" s="158">
        <f t="shared" si="137"/>
        <v>0</v>
      </c>
      <c r="BE62" s="156">
        <f t="shared" si="278"/>
        <v>0</v>
      </c>
      <c r="BF62" s="154">
        <f t="shared" si="245"/>
        <v>0</v>
      </c>
      <c r="BG62" s="154">
        <f t="shared" si="140"/>
        <v>0</v>
      </c>
      <c r="BH62" s="154">
        <f t="shared" si="246"/>
        <v>0</v>
      </c>
      <c r="BI62" s="154">
        <f t="shared" si="142"/>
        <v>0</v>
      </c>
      <c r="BJ62" s="154">
        <f t="shared" si="247"/>
        <v>0</v>
      </c>
      <c r="BK62" s="154">
        <f t="shared" si="144"/>
        <v>0</v>
      </c>
      <c r="BL62" s="154">
        <f t="shared" si="248"/>
        <v>0</v>
      </c>
      <c r="BM62" s="154">
        <f t="shared" si="146"/>
        <v>0</v>
      </c>
      <c r="BN62" s="154">
        <f t="shared" si="249"/>
        <v>0</v>
      </c>
      <c r="BO62" s="157">
        <f t="shared" si="148"/>
        <v>0</v>
      </c>
      <c r="BP62" s="154">
        <f t="shared" si="149"/>
        <v>0</v>
      </c>
      <c r="BQ62" s="158">
        <f t="shared" si="150"/>
        <v>0</v>
      </c>
      <c r="BR62" s="156">
        <f t="shared" si="278"/>
        <v>0</v>
      </c>
      <c r="BS62" s="154">
        <f t="shared" si="250"/>
        <v>0</v>
      </c>
      <c r="BT62" s="154">
        <f t="shared" si="153"/>
        <v>0</v>
      </c>
      <c r="BU62" s="154">
        <f t="shared" si="251"/>
        <v>0</v>
      </c>
      <c r="BV62" s="154">
        <f t="shared" si="155"/>
        <v>0</v>
      </c>
      <c r="BW62" s="154">
        <f t="shared" si="252"/>
        <v>0</v>
      </c>
      <c r="BX62" s="154">
        <f t="shared" si="157"/>
        <v>0</v>
      </c>
      <c r="BY62" s="154">
        <f t="shared" si="253"/>
        <v>0</v>
      </c>
      <c r="BZ62" s="154">
        <f t="shared" si="159"/>
        <v>0</v>
      </c>
      <c r="CA62" s="154">
        <f t="shared" si="254"/>
        <v>0</v>
      </c>
      <c r="CB62" s="157">
        <f t="shared" si="161"/>
        <v>0</v>
      </c>
      <c r="CC62" s="154">
        <f t="shared" si="162"/>
        <v>0</v>
      </c>
      <c r="CD62" s="158">
        <f t="shared" si="163"/>
        <v>0</v>
      </c>
      <c r="CE62" s="156">
        <f t="shared" si="278"/>
        <v>0</v>
      </c>
      <c r="CF62" s="154">
        <f t="shared" si="255"/>
        <v>0</v>
      </c>
      <c r="CG62" s="154">
        <f t="shared" si="166"/>
        <v>0</v>
      </c>
      <c r="CH62" s="154">
        <f t="shared" si="256"/>
        <v>0</v>
      </c>
      <c r="CI62" s="154">
        <f t="shared" si="168"/>
        <v>0</v>
      </c>
      <c r="CJ62" s="154">
        <f t="shared" si="257"/>
        <v>0</v>
      </c>
      <c r="CK62" s="154">
        <f t="shared" si="170"/>
        <v>0</v>
      </c>
      <c r="CL62" s="154">
        <f t="shared" si="258"/>
        <v>0</v>
      </c>
      <c r="CM62" s="154">
        <f t="shared" si="172"/>
        <v>0</v>
      </c>
      <c r="CN62" s="154">
        <f t="shared" si="259"/>
        <v>0</v>
      </c>
      <c r="CO62" s="157">
        <f t="shared" si="174"/>
        <v>0</v>
      </c>
      <c r="CP62" s="154">
        <f t="shared" si="175"/>
        <v>0</v>
      </c>
      <c r="CQ62" s="158">
        <f t="shared" si="176"/>
        <v>0</v>
      </c>
      <c r="CR62" s="156">
        <f t="shared" si="279"/>
        <v>0</v>
      </c>
      <c r="CS62" s="154">
        <f t="shared" si="261"/>
        <v>0</v>
      </c>
      <c r="CT62" s="154">
        <f t="shared" si="179"/>
        <v>0</v>
      </c>
      <c r="CU62" s="154">
        <f t="shared" si="262"/>
        <v>0</v>
      </c>
      <c r="CV62" s="154">
        <f t="shared" si="181"/>
        <v>0</v>
      </c>
      <c r="CW62" s="154">
        <f t="shared" si="263"/>
        <v>0</v>
      </c>
      <c r="CX62" s="154">
        <f t="shared" si="183"/>
        <v>0</v>
      </c>
      <c r="CY62" s="154">
        <f t="shared" si="264"/>
        <v>0</v>
      </c>
      <c r="CZ62" s="154">
        <f t="shared" si="185"/>
        <v>0</v>
      </c>
      <c r="DA62" s="154">
        <f t="shared" si="265"/>
        <v>0</v>
      </c>
      <c r="DB62" s="157">
        <f t="shared" si="187"/>
        <v>0</v>
      </c>
      <c r="DC62" s="154">
        <f t="shared" si="188"/>
        <v>0</v>
      </c>
      <c r="DD62" s="158">
        <f t="shared" si="189"/>
        <v>0</v>
      </c>
      <c r="DE62" s="156">
        <f t="shared" si="279"/>
        <v>0</v>
      </c>
      <c r="DF62" s="154">
        <f t="shared" si="266"/>
        <v>0</v>
      </c>
      <c r="DG62" s="154">
        <f t="shared" si="192"/>
        <v>0</v>
      </c>
      <c r="DH62" s="154">
        <f t="shared" si="267"/>
        <v>0</v>
      </c>
      <c r="DI62" s="154">
        <f t="shared" si="194"/>
        <v>0</v>
      </c>
      <c r="DJ62" s="154">
        <f t="shared" si="268"/>
        <v>0</v>
      </c>
      <c r="DK62" s="154">
        <f t="shared" si="196"/>
        <v>0</v>
      </c>
      <c r="DL62" s="154">
        <f t="shared" si="269"/>
        <v>0</v>
      </c>
      <c r="DM62" s="154">
        <f t="shared" si="198"/>
        <v>0</v>
      </c>
      <c r="DN62" s="154">
        <f t="shared" si="270"/>
        <v>0</v>
      </c>
      <c r="DO62" s="157">
        <f t="shared" si="200"/>
        <v>0</v>
      </c>
      <c r="DP62" s="154">
        <f t="shared" si="201"/>
        <v>0</v>
      </c>
      <c r="DQ62" s="158">
        <f t="shared" si="202"/>
        <v>0</v>
      </c>
      <c r="DR62" s="156">
        <f t="shared" si="279"/>
        <v>0</v>
      </c>
      <c r="DS62" s="154">
        <f t="shared" si="271"/>
        <v>0</v>
      </c>
      <c r="DT62" s="154">
        <f t="shared" si="205"/>
        <v>0</v>
      </c>
      <c r="DU62" s="154">
        <f t="shared" si="272"/>
        <v>0</v>
      </c>
      <c r="DV62" s="154">
        <f t="shared" si="207"/>
        <v>0</v>
      </c>
      <c r="DW62" s="154">
        <f t="shared" si="273"/>
        <v>0</v>
      </c>
      <c r="DX62" s="154">
        <f t="shared" si="209"/>
        <v>0</v>
      </c>
      <c r="DY62" s="154">
        <f t="shared" si="274"/>
        <v>0</v>
      </c>
      <c r="DZ62" s="154">
        <f t="shared" si="211"/>
        <v>0</v>
      </c>
      <c r="EA62" s="154">
        <f t="shared" si="275"/>
        <v>0</v>
      </c>
      <c r="EB62" s="157">
        <f t="shared" si="213"/>
        <v>0</v>
      </c>
      <c r="EC62" s="154">
        <f t="shared" si="214"/>
        <v>0</v>
      </c>
      <c r="ED62" s="158">
        <f t="shared" si="215"/>
        <v>0</v>
      </c>
    </row>
    <row r="63" spans="1:134" x14ac:dyDescent="0.35">
      <c r="A63" s="172"/>
      <c r="B63" s="173"/>
      <c r="C63" s="174"/>
      <c r="D63" s="175"/>
      <c r="E63" s="176"/>
      <c r="F63" s="177"/>
      <c r="G63" s="178"/>
      <c r="H63" s="179"/>
      <c r="I63" s="180"/>
      <c r="J63" s="181"/>
      <c r="K63" s="152">
        <f t="shared" si="216"/>
        <v>0</v>
      </c>
      <c r="L63" s="153">
        <f t="shared" si="217"/>
        <v>0</v>
      </c>
      <c r="M63" s="154">
        <f t="shared" si="218"/>
        <v>0</v>
      </c>
      <c r="N63" s="154"/>
      <c r="O63" s="154">
        <f t="shared" si="219"/>
        <v>0</v>
      </c>
      <c r="P63" s="155"/>
      <c r="Q63" s="154">
        <f t="shared" si="220"/>
        <v>0</v>
      </c>
      <c r="R63" s="156">
        <f t="shared" si="221"/>
        <v>0</v>
      </c>
      <c r="S63" s="154">
        <f t="shared" si="222"/>
        <v>0</v>
      </c>
      <c r="T63" s="154">
        <f t="shared" si="223"/>
        <v>0</v>
      </c>
      <c r="U63" s="154">
        <f t="shared" si="224"/>
        <v>0</v>
      </c>
      <c r="V63" s="154">
        <f t="shared" si="225"/>
        <v>0</v>
      </c>
      <c r="W63" s="154">
        <f t="shared" si="226"/>
        <v>0</v>
      </c>
      <c r="X63" s="154">
        <f t="shared" si="227"/>
        <v>0</v>
      </c>
      <c r="Y63" s="154">
        <f t="shared" si="228"/>
        <v>0</v>
      </c>
      <c r="Z63" s="154">
        <f t="shared" si="229"/>
        <v>0</v>
      </c>
      <c r="AA63" s="154">
        <f t="shared" si="230"/>
        <v>0</v>
      </c>
      <c r="AB63" s="157">
        <f t="shared" si="231"/>
        <v>0</v>
      </c>
      <c r="AC63" s="154">
        <f t="shared" si="232"/>
        <v>0</v>
      </c>
      <c r="AD63" s="158">
        <f t="shared" si="233"/>
        <v>0</v>
      </c>
      <c r="AE63" s="156">
        <f t="shared" si="278"/>
        <v>0</v>
      </c>
      <c r="AF63" s="154">
        <f t="shared" si="235"/>
        <v>0</v>
      </c>
      <c r="AG63" s="154">
        <f t="shared" si="114"/>
        <v>0</v>
      </c>
      <c r="AH63" s="154">
        <f t="shared" si="236"/>
        <v>0</v>
      </c>
      <c r="AI63" s="154">
        <f t="shared" si="116"/>
        <v>0</v>
      </c>
      <c r="AJ63" s="154">
        <f t="shared" si="237"/>
        <v>0</v>
      </c>
      <c r="AK63" s="154">
        <f t="shared" si="118"/>
        <v>0</v>
      </c>
      <c r="AL63" s="154">
        <f t="shared" si="238"/>
        <v>0</v>
      </c>
      <c r="AM63" s="154">
        <f t="shared" si="120"/>
        <v>0</v>
      </c>
      <c r="AN63" s="154">
        <f t="shared" si="239"/>
        <v>0</v>
      </c>
      <c r="AO63" s="157">
        <f t="shared" si="122"/>
        <v>0</v>
      </c>
      <c r="AP63" s="154">
        <f t="shared" si="123"/>
        <v>0</v>
      </c>
      <c r="AQ63" s="158">
        <f t="shared" si="124"/>
        <v>0</v>
      </c>
      <c r="AR63" s="156">
        <f t="shared" si="278"/>
        <v>0</v>
      </c>
      <c r="AS63" s="154">
        <f t="shared" si="240"/>
        <v>0</v>
      </c>
      <c r="AT63" s="154">
        <f t="shared" si="127"/>
        <v>0</v>
      </c>
      <c r="AU63" s="154">
        <f t="shared" si="241"/>
        <v>0</v>
      </c>
      <c r="AV63" s="154">
        <f t="shared" si="129"/>
        <v>0</v>
      </c>
      <c r="AW63" s="154">
        <f t="shared" si="242"/>
        <v>0</v>
      </c>
      <c r="AX63" s="154">
        <f t="shared" si="131"/>
        <v>0</v>
      </c>
      <c r="AY63" s="154">
        <f t="shared" si="243"/>
        <v>0</v>
      </c>
      <c r="AZ63" s="154">
        <f t="shared" si="133"/>
        <v>0</v>
      </c>
      <c r="BA63" s="154">
        <f t="shared" si="244"/>
        <v>0</v>
      </c>
      <c r="BB63" s="157">
        <f t="shared" si="135"/>
        <v>0</v>
      </c>
      <c r="BC63" s="154">
        <f t="shared" si="136"/>
        <v>0</v>
      </c>
      <c r="BD63" s="158">
        <f t="shared" si="137"/>
        <v>0</v>
      </c>
      <c r="BE63" s="156">
        <f t="shared" si="278"/>
        <v>0</v>
      </c>
      <c r="BF63" s="154">
        <f t="shared" si="245"/>
        <v>0</v>
      </c>
      <c r="BG63" s="154">
        <f t="shared" si="140"/>
        <v>0</v>
      </c>
      <c r="BH63" s="154">
        <f t="shared" si="246"/>
        <v>0</v>
      </c>
      <c r="BI63" s="154">
        <f t="shared" si="142"/>
        <v>0</v>
      </c>
      <c r="BJ63" s="154">
        <f t="shared" si="247"/>
        <v>0</v>
      </c>
      <c r="BK63" s="154">
        <f t="shared" si="144"/>
        <v>0</v>
      </c>
      <c r="BL63" s="154">
        <f t="shared" si="248"/>
        <v>0</v>
      </c>
      <c r="BM63" s="154">
        <f t="shared" si="146"/>
        <v>0</v>
      </c>
      <c r="BN63" s="154">
        <f t="shared" si="249"/>
        <v>0</v>
      </c>
      <c r="BO63" s="157">
        <f t="shared" si="148"/>
        <v>0</v>
      </c>
      <c r="BP63" s="154">
        <f t="shared" si="149"/>
        <v>0</v>
      </c>
      <c r="BQ63" s="158">
        <f t="shared" si="150"/>
        <v>0</v>
      </c>
      <c r="BR63" s="156">
        <f t="shared" si="278"/>
        <v>0</v>
      </c>
      <c r="BS63" s="154">
        <f t="shared" si="250"/>
        <v>0</v>
      </c>
      <c r="BT63" s="154">
        <f t="shared" si="153"/>
        <v>0</v>
      </c>
      <c r="BU63" s="154">
        <f t="shared" si="251"/>
        <v>0</v>
      </c>
      <c r="BV63" s="154">
        <f t="shared" si="155"/>
        <v>0</v>
      </c>
      <c r="BW63" s="154">
        <f t="shared" si="252"/>
        <v>0</v>
      </c>
      <c r="BX63" s="154">
        <f t="shared" si="157"/>
        <v>0</v>
      </c>
      <c r="BY63" s="154">
        <f t="shared" si="253"/>
        <v>0</v>
      </c>
      <c r="BZ63" s="154">
        <f t="shared" si="159"/>
        <v>0</v>
      </c>
      <c r="CA63" s="154">
        <f t="shared" si="254"/>
        <v>0</v>
      </c>
      <c r="CB63" s="157">
        <f t="shared" si="161"/>
        <v>0</v>
      </c>
      <c r="CC63" s="154">
        <f t="shared" si="162"/>
        <v>0</v>
      </c>
      <c r="CD63" s="158">
        <f t="shared" si="163"/>
        <v>0</v>
      </c>
      <c r="CE63" s="156">
        <f t="shared" si="278"/>
        <v>0</v>
      </c>
      <c r="CF63" s="154">
        <f t="shared" si="255"/>
        <v>0</v>
      </c>
      <c r="CG63" s="154">
        <f t="shared" si="166"/>
        <v>0</v>
      </c>
      <c r="CH63" s="154">
        <f t="shared" si="256"/>
        <v>0</v>
      </c>
      <c r="CI63" s="154">
        <f t="shared" si="168"/>
        <v>0</v>
      </c>
      <c r="CJ63" s="154">
        <f t="shared" si="257"/>
        <v>0</v>
      </c>
      <c r="CK63" s="154">
        <f t="shared" si="170"/>
        <v>0</v>
      </c>
      <c r="CL63" s="154">
        <f t="shared" si="258"/>
        <v>0</v>
      </c>
      <c r="CM63" s="154">
        <f t="shared" si="172"/>
        <v>0</v>
      </c>
      <c r="CN63" s="154">
        <f t="shared" si="259"/>
        <v>0</v>
      </c>
      <c r="CO63" s="157">
        <f t="shared" si="174"/>
        <v>0</v>
      </c>
      <c r="CP63" s="154">
        <f t="shared" si="175"/>
        <v>0</v>
      </c>
      <c r="CQ63" s="158">
        <f t="shared" si="176"/>
        <v>0</v>
      </c>
      <c r="CR63" s="156">
        <f t="shared" si="279"/>
        <v>0</v>
      </c>
      <c r="CS63" s="154">
        <f t="shared" si="261"/>
        <v>0</v>
      </c>
      <c r="CT63" s="154">
        <f t="shared" si="179"/>
        <v>0</v>
      </c>
      <c r="CU63" s="154">
        <f t="shared" si="262"/>
        <v>0</v>
      </c>
      <c r="CV63" s="154">
        <f t="shared" si="181"/>
        <v>0</v>
      </c>
      <c r="CW63" s="154">
        <f t="shared" si="263"/>
        <v>0</v>
      </c>
      <c r="CX63" s="154">
        <f t="shared" si="183"/>
        <v>0</v>
      </c>
      <c r="CY63" s="154">
        <f t="shared" si="264"/>
        <v>0</v>
      </c>
      <c r="CZ63" s="154">
        <f t="shared" si="185"/>
        <v>0</v>
      </c>
      <c r="DA63" s="154">
        <f t="shared" si="265"/>
        <v>0</v>
      </c>
      <c r="DB63" s="157">
        <f t="shared" si="187"/>
        <v>0</v>
      </c>
      <c r="DC63" s="154">
        <f t="shared" si="188"/>
        <v>0</v>
      </c>
      <c r="DD63" s="158">
        <f t="shared" si="189"/>
        <v>0</v>
      </c>
      <c r="DE63" s="156">
        <f t="shared" si="279"/>
        <v>0</v>
      </c>
      <c r="DF63" s="154">
        <f t="shared" si="266"/>
        <v>0</v>
      </c>
      <c r="DG63" s="154">
        <f t="shared" si="192"/>
        <v>0</v>
      </c>
      <c r="DH63" s="154">
        <f t="shared" si="267"/>
        <v>0</v>
      </c>
      <c r="DI63" s="154">
        <f t="shared" si="194"/>
        <v>0</v>
      </c>
      <c r="DJ63" s="154">
        <f t="shared" si="268"/>
        <v>0</v>
      </c>
      <c r="DK63" s="154">
        <f t="shared" si="196"/>
        <v>0</v>
      </c>
      <c r="DL63" s="154">
        <f t="shared" si="269"/>
        <v>0</v>
      </c>
      <c r="DM63" s="154">
        <f t="shared" si="198"/>
        <v>0</v>
      </c>
      <c r="DN63" s="154">
        <f t="shared" si="270"/>
        <v>0</v>
      </c>
      <c r="DO63" s="157">
        <f t="shared" si="200"/>
        <v>0</v>
      </c>
      <c r="DP63" s="154">
        <f t="shared" si="201"/>
        <v>0</v>
      </c>
      <c r="DQ63" s="158">
        <f t="shared" si="202"/>
        <v>0</v>
      </c>
      <c r="DR63" s="156">
        <f t="shared" si="279"/>
        <v>0</v>
      </c>
      <c r="DS63" s="154">
        <f t="shared" si="271"/>
        <v>0</v>
      </c>
      <c r="DT63" s="154">
        <f t="shared" si="205"/>
        <v>0</v>
      </c>
      <c r="DU63" s="154">
        <f t="shared" si="272"/>
        <v>0</v>
      </c>
      <c r="DV63" s="154">
        <f t="shared" si="207"/>
        <v>0</v>
      </c>
      <c r="DW63" s="154">
        <f t="shared" si="273"/>
        <v>0</v>
      </c>
      <c r="DX63" s="154">
        <f t="shared" si="209"/>
        <v>0</v>
      </c>
      <c r="DY63" s="154">
        <f t="shared" si="274"/>
        <v>0</v>
      </c>
      <c r="DZ63" s="154">
        <f t="shared" si="211"/>
        <v>0</v>
      </c>
      <c r="EA63" s="154">
        <f t="shared" si="275"/>
        <v>0</v>
      </c>
      <c r="EB63" s="157">
        <f t="shared" si="213"/>
        <v>0</v>
      </c>
      <c r="EC63" s="154">
        <f t="shared" si="214"/>
        <v>0</v>
      </c>
      <c r="ED63" s="158">
        <f t="shared" si="215"/>
        <v>0</v>
      </c>
    </row>
    <row r="64" spans="1:134" x14ac:dyDescent="0.35">
      <c r="A64" s="172"/>
      <c r="B64" s="173"/>
      <c r="C64" s="174"/>
      <c r="D64" s="175"/>
      <c r="E64" s="176"/>
      <c r="F64" s="177"/>
      <c r="G64" s="178"/>
      <c r="H64" s="179"/>
      <c r="I64" s="180"/>
      <c r="J64" s="181"/>
      <c r="K64" s="152">
        <f t="shared" si="216"/>
        <v>0</v>
      </c>
      <c r="L64" s="153">
        <f t="shared" si="217"/>
        <v>0</v>
      </c>
      <c r="M64" s="154">
        <f t="shared" si="218"/>
        <v>0</v>
      </c>
      <c r="N64" s="154"/>
      <c r="O64" s="154">
        <f t="shared" si="219"/>
        <v>0</v>
      </c>
      <c r="P64" s="155"/>
      <c r="Q64" s="154">
        <f t="shared" si="220"/>
        <v>0</v>
      </c>
      <c r="R64" s="156">
        <f t="shared" si="221"/>
        <v>0</v>
      </c>
      <c r="S64" s="154">
        <f t="shared" si="222"/>
        <v>0</v>
      </c>
      <c r="T64" s="154">
        <f t="shared" si="223"/>
        <v>0</v>
      </c>
      <c r="U64" s="154">
        <f t="shared" si="224"/>
        <v>0</v>
      </c>
      <c r="V64" s="154">
        <f t="shared" si="225"/>
        <v>0</v>
      </c>
      <c r="W64" s="154">
        <f t="shared" si="226"/>
        <v>0</v>
      </c>
      <c r="X64" s="154">
        <f t="shared" si="227"/>
        <v>0</v>
      </c>
      <c r="Y64" s="154">
        <f t="shared" si="228"/>
        <v>0</v>
      </c>
      <c r="Z64" s="154">
        <f t="shared" si="229"/>
        <v>0</v>
      </c>
      <c r="AA64" s="154">
        <f t="shared" si="230"/>
        <v>0</v>
      </c>
      <c r="AB64" s="157">
        <f t="shared" si="231"/>
        <v>0</v>
      </c>
      <c r="AC64" s="154">
        <f t="shared" si="232"/>
        <v>0</v>
      </c>
      <c r="AD64" s="158">
        <f t="shared" si="233"/>
        <v>0</v>
      </c>
      <c r="AE64" s="156">
        <f t="shared" si="278"/>
        <v>0</v>
      </c>
      <c r="AF64" s="154">
        <f t="shared" si="235"/>
        <v>0</v>
      </c>
      <c r="AG64" s="154">
        <f t="shared" si="114"/>
        <v>0</v>
      </c>
      <c r="AH64" s="154">
        <f t="shared" si="236"/>
        <v>0</v>
      </c>
      <c r="AI64" s="154">
        <f t="shared" si="116"/>
        <v>0</v>
      </c>
      <c r="AJ64" s="154">
        <f t="shared" si="237"/>
        <v>0</v>
      </c>
      <c r="AK64" s="154">
        <f t="shared" si="118"/>
        <v>0</v>
      </c>
      <c r="AL64" s="154">
        <f t="shared" si="238"/>
        <v>0</v>
      </c>
      <c r="AM64" s="154">
        <f t="shared" si="120"/>
        <v>0</v>
      </c>
      <c r="AN64" s="154">
        <f t="shared" si="239"/>
        <v>0</v>
      </c>
      <c r="AO64" s="157">
        <f t="shared" si="122"/>
        <v>0</v>
      </c>
      <c r="AP64" s="154">
        <f t="shared" si="123"/>
        <v>0</v>
      </c>
      <c r="AQ64" s="158">
        <f t="shared" si="124"/>
        <v>0</v>
      </c>
      <c r="AR64" s="156">
        <f t="shared" si="278"/>
        <v>0</v>
      </c>
      <c r="AS64" s="154">
        <f t="shared" si="240"/>
        <v>0</v>
      </c>
      <c r="AT64" s="154">
        <f t="shared" si="127"/>
        <v>0</v>
      </c>
      <c r="AU64" s="154">
        <f t="shared" si="241"/>
        <v>0</v>
      </c>
      <c r="AV64" s="154">
        <f t="shared" si="129"/>
        <v>0</v>
      </c>
      <c r="AW64" s="154">
        <f t="shared" si="242"/>
        <v>0</v>
      </c>
      <c r="AX64" s="154">
        <f t="shared" si="131"/>
        <v>0</v>
      </c>
      <c r="AY64" s="154">
        <f t="shared" si="243"/>
        <v>0</v>
      </c>
      <c r="AZ64" s="154">
        <f t="shared" si="133"/>
        <v>0</v>
      </c>
      <c r="BA64" s="154">
        <f t="shared" si="244"/>
        <v>0</v>
      </c>
      <c r="BB64" s="157">
        <f t="shared" si="135"/>
        <v>0</v>
      </c>
      <c r="BC64" s="154">
        <f t="shared" si="136"/>
        <v>0</v>
      </c>
      <c r="BD64" s="158">
        <f t="shared" si="137"/>
        <v>0</v>
      </c>
      <c r="BE64" s="156">
        <f t="shared" si="278"/>
        <v>0</v>
      </c>
      <c r="BF64" s="154">
        <f t="shared" si="245"/>
        <v>0</v>
      </c>
      <c r="BG64" s="154">
        <f t="shared" si="140"/>
        <v>0</v>
      </c>
      <c r="BH64" s="154">
        <f t="shared" si="246"/>
        <v>0</v>
      </c>
      <c r="BI64" s="154">
        <f t="shared" si="142"/>
        <v>0</v>
      </c>
      <c r="BJ64" s="154">
        <f t="shared" si="247"/>
        <v>0</v>
      </c>
      <c r="BK64" s="154">
        <f t="shared" si="144"/>
        <v>0</v>
      </c>
      <c r="BL64" s="154">
        <f t="shared" si="248"/>
        <v>0</v>
      </c>
      <c r="BM64" s="154">
        <f t="shared" si="146"/>
        <v>0</v>
      </c>
      <c r="BN64" s="154">
        <f t="shared" si="249"/>
        <v>0</v>
      </c>
      <c r="BO64" s="157">
        <f t="shared" si="148"/>
        <v>0</v>
      </c>
      <c r="BP64" s="154">
        <f t="shared" si="149"/>
        <v>0</v>
      </c>
      <c r="BQ64" s="158">
        <f t="shared" si="150"/>
        <v>0</v>
      </c>
      <c r="BR64" s="156">
        <f t="shared" si="278"/>
        <v>0</v>
      </c>
      <c r="BS64" s="154">
        <f t="shared" si="250"/>
        <v>0</v>
      </c>
      <c r="BT64" s="154">
        <f t="shared" si="153"/>
        <v>0</v>
      </c>
      <c r="BU64" s="154">
        <f t="shared" si="251"/>
        <v>0</v>
      </c>
      <c r="BV64" s="154">
        <f t="shared" si="155"/>
        <v>0</v>
      </c>
      <c r="BW64" s="154">
        <f t="shared" si="252"/>
        <v>0</v>
      </c>
      <c r="BX64" s="154">
        <f t="shared" si="157"/>
        <v>0</v>
      </c>
      <c r="BY64" s="154">
        <f t="shared" si="253"/>
        <v>0</v>
      </c>
      <c r="BZ64" s="154">
        <f t="shared" si="159"/>
        <v>0</v>
      </c>
      <c r="CA64" s="154">
        <f t="shared" si="254"/>
        <v>0</v>
      </c>
      <c r="CB64" s="157">
        <f t="shared" si="161"/>
        <v>0</v>
      </c>
      <c r="CC64" s="154">
        <f t="shared" si="162"/>
        <v>0</v>
      </c>
      <c r="CD64" s="158">
        <f t="shared" si="163"/>
        <v>0</v>
      </c>
      <c r="CE64" s="156">
        <f t="shared" si="278"/>
        <v>0</v>
      </c>
      <c r="CF64" s="154">
        <f t="shared" si="255"/>
        <v>0</v>
      </c>
      <c r="CG64" s="154">
        <f t="shared" si="166"/>
        <v>0</v>
      </c>
      <c r="CH64" s="154">
        <f t="shared" si="256"/>
        <v>0</v>
      </c>
      <c r="CI64" s="154">
        <f t="shared" si="168"/>
        <v>0</v>
      </c>
      <c r="CJ64" s="154">
        <f t="shared" si="257"/>
        <v>0</v>
      </c>
      <c r="CK64" s="154">
        <f t="shared" si="170"/>
        <v>0</v>
      </c>
      <c r="CL64" s="154">
        <f t="shared" si="258"/>
        <v>0</v>
      </c>
      <c r="CM64" s="154">
        <f t="shared" si="172"/>
        <v>0</v>
      </c>
      <c r="CN64" s="154">
        <f t="shared" si="259"/>
        <v>0</v>
      </c>
      <c r="CO64" s="157">
        <f t="shared" si="174"/>
        <v>0</v>
      </c>
      <c r="CP64" s="154">
        <f t="shared" si="175"/>
        <v>0</v>
      </c>
      <c r="CQ64" s="158">
        <f t="shared" si="176"/>
        <v>0</v>
      </c>
      <c r="CR64" s="156">
        <f t="shared" si="279"/>
        <v>0</v>
      </c>
      <c r="CS64" s="154">
        <f t="shared" si="261"/>
        <v>0</v>
      </c>
      <c r="CT64" s="154">
        <f t="shared" si="179"/>
        <v>0</v>
      </c>
      <c r="CU64" s="154">
        <f t="shared" si="262"/>
        <v>0</v>
      </c>
      <c r="CV64" s="154">
        <f t="shared" si="181"/>
        <v>0</v>
      </c>
      <c r="CW64" s="154">
        <f t="shared" si="263"/>
        <v>0</v>
      </c>
      <c r="CX64" s="154">
        <f t="shared" si="183"/>
        <v>0</v>
      </c>
      <c r="CY64" s="154">
        <f t="shared" si="264"/>
        <v>0</v>
      </c>
      <c r="CZ64" s="154">
        <f t="shared" si="185"/>
        <v>0</v>
      </c>
      <c r="DA64" s="154">
        <f t="shared" si="265"/>
        <v>0</v>
      </c>
      <c r="DB64" s="157">
        <f t="shared" si="187"/>
        <v>0</v>
      </c>
      <c r="DC64" s="154">
        <f t="shared" si="188"/>
        <v>0</v>
      </c>
      <c r="DD64" s="158">
        <f t="shared" si="189"/>
        <v>0</v>
      </c>
      <c r="DE64" s="156">
        <f t="shared" si="279"/>
        <v>0</v>
      </c>
      <c r="DF64" s="154">
        <f t="shared" si="266"/>
        <v>0</v>
      </c>
      <c r="DG64" s="154">
        <f t="shared" si="192"/>
        <v>0</v>
      </c>
      <c r="DH64" s="154">
        <f t="shared" si="267"/>
        <v>0</v>
      </c>
      <c r="DI64" s="154">
        <f t="shared" si="194"/>
        <v>0</v>
      </c>
      <c r="DJ64" s="154">
        <f t="shared" si="268"/>
        <v>0</v>
      </c>
      <c r="DK64" s="154">
        <f t="shared" si="196"/>
        <v>0</v>
      </c>
      <c r="DL64" s="154">
        <f t="shared" si="269"/>
        <v>0</v>
      </c>
      <c r="DM64" s="154">
        <f t="shared" si="198"/>
        <v>0</v>
      </c>
      <c r="DN64" s="154">
        <f t="shared" si="270"/>
        <v>0</v>
      </c>
      <c r="DO64" s="157">
        <f t="shared" si="200"/>
        <v>0</v>
      </c>
      <c r="DP64" s="154">
        <f t="shared" si="201"/>
        <v>0</v>
      </c>
      <c r="DQ64" s="158">
        <f t="shared" si="202"/>
        <v>0</v>
      </c>
      <c r="DR64" s="156">
        <f t="shared" si="279"/>
        <v>0</v>
      </c>
      <c r="DS64" s="154">
        <f t="shared" si="271"/>
        <v>0</v>
      </c>
      <c r="DT64" s="154">
        <f t="shared" si="205"/>
        <v>0</v>
      </c>
      <c r="DU64" s="154">
        <f t="shared" si="272"/>
        <v>0</v>
      </c>
      <c r="DV64" s="154">
        <f t="shared" si="207"/>
        <v>0</v>
      </c>
      <c r="DW64" s="154">
        <f t="shared" si="273"/>
        <v>0</v>
      </c>
      <c r="DX64" s="154">
        <f t="shared" si="209"/>
        <v>0</v>
      </c>
      <c r="DY64" s="154">
        <f t="shared" si="274"/>
        <v>0</v>
      </c>
      <c r="DZ64" s="154">
        <f t="shared" si="211"/>
        <v>0</v>
      </c>
      <c r="EA64" s="154">
        <f t="shared" si="275"/>
        <v>0</v>
      </c>
      <c r="EB64" s="157">
        <f t="shared" si="213"/>
        <v>0</v>
      </c>
      <c r="EC64" s="154">
        <f t="shared" si="214"/>
        <v>0</v>
      </c>
      <c r="ED64" s="158">
        <f t="shared" si="215"/>
        <v>0</v>
      </c>
    </row>
    <row r="65" spans="1:134" x14ac:dyDescent="0.35">
      <c r="A65" s="172"/>
      <c r="B65" s="173"/>
      <c r="C65" s="174"/>
      <c r="D65" s="175"/>
      <c r="E65" s="176"/>
      <c r="F65" s="177"/>
      <c r="G65" s="178"/>
      <c r="H65" s="179"/>
      <c r="I65" s="180"/>
      <c r="J65" s="181"/>
      <c r="K65" s="152">
        <f t="shared" si="216"/>
        <v>0</v>
      </c>
      <c r="L65" s="153">
        <f t="shared" si="217"/>
        <v>0</v>
      </c>
      <c r="M65" s="154">
        <f t="shared" si="218"/>
        <v>0</v>
      </c>
      <c r="N65" s="154"/>
      <c r="O65" s="154">
        <f t="shared" si="219"/>
        <v>0</v>
      </c>
      <c r="P65" s="155"/>
      <c r="Q65" s="154">
        <f t="shared" si="220"/>
        <v>0</v>
      </c>
      <c r="R65" s="156">
        <f t="shared" si="221"/>
        <v>0</v>
      </c>
      <c r="S65" s="154">
        <f t="shared" si="222"/>
        <v>0</v>
      </c>
      <c r="T65" s="154">
        <f t="shared" si="223"/>
        <v>0</v>
      </c>
      <c r="U65" s="154">
        <f t="shared" si="224"/>
        <v>0</v>
      </c>
      <c r="V65" s="154">
        <f t="shared" si="225"/>
        <v>0</v>
      </c>
      <c r="W65" s="154">
        <f t="shared" si="226"/>
        <v>0</v>
      </c>
      <c r="X65" s="154">
        <f t="shared" si="227"/>
        <v>0</v>
      </c>
      <c r="Y65" s="154">
        <f t="shared" si="228"/>
        <v>0</v>
      </c>
      <c r="Z65" s="154">
        <f t="shared" si="229"/>
        <v>0</v>
      </c>
      <c r="AA65" s="154">
        <f t="shared" si="230"/>
        <v>0</v>
      </c>
      <c r="AB65" s="157">
        <f t="shared" si="231"/>
        <v>0</v>
      </c>
      <c r="AC65" s="154">
        <f t="shared" si="232"/>
        <v>0</v>
      </c>
      <c r="AD65" s="158">
        <f t="shared" si="233"/>
        <v>0</v>
      </c>
      <c r="AE65" s="156">
        <f t="shared" si="278"/>
        <v>0</v>
      </c>
      <c r="AF65" s="154">
        <f t="shared" si="235"/>
        <v>0</v>
      </c>
      <c r="AG65" s="154">
        <f t="shared" si="114"/>
        <v>0</v>
      </c>
      <c r="AH65" s="154">
        <f t="shared" si="236"/>
        <v>0</v>
      </c>
      <c r="AI65" s="154">
        <f t="shared" si="116"/>
        <v>0</v>
      </c>
      <c r="AJ65" s="154">
        <f t="shared" si="237"/>
        <v>0</v>
      </c>
      <c r="AK65" s="154">
        <f t="shared" si="118"/>
        <v>0</v>
      </c>
      <c r="AL65" s="154">
        <f t="shared" si="238"/>
        <v>0</v>
      </c>
      <c r="AM65" s="154">
        <f t="shared" si="120"/>
        <v>0</v>
      </c>
      <c r="AN65" s="154">
        <f t="shared" si="239"/>
        <v>0</v>
      </c>
      <c r="AO65" s="157">
        <f t="shared" si="122"/>
        <v>0</v>
      </c>
      <c r="AP65" s="154">
        <f t="shared" si="123"/>
        <v>0</v>
      </c>
      <c r="AQ65" s="158">
        <f t="shared" si="124"/>
        <v>0</v>
      </c>
      <c r="AR65" s="156">
        <f t="shared" si="278"/>
        <v>0</v>
      </c>
      <c r="AS65" s="154">
        <f t="shared" si="240"/>
        <v>0</v>
      </c>
      <c r="AT65" s="154">
        <f t="shared" si="127"/>
        <v>0</v>
      </c>
      <c r="AU65" s="154">
        <f t="shared" si="241"/>
        <v>0</v>
      </c>
      <c r="AV65" s="154">
        <f t="shared" si="129"/>
        <v>0</v>
      </c>
      <c r="AW65" s="154">
        <f t="shared" si="242"/>
        <v>0</v>
      </c>
      <c r="AX65" s="154">
        <f t="shared" si="131"/>
        <v>0</v>
      </c>
      <c r="AY65" s="154">
        <f t="shared" si="243"/>
        <v>0</v>
      </c>
      <c r="AZ65" s="154">
        <f t="shared" si="133"/>
        <v>0</v>
      </c>
      <c r="BA65" s="154">
        <f t="shared" si="244"/>
        <v>0</v>
      </c>
      <c r="BB65" s="157">
        <f t="shared" si="135"/>
        <v>0</v>
      </c>
      <c r="BC65" s="154">
        <f t="shared" si="136"/>
        <v>0</v>
      </c>
      <c r="BD65" s="158">
        <f t="shared" si="137"/>
        <v>0</v>
      </c>
      <c r="BE65" s="156">
        <f t="shared" si="278"/>
        <v>0</v>
      </c>
      <c r="BF65" s="154">
        <f t="shared" si="245"/>
        <v>0</v>
      </c>
      <c r="BG65" s="154">
        <f t="shared" si="140"/>
        <v>0</v>
      </c>
      <c r="BH65" s="154">
        <f t="shared" si="246"/>
        <v>0</v>
      </c>
      <c r="BI65" s="154">
        <f t="shared" si="142"/>
        <v>0</v>
      </c>
      <c r="BJ65" s="154">
        <f t="shared" si="247"/>
        <v>0</v>
      </c>
      <c r="BK65" s="154">
        <f t="shared" si="144"/>
        <v>0</v>
      </c>
      <c r="BL65" s="154">
        <f t="shared" si="248"/>
        <v>0</v>
      </c>
      <c r="BM65" s="154">
        <f t="shared" si="146"/>
        <v>0</v>
      </c>
      <c r="BN65" s="154">
        <f t="shared" si="249"/>
        <v>0</v>
      </c>
      <c r="BO65" s="157">
        <f t="shared" si="148"/>
        <v>0</v>
      </c>
      <c r="BP65" s="154">
        <f t="shared" si="149"/>
        <v>0</v>
      </c>
      <c r="BQ65" s="158">
        <f t="shared" si="150"/>
        <v>0</v>
      </c>
      <c r="BR65" s="156">
        <f t="shared" si="278"/>
        <v>0</v>
      </c>
      <c r="BS65" s="154">
        <f t="shared" si="250"/>
        <v>0</v>
      </c>
      <c r="BT65" s="154">
        <f t="shared" si="153"/>
        <v>0</v>
      </c>
      <c r="BU65" s="154">
        <f t="shared" si="251"/>
        <v>0</v>
      </c>
      <c r="BV65" s="154">
        <f t="shared" si="155"/>
        <v>0</v>
      </c>
      <c r="BW65" s="154">
        <f t="shared" si="252"/>
        <v>0</v>
      </c>
      <c r="BX65" s="154">
        <f t="shared" si="157"/>
        <v>0</v>
      </c>
      <c r="BY65" s="154">
        <f t="shared" si="253"/>
        <v>0</v>
      </c>
      <c r="BZ65" s="154">
        <f t="shared" si="159"/>
        <v>0</v>
      </c>
      <c r="CA65" s="154">
        <f t="shared" si="254"/>
        <v>0</v>
      </c>
      <c r="CB65" s="157">
        <f t="shared" si="161"/>
        <v>0</v>
      </c>
      <c r="CC65" s="154">
        <f t="shared" si="162"/>
        <v>0</v>
      </c>
      <c r="CD65" s="158">
        <f t="shared" si="163"/>
        <v>0</v>
      </c>
      <c r="CE65" s="156">
        <f t="shared" si="278"/>
        <v>0</v>
      </c>
      <c r="CF65" s="154">
        <f t="shared" si="255"/>
        <v>0</v>
      </c>
      <c r="CG65" s="154">
        <f t="shared" si="166"/>
        <v>0</v>
      </c>
      <c r="CH65" s="154">
        <f t="shared" si="256"/>
        <v>0</v>
      </c>
      <c r="CI65" s="154">
        <f t="shared" si="168"/>
        <v>0</v>
      </c>
      <c r="CJ65" s="154">
        <f t="shared" si="257"/>
        <v>0</v>
      </c>
      <c r="CK65" s="154">
        <f t="shared" si="170"/>
        <v>0</v>
      </c>
      <c r="CL65" s="154">
        <f t="shared" si="258"/>
        <v>0</v>
      </c>
      <c r="CM65" s="154">
        <f t="shared" si="172"/>
        <v>0</v>
      </c>
      <c r="CN65" s="154">
        <f t="shared" si="259"/>
        <v>0</v>
      </c>
      <c r="CO65" s="157">
        <f t="shared" si="174"/>
        <v>0</v>
      </c>
      <c r="CP65" s="154">
        <f t="shared" si="175"/>
        <v>0</v>
      </c>
      <c r="CQ65" s="158">
        <f t="shared" si="176"/>
        <v>0</v>
      </c>
      <c r="CR65" s="156">
        <f t="shared" si="279"/>
        <v>0</v>
      </c>
      <c r="CS65" s="154">
        <f t="shared" si="261"/>
        <v>0</v>
      </c>
      <c r="CT65" s="154">
        <f t="shared" si="179"/>
        <v>0</v>
      </c>
      <c r="CU65" s="154">
        <f t="shared" si="262"/>
        <v>0</v>
      </c>
      <c r="CV65" s="154">
        <f t="shared" si="181"/>
        <v>0</v>
      </c>
      <c r="CW65" s="154">
        <f t="shared" si="263"/>
        <v>0</v>
      </c>
      <c r="CX65" s="154">
        <f t="shared" si="183"/>
        <v>0</v>
      </c>
      <c r="CY65" s="154">
        <f t="shared" si="264"/>
        <v>0</v>
      </c>
      <c r="CZ65" s="154">
        <f t="shared" si="185"/>
        <v>0</v>
      </c>
      <c r="DA65" s="154">
        <f t="shared" si="265"/>
        <v>0</v>
      </c>
      <c r="DB65" s="157">
        <f t="shared" si="187"/>
        <v>0</v>
      </c>
      <c r="DC65" s="154">
        <f t="shared" si="188"/>
        <v>0</v>
      </c>
      <c r="DD65" s="158">
        <f t="shared" si="189"/>
        <v>0</v>
      </c>
      <c r="DE65" s="156">
        <f t="shared" si="279"/>
        <v>0</v>
      </c>
      <c r="DF65" s="154">
        <f t="shared" si="266"/>
        <v>0</v>
      </c>
      <c r="DG65" s="154">
        <f t="shared" si="192"/>
        <v>0</v>
      </c>
      <c r="DH65" s="154">
        <f t="shared" si="267"/>
        <v>0</v>
      </c>
      <c r="DI65" s="154">
        <f t="shared" si="194"/>
        <v>0</v>
      </c>
      <c r="DJ65" s="154">
        <f t="shared" si="268"/>
        <v>0</v>
      </c>
      <c r="DK65" s="154">
        <f t="shared" si="196"/>
        <v>0</v>
      </c>
      <c r="DL65" s="154">
        <f t="shared" si="269"/>
        <v>0</v>
      </c>
      <c r="DM65" s="154">
        <f t="shared" si="198"/>
        <v>0</v>
      </c>
      <c r="DN65" s="154">
        <f t="shared" si="270"/>
        <v>0</v>
      </c>
      <c r="DO65" s="157">
        <f t="shared" si="200"/>
        <v>0</v>
      </c>
      <c r="DP65" s="154">
        <f t="shared" si="201"/>
        <v>0</v>
      </c>
      <c r="DQ65" s="158">
        <f t="shared" si="202"/>
        <v>0</v>
      </c>
      <c r="DR65" s="156">
        <f t="shared" si="279"/>
        <v>0</v>
      </c>
      <c r="DS65" s="154">
        <f t="shared" si="271"/>
        <v>0</v>
      </c>
      <c r="DT65" s="154">
        <f t="shared" si="205"/>
        <v>0</v>
      </c>
      <c r="DU65" s="154">
        <f t="shared" si="272"/>
        <v>0</v>
      </c>
      <c r="DV65" s="154">
        <f t="shared" si="207"/>
        <v>0</v>
      </c>
      <c r="DW65" s="154">
        <f t="shared" si="273"/>
        <v>0</v>
      </c>
      <c r="DX65" s="154">
        <f t="shared" si="209"/>
        <v>0</v>
      </c>
      <c r="DY65" s="154">
        <f t="shared" si="274"/>
        <v>0</v>
      </c>
      <c r="DZ65" s="154">
        <f t="shared" si="211"/>
        <v>0</v>
      </c>
      <c r="EA65" s="154">
        <f t="shared" si="275"/>
        <v>0</v>
      </c>
      <c r="EB65" s="157">
        <f t="shared" si="213"/>
        <v>0</v>
      </c>
      <c r="EC65" s="154">
        <f t="shared" si="214"/>
        <v>0</v>
      </c>
      <c r="ED65" s="158">
        <f t="shared" si="215"/>
        <v>0</v>
      </c>
    </row>
    <row r="66" spans="1:134" x14ac:dyDescent="0.35">
      <c r="A66" s="172"/>
      <c r="B66" s="173"/>
      <c r="C66" s="174"/>
      <c r="D66" s="175"/>
      <c r="E66" s="176"/>
      <c r="F66" s="177"/>
      <c r="G66" s="178"/>
      <c r="H66" s="179"/>
      <c r="I66" s="180"/>
      <c r="J66" s="181"/>
      <c r="K66" s="152">
        <f t="shared" si="216"/>
        <v>0</v>
      </c>
      <c r="L66" s="153">
        <f t="shared" si="217"/>
        <v>0</v>
      </c>
      <c r="M66" s="154">
        <f t="shared" si="218"/>
        <v>0</v>
      </c>
      <c r="N66" s="154"/>
      <c r="O66" s="154">
        <f t="shared" si="219"/>
        <v>0</v>
      </c>
      <c r="P66" s="155"/>
      <c r="Q66" s="154">
        <f t="shared" si="220"/>
        <v>0</v>
      </c>
      <c r="R66" s="156">
        <f t="shared" si="221"/>
        <v>0</v>
      </c>
      <c r="S66" s="154">
        <f t="shared" si="222"/>
        <v>0</v>
      </c>
      <c r="T66" s="154">
        <f t="shared" si="223"/>
        <v>0</v>
      </c>
      <c r="U66" s="154">
        <f t="shared" si="224"/>
        <v>0</v>
      </c>
      <c r="V66" s="154">
        <f t="shared" si="225"/>
        <v>0</v>
      </c>
      <c r="W66" s="154">
        <f t="shared" si="226"/>
        <v>0</v>
      </c>
      <c r="X66" s="154">
        <f t="shared" si="227"/>
        <v>0</v>
      </c>
      <c r="Y66" s="154">
        <f t="shared" si="228"/>
        <v>0</v>
      </c>
      <c r="Z66" s="154">
        <f t="shared" si="229"/>
        <v>0</v>
      </c>
      <c r="AA66" s="154">
        <f t="shared" si="230"/>
        <v>0</v>
      </c>
      <c r="AB66" s="157">
        <f t="shared" si="231"/>
        <v>0</v>
      </c>
      <c r="AC66" s="154">
        <f t="shared" si="232"/>
        <v>0</v>
      </c>
      <c r="AD66" s="158">
        <f t="shared" si="233"/>
        <v>0</v>
      </c>
      <c r="AE66" s="156">
        <f t="shared" si="278"/>
        <v>0</v>
      </c>
      <c r="AF66" s="154">
        <f t="shared" si="235"/>
        <v>0</v>
      </c>
      <c r="AG66" s="154">
        <f t="shared" si="114"/>
        <v>0</v>
      </c>
      <c r="AH66" s="154">
        <f t="shared" si="236"/>
        <v>0</v>
      </c>
      <c r="AI66" s="154">
        <f t="shared" si="116"/>
        <v>0</v>
      </c>
      <c r="AJ66" s="154">
        <f t="shared" si="237"/>
        <v>0</v>
      </c>
      <c r="AK66" s="154">
        <f t="shared" si="118"/>
        <v>0</v>
      </c>
      <c r="AL66" s="154">
        <f t="shared" si="238"/>
        <v>0</v>
      </c>
      <c r="AM66" s="154">
        <f t="shared" si="120"/>
        <v>0</v>
      </c>
      <c r="AN66" s="154">
        <f t="shared" si="239"/>
        <v>0</v>
      </c>
      <c r="AO66" s="157">
        <f t="shared" si="122"/>
        <v>0</v>
      </c>
      <c r="AP66" s="154">
        <f t="shared" si="123"/>
        <v>0</v>
      </c>
      <c r="AQ66" s="158">
        <f t="shared" si="124"/>
        <v>0</v>
      </c>
      <c r="AR66" s="156">
        <f t="shared" si="278"/>
        <v>0</v>
      </c>
      <c r="AS66" s="154">
        <f t="shared" si="240"/>
        <v>0</v>
      </c>
      <c r="AT66" s="154">
        <f t="shared" si="127"/>
        <v>0</v>
      </c>
      <c r="AU66" s="154">
        <f t="shared" si="241"/>
        <v>0</v>
      </c>
      <c r="AV66" s="154">
        <f t="shared" si="129"/>
        <v>0</v>
      </c>
      <c r="AW66" s="154">
        <f t="shared" si="242"/>
        <v>0</v>
      </c>
      <c r="AX66" s="154">
        <f t="shared" si="131"/>
        <v>0</v>
      </c>
      <c r="AY66" s="154">
        <f t="shared" si="243"/>
        <v>0</v>
      </c>
      <c r="AZ66" s="154">
        <f t="shared" si="133"/>
        <v>0</v>
      </c>
      <c r="BA66" s="154">
        <f t="shared" si="244"/>
        <v>0</v>
      </c>
      <c r="BB66" s="157">
        <f t="shared" si="135"/>
        <v>0</v>
      </c>
      <c r="BC66" s="154">
        <f t="shared" si="136"/>
        <v>0</v>
      </c>
      <c r="BD66" s="158">
        <f t="shared" si="137"/>
        <v>0</v>
      </c>
      <c r="BE66" s="156">
        <f t="shared" si="278"/>
        <v>0</v>
      </c>
      <c r="BF66" s="154">
        <f t="shared" si="245"/>
        <v>0</v>
      </c>
      <c r="BG66" s="154">
        <f t="shared" si="140"/>
        <v>0</v>
      </c>
      <c r="BH66" s="154">
        <f t="shared" si="246"/>
        <v>0</v>
      </c>
      <c r="BI66" s="154">
        <f t="shared" si="142"/>
        <v>0</v>
      </c>
      <c r="BJ66" s="154">
        <f t="shared" si="247"/>
        <v>0</v>
      </c>
      <c r="BK66" s="154">
        <f t="shared" si="144"/>
        <v>0</v>
      </c>
      <c r="BL66" s="154">
        <f t="shared" si="248"/>
        <v>0</v>
      </c>
      <c r="BM66" s="154">
        <f t="shared" si="146"/>
        <v>0</v>
      </c>
      <c r="BN66" s="154">
        <f t="shared" si="249"/>
        <v>0</v>
      </c>
      <c r="BO66" s="157">
        <f t="shared" si="148"/>
        <v>0</v>
      </c>
      <c r="BP66" s="154">
        <f t="shared" si="149"/>
        <v>0</v>
      </c>
      <c r="BQ66" s="158">
        <f t="shared" si="150"/>
        <v>0</v>
      </c>
      <c r="BR66" s="156">
        <f t="shared" si="278"/>
        <v>0</v>
      </c>
      <c r="BS66" s="154">
        <f t="shared" si="250"/>
        <v>0</v>
      </c>
      <c r="BT66" s="154">
        <f t="shared" si="153"/>
        <v>0</v>
      </c>
      <c r="BU66" s="154">
        <f t="shared" si="251"/>
        <v>0</v>
      </c>
      <c r="BV66" s="154">
        <f t="shared" si="155"/>
        <v>0</v>
      </c>
      <c r="BW66" s="154">
        <f t="shared" si="252"/>
        <v>0</v>
      </c>
      <c r="BX66" s="154">
        <f t="shared" si="157"/>
        <v>0</v>
      </c>
      <c r="BY66" s="154">
        <f t="shared" si="253"/>
        <v>0</v>
      </c>
      <c r="BZ66" s="154">
        <f t="shared" si="159"/>
        <v>0</v>
      </c>
      <c r="CA66" s="154">
        <f t="shared" si="254"/>
        <v>0</v>
      </c>
      <c r="CB66" s="157">
        <f t="shared" si="161"/>
        <v>0</v>
      </c>
      <c r="CC66" s="154">
        <f t="shared" si="162"/>
        <v>0</v>
      </c>
      <c r="CD66" s="158">
        <f t="shared" si="163"/>
        <v>0</v>
      </c>
      <c r="CE66" s="156">
        <f t="shared" si="278"/>
        <v>0</v>
      </c>
      <c r="CF66" s="154">
        <f t="shared" si="255"/>
        <v>0</v>
      </c>
      <c r="CG66" s="154">
        <f t="shared" si="166"/>
        <v>0</v>
      </c>
      <c r="CH66" s="154">
        <f t="shared" si="256"/>
        <v>0</v>
      </c>
      <c r="CI66" s="154">
        <f t="shared" si="168"/>
        <v>0</v>
      </c>
      <c r="CJ66" s="154">
        <f t="shared" si="257"/>
        <v>0</v>
      </c>
      <c r="CK66" s="154">
        <f t="shared" si="170"/>
        <v>0</v>
      </c>
      <c r="CL66" s="154">
        <f t="shared" si="258"/>
        <v>0</v>
      </c>
      <c r="CM66" s="154">
        <f t="shared" si="172"/>
        <v>0</v>
      </c>
      <c r="CN66" s="154">
        <f t="shared" si="259"/>
        <v>0</v>
      </c>
      <c r="CO66" s="157">
        <f t="shared" si="174"/>
        <v>0</v>
      </c>
      <c r="CP66" s="154">
        <f t="shared" si="175"/>
        <v>0</v>
      </c>
      <c r="CQ66" s="158">
        <f t="shared" si="176"/>
        <v>0</v>
      </c>
      <c r="CR66" s="156">
        <f t="shared" si="279"/>
        <v>0</v>
      </c>
      <c r="CS66" s="154">
        <f t="shared" si="261"/>
        <v>0</v>
      </c>
      <c r="CT66" s="154">
        <f t="shared" si="179"/>
        <v>0</v>
      </c>
      <c r="CU66" s="154">
        <f t="shared" si="262"/>
        <v>0</v>
      </c>
      <c r="CV66" s="154">
        <f t="shared" si="181"/>
        <v>0</v>
      </c>
      <c r="CW66" s="154">
        <f t="shared" si="263"/>
        <v>0</v>
      </c>
      <c r="CX66" s="154">
        <f t="shared" si="183"/>
        <v>0</v>
      </c>
      <c r="CY66" s="154">
        <f t="shared" si="264"/>
        <v>0</v>
      </c>
      <c r="CZ66" s="154">
        <f t="shared" si="185"/>
        <v>0</v>
      </c>
      <c r="DA66" s="154">
        <f t="shared" si="265"/>
        <v>0</v>
      </c>
      <c r="DB66" s="157">
        <f t="shared" si="187"/>
        <v>0</v>
      </c>
      <c r="DC66" s="154">
        <f t="shared" si="188"/>
        <v>0</v>
      </c>
      <c r="DD66" s="158">
        <f t="shared" si="189"/>
        <v>0</v>
      </c>
      <c r="DE66" s="156">
        <f t="shared" si="279"/>
        <v>0</v>
      </c>
      <c r="DF66" s="154">
        <f t="shared" si="266"/>
        <v>0</v>
      </c>
      <c r="DG66" s="154">
        <f t="shared" si="192"/>
        <v>0</v>
      </c>
      <c r="DH66" s="154">
        <f t="shared" si="267"/>
        <v>0</v>
      </c>
      <c r="DI66" s="154">
        <f t="shared" si="194"/>
        <v>0</v>
      </c>
      <c r="DJ66" s="154">
        <f t="shared" si="268"/>
        <v>0</v>
      </c>
      <c r="DK66" s="154">
        <f t="shared" si="196"/>
        <v>0</v>
      </c>
      <c r="DL66" s="154">
        <f t="shared" si="269"/>
        <v>0</v>
      </c>
      <c r="DM66" s="154">
        <f t="shared" si="198"/>
        <v>0</v>
      </c>
      <c r="DN66" s="154">
        <f t="shared" si="270"/>
        <v>0</v>
      </c>
      <c r="DO66" s="157">
        <f t="shared" si="200"/>
        <v>0</v>
      </c>
      <c r="DP66" s="154">
        <f t="shared" si="201"/>
        <v>0</v>
      </c>
      <c r="DQ66" s="158">
        <f t="shared" si="202"/>
        <v>0</v>
      </c>
      <c r="DR66" s="156">
        <f t="shared" si="279"/>
        <v>0</v>
      </c>
      <c r="DS66" s="154">
        <f t="shared" si="271"/>
        <v>0</v>
      </c>
      <c r="DT66" s="154">
        <f t="shared" si="205"/>
        <v>0</v>
      </c>
      <c r="DU66" s="154">
        <f t="shared" si="272"/>
        <v>0</v>
      </c>
      <c r="DV66" s="154">
        <f t="shared" si="207"/>
        <v>0</v>
      </c>
      <c r="DW66" s="154">
        <f t="shared" si="273"/>
        <v>0</v>
      </c>
      <c r="DX66" s="154">
        <f t="shared" si="209"/>
        <v>0</v>
      </c>
      <c r="DY66" s="154">
        <f t="shared" si="274"/>
        <v>0</v>
      </c>
      <c r="DZ66" s="154">
        <f t="shared" si="211"/>
        <v>0</v>
      </c>
      <c r="EA66" s="154">
        <f t="shared" si="275"/>
        <v>0</v>
      </c>
      <c r="EB66" s="157">
        <f t="shared" si="213"/>
        <v>0</v>
      </c>
      <c r="EC66" s="154">
        <f t="shared" si="214"/>
        <v>0</v>
      </c>
      <c r="ED66" s="158">
        <f t="shared" si="215"/>
        <v>0</v>
      </c>
    </row>
    <row r="67" spans="1:134" x14ac:dyDescent="0.35">
      <c r="A67" s="172"/>
      <c r="B67" s="173"/>
      <c r="C67" s="174"/>
      <c r="D67" s="175"/>
      <c r="E67" s="176"/>
      <c r="F67" s="177"/>
      <c r="G67" s="178"/>
      <c r="H67" s="179"/>
      <c r="I67" s="180"/>
      <c r="J67" s="181"/>
      <c r="K67" s="152">
        <f t="shared" si="216"/>
        <v>0</v>
      </c>
      <c r="L67" s="153">
        <f t="shared" si="217"/>
        <v>0</v>
      </c>
      <c r="M67" s="154">
        <f t="shared" si="218"/>
        <v>0</v>
      </c>
      <c r="N67" s="154"/>
      <c r="O67" s="154">
        <f t="shared" si="219"/>
        <v>0</v>
      </c>
      <c r="P67" s="155"/>
      <c r="Q67" s="154">
        <f t="shared" si="220"/>
        <v>0</v>
      </c>
      <c r="R67" s="156">
        <f t="shared" si="221"/>
        <v>0</v>
      </c>
      <c r="S67" s="154">
        <f t="shared" si="222"/>
        <v>0</v>
      </c>
      <c r="T67" s="154">
        <f t="shared" si="223"/>
        <v>0</v>
      </c>
      <c r="U67" s="154">
        <f t="shared" si="224"/>
        <v>0</v>
      </c>
      <c r="V67" s="154">
        <f t="shared" si="225"/>
        <v>0</v>
      </c>
      <c r="W67" s="154">
        <f t="shared" si="226"/>
        <v>0</v>
      </c>
      <c r="X67" s="154">
        <f t="shared" si="227"/>
        <v>0</v>
      </c>
      <c r="Y67" s="154">
        <f t="shared" si="228"/>
        <v>0</v>
      </c>
      <c r="Z67" s="154">
        <f t="shared" si="229"/>
        <v>0</v>
      </c>
      <c r="AA67" s="154">
        <f t="shared" si="230"/>
        <v>0</v>
      </c>
      <c r="AB67" s="157">
        <f t="shared" si="231"/>
        <v>0</v>
      </c>
      <c r="AC67" s="154">
        <f t="shared" si="232"/>
        <v>0</v>
      </c>
      <c r="AD67" s="158">
        <f t="shared" si="233"/>
        <v>0</v>
      </c>
      <c r="AE67" s="156">
        <f t="shared" si="278"/>
        <v>0</v>
      </c>
      <c r="AF67" s="154">
        <f t="shared" si="235"/>
        <v>0</v>
      </c>
      <c r="AG67" s="154">
        <f t="shared" si="114"/>
        <v>0</v>
      </c>
      <c r="AH67" s="154">
        <f t="shared" si="236"/>
        <v>0</v>
      </c>
      <c r="AI67" s="154">
        <f t="shared" si="116"/>
        <v>0</v>
      </c>
      <c r="AJ67" s="154">
        <f t="shared" si="237"/>
        <v>0</v>
      </c>
      <c r="AK67" s="154">
        <f t="shared" si="118"/>
        <v>0</v>
      </c>
      <c r="AL67" s="154">
        <f t="shared" si="238"/>
        <v>0</v>
      </c>
      <c r="AM67" s="154">
        <f t="shared" si="120"/>
        <v>0</v>
      </c>
      <c r="AN67" s="154">
        <f t="shared" si="239"/>
        <v>0</v>
      </c>
      <c r="AO67" s="157">
        <f t="shared" si="122"/>
        <v>0</v>
      </c>
      <c r="AP67" s="154">
        <f t="shared" si="123"/>
        <v>0</v>
      </c>
      <c r="AQ67" s="158">
        <f t="shared" si="124"/>
        <v>0</v>
      </c>
      <c r="AR67" s="156">
        <f t="shared" si="278"/>
        <v>0</v>
      </c>
      <c r="AS67" s="154">
        <f t="shared" si="240"/>
        <v>0</v>
      </c>
      <c r="AT67" s="154">
        <f t="shared" si="127"/>
        <v>0</v>
      </c>
      <c r="AU67" s="154">
        <f t="shared" si="241"/>
        <v>0</v>
      </c>
      <c r="AV67" s="154">
        <f t="shared" si="129"/>
        <v>0</v>
      </c>
      <c r="AW67" s="154">
        <f t="shared" si="242"/>
        <v>0</v>
      </c>
      <c r="AX67" s="154">
        <f t="shared" si="131"/>
        <v>0</v>
      </c>
      <c r="AY67" s="154">
        <f t="shared" si="243"/>
        <v>0</v>
      </c>
      <c r="AZ67" s="154">
        <f t="shared" si="133"/>
        <v>0</v>
      </c>
      <c r="BA67" s="154">
        <f t="shared" si="244"/>
        <v>0</v>
      </c>
      <c r="BB67" s="157">
        <f t="shared" si="135"/>
        <v>0</v>
      </c>
      <c r="BC67" s="154">
        <f t="shared" si="136"/>
        <v>0</v>
      </c>
      <c r="BD67" s="158">
        <f t="shared" si="137"/>
        <v>0</v>
      </c>
      <c r="BE67" s="156">
        <f t="shared" si="278"/>
        <v>0</v>
      </c>
      <c r="BF67" s="154">
        <f t="shared" si="245"/>
        <v>0</v>
      </c>
      <c r="BG67" s="154">
        <f t="shared" si="140"/>
        <v>0</v>
      </c>
      <c r="BH67" s="154">
        <f t="shared" si="246"/>
        <v>0</v>
      </c>
      <c r="BI67" s="154">
        <f t="shared" si="142"/>
        <v>0</v>
      </c>
      <c r="BJ67" s="154">
        <f t="shared" si="247"/>
        <v>0</v>
      </c>
      <c r="BK67" s="154">
        <f t="shared" si="144"/>
        <v>0</v>
      </c>
      <c r="BL67" s="154">
        <f t="shared" si="248"/>
        <v>0</v>
      </c>
      <c r="BM67" s="154">
        <f t="shared" si="146"/>
        <v>0</v>
      </c>
      <c r="BN67" s="154">
        <f t="shared" si="249"/>
        <v>0</v>
      </c>
      <c r="BO67" s="157">
        <f t="shared" si="148"/>
        <v>0</v>
      </c>
      <c r="BP67" s="154">
        <f t="shared" si="149"/>
        <v>0</v>
      </c>
      <c r="BQ67" s="158">
        <f t="shared" si="150"/>
        <v>0</v>
      </c>
      <c r="BR67" s="156">
        <f t="shared" si="278"/>
        <v>0</v>
      </c>
      <c r="BS67" s="154">
        <f t="shared" si="250"/>
        <v>0</v>
      </c>
      <c r="BT67" s="154">
        <f t="shared" si="153"/>
        <v>0</v>
      </c>
      <c r="BU67" s="154">
        <f t="shared" si="251"/>
        <v>0</v>
      </c>
      <c r="BV67" s="154">
        <f t="shared" si="155"/>
        <v>0</v>
      </c>
      <c r="BW67" s="154">
        <f t="shared" si="252"/>
        <v>0</v>
      </c>
      <c r="BX67" s="154">
        <f t="shared" si="157"/>
        <v>0</v>
      </c>
      <c r="BY67" s="154">
        <f t="shared" si="253"/>
        <v>0</v>
      </c>
      <c r="BZ67" s="154">
        <f t="shared" si="159"/>
        <v>0</v>
      </c>
      <c r="CA67" s="154">
        <f t="shared" si="254"/>
        <v>0</v>
      </c>
      <c r="CB67" s="157">
        <f t="shared" si="161"/>
        <v>0</v>
      </c>
      <c r="CC67" s="154">
        <f t="shared" si="162"/>
        <v>0</v>
      </c>
      <c r="CD67" s="158">
        <f t="shared" si="163"/>
        <v>0</v>
      </c>
      <c r="CE67" s="156">
        <f t="shared" si="278"/>
        <v>0</v>
      </c>
      <c r="CF67" s="154">
        <f t="shared" si="255"/>
        <v>0</v>
      </c>
      <c r="CG67" s="154">
        <f t="shared" si="166"/>
        <v>0</v>
      </c>
      <c r="CH67" s="154">
        <f t="shared" si="256"/>
        <v>0</v>
      </c>
      <c r="CI67" s="154">
        <f t="shared" si="168"/>
        <v>0</v>
      </c>
      <c r="CJ67" s="154">
        <f t="shared" si="257"/>
        <v>0</v>
      </c>
      <c r="CK67" s="154">
        <f t="shared" si="170"/>
        <v>0</v>
      </c>
      <c r="CL67" s="154">
        <f t="shared" si="258"/>
        <v>0</v>
      </c>
      <c r="CM67" s="154">
        <f t="shared" si="172"/>
        <v>0</v>
      </c>
      <c r="CN67" s="154">
        <f t="shared" si="259"/>
        <v>0</v>
      </c>
      <c r="CO67" s="157">
        <f t="shared" si="174"/>
        <v>0</v>
      </c>
      <c r="CP67" s="154">
        <f t="shared" si="175"/>
        <v>0</v>
      </c>
      <c r="CQ67" s="158">
        <f t="shared" si="176"/>
        <v>0</v>
      </c>
      <c r="CR67" s="156">
        <f t="shared" si="279"/>
        <v>0</v>
      </c>
      <c r="CS67" s="154">
        <f t="shared" si="261"/>
        <v>0</v>
      </c>
      <c r="CT67" s="154">
        <f t="shared" si="179"/>
        <v>0</v>
      </c>
      <c r="CU67" s="154">
        <f t="shared" si="262"/>
        <v>0</v>
      </c>
      <c r="CV67" s="154">
        <f t="shared" si="181"/>
        <v>0</v>
      </c>
      <c r="CW67" s="154">
        <f t="shared" si="263"/>
        <v>0</v>
      </c>
      <c r="CX67" s="154">
        <f t="shared" si="183"/>
        <v>0</v>
      </c>
      <c r="CY67" s="154">
        <f t="shared" si="264"/>
        <v>0</v>
      </c>
      <c r="CZ67" s="154">
        <f t="shared" si="185"/>
        <v>0</v>
      </c>
      <c r="DA67" s="154">
        <f t="shared" si="265"/>
        <v>0</v>
      </c>
      <c r="DB67" s="157">
        <f t="shared" si="187"/>
        <v>0</v>
      </c>
      <c r="DC67" s="154">
        <f t="shared" si="188"/>
        <v>0</v>
      </c>
      <c r="DD67" s="158">
        <f t="shared" si="189"/>
        <v>0</v>
      </c>
      <c r="DE67" s="156">
        <f t="shared" si="279"/>
        <v>0</v>
      </c>
      <c r="DF67" s="154">
        <f t="shared" si="266"/>
        <v>0</v>
      </c>
      <c r="DG67" s="154">
        <f t="shared" si="192"/>
        <v>0</v>
      </c>
      <c r="DH67" s="154">
        <f t="shared" si="267"/>
        <v>0</v>
      </c>
      <c r="DI67" s="154">
        <f t="shared" si="194"/>
        <v>0</v>
      </c>
      <c r="DJ67" s="154">
        <f t="shared" si="268"/>
        <v>0</v>
      </c>
      <c r="DK67" s="154">
        <f t="shared" si="196"/>
        <v>0</v>
      </c>
      <c r="DL67" s="154">
        <f t="shared" si="269"/>
        <v>0</v>
      </c>
      <c r="DM67" s="154">
        <f t="shared" si="198"/>
        <v>0</v>
      </c>
      <c r="DN67" s="154">
        <f t="shared" si="270"/>
        <v>0</v>
      </c>
      <c r="DO67" s="157">
        <f t="shared" si="200"/>
        <v>0</v>
      </c>
      <c r="DP67" s="154">
        <f t="shared" si="201"/>
        <v>0</v>
      </c>
      <c r="DQ67" s="158">
        <f t="shared" si="202"/>
        <v>0</v>
      </c>
      <c r="DR67" s="156">
        <f t="shared" si="279"/>
        <v>0</v>
      </c>
      <c r="DS67" s="154">
        <f t="shared" si="271"/>
        <v>0</v>
      </c>
      <c r="DT67" s="154">
        <f t="shared" si="205"/>
        <v>0</v>
      </c>
      <c r="DU67" s="154">
        <f t="shared" si="272"/>
        <v>0</v>
      </c>
      <c r="DV67" s="154">
        <f t="shared" si="207"/>
        <v>0</v>
      </c>
      <c r="DW67" s="154">
        <f t="shared" si="273"/>
        <v>0</v>
      </c>
      <c r="DX67" s="154">
        <f t="shared" si="209"/>
        <v>0</v>
      </c>
      <c r="DY67" s="154">
        <f t="shared" si="274"/>
        <v>0</v>
      </c>
      <c r="DZ67" s="154">
        <f t="shared" si="211"/>
        <v>0</v>
      </c>
      <c r="EA67" s="154">
        <f t="shared" si="275"/>
        <v>0</v>
      </c>
      <c r="EB67" s="157">
        <f t="shared" si="213"/>
        <v>0</v>
      </c>
      <c r="EC67" s="154">
        <f t="shared" si="214"/>
        <v>0</v>
      </c>
      <c r="ED67" s="158">
        <f t="shared" si="215"/>
        <v>0</v>
      </c>
    </row>
    <row r="68" spans="1:134" x14ac:dyDescent="0.35">
      <c r="A68" s="172"/>
      <c r="B68" s="173"/>
      <c r="C68" s="174"/>
      <c r="D68" s="175"/>
      <c r="E68" s="176"/>
      <c r="F68" s="177"/>
      <c r="G68" s="178"/>
      <c r="H68" s="179"/>
      <c r="I68" s="180"/>
      <c r="J68" s="181"/>
      <c r="K68" s="152">
        <f t="shared" si="216"/>
        <v>0</v>
      </c>
      <c r="L68" s="153">
        <f t="shared" si="217"/>
        <v>0</v>
      </c>
      <c r="M68" s="154">
        <f t="shared" si="218"/>
        <v>0</v>
      </c>
      <c r="N68" s="154"/>
      <c r="O68" s="154">
        <f t="shared" si="219"/>
        <v>0</v>
      </c>
      <c r="P68" s="155"/>
      <c r="Q68" s="154">
        <f t="shared" si="220"/>
        <v>0</v>
      </c>
      <c r="R68" s="156">
        <f t="shared" si="221"/>
        <v>0</v>
      </c>
      <c r="S68" s="154">
        <f t="shared" si="222"/>
        <v>0</v>
      </c>
      <c r="T68" s="154">
        <f t="shared" si="223"/>
        <v>0</v>
      </c>
      <c r="U68" s="154">
        <f t="shared" si="224"/>
        <v>0</v>
      </c>
      <c r="V68" s="154">
        <f t="shared" si="225"/>
        <v>0</v>
      </c>
      <c r="W68" s="154">
        <f t="shared" si="226"/>
        <v>0</v>
      </c>
      <c r="X68" s="154">
        <f t="shared" si="227"/>
        <v>0</v>
      </c>
      <c r="Y68" s="154">
        <f t="shared" si="228"/>
        <v>0</v>
      </c>
      <c r="Z68" s="154">
        <f t="shared" si="229"/>
        <v>0</v>
      </c>
      <c r="AA68" s="154">
        <f t="shared" si="230"/>
        <v>0</v>
      </c>
      <c r="AB68" s="157">
        <f t="shared" si="231"/>
        <v>0</v>
      </c>
      <c r="AC68" s="154">
        <f t="shared" si="232"/>
        <v>0</v>
      </c>
      <c r="AD68" s="158">
        <f t="shared" si="233"/>
        <v>0</v>
      </c>
      <c r="AE68" s="156">
        <f t="shared" si="278"/>
        <v>0</v>
      </c>
      <c r="AF68" s="154">
        <f t="shared" si="235"/>
        <v>0</v>
      </c>
      <c r="AG68" s="154">
        <f t="shared" si="114"/>
        <v>0</v>
      </c>
      <c r="AH68" s="154">
        <f t="shared" si="236"/>
        <v>0</v>
      </c>
      <c r="AI68" s="154">
        <f t="shared" si="116"/>
        <v>0</v>
      </c>
      <c r="AJ68" s="154">
        <f t="shared" si="237"/>
        <v>0</v>
      </c>
      <c r="AK68" s="154">
        <f t="shared" si="118"/>
        <v>0</v>
      </c>
      <c r="AL68" s="154">
        <f t="shared" si="238"/>
        <v>0</v>
      </c>
      <c r="AM68" s="154">
        <f t="shared" si="120"/>
        <v>0</v>
      </c>
      <c r="AN68" s="154">
        <f t="shared" si="239"/>
        <v>0</v>
      </c>
      <c r="AO68" s="157">
        <f t="shared" si="122"/>
        <v>0</v>
      </c>
      <c r="AP68" s="154">
        <f t="shared" si="123"/>
        <v>0</v>
      </c>
      <c r="AQ68" s="158">
        <f t="shared" si="124"/>
        <v>0</v>
      </c>
      <c r="AR68" s="156">
        <f t="shared" si="278"/>
        <v>0</v>
      </c>
      <c r="AS68" s="154">
        <f t="shared" si="240"/>
        <v>0</v>
      </c>
      <c r="AT68" s="154">
        <f t="shared" si="127"/>
        <v>0</v>
      </c>
      <c r="AU68" s="154">
        <f t="shared" si="241"/>
        <v>0</v>
      </c>
      <c r="AV68" s="154">
        <f t="shared" si="129"/>
        <v>0</v>
      </c>
      <c r="AW68" s="154">
        <f t="shared" si="242"/>
        <v>0</v>
      </c>
      <c r="AX68" s="154">
        <f t="shared" si="131"/>
        <v>0</v>
      </c>
      <c r="AY68" s="154">
        <f t="shared" si="243"/>
        <v>0</v>
      </c>
      <c r="AZ68" s="154">
        <f t="shared" si="133"/>
        <v>0</v>
      </c>
      <c r="BA68" s="154">
        <f t="shared" si="244"/>
        <v>0</v>
      </c>
      <c r="BB68" s="157">
        <f t="shared" si="135"/>
        <v>0</v>
      </c>
      <c r="BC68" s="154">
        <f t="shared" si="136"/>
        <v>0</v>
      </c>
      <c r="BD68" s="158">
        <f t="shared" si="137"/>
        <v>0</v>
      </c>
      <c r="BE68" s="156">
        <f t="shared" si="278"/>
        <v>0</v>
      </c>
      <c r="BF68" s="154">
        <f t="shared" si="245"/>
        <v>0</v>
      </c>
      <c r="BG68" s="154">
        <f t="shared" si="140"/>
        <v>0</v>
      </c>
      <c r="BH68" s="154">
        <f t="shared" si="246"/>
        <v>0</v>
      </c>
      <c r="BI68" s="154">
        <f t="shared" si="142"/>
        <v>0</v>
      </c>
      <c r="BJ68" s="154">
        <f t="shared" si="247"/>
        <v>0</v>
      </c>
      <c r="BK68" s="154">
        <f t="shared" si="144"/>
        <v>0</v>
      </c>
      <c r="BL68" s="154">
        <f t="shared" si="248"/>
        <v>0</v>
      </c>
      <c r="BM68" s="154">
        <f t="shared" si="146"/>
        <v>0</v>
      </c>
      <c r="BN68" s="154">
        <f t="shared" si="249"/>
        <v>0</v>
      </c>
      <c r="BO68" s="157">
        <f t="shared" si="148"/>
        <v>0</v>
      </c>
      <c r="BP68" s="154">
        <f t="shared" si="149"/>
        <v>0</v>
      </c>
      <c r="BQ68" s="158">
        <f t="shared" si="150"/>
        <v>0</v>
      </c>
      <c r="BR68" s="156">
        <f t="shared" si="278"/>
        <v>0</v>
      </c>
      <c r="BS68" s="154">
        <f t="shared" si="250"/>
        <v>0</v>
      </c>
      <c r="BT68" s="154">
        <f t="shared" si="153"/>
        <v>0</v>
      </c>
      <c r="BU68" s="154">
        <f t="shared" si="251"/>
        <v>0</v>
      </c>
      <c r="BV68" s="154">
        <f t="shared" si="155"/>
        <v>0</v>
      </c>
      <c r="BW68" s="154">
        <f t="shared" si="252"/>
        <v>0</v>
      </c>
      <c r="BX68" s="154">
        <f t="shared" si="157"/>
        <v>0</v>
      </c>
      <c r="BY68" s="154">
        <f t="shared" si="253"/>
        <v>0</v>
      </c>
      <c r="BZ68" s="154">
        <f t="shared" si="159"/>
        <v>0</v>
      </c>
      <c r="CA68" s="154">
        <f t="shared" si="254"/>
        <v>0</v>
      </c>
      <c r="CB68" s="157">
        <f t="shared" si="161"/>
        <v>0</v>
      </c>
      <c r="CC68" s="154">
        <f t="shared" si="162"/>
        <v>0</v>
      </c>
      <c r="CD68" s="158">
        <f t="shared" si="163"/>
        <v>0</v>
      </c>
      <c r="CE68" s="156">
        <f t="shared" si="278"/>
        <v>0</v>
      </c>
      <c r="CF68" s="154">
        <f t="shared" si="255"/>
        <v>0</v>
      </c>
      <c r="CG68" s="154">
        <f t="shared" si="166"/>
        <v>0</v>
      </c>
      <c r="CH68" s="154">
        <f t="shared" si="256"/>
        <v>0</v>
      </c>
      <c r="CI68" s="154">
        <f t="shared" si="168"/>
        <v>0</v>
      </c>
      <c r="CJ68" s="154">
        <f t="shared" si="257"/>
        <v>0</v>
      </c>
      <c r="CK68" s="154">
        <f t="shared" si="170"/>
        <v>0</v>
      </c>
      <c r="CL68" s="154">
        <f t="shared" si="258"/>
        <v>0</v>
      </c>
      <c r="CM68" s="154">
        <f t="shared" si="172"/>
        <v>0</v>
      </c>
      <c r="CN68" s="154">
        <f t="shared" si="259"/>
        <v>0</v>
      </c>
      <c r="CO68" s="157">
        <f t="shared" si="174"/>
        <v>0</v>
      </c>
      <c r="CP68" s="154">
        <f t="shared" si="175"/>
        <v>0</v>
      </c>
      <c r="CQ68" s="158">
        <f t="shared" si="176"/>
        <v>0</v>
      </c>
      <c r="CR68" s="156">
        <f t="shared" si="279"/>
        <v>0</v>
      </c>
      <c r="CS68" s="154">
        <f t="shared" si="261"/>
        <v>0</v>
      </c>
      <c r="CT68" s="154">
        <f t="shared" si="179"/>
        <v>0</v>
      </c>
      <c r="CU68" s="154">
        <f t="shared" si="262"/>
        <v>0</v>
      </c>
      <c r="CV68" s="154">
        <f t="shared" si="181"/>
        <v>0</v>
      </c>
      <c r="CW68" s="154">
        <f t="shared" si="263"/>
        <v>0</v>
      </c>
      <c r="CX68" s="154">
        <f t="shared" si="183"/>
        <v>0</v>
      </c>
      <c r="CY68" s="154">
        <f t="shared" si="264"/>
        <v>0</v>
      </c>
      <c r="CZ68" s="154">
        <f t="shared" si="185"/>
        <v>0</v>
      </c>
      <c r="DA68" s="154">
        <f t="shared" si="265"/>
        <v>0</v>
      </c>
      <c r="DB68" s="157">
        <f t="shared" si="187"/>
        <v>0</v>
      </c>
      <c r="DC68" s="154">
        <f t="shared" si="188"/>
        <v>0</v>
      </c>
      <c r="DD68" s="158">
        <f t="shared" si="189"/>
        <v>0</v>
      </c>
      <c r="DE68" s="156">
        <f t="shared" si="279"/>
        <v>0</v>
      </c>
      <c r="DF68" s="154">
        <f t="shared" si="266"/>
        <v>0</v>
      </c>
      <c r="DG68" s="154">
        <f t="shared" si="192"/>
        <v>0</v>
      </c>
      <c r="DH68" s="154">
        <f t="shared" si="267"/>
        <v>0</v>
      </c>
      <c r="DI68" s="154">
        <f t="shared" si="194"/>
        <v>0</v>
      </c>
      <c r="DJ68" s="154">
        <f t="shared" si="268"/>
        <v>0</v>
      </c>
      <c r="DK68" s="154">
        <f t="shared" si="196"/>
        <v>0</v>
      </c>
      <c r="DL68" s="154">
        <f t="shared" si="269"/>
        <v>0</v>
      </c>
      <c r="DM68" s="154">
        <f t="shared" si="198"/>
        <v>0</v>
      </c>
      <c r="DN68" s="154">
        <f t="shared" si="270"/>
        <v>0</v>
      </c>
      <c r="DO68" s="157">
        <f t="shared" si="200"/>
        <v>0</v>
      </c>
      <c r="DP68" s="154">
        <f t="shared" si="201"/>
        <v>0</v>
      </c>
      <c r="DQ68" s="158">
        <f t="shared" si="202"/>
        <v>0</v>
      </c>
      <c r="DR68" s="156">
        <f t="shared" si="279"/>
        <v>0</v>
      </c>
      <c r="DS68" s="154">
        <f t="shared" si="271"/>
        <v>0</v>
      </c>
      <c r="DT68" s="154">
        <f t="shared" si="205"/>
        <v>0</v>
      </c>
      <c r="DU68" s="154">
        <f t="shared" si="272"/>
        <v>0</v>
      </c>
      <c r="DV68" s="154">
        <f t="shared" si="207"/>
        <v>0</v>
      </c>
      <c r="DW68" s="154">
        <f t="shared" si="273"/>
        <v>0</v>
      </c>
      <c r="DX68" s="154">
        <f t="shared" si="209"/>
        <v>0</v>
      </c>
      <c r="DY68" s="154">
        <f t="shared" si="274"/>
        <v>0</v>
      </c>
      <c r="DZ68" s="154">
        <f t="shared" si="211"/>
        <v>0</v>
      </c>
      <c r="EA68" s="154">
        <f t="shared" si="275"/>
        <v>0</v>
      </c>
      <c r="EB68" s="157">
        <f t="shared" si="213"/>
        <v>0</v>
      </c>
      <c r="EC68" s="154">
        <f t="shared" si="214"/>
        <v>0</v>
      </c>
      <c r="ED68" s="158">
        <f t="shared" si="215"/>
        <v>0</v>
      </c>
    </row>
    <row r="69" spans="1:134" x14ac:dyDescent="0.35">
      <c r="A69" s="172"/>
      <c r="B69" s="173"/>
      <c r="C69" s="174"/>
      <c r="D69" s="175"/>
      <c r="E69" s="176"/>
      <c r="F69" s="177"/>
      <c r="G69" s="178"/>
      <c r="H69" s="179"/>
      <c r="I69" s="180"/>
      <c r="J69" s="181"/>
      <c r="K69" s="152">
        <f t="shared" si="216"/>
        <v>0</v>
      </c>
      <c r="L69" s="153">
        <f t="shared" si="217"/>
        <v>0</v>
      </c>
      <c r="M69" s="154">
        <f t="shared" si="218"/>
        <v>0</v>
      </c>
      <c r="N69" s="154"/>
      <c r="O69" s="154">
        <f t="shared" si="219"/>
        <v>0</v>
      </c>
      <c r="P69" s="155"/>
      <c r="Q69" s="154">
        <f t="shared" si="220"/>
        <v>0</v>
      </c>
      <c r="R69" s="156">
        <f t="shared" si="221"/>
        <v>0</v>
      </c>
      <c r="S69" s="154">
        <f t="shared" si="222"/>
        <v>0</v>
      </c>
      <c r="T69" s="154">
        <f t="shared" si="223"/>
        <v>0</v>
      </c>
      <c r="U69" s="154">
        <f t="shared" si="224"/>
        <v>0</v>
      </c>
      <c r="V69" s="154">
        <f t="shared" si="225"/>
        <v>0</v>
      </c>
      <c r="W69" s="154">
        <f t="shared" si="226"/>
        <v>0</v>
      </c>
      <c r="X69" s="154">
        <f t="shared" si="227"/>
        <v>0</v>
      </c>
      <c r="Y69" s="154">
        <f t="shared" si="228"/>
        <v>0</v>
      </c>
      <c r="Z69" s="154">
        <f t="shared" si="229"/>
        <v>0</v>
      </c>
      <c r="AA69" s="154">
        <f t="shared" si="230"/>
        <v>0</v>
      </c>
      <c r="AB69" s="157">
        <f t="shared" si="231"/>
        <v>0</v>
      </c>
      <c r="AC69" s="154">
        <f t="shared" si="232"/>
        <v>0</v>
      </c>
      <c r="AD69" s="158">
        <f t="shared" si="233"/>
        <v>0</v>
      </c>
      <c r="AE69" s="156">
        <f t="shared" ref="AE69:CE84" si="280">IF(YEAR($F69)=AE$4,$E69,0)</f>
        <v>0</v>
      </c>
      <c r="AF69" s="154">
        <f t="shared" si="235"/>
        <v>0</v>
      </c>
      <c r="AG69" s="154">
        <f t="shared" ref="AG69:AG125" si="281">IF(AE69&lt;&gt;0,ROUND(AE69*(DAYS360($F69,AM$4)/DAYS360(Z$4,AM$4)),2),0)</f>
        <v>0</v>
      </c>
      <c r="AH69" s="154">
        <f t="shared" si="236"/>
        <v>0</v>
      </c>
      <c r="AI69" s="154">
        <f t="shared" ref="AI69:AI125" si="282">IF(AND($F69&gt;0,$F69&lt;=AM$4),$E69,0)</f>
        <v>0</v>
      </c>
      <c r="AJ69" s="154">
        <f t="shared" si="237"/>
        <v>0</v>
      </c>
      <c r="AK69" s="154">
        <f t="shared" ref="AK69:AK125" si="283">IF(AND(YEAR($F69)=YEAR(AM$4),$E69&lt;1000,$E69&gt;-1000,$F69&gt;0,$K69=1),$E69-$I69,IF(AND(YEAR($F69)=YEAR(AM$4),$F69&gt;0,$K69&gt;0),ROUND(($L69/12)*(13-MONTH($F69)),2),IF(AND(YEAR($F69)&lt;YEAR(AM$4),$E69&gt;0,$F69&gt;0,$K69&gt;0,Z69&gt;$L69+$I69),$L69,IF(AND(YEAR($F69)&lt;YEAR(AM$4),$E69&gt;0,$F69&gt;0,$K69&gt;0,Z69&gt;0,Z69&lt;=$L69+$I69),Z69-$I69,IF(AND(YEAR($F69)&lt;YEAR(AM$4),$E69&lt;0,$F69&gt;0,$K69&gt;0,Z69&lt;0,Z69&lt;=$L69),$L69,IF(AND(YEAR($F69)&lt;YEAR(AM$4),$E69&lt;0,$F69&gt;0,$K69&gt;0,Z69&lt;0,Z69&gt;$L69),Z69,0))))))</f>
        <v>0</v>
      </c>
      <c r="AL69" s="154">
        <f t="shared" si="238"/>
        <v>0</v>
      </c>
      <c r="AM69" s="154">
        <f t="shared" ref="AM69:AM125" si="284">IF(AND(YEAR(AM$4)=YEAR($F69),$E69&gt;0,$F69&gt;0,$E69-AK69&gt;=0),$E69-AK69,IF(AND(YEAR(AM$4)&gt;YEAR($F69),$E69&gt;0,$F69&gt;0,Z69-AK69&gt;=0),Z69-AK69,IF(AND(YEAR(AM$4)=YEAR($F69),$E69&lt;0,$F69&gt;0,$E69-AK69&lt;0),$E69-AK69,IF(AND(YEAR(AM$4)&gt;YEAR($F69),$E69&lt;0,$F69&gt;0,Z69-AK69&lt;=0),Z69-AK69,0))))</f>
        <v>0</v>
      </c>
      <c r="AN69" s="154">
        <f t="shared" si="239"/>
        <v>0</v>
      </c>
      <c r="AO69" s="157">
        <f t="shared" ref="AO69:AO125" si="285">AB69+AK69</f>
        <v>0</v>
      </c>
      <c r="AP69" s="154">
        <f t="shared" ref="AP69:AP125" si="286">IF(AND(AE69&lt;&gt;0,$J69="H",$L69=0),AG69,IF(AND(YEAR(AM$4)&gt;YEAR($F69),$J69="H",$F69&gt;0,$L69=0),$E69,0))</f>
        <v>0</v>
      </c>
      <c r="AQ69" s="158">
        <f t="shared" ref="AQ69:AQ125" si="287">IF(AND(YEAR(AM$4)&gt;=YEAR($F69),$E69&gt;0,$F69&gt;0,AK69&gt;0,$J69="H"),ROUND(AK69/$L69*$E69,2),IF(AND(YEAR(AM$4)&gt;=YEAR($F69),$E69&lt;0,$F69&gt;0,AK69&lt;0,$J69="H"),ROUND(AK69/$L69*$E69,2),0))</f>
        <v>0</v>
      </c>
      <c r="AR69" s="156">
        <f t="shared" si="280"/>
        <v>0</v>
      </c>
      <c r="AS69" s="154">
        <f t="shared" si="240"/>
        <v>0</v>
      </c>
      <c r="AT69" s="154">
        <f t="shared" ref="AT69:AT125" si="288">IF(AR69&lt;&gt;0,ROUND(AR69*(DAYS360($F69,AZ$4)/DAYS360(AM$4,AZ$4)),2),0)</f>
        <v>0</v>
      </c>
      <c r="AU69" s="154">
        <f t="shared" si="241"/>
        <v>0</v>
      </c>
      <c r="AV69" s="154">
        <f t="shared" ref="AV69:AV125" si="289">IF(AND($F69&gt;0,$F69&lt;=AZ$4),$E69,0)</f>
        <v>0</v>
      </c>
      <c r="AW69" s="154">
        <f t="shared" si="242"/>
        <v>0</v>
      </c>
      <c r="AX69" s="154">
        <f t="shared" ref="AX69:AX125" si="290">IF(AND(YEAR($F69)=YEAR(AZ$4),$E69&lt;1000,$E69&gt;-1000,$F69&gt;0,$K69=1),$E69-$I69,IF(AND(YEAR($F69)=YEAR(AZ$4),$F69&gt;0,$K69&gt;0),ROUND(($L69/12)*(13-MONTH($F69)),2),IF(AND(YEAR($F69)&lt;YEAR(AZ$4),$E69&gt;0,$F69&gt;0,$K69&gt;0,AM69&gt;$L69+$I69),$L69,IF(AND(YEAR($F69)&lt;YEAR(AZ$4),$E69&gt;0,$F69&gt;0,$K69&gt;0,AM69&gt;0,AM69&lt;=$L69+$I69),AM69-$I69,IF(AND(YEAR($F69)&lt;YEAR(AZ$4),$E69&lt;0,$F69&gt;0,$K69&gt;0,AM69&lt;0,AM69&lt;=$L69),$L69,IF(AND(YEAR($F69)&lt;YEAR(AZ$4),$E69&lt;0,$F69&gt;0,$K69&gt;0,AM69&lt;0,AM69&gt;$L69),AM69,0))))))</f>
        <v>0</v>
      </c>
      <c r="AY69" s="154">
        <f t="shared" si="243"/>
        <v>0</v>
      </c>
      <c r="AZ69" s="154">
        <f t="shared" ref="AZ69:AZ125" si="291">IF(AND(YEAR(AZ$4)=YEAR($F69),$E69&gt;0,$F69&gt;0,$E69-AX69&gt;=0),$E69-AX69,IF(AND(YEAR(AZ$4)&gt;YEAR($F69),$E69&gt;0,$F69&gt;0,AM69-AX69&gt;=0),AM69-AX69,IF(AND(YEAR(AZ$4)=YEAR($F69),$E69&lt;0,$F69&gt;0,$E69-AX69&lt;0),$E69-AX69,IF(AND(YEAR(AZ$4)&gt;YEAR($F69),$E69&lt;0,$F69&gt;0,AM69-AX69&lt;=0),AM69-AX69,0))))</f>
        <v>0</v>
      </c>
      <c r="BA69" s="154">
        <f t="shared" si="244"/>
        <v>0</v>
      </c>
      <c r="BB69" s="157">
        <f t="shared" ref="BB69:BB125" si="292">AO69+AX69</f>
        <v>0</v>
      </c>
      <c r="BC69" s="154">
        <f t="shared" ref="BC69:BC125" si="293">IF(AND(AR69&lt;&gt;0,$J69="H",$L69=0),AT69,IF(AND(YEAR(AZ$4)&gt;YEAR($F69),$J69="H",$F69&gt;0,$L69=0),$E69,0))</f>
        <v>0</v>
      </c>
      <c r="BD69" s="158">
        <f t="shared" ref="BD69:BD125" si="294">IF(AND(YEAR(AZ$4)&gt;=YEAR($F69),$E69&gt;0,$F69&gt;0,AX69&gt;0,$J69="H"),ROUND(AX69/$L69*$E69,2),IF(AND(YEAR(AZ$4)&gt;=YEAR($F69),$E69&lt;0,$F69&gt;0,AX69&lt;0,$J69="H"),ROUND(AX69/$L69*$E69,2),0))</f>
        <v>0</v>
      </c>
      <c r="BE69" s="156">
        <f t="shared" si="280"/>
        <v>0</v>
      </c>
      <c r="BF69" s="154">
        <f t="shared" si="245"/>
        <v>0</v>
      </c>
      <c r="BG69" s="154">
        <f t="shared" ref="BG69:BG125" si="295">IF(BE69&lt;&gt;0,ROUND(BE69*(DAYS360($F69,BM$4)/DAYS360(AZ$4,BM$4)),2),0)</f>
        <v>0</v>
      </c>
      <c r="BH69" s="154">
        <f t="shared" si="246"/>
        <v>0</v>
      </c>
      <c r="BI69" s="154">
        <f t="shared" ref="BI69:BI125" si="296">IF(AND($F69&gt;0,$F69&lt;=BM$4),$E69,0)</f>
        <v>0</v>
      </c>
      <c r="BJ69" s="154">
        <f t="shared" si="247"/>
        <v>0</v>
      </c>
      <c r="BK69" s="154">
        <f t="shared" ref="BK69:BK125" si="297">IF(AND(YEAR($F69)=YEAR(BM$4),$E69&lt;1000,$E69&gt;-1000,$F69&gt;0,$K69=1),$E69-$I69,IF(AND(YEAR($F69)=YEAR(BM$4),$F69&gt;0,$K69&gt;0),ROUND(($L69/12)*(13-MONTH($F69)),2),IF(AND(YEAR($F69)&lt;YEAR(BM$4),$E69&gt;0,$F69&gt;0,$K69&gt;0,AZ69&gt;$L69+$I69),$L69,IF(AND(YEAR($F69)&lt;YEAR(BM$4),$E69&gt;0,$F69&gt;0,$K69&gt;0,AZ69&gt;0,AZ69&lt;=$L69+$I69),AZ69-$I69,IF(AND(YEAR($F69)&lt;YEAR(BM$4),$E69&lt;0,$F69&gt;0,$K69&gt;0,AZ69&lt;0,AZ69&lt;=$L69),$L69,IF(AND(YEAR($F69)&lt;YEAR(BM$4),$E69&lt;0,$F69&gt;0,$K69&gt;0,AZ69&lt;0,AZ69&gt;$L69),AZ69,0))))))</f>
        <v>0</v>
      </c>
      <c r="BL69" s="154">
        <f t="shared" si="248"/>
        <v>0</v>
      </c>
      <c r="BM69" s="154">
        <f t="shared" ref="BM69:BM125" si="298">IF(AND(YEAR(BM$4)=YEAR($F69),$E69&gt;0,$F69&gt;0,$E69-BK69&gt;=0),$E69-BK69,IF(AND(YEAR(BM$4)&gt;YEAR($F69),$E69&gt;0,$F69&gt;0,AZ69-BK69&gt;=0),AZ69-BK69,IF(AND(YEAR(BM$4)=YEAR($F69),$E69&lt;0,$F69&gt;0,$E69-BK69&lt;0),$E69-BK69,IF(AND(YEAR(BM$4)&gt;YEAR($F69),$E69&lt;0,$F69&gt;0,AZ69-BK69&lt;=0),AZ69-BK69,0))))</f>
        <v>0</v>
      </c>
      <c r="BN69" s="154">
        <f t="shared" si="249"/>
        <v>0</v>
      </c>
      <c r="BO69" s="157">
        <f t="shared" ref="BO69:BO125" si="299">BB69+BK69</f>
        <v>0</v>
      </c>
      <c r="BP69" s="154">
        <f t="shared" ref="BP69:BP125" si="300">IF(AND(BE69&lt;&gt;0,$J69="H",$L69=0),BG69,IF(AND(YEAR(BM$4)&gt;YEAR($F69),$J69="H",$F69&gt;0,$L69=0),$E69,0))</f>
        <v>0</v>
      </c>
      <c r="BQ69" s="158">
        <f t="shared" ref="BQ69:BQ125" si="301">IF(AND(YEAR(BM$4)&gt;=YEAR($F69),$E69&gt;0,$F69&gt;0,BK69&gt;0,$J69="H"),ROUND(BK69/$L69*$E69,2),IF(AND(YEAR(BM$4)&gt;=YEAR($F69),$E69&lt;0,$F69&gt;0,BK69&lt;0,$J69="H"),ROUND(BK69/$L69*$E69,2),0))</f>
        <v>0</v>
      </c>
      <c r="BR69" s="156">
        <f t="shared" si="280"/>
        <v>0</v>
      </c>
      <c r="BS69" s="154">
        <f t="shared" si="250"/>
        <v>0</v>
      </c>
      <c r="BT69" s="154">
        <f t="shared" ref="BT69:BT125" si="302">IF(BR69&lt;&gt;0,ROUND(BR69*(DAYS360($F69,BZ$4)/DAYS360(BM$4,BZ$4)),2),0)</f>
        <v>0</v>
      </c>
      <c r="BU69" s="154">
        <f t="shared" si="251"/>
        <v>0</v>
      </c>
      <c r="BV69" s="154">
        <f t="shared" ref="BV69:BV125" si="303">IF(AND($F69&gt;0,$F69&lt;=BZ$4),$E69,0)</f>
        <v>0</v>
      </c>
      <c r="BW69" s="154">
        <f t="shared" si="252"/>
        <v>0</v>
      </c>
      <c r="BX69" s="154">
        <f t="shared" ref="BX69:BX125" si="304">IF(AND(YEAR($F69)=YEAR(BZ$4),$E69&lt;1000,$E69&gt;-1000,$F69&gt;0,$K69=1),$E69-$I69,IF(AND(YEAR($F69)=YEAR(BZ$4),$F69&gt;0,$K69&gt;0),ROUND(($L69/12)*(13-MONTH($F69)),2),IF(AND(YEAR($F69)&lt;YEAR(BZ$4),$E69&gt;0,$F69&gt;0,$K69&gt;0,BM69&gt;$L69+$I69),$L69,IF(AND(YEAR($F69)&lt;YEAR(BZ$4),$E69&gt;0,$F69&gt;0,$K69&gt;0,BM69&gt;0,BM69&lt;=$L69+$I69),BM69-$I69,IF(AND(YEAR($F69)&lt;YEAR(BZ$4),$E69&lt;0,$F69&gt;0,$K69&gt;0,BM69&lt;0,BM69&lt;=$L69),$L69,IF(AND(YEAR($F69)&lt;YEAR(BZ$4),$E69&lt;0,$F69&gt;0,$K69&gt;0,BM69&lt;0,BM69&gt;$L69),BM69,0))))))</f>
        <v>0</v>
      </c>
      <c r="BY69" s="154">
        <f t="shared" si="253"/>
        <v>0</v>
      </c>
      <c r="BZ69" s="154">
        <f t="shared" ref="BZ69:BZ125" si="305">IF(AND(YEAR(BZ$4)=YEAR($F69),$E69&gt;0,$F69&gt;0,$E69-BX69&gt;=0),$E69-BX69,IF(AND(YEAR(BZ$4)&gt;YEAR($F69),$E69&gt;0,$F69&gt;0,BM69-BX69&gt;=0),BM69-BX69,IF(AND(YEAR(BZ$4)=YEAR($F69),$E69&lt;0,$F69&gt;0,$E69-BX69&lt;0),$E69-BX69,IF(AND(YEAR(BZ$4)&gt;YEAR($F69),$E69&lt;0,$F69&gt;0,BM69-BX69&lt;=0),BM69-BX69,0))))</f>
        <v>0</v>
      </c>
      <c r="CA69" s="154">
        <f t="shared" si="254"/>
        <v>0</v>
      </c>
      <c r="CB69" s="157">
        <f t="shared" ref="CB69:CB125" si="306">BO69+BX69</f>
        <v>0</v>
      </c>
      <c r="CC69" s="154">
        <f t="shared" ref="CC69:CC125" si="307">IF(AND(BR69&lt;&gt;0,$J69="H",$L69=0),BT69,IF(AND(YEAR(BZ$4)&gt;YEAR($F69),$J69="H",$F69&gt;0,$L69=0),$E69,0))</f>
        <v>0</v>
      </c>
      <c r="CD69" s="158">
        <f t="shared" ref="CD69:CD125" si="308">IF(AND(YEAR(BZ$4)&gt;=YEAR($F69),$E69&gt;0,$F69&gt;0,BX69&gt;0,$J69="H"),ROUND(BX69/$L69*$E69,2),IF(AND(YEAR(BZ$4)&gt;=YEAR($F69),$E69&lt;0,$F69&gt;0,BX69&lt;0,$J69="H"),ROUND(BX69/$L69*$E69,2),0))</f>
        <v>0</v>
      </c>
      <c r="CE69" s="156">
        <f t="shared" si="280"/>
        <v>0</v>
      </c>
      <c r="CF69" s="154">
        <f t="shared" si="255"/>
        <v>0</v>
      </c>
      <c r="CG69" s="154">
        <f t="shared" ref="CG69:CG125" si="309">IF(CE69&lt;&gt;0,ROUND(CE69*(DAYS360($F69,CM$4)/DAYS360(BZ$4,CM$4)),2),0)</f>
        <v>0</v>
      </c>
      <c r="CH69" s="154">
        <f t="shared" si="256"/>
        <v>0</v>
      </c>
      <c r="CI69" s="154">
        <f t="shared" ref="CI69:CI125" si="310">IF(AND($F69&gt;0,$F69&lt;=CM$4),$E69,0)</f>
        <v>0</v>
      </c>
      <c r="CJ69" s="154">
        <f t="shared" si="257"/>
        <v>0</v>
      </c>
      <c r="CK69" s="154">
        <f t="shared" ref="CK69:CK125" si="311">IF(AND(YEAR($F69)=YEAR(CM$4),$E69&lt;1000,$E69&gt;-1000,$F69&gt;0,$K69=1),$E69-$I69,IF(AND(YEAR($F69)=YEAR(CM$4),$F69&gt;0,$K69&gt;0),ROUND(($L69/12)*(13-MONTH($F69)),2),IF(AND(YEAR($F69)&lt;YEAR(CM$4),$E69&gt;0,$F69&gt;0,$K69&gt;0,BZ69&gt;$L69+$I69),$L69,IF(AND(YEAR($F69)&lt;YEAR(CM$4),$E69&gt;0,$F69&gt;0,$K69&gt;0,BZ69&gt;0,BZ69&lt;=$L69+$I69),BZ69-$I69,IF(AND(YEAR($F69)&lt;YEAR(CM$4),$E69&lt;0,$F69&gt;0,$K69&gt;0,BZ69&lt;0,BZ69&lt;=$L69),$L69,IF(AND(YEAR($F69)&lt;YEAR(CM$4),$E69&lt;0,$F69&gt;0,$K69&gt;0,BZ69&lt;0,BZ69&gt;$L69),BZ69,0))))))</f>
        <v>0</v>
      </c>
      <c r="CL69" s="154">
        <f t="shared" si="258"/>
        <v>0</v>
      </c>
      <c r="CM69" s="154">
        <f t="shared" ref="CM69:CM125" si="312">IF(AND(YEAR(CM$4)=YEAR($F69),$E69&gt;0,$F69&gt;0,$E69-CK69&gt;=0),$E69-CK69,IF(AND(YEAR(CM$4)&gt;YEAR($F69),$E69&gt;0,$F69&gt;0,BZ69-CK69&gt;=0),BZ69-CK69,IF(AND(YEAR(CM$4)=YEAR($F69),$E69&lt;0,$F69&gt;0,$E69-CK69&lt;0),$E69-CK69,IF(AND(YEAR(CM$4)&gt;YEAR($F69),$E69&lt;0,$F69&gt;0,BZ69-CK69&lt;=0),BZ69-CK69,0))))</f>
        <v>0</v>
      </c>
      <c r="CN69" s="154">
        <f t="shared" si="259"/>
        <v>0</v>
      </c>
      <c r="CO69" s="157">
        <f t="shared" ref="CO69:CO125" si="313">CB69+CK69</f>
        <v>0</v>
      </c>
      <c r="CP69" s="154">
        <f t="shared" ref="CP69:CP125" si="314">IF(AND(CE69&lt;&gt;0,$J69="H",$L69=0),CG69,IF(AND(YEAR(CM$4)&gt;YEAR($F69),$J69="H",$F69&gt;0,$L69=0),$E69,0))</f>
        <v>0</v>
      </c>
      <c r="CQ69" s="158">
        <f t="shared" ref="CQ69:CQ125" si="315">IF(AND(YEAR(CM$4)&gt;=YEAR($F69),$E69&gt;0,$F69&gt;0,CK69&gt;0,$J69="H"),ROUND(CK69/$L69*$E69,2),IF(AND(YEAR(CM$4)&gt;=YEAR($F69),$E69&lt;0,$F69&gt;0,CK69&lt;0,$J69="H"),ROUND(CK69/$L69*$E69,2),0))</f>
        <v>0</v>
      </c>
      <c r="CR69" s="156">
        <f t="shared" ref="CR69:DR84" si="316">IF(YEAR($F69)=CR$4,$E69,0)</f>
        <v>0</v>
      </c>
      <c r="CS69" s="154">
        <f t="shared" si="261"/>
        <v>0</v>
      </c>
      <c r="CT69" s="154">
        <f t="shared" ref="CT69:CT125" si="317">IF(CR69&lt;&gt;0,ROUND(CR69*(DAYS360($F69,CZ$4)/DAYS360(CM$4,CZ$4)),2),0)</f>
        <v>0</v>
      </c>
      <c r="CU69" s="154">
        <f t="shared" si="262"/>
        <v>0</v>
      </c>
      <c r="CV69" s="154">
        <f t="shared" ref="CV69:CV125" si="318">IF(AND($F69&gt;0,$F69&lt;=CZ$4),$E69,0)</f>
        <v>0</v>
      </c>
      <c r="CW69" s="154">
        <f t="shared" si="263"/>
        <v>0</v>
      </c>
      <c r="CX69" s="154">
        <f t="shared" ref="CX69:CX125" si="319">IF(AND(YEAR($F69)=YEAR(CZ$4),$E69&lt;1000,$E69&gt;-1000,$F69&gt;0,$K69=1),$E69-$I69,IF(AND(YEAR($F69)=YEAR(CZ$4),$F69&gt;0,$K69&gt;0),ROUND(($L69/12)*(13-MONTH($F69)),2),IF(AND(YEAR($F69)&lt;YEAR(CZ$4),$E69&gt;0,$F69&gt;0,$K69&gt;0,CM69&gt;$L69+$I69),$L69,IF(AND(YEAR($F69)&lt;YEAR(CZ$4),$E69&gt;0,$F69&gt;0,$K69&gt;0,CM69&gt;0,CM69&lt;=$L69+$I69),CM69-$I69,IF(AND(YEAR($F69)&lt;YEAR(CZ$4),$E69&lt;0,$F69&gt;0,$K69&gt;0,CM69&lt;0,CM69&lt;=$L69),$L69,IF(AND(YEAR($F69)&lt;YEAR(CZ$4),$E69&lt;0,$F69&gt;0,$K69&gt;0,CM69&lt;0,CM69&gt;$L69),CM69,0))))))</f>
        <v>0</v>
      </c>
      <c r="CY69" s="154">
        <f t="shared" si="264"/>
        <v>0</v>
      </c>
      <c r="CZ69" s="154">
        <f t="shared" ref="CZ69:CZ125" si="320">IF(AND(YEAR(CZ$4)=YEAR($F69),$E69&gt;0,$F69&gt;0,$E69-CX69&gt;=0),$E69-CX69,IF(AND(YEAR(CZ$4)&gt;YEAR($F69),$E69&gt;0,$F69&gt;0,CM69-CX69&gt;=0),CM69-CX69,IF(AND(YEAR(CZ$4)=YEAR($F69),$E69&lt;0,$F69&gt;0,$E69-CX69&lt;0),$E69-CX69,IF(AND(YEAR(CZ$4)&gt;YEAR($F69),$E69&lt;0,$F69&gt;0,CM69-CX69&lt;=0),CM69-CX69,0))))</f>
        <v>0</v>
      </c>
      <c r="DA69" s="154">
        <f t="shared" si="265"/>
        <v>0</v>
      </c>
      <c r="DB69" s="157">
        <f t="shared" ref="DB69:DB125" si="321">CO69+CX69</f>
        <v>0</v>
      </c>
      <c r="DC69" s="154">
        <f t="shared" ref="DC69:DC125" si="322">IF(AND(CR69&lt;&gt;0,$J69="H",$L69=0),CT69,IF(AND(YEAR(CZ$4)&gt;YEAR($F69),$J69="H",$F69&gt;0,$L69=0),$E69,0))</f>
        <v>0</v>
      </c>
      <c r="DD69" s="158">
        <f t="shared" ref="DD69:DD125" si="323">IF(AND(YEAR(CZ$4)&gt;=YEAR($F69),$E69&gt;0,$F69&gt;0,CX69&gt;0,$J69="H"),ROUND(CX69/$L69*$E69,2),IF(AND(YEAR(CZ$4)&gt;=YEAR($F69),$E69&lt;0,$F69&gt;0,CX69&lt;0,$J69="H"),ROUND(CX69/$L69*$E69,2),0))</f>
        <v>0</v>
      </c>
      <c r="DE69" s="156">
        <f t="shared" si="316"/>
        <v>0</v>
      </c>
      <c r="DF69" s="154">
        <f t="shared" si="266"/>
        <v>0</v>
      </c>
      <c r="DG69" s="154">
        <f t="shared" ref="DG69:DG125" si="324">IF(DE69&lt;&gt;0,ROUND(DE69*(DAYS360($F69,DM$4)/DAYS360(CZ$4,DM$4)),2),0)</f>
        <v>0</v>
      </c>
      <c r="DH69" s="154">
        <f t="shared" si="267"/>
        <v>0</v>
      </c>
      <c r="DI69" s="154">
        <f t="shared" ref="DI69:DI125" si="325">IF(AND($F69&gt;0,$F69&lt;=DM$4),$E69,0)</f>
        <v>0</v>
      </c>
      <c r="DJ69" s="154">
        <f t="shared" si="268"/>
        <v>0</v>
      </c>
      <c r="DK69" s="154">
        <f t="shared" ref="DK69:DK125" si="326">IF(AND(YEAR($F69)=YEAR(DM$4),$E69&lt;1000,$E69&gt;-1000,$F69&gt;0,$K69=1),$E69-$I69,IF(AND(YEAR($F69)=YEAR(DM$4),$F69&gt;0,$K69&gt;0),ROUND(($L69/12)*(13-MONTH($F69)),2),IF(AND(YEAR($F69)&lt;YEAR(DM$4),$E69&gt;0,$F69&gt;0,$K69&gt;0,CZ69&gt;$L69+$I69),$L69,IF(AND(YEAR($F69)&lt;YEAR(DM$4),$E69&gt;0,$F69&gt;0,$K69&gt;0,CZ69&gt;0,CZ69&lt;=$L69+$I69),CZ69-$I69,IF(AND(YEAR($F69)&lt;YEAR(DM$4),$E69&lt;0,$F69&gt;0,$K69&gt;0,CZ69&lt;0,CZ69&lt;=$L69),$L69,IF(AND(YEAR($F69)&lt;YEAR(DM$4),$E69&lt;0,$F69&gt;0,$K69&gt;0,CZ69&lt;0,CZ69&gt;$L69),CZ69,0))))))</f>
        <v>0</v>
      </c>
      <c r="DL69" s="154">
        <f t="shared" si="269"/>
        <v>0</v>
      </c>
      <c r="DM69" s="154">
        <f t="shared" ref="DM69:DM125" si="327">IF(AND(YEAR(DM$4)=YEAR($F69),$E69&gt;0,$F69&gt;0,$E69-DK69&gt;=0),$E69-DK69,IF(AND(YEAR(DM$4)&gt;YEAR($F69),$E69&gt;0,$F69&gt;0,CZ69-DK69&gt;=0),CZ69-DK69,IF(AND(YEAR(DM$4)=YEAR($F69),$E69&lt;0,$F69&gt;0,$E69-DK69&lt;0),$E69-DK69,IF(AND(YEAR(DM$4)&gt;YEAR($F69),$E69&lt;0,$F69&gt;0,CZ69-DK69&lt;=0),CZ69-DK69,0))))</f>
        <v>0</v>
      </c>
      <c r="DN69" s="154">
        <f t="shared" si="270"/>
        <v>0</v>
      </c>
      <c r="DO69" s="157">
        <f t="shared" ref="DO69:DO125" si="328">DB69+DK69</f>
        <v>0</v>
      </c>
      <c r="DP69" s="154">
        <f t="shared" ref="DP69:DP125" si="329">IF(AND(DE69&lt;&gt;0,$J69="H",$L69=0),DG69,IF(AND(YEAR(DM$4)&gt;YEAR($F69),$J69="H",$F69&gt;0,$L69=0),$E69,0))</f>
        <v>0</v>
      </c>
      <c r="DQ69" s="158">
        <f t="shared" ref="DQ69:DQ125" si="330">IF(AND(YEAR(DM$4)&gt;=YEAR($F69),$E69&gt;0,$F69&gt;0,DK69&gt;0,$J69="H"),ROUND(DK69/$L69*$E69,2),IF(AND(YEAR(DM$4)&gt;=YEAR($F69),$E69&lt;0,$F69&gt;0,DK69&lt;0,$J69="H"),ROUND(DK69/$L69*$E69,2),0))</f>
        <v>0</v>
      </c>
      <c r="DR69" s="156">
        <f t="shared" si="316"/>
        <v>0</v>
      </c>
      <c r="DS69" s="154">
        <f t="shared" si="271"/>
        <v>0</v>
      </c>
      <c r="DT69" s="154">
        <f t="shared" ref="DT69:DT125" si="331">IF(DR69&lt;&gt;0,ROUND(DR69*(DAYS360($F69,DZ$4)/DAYS360(DM$4,DZ$4)),2),0)</f>
        <v>0</v>
      </c>
      <c r="DU69" s="154">
        <f t="shared" si="272"/>
        <v>0</v>
      </c>
      <c r="DV69" s="154">
        <f t="shared" ref="DV69:DV125" si="332">IF(AND($F69&gt;0,$F69&lt;=DZ$4),$E69,0)</f>
        <v>0</v>
      </c>
      <c r="DW69" s="154">
        <f t="shared" si="273"/>
        <v>0</v>
      </c>
      <c r="DX69" s="154">
        <f t="shared" ref="DX69:DX125" si="333">IF(AND(YEAR($F69)=YEAR(DZ$4),$E69&lt;1000,$E69&gt;-1000,$F69&gt;0,$K69=1),$E69-$I69,IF(AND(YEAR($F69)=YEAR(DZ$4),$F69&gt;0,$K69&gt;0),ROUND(($L69/12)*(13-MONTH($F69)),2),IF(AND(YEAR($F69)&lt;YEAR(DZ$4),$E69&gt;0,$F69&gt;0,$K69&gt;0,DM69&gt;$L69+$I69),$L69,IF(AND(YEAR($F69)&lt;YEAR(DZ$4),$E69&gt;0,$F69&gt;0,$K69&gt;0,DM69&gt;0,DM69&lt;=$L69+$I69),DM69-$I69,IF(AND(YEAR($F69)&lt;YEAR(DZ$4),$E69&lt;0,$F69&gt;0,$K69&gt;0,DM69&lt;0,DM69&lt;=$L69),$L69,IF(AND(YEAR($F69)&lt;YEAR(DZ$4),$E69&lt;0,$F69&gt;0,$K69&gt;0,DM69&lt;0,DM69&gt;$L69),DM69,0))))))</f>
        <v>0</v>
      </c>
      <c r="DY69" s="154">
        <f t="shared" si="274"/>
        <v>0</v>
      </c>
      <c r="DZ69" s="154">
        <f t="shared" ref="DZ69:DZ125" si="334">IF(AND(YEAR(DZ$4)=YEAR($F69),$E69&gt;0,$F69&gt;0,$E69-DX69&gt;=0),$E69-DX69,IF(AND(YEAR(DZ$4)&gt;YEAR($F69),$E69&gt;0,$F69&gt;0,DM69-DX69&gt;=0),DM69-DX69,IF(AND(YEAR(DZ$4)=YEAR($F69),$E69&lt;0,$F69&gt;0,$E69-DX69&lt;0),$E69-DX69,IF(AND(YEAR(DZ$4)&gt;YEAR($F69),$E69&lt;0,$F69&gt;0,DM69-DX69&lt;=0),DM69-DX69,0))))</f>
        <v>0</v>
      </c>
      <c r="EA69" s="154">
        <f t="shared" si="275"/>
        <v>0</v>
      </c>
      <c r="EB69" s="157">
        <f t="shared" ref="EB69:EB125" si="335">DO69+DX69</f>
        <v>0</v>
      </c>
      <c r="EC69" s="154">
        <f t="shared" ref="EC69:EC125" si="336">IF(AND(DR69&lt;&gt;0,$J69="H",$L69=0),DT69,IF(AND(YEAR(DZ$4)&gt;YEAR($F69),$J69="H",$F69&gt;0,$L69=0),$E69,0))</f>
        <v>0</v>
      </c>
      <c r="ED69" s="158">
        <f t="shared" ref="ED69:ED125" si="337">IF(AND(YEAR(DZ$4)&gt;=YEAR($F69),$E69&gt;0,$F69&gt;0,DX69&gt;0,$J69="H"),ROUND(DX69/$L69*$E69,2),IF(AND(YEAR(DZ$4)&gt;=YEAR($F69),$E69&lt;0,$F69&gt;0,DX69&lt;0,$J69="H"),ROUND(DX69/$L69*$E69,2),0))</f>
        <v>0</v>
      </c>
    </row>
    <row r="70" spans="1:134" x14ac:dyDescent="0.35">
      <c r="A70" s="172"/>
      <c r="B70" s="173"/>
      <c r="C70" s="174"/>
      <c r="D70" s="175"/>
      <c r="E70" s="176"/>
      <c r="F70" s="177"/>
      <c r="G70" s="178"/>
      <c r="H70" s="179"/>
      <c r="I70" s="180"/>
      <c r="J70" s="181"/>
      <c r="K70" s="152">
        <f t="shared" ref="K70:K125" si="338">IF(AND(G70&gt;0,G70&lt;=1,H70=0),1,IF(H70&gt;=1,1,IF(AND(H70&gt;0,H70&lt;1),H70,IF(AND(G70&gt;1,OR(H70=0,H70="")),ROUND(1/G70,4),0))))</f>
        <v>0</v>
      </c>
      <c r="L70" s="153">
        <f t="shared" ref="L70:L125" si="339">IF(AND(E70&gt;0,F70&gt;0,OR(G70&gt;0,H70&gt;0)),ROUND((E70-I70)*K70,2),IF(AND(E70&lt;0,F70&gt;0,OR(G70&gt;0,H70&gt;0)),ROUND(E70*K70,2),0))</f>
        <v>0</v>
      </c>
      <c r="M70" s="154">
        <f t="shared" ref="M70:M125" si="340">IF(AND(E70-O70&gt;=0,F70&gt;0,YEAR(M$4)&gt;=YEAR(F70)),E70-O70,IF(AND(E70-O70&lt;0,F70&gt;0,YEAR(M$4)&gt;=YEAR(F70)),E70-O70,0))</f>
        <v>0</v>
      </c>
      <c r="N70" s="154"/>
      <c r="O70" s="154">
        <f t="shared" ref="O70:O125" si="341">IF(AND(YEAR(F70)&lt;=YEAR(M$4),E70&lt;1000,E70&gt;-1000,F70&gt;0,K70=1),E70-I70,IF(AND(YEAR(F70)&lt;=YEAR(M$4),E70&gt;0,F70&gt;0,K70&gt;0,E70&gt;L70*(YEAR(M$4)-YEAR(F70))+ROUND((L70/12)*(13-MONTH(F70)),2)+I70),L70*(YEAR(M$4)-YEAR(F70))+ROUND((L70/12)*(13-MONTH(F70)),2),IF(AND(YEAR(F70)&lt;=YEAR(M$4),E70&gt;0,F70&gt;0,K70&gt;0,E70&lt;=(L70*(YEAR(M$4)-YEAR(F70)+ROUND((L70/12)*(13-MONTH(F70)),2)))+I70),E70-I70,IF(AND(YEAR(F70)&lt;=YEAR(M$4),E70&lt;0,F70&gt;0,K70&gt;0,E70&lt;L70*(YEAR(M$4)-YEAR(F70))+ROUND((L70/12)*(13-MONTH(F70)),2)+I70),L70*(YEAR(M$4)-YEAR(F70))+ROUND((L70/12)*(13-MONTH(F70)),2),IF(AND(YEAR(F70)&lt;=YEAR(M$4),E70&lt;0,F70&gt;0,K70&gt;0,E70&lt;=(L70*(YEAR(M$4)-YEAR(F70)+ROUND((L70/12)*(13-MONTH(F70)),2)))),E70,0)))))</f>
        <v>0</v>
      </c>
      <c r="P70" s="155"/>
      <c r="Q70" s="154">
        <f t="shared" ref="Q70:Q125" si="342">IF(AND($F70&gt;0,$F70&lt;=O$4),$E70,0)</f>
        <v>0</v>
      </c>
      <c r="R70" s="156">
        <f t="shared" ref="R70:R125" si="343">IF(YEAR($F70)=R$4,$E70,0)</f>
        <v>0</v>
      </c>
      <c r="S70" s="154">
        <f t="shared" ref="S70:S125" si="344">IF($J70&lt;&gt;"H",R70,0)</f>
        <v>0</v>
      </c>
      <c r="T70" s="154">
        <f t="shared" ref="T70:T125" si="345">IF(R70&lt;&gt;0,ROUND(R70*(DAYS360($F70,Z$4)/DAYS360(M$4,Z$4)),2),0)</f>
        <v>0</v>
      </c>
      <c r="U70" s="154">
        <f t="shared" ref="U70:U125" si="346">IF($J70&lt;&gt;"H",T70,0)</f>
        <v>0</v>
      </c>
      <c r="V70" s="154">
        <f t="shared" ref="V70:V125" si="347">IF(AND($F70&gt;0,$F70&lt;=Z$4),$E70,0)</f>
        <v>0</v>
      </c>
      <c r="W70" s="154">
        <f t="shared" ref="W70:W125" si="348">IF(X70&lt;&gt;0,ROUND(X70/$L70*V70,2),0)</f>
        <v>0</v>
      </c>
      <c r="X70" s="154">
        <f t="shared" ref="X70:X125" si="349">IF(AND(YEAR($F70)=YEAR(Z$4),$E70&lt;1000,$E70&gt;-1000,$F70&gt;0,$K70=1),$E70-$I70,IF(AND(YEAR($F70)=YEAR(Z$4),$F70&gt;0,$K70&gt;0),ROUND(($L70/12)*(13-MONTH($F70)),2),IF(AND(YEAR($F70)&lt;YEAR(Z$4),$E70&gt;0,$F70&gt;0,$K70&gt;0,M70&gt;$L70+$I70),$L70,IF(AND(YEAR($F70)&lt;YEAR(Z$4),$E70&gt;0,$F70&gt;0,$K70&gt;0,M70&gt;0,M70&lt;=$L70+$I70),M70-$I70,IF(AND(YEAR($F70)&lt;YEAR(Z$4),$E70&lt;0,$F70&gt;0,$K70&gt;0,M70&lt;0,M70&lt;=$L70),$L70,IF(AND(YEAR($F70)&lt;YEAR(Z$4),$E70&lt;0,$F70&gt;0,$K70&gt;0,M70&lt;0,M70&gt;$L70),M70,0))))))</f>
        <v>0</v>
      </c>
      <c r="Y70" s="154">
        <f t="shared" ref="Y70:Y125" si="350">IF($J70&lt;&gt;"H",X70,0)</f>
        <v>0</v>
      </c>
      <c r="Z70" s="154">
        <f t="shared" ref="Z70:Z125" si="351">IF(AND(YEAR(Z$4)=YEAR($F70),$E70&gt;0,$F70&gt;0,$E70-X70&gt;=0),$E70-X70,IF(AND(YEAR(Z$4)&gt;YEAR($F70),$E70&gt;0,$F70&gt;0,M70-X70&gt;=0),M70-X70,IF(AND(YEAR(Z$4)=YEAR($F70),$E70&lt;0,$F70&gt;0,$E70-X70&lt;0),$E70-X70,IF(AND(YEAR(Z$4)&gt;YEAR($F70),$E70&lt;0,$F70&gt;0,M70-X70&lt;=0),M70-X70,0))))</f>
        <v>0</v>
      </c>
      <c r="AA70" s="154">
        <f t="shared" ref="AA70:AA125" si="352">IF($J70&lt;&gt;"H",Z70,0)</f>
        <v>0</v>
      </c>
      <c r="AB70" s="157">
        <f t="shared" ref="AB70:AB125" si="353">O70+X70</f>
        <v>0</v>
      </c>
      <c r="AC70" s="154">
        <f t="shared" ref="AC70:AC125" si="354">IF(AND(R70&lt;&gt;0,$J70="H",$L70=0),T70,IF(AND(YEAR(Z$4)&gt;YEAR($F70),$J70="H",$F70&gt;0,$L70=0),$E70,0))</f>
        <v>0</v>
      </c>
      <c r="AD70" s="158">
        <f t="shared" ref="AD70:AD125" si="355">IF(AND(YEAR(Z$4)&gt;=YEAR($F70),$E70&gt;0,$F70&gt;0,X70&gt;0,$J70="H"),ROUND(X70/$L70*$E70,2),IF(AND(YEAR(Z$4)&gt;=YEAR($F70),$E70&lt;0,$F70&gt;0,X70&lt;0,$J70="H"),ROUND(X70/$L70*$E70,2),0))</f>
        <v>0</v>
      </c>
      <c r="AE70" s="156">
        <f t="shared" si="280"/>
        <v>0</v>
      </c>
      <c r="AF70" s="154">
        <f t="shared" si="235"/>
        <v>0</v>
      </c>
      <c r="AG70" s="154">
        <f t="shared" si="281"/>
        <v>0</v>
      </c>
      <c r="AH70" s="154">
        <f t="shared" si="236"/>
        <v>0</v>
      </c>
      <c r="AI70" s="154">
        <f t="shared" si="282"/>
        <v>0</v>
      </c>
      <c r="AJ70" s="154">
        <f t="shared" si="237"/>
        <v>0</v>
      </c>
      <c r="AK70" s="154">
        <f t="shared" si="283"/>
        <v>0</v>
      </c>
      <c r="AL70" s="154">
        <f t="shared" si="238"/>
        <v>0</v>
      </c>
      <c r="AM70" s="154">
        <f t="shared" si="284"/>
        <v>0</v>
      </c>
      <c r="AN70" s="154">
        <f t="shared" si="239"/>
        <v>0</v>
      </c>
      <c r="AO70" s="157">
        <f t="shared" si="285"/>
        <v>0</v>
      </c>
      <c r="AP70" s="154">
        <f t="shared" si="286"/>
        <v>0</v>
      </c>
      <c r="AQ70" s="158">
        <f t="shared" si="287"/>
        <v>0</v>
      </c>
      <c r="AR70" s="156">
        <f t="shared" si="280"/>
        <v>0</v>
      </c>
      <c r="AS70" s="154">
        <f t="shared" si="240"/>
        <v>0</v>
      </c>
      <c r="AT70" s="154">
        <f t="shared" si="288"/>
        <v>0</v>
      </c>
      <c r="AU70" s="154">
        <f t="shared" si="241"/>
        <v>0</v>
      </c>
      <c r="AV70" s="154">
        <f t="shared" si="289"/>
        <v>0</v>
      </c>
      <c r="AW70" s="154">
        <f t="shared" si="242"/>
        <v>0</v>
      </c>
      <c r="AX70" s="154">
        <f t="shared" si="290"/>
        <v>0</v>
      </c>
      <c r="AY70" s="154">
        <f t="shared" si="243"/>
        <v>0</v>
      </c>
      <c r="AZ70" s="154">
        <f t="shared" si="291"/>
        <v>0</v>
      </c>
      <c r="BA70" s="154">
        <f t="shared" si="244"/>
        <v>0</v>
      </c>
      <c r="BB70" s="157">
        <f t="shared" si="292"/>
        <v>0</v>
      </c>
      <c r="BC70" s="154">
        <f t="shared" si="293"/>
        <v>0</v>
      </c>
      <c r="BD70" s="158">
        <f t="shared" si="294"/>
        <v>0</v>
      </c>
      <c r="BE70" s="156">
        <f t="shared" si="280"/>
        <v>0</v>
      </c>
      <c r="BF70" s="154">
        <f t="shared" si="245"/>
        <v>0</v>
      </c>
      <c r="BG70" s="154">
        <f t="shared" si="295"/>
        <v>0</v>
      </c>
      <c r="BH70" s="154">
        <f t="shared" si="246"/>
        <v>0</v>
      </c>
      <c r="BI70" s="154">
        <f t="shared" si="296"/>
        <v>0</v>
      </c>
      <c r="BJ70" s="154">
        <f t="shared" si="247"/>
        <v>0</v>
      </c>
      <c r="BK70" s="154">
        <f t="shared" si="297"/>
        <v>0</v>
      </c>
      <c r="BL70" s="154">
        <f t="shared" si="248"/>
        <v>0</v>
      </c>
      <c r="BM70" s="154">
        <f t="shared" si="298"/>
        <v>0</v>
      </c>
      <c r="BN70" s="154">
        <f t="shared" si="249"/>
        <v>0</v>
      </c>
      <c r="BO70" s="157">
        <f t="shared" si="299"/>
        <v>0</v>
      </c>
      <c r="BP70" s="154">
        <f t="shared" si="300"/>
        <v>0</v>
      </c>
      <c r="BQ70" s="158">
        <f t="shared" si="301"/>
        <v>0</v>
      </c>
      <c r="BR70" s="156">
        <f t="shared" si="280"/>
        <v>0</v>
      </c>
      <c r="BS70" s="154">
        <f t="shared" si="250"/>
        <v>0</v>
      </c>
      <c r="BT70" s="154">
        <f t="shared" si="302"/>
        <v>0</v>
      </c>
      <c r="BU70" s="154">
        <f t="shared" si="251"/>
        <v>0</v>
      </c>
      <c r="BV70" s="154">
        <f t="shared" si="303"/>
        <v>0</v>
      </c>
      <c r="BW70" s="154">
        <f t="shared" si="252"/>
        <v>0</v>
      </c>
      <c r="BX70" s="154">
        <f t="shared" si="304"/>
        <v>0</v>
      </c>
      <c r="BY70" s="154">
        <f t="shared" si="253"/>
        <v>0</v>
      </c>
      <c r="BZ70" s="154">
        <f t="shared" si="305"/>
        <v>0</v>
      </c>
      <c r="CA70" s="154">
        <f t="shared" si="254"/>
        <v>0</v>
      </c>
      <c r="CB70" s="157">
        <f t="shared" si="306"/>
        <v>0</v>
      </c>
      <c r="CC70" s="154">
        <f t="shared" si="307"/>
        <v>0</v>
      </c>
      <c r="CD70" s="158">
        <f t="shared" si="308"/>
        <v>0</v>
      </c>
      <c r="CE70" s="156">
        <f t="shared" si="280"/>
        <v>0</v>
      </c>
      <c r="CF70" s="154">
        <f t="shared" si="255"/>
        <v>0</v>
      </c>
      <c r="CG70" s="154">
        <f t="shared" si="309"/>
        <v>0</v>
      </c>
      <c r="CH70" s="154">
        <f t="shared" si="256"/>
        <v>0</v>
      </c>
      <c r="CI70" s="154">
        <f t="shared" si="310"/>
        <v>0</v>
      </c>
      <c r="CJ70" s="154">
        <f t="shared" si="257"/>
        <v>0</v>
      </c>
      <c r="CK70" s="154">
        <f t="shared" si="311"/>
        <v>0</v>
      </c>
      <c r="CL70" s="154">
        <f t="shared" si="258"/>
        <v>0</v>
      </c>
      <c r="CM70" s="154">
        <f t="shared" si="312"/>
        <v>0</v>
      </c>
      <c r="CN70" s="154">
        <f t="shared" si="259"/>
        <v>0</v>
      </c>
      <c r="CO70" s="157">
        <f t="shared" si="313"/>
        <v>0</v>
      </c>
      <c r="CP70" s="154">
        <f t="shared" si="314"/>
        <v>0</v>
      </c>
      <c r="CQ70" s="158">
        <f t="shared" si="315"/>
        <v>0</v>
      </c>
      <c r="CR70" s="156">
        <f t="shared" si="316"/>
        <v>0</v>
      </c>
      <c r="CS70" s="154">
        <f t="shared" si="261"/>
        <v>0</v>
      </c>
      <c r="CT70" s="154">
        <f t="shared" si="317"/>
        <v>0</v>
      </c>
      <c r="CU70" s="154">
        <f t="shared" si="262"/>
        <v>0</v>
      </c>
      <c r="CV70" s="154">
        <f t="shared" si="318"/>
        <v>0</v>
      </c>
      <c r="CW70" s="154">
        <f t="shared" si="263"/>
        <v>0</v>
      </c>
      <c r="CX70" s="154">
        <f t="shared" si="319"/>
        <v>0</v>
      </c>
      <c r="CY70" s="154">
        <f t="shared" si="264"/>
        <v>0</v>
      </c>
      <c r="CZ70" s="154">
        <f t="shared" si="320"/>
        <v>0</v>
      </c>
      <c r="DA70" s="154">
        <f t="shared" si="265"/>
        <v>0</v>
      </c>
      <c r="DB70" s="157">
        <f t="shared" si="321"/>
        <v>0</v>
      </c>
      <c r="DC70" s="154">
        <f t="shared" si="322"/>
        <v>0</v>
      </c>
      <c r="DD70" s="158">
        <f t="shared" si="323"/>
        <v>0</v>
      </c>
      <c r="DE70" s="156">
        <f t="shared" si="316"/>
        <v>0</v>
      </c>
      <c r="DF70" s="154">
        <f t="shared" si="266"/>
        <v>0</v>
      </c>
      <c r="DG70" s="154">
        <f t="shared" si="324"/>
        <v>0</v>
      </c>
      <c r="DH70" s="154">
        <f t="shared" si="267"/>
        <v>0</v>
      </c>
      <c r="DI70" s="154">
        <f t="shared" si="325"/>
        <v>0</v>
      </c>
      <c r="DJ70" s="154">
        <f t="shared" si="268"/>
        <v>0</v>
      </c>
      <c r="DK70" s="154">
        <f t="shared" si="326"/>
        <v>0</v>
      </c>
      <c r="DL70" s="154">
        <f t="shared" si="269"/>
        <v>0</v>
      </c>
      <c r="DM70" s="154">
        <f t="shared" si="327"/>
        <v>0</v>
      </c>
      <c r="DN70" s="154">
        <f t="shared" si="270"/>
        <v>0</v>
      </c>
      <c r="DO70" s="157">
        <f t="shared" si="328"/>
        <v>0</v>
      </c>
      <c r="DP70" s="154">
        <f t="shared" si="329"/>
        <v>0</v>
      </c>
      <c r="DQ70" s="158">
        <f t="shared" si="330"/>
        <v>0</v>
      </c>
      <c r="DR70" s="156">
        <f t="shared" si="316"/>
        <v>0</v>
      </c>
      <c r="DS70" s="154">
        <f t="shared" si="271"/>
        <v>0</v>
      </c>
      <c r="DT70" s="154">
        <f t="shared" si="331"/>
        <v>0</v>
      </c>
      <c r="DU70" s="154">
        <f t="shared" si="272"/>
        <v>0</v>
      </c>
      <c r="DV70" s="154">
        <f t="shared" si="332"/>
        <v>0</v>
      </c>
      <c r="DW70" s="154">
        <f t="shared" si="273"/>
        <v>0</v>
      </c>
      <c r="DX70" s="154">
        <f t="shared" si="333"/>
        <v>0</v>
      </c>
      <c r="DY70" s="154">
        <f t="shared" si="274"/>
        <v>0</v>
      </c>
      <c r="DZ70" s="154">
        <f t="shared" si="334"/>
        <v>0</v>
      </c>
      <c r="EA70" s="154">
        <f t="shared" si="275"/>
        <v>0</v>
      </c>
      <c r="EB70" s="157">
        <f t="shared" si="335"/>
        <v>0</v>
      </c>
      <c r="EC70" s="154">
        <f t="shared" si="336"/>
        <v>0</v>
      </c>
      <c r="ED70" s="158">
        <f t="shared" si="337"/>
        <v>0</v>
      </c>
    </row>
    <row r="71" spans="1:134" x14ac:dyDescent="0.35">
      <c r="A71" s="172"/>
      <c r="B71" s="173"/>
      <c r="C71" s="174"/>
      <c r="D71" s="175"/>
      <c r="E71" s="176"/>
      <c r="F71" s="177"/>
      <c r="G71" s="178"/>
      <c r="H71" s="179"/>
      <c r="I71" s="180"/>
      <c r="J71" s="181"/>
      <c r="K71" s="152">
        <f t="shared" si="338"/>
        <v>0</v>
      </c>
      <c r="L71" s="153">
        <f t="shared" si="339"/>
        <v>0</v>
      </c>
      <c r="M71" s="154">
        <f t="shared" si="340"/>
        <v>0</v>
      </c>
      <c r="N71" s="154"/>
      <c r="O71" s="154">
        <f t="shared" si="341"/>
        <v>0</v>
      </c>
      <c r="P71" s="155"/>
      <c r="Q71" s="154">
        <f t="shared" si="342"/>
        <v>0</v>
      </c>
      <c r="R71" s="156">
        <f t="shared" si="343"/>
        <v>0</v>
      </c>
      <c r="S71" s="154">
        <f t="shared" si="344"/>
        <v>0</v>
      </c>
      <c r="T71" s="154">
        <f t="shared" si="345"/>
        <v>0</v>
      </c>
      <c r="U71" s="154">
        <f t="shared" si="346"/>
        <v>0</v>
      </c>
      <c r="V71" s="154">
        <f t="shared" si="347"/>
        <v>0</v>
      </c>
      <c r="W71" s="154">
        <f t="shared" si="348"/>
        <v>0</v>
      </c>
      <c r="X71" s="154">
        <f t="shared" si="349"/>
        <v>0</v>
      </c>
      <c r="Y71" s="154">
        <f t="shared" si="350"/>
        <v>0</v>
      </c>
      <c r="Z71" s="154">
        <f t="shared" si="351"/>
        <v>0</v>
      </c>
      <c r="AA71" s="154">
        <f t="shared" si="352"/>
        <v>0</v>
      </c>
      <c r="AB71" s="157">
        <f t="shared" si="353"/>
        <v>0</v>
      </c>
      <c r="AC71" s="154">
        <f t="shared" si="354"/>
        <v>0</v>
      </c>
      <c r="AD71" s="158">
        <f t="shared" si="355"/>
        <v>0</v>
      </c>
      <c r="AE71" s="156">
        <f t="shared" si="280"/>
        <v>0</v>
      </c>
      <c r="AF71" s="154">
        <f t="shared" si="235"/>
        <v>0</v>
      </c>
      <c r="AG71" s="154">
        <f t="shared" si="281"/>
        <v>0</v>
      </c>
      <c r="AH71" s="154">
        <f t="shared" si="236"/>
        <v>0</v>
      </c>
      <c r="AI71" s="154">
        <f t="shared" si="282"/>
        <v>0</v>
      </c>
      <c r="AJ71" s="154">
        <f t="shared" si="237"/>
        <v>0</v>
      </c>
      <c r="AK71" s="154">
        <f t="shared" si="283"/>
        <v>0</v>
      </c>
      <c r="AL71" s="154">
        <f t="shared" si="238"/>
        <v>0</v>
      </c>
      <c r="AM71" s="154">
        <f t="shared" si="284"/>
        <v>0</v>
      </c>
      <c r="AN71" s="154">
        <f t="shared" si="239"/>
        <v>0</v>
      </c>
      <c r="AO71" s="157">
        <f t="shared" si="285"/>
        <v>0</v>
      </c>
      <c r="AP71" s="154">
        <f t="shared" si="286"/>
        <v>0</v>
      </c>
      <c r="AQ71" s="158">
        <f t="shared" si="287"/>
        <v>0</v>
      </c>
      <c r="AR71" s="156">
        <f t="shared" si="280"/>
        <v>0</v>
      </c>
      <c r="AS71" s="154">
        <f t="shared" si="240"/>
        <v>0</v>
      </c>
      <c r="AT71" s="154">
        <f t="shared" si="288"/>
        <v>0</v>
      </c>
      <c r="AU71" s="154">
        <f t="shared" si="241"/>
        <v>0</v>
      </c>
      <c r="AV71" s="154">
        <f t="shared" si="289"/>
        <v>0</v>
      </c>
      <c r="AW71" s="154">
        <f t="shared" si="242"/>
        <v>0</v>
      </c>
      <c r="AX71" s="154">
        <f t="shared" si="290"/>
        <v>0</v>
      </c>
      <c r="AY71" s="154">
        <f t="shared" si="243"/>
        <v>0</v>
      </c>
      <c r="AZ71" s="154">
        <f t="shared" si="291"/>
        <v>0</v>
      </c>
      <c r="BA71" s="154">
        <f t="shared" si="244"/>
        <v>0</v>
      </c>
      <c r="BB71" s="157">
        <f t="shared" si="292"/>
        <v>0</v>
      </c>
      <c r="BC71" s="154">
        <f t="shared" si="293"/>
        <v>0</v>
      </c>
      <c r="BD71" s="158">
        <f t="shared" si="294"/>
        <v>0</v>
      </c>
      <c r="BE71" s="156">
        <f t="shared" si="280"/>
        <v>0</v>
      </c>
      <c r="BF71" s="154">
        <f t="shared" si="245"/>
        <v>0</v>
      </c>
      <c r="BG71" s="154">
        <f t="shared" si="295"/>
        <v>0</v>
      </c>
      <c r="BH71" s="154">
        <f t="shared" si="246"/>
        <v>0</v>
      </c>
      <c r="BI71" s="154">
        <f t="shared" si="296"/>
        <v>0</v>
      </c>
      <c r="BJ71" s="154">
        <f t="shared" si="247"/>
        <v>0</v>
      </c>
      <c r="BK71" s="154">
        <f t="shared" si="297"/>
        <v>0</v>
      </c>
      <c r="BL71" s="154">
        <f t="shared" si="248"/>
        <v>0</v>
      </c>
      <c r="BM71" s="154">
        <f t="shared" si="298"/>
        <v>0</v>
      </c>
      <c r="BN71" s="154">
        <f t="shared" si="249"/>
        <v>0</v>
      </c>
      <c r="BO71" s="157">
        <f t="shared" si="299"/>
        <v>0</v>
      </c>
      <c r="BP71" s="154">
        <f t="shared" si="300"/>
        <v>0</v>
      </c>
      <c r="BQ71" s="158">
        <f t="shared" si="301"/>
        <v>0</v>
      </c>
      <c r="BR71" s="156">
        <f t="shared" si="280"/>
        <v>0</v>
      </c>
      <c r="BS71" s="154">
        <f t="shared" si="250"/>
        <v>0</v>
      </c>
      <c r="BT71" s="154">
        <f t="shared" si="302"/>
        <v>0</v>
      </c>
      <c r="BU71" s="154">
        <f t="shared" si="251"/>
        <v>0</v>
      </c>
      <c r="BV71" s="154">
        <f t="shared" si="303"/>
        <v>0</v>
      </c>
      <c r="BW71" s="154">
        <f t="shared" si="252"/>
        <v>0</v>
      </c>
      <c r="BX71" s="154">
        <f t="shared" si="304"/>
        <v>0</v>
      </c>
      <c r="BY71" s="154">
        <f t="shared" si="253"/>
        <v>0</v>
      </c>
      <c r="BZ71" s="154">
        <f t="shared" si="305"/>
        <v>0</v>
      </c>
      <c r="CA71" s="154">
        <f t="shared" si="254"/>
        <v>0</v>
      </c>
      <c r="CB71" s="157">
        <f t="shared" si="306"/>
        <v>0</v>
      </c>
      <c r="CC71" s="154">
        <f t="shared" si="307"/>
        <v>0</v>
      </c>
      <c r="CD71" s="158">
        <f t="shared" si="308"/>
        <v>0</v>
      </c>
      <c r="CE71" s="156">
        <f t="shared" si="280"/>
        <v>0</v>
      </c>
      <c r="CF71" s="154">
        <f t="shared" si="255"/>
        <v>0</v>
      </c>
      <c r="CG71" s="154">
        <f t="shared" si="309"/>
        <v>0</v>
      </c>
      <c r="CH71" s="154">
        <f t="shared" si="256"/>
        <v>0</v>
      </c>
      <c r="CI71" s="154">
        <f t="shared" si="310"/>
        <v>0</v>
      </c>
      <c r="CJ71" s="154">
        <f t="shared" si="257"/>
        <v>0</v>
      </c>
      <c r="CK71" s="154">
        <f t="shared" si="311"/>
        <v>0</v>
      </c>
      <c r="CL71" s="154">
        <f t="shared" si="258"/>
        <v>0</v>
      </c>
      <c r="CM71" s="154">
        <f t="shared" si="312"/>
        <v>0</v>
      </c>
      <c r="CN71" s="154">
        <f t="shared" si="259"/>
        <v>0</v>
      </c>
      <c r="CO71" s="157">
        <f t="shared" si="313"/>
        <v>0</v>
      </c>
      <c r="CP71" s="154">
        <f t="shared" si="314"/>
        <v>0</v>
      </c>
      <c r="CQ71" s="158">
        <f t="shared" si="315"/>
        <v>0</v>
      </c>
      <c r="CR71" s="156">
        <f t="shared" si="316"/>
        <v>0</v>
      </c>
      <c r="CS71" s="154">
        <f t="shared" si="261"/>
        <v>0</v>
      </c>
      <c r="CT71" s="154">
        <f t="shared" si="317"/>
        <v>0</v>
      </c>
      <c r="CU71" s="154">
        <f t="shared" si="262"/>
        <v>0</v>
      </c>
      <c r="CV71" s="154">
        <f t="shared" si="318"/>
        <v>0</v>
      </c>
      <c r="CW71" s="154">
        <f t="shared" si="263"/>
        <v>0</v>
      </c>
      <c r="CX71" s="154">
        <f t="shared" si="319"/>
        <v>0</v>
      </c>
      <c r="CY71" s="154">
        <f t="shared" si="264"/>
        <v>0</v>
      </c>
      <c r="CZ71" s="154">
        <f t="shared" si="320"/>
        <v>0</v>
      </c>
      <c r="DA71" s="154">
        <f t="shared" si="265"/>
        <v>0</v>
      </c>
      <c r="DB71" s="157">
        <f t="shared" si="321"/>
        <v>0</v>
      </c>
      <c r="DC71" s="154">
        <f t="shared" si="322"/>
        <v>0</v>
      </c>
      <c r="DD71" s="158">
        <f t="shared" si="323"/>
        <v>0</v>
      </c>
      <c r="DE71" s="156">
        <f t="shared" si="316"/>
        <v>0</v>
      </c>
      <c r="DF71" s="154">
        <f t="shared" si="266"/>
        <v>0</v>
      </c>
      <c r="DG71" s="154">
        <f t="shared" si="324"/>
        <v>0</v>
      </c>
      <c r="DH71" s="154">
        <f t="shared" si="267"/>
        <v>0</v>
      </c>
      <c r="DI71" s="154">
        <f t="shared" si="325"/>
        <v>0</v>
      </c>
      <c r="DJ71" s="154">
        <f t="shared" si="268"/>
        <v>0</v>
      </c>
      <c r="DK71" s="154">
        <f t="shared" si="326"/>
        <v>0</v>
      </c>
      <c r="DL71" s="154">
        <f t="shared" si="269"/>
        <v>0</v>
      </c>
      <c r="DM71" s="154">
        <f t="shared" si="327"/>
        <v>0</v>
      </c>
      <c r="DN71" s="154">
        <f t="shared" si="270"/>
        <v>0</v>
      </c>
      <c r="DO71" s="157">
        <f t="shared" si="328"/>
        <v>0</v>
      </c>
      <c r="DP71" s="154">
        <f t="shared" si="329"/>
        <v>0</v>
      </c>
      <c r="DQ71" s="158">
        <f t="shared" si="330"/>
        <v>0</v>
      </c>
      <c r="DR71" s="156">
        <f t="shared" si="316"/>
        <v>0</v>
      </c>
      <c r="DS71" s="154">
        <f t="shared" si="271"/>
        <v>0</v>
      </c>
      <c r="DT71" s="154">
        <f t="shared" si="331"/>
        <v>0</v>
      </c>
      <c r="DU71" s="154">
        <f t="shared" si="272"/>
        <v>0</v>
      </c>
      <c r="DV71" s="154">
        <f t="shared" si="332"/>
        <v>0</v>
      </c>
      <c r="DW71" s="154">
        <f t="shared" si="273"/>
        <v>0</v>
      </c>
      <c r="DX71" s="154">
        <f t="shared" si="333"/>
        <v>0</v>
      </c>
      <c r="DY71" s="154">
        <f t="shared" si="274"/>
        <v>0</v>
      </c>
      <c r="DZ71" s="154">
        <f t="shared" si="334"/>
        <v>0</v>
      </c>
      <c r="EA71" s="154">
        <f t="shared" si="275"/>
        <v>0</v>
      </c>
      <c r="EB71" s="157">
        <f t="shared" si="335"/>
        <v>0</v>
      </c>
      <c r="EC71" s="154">
        <f t="shared" si="336"/>
        <v>0</v>
      </c>
      <c r="ED71" s="158">
        <f t="shared" si="337"/>
        <v>0</v>
      </c>
    </row>
    <row r="72" spans="1:134" x14ac:dyDescent="0.35">
      <c r="A72" s="172"/>
      <c r="B72" s="173"/>
      <c r="C72" s="174"/>
      <c r="D72" s="175"/>
      <c r="E72" s="176"/>
      <c r="F72" s="177"/>
      <c r="G72" s="178"/>
      <c r="H72" s="179"/>
      <c r="I72" s="180"/>
      <c r="J72" s="181"/>
      <c r="K72" s="152">
        <f t="shared" si="338"/>
        <v>0</v>
      </c>
      <c r="L72" s="153">
        <f t="shared" si="339"/>
        <v>0</v>
      </c>
      <c r="M72" s="154">
        <f t="shared" si="340"/>
        <v>0</v>
      </c>
      <c r="N72" s="154"/>
      <c r="O72" s="154">
        <f t="shared" si="341"/>
        <v>0</v>
      </c>
      <c r="P72" s="155"/>
      <c r="Q72" s="154">
        <f t="shared" si="342"/>
        <v>0</v>
      </c>
      <c r="R72" s="156">
        <f t="shared" si="343"/>
        <v>0</v>
      </c>
      <c r="S72" s="154">
        <f t="shared" si="344"/>
        <v>0</v>
      </c>
      <c r="T72" s="154">
        <f t="shared" si="345"/>
        <v>0</v>
      </c>
      <c r="U72" s="154">
        <f t="shared" si="346"/>
        <v>0</v>
      </c>
      <c r="V72" s="154">
        <f t="shared" si="347"/>
        <v>0</v>
      </c>
      <c r="W72" s="154">
        <f t="shared" si="348"/>
        <v>0</v>
      </c>
      <c r="X72" s="154">
        <f t="shared" si="349"/>
        <v>0</v>
      </c>
      <c r="Y72" s="154">
        <f t="shared" si="350"/>
        <v>0</v>
      </c>
      <c r="Z72" s="154">
        <f t="shared" si="351"/>
        <v>0</v>
      </c>
      <c r="AA72" s="154">
        <f t="shared" si="352"/>
        <v>0</v>
      </c>
      <c r="AB72" s="157">
        <f t="shared" si="353"/>
        <v>0</v>
      </c>
      <c r="AC72" s="154">
        <f t="shared" si="354"/>
        <v>0</v>
      </c>
      <c r="AD72" s="158">
        <f t="shared" si="355"/>
        <v>0</v>
      </c>
      <c r="AE72" s="156">
        <f t="shared" si="280"/>
        <v>0</v>
      </c>
      <c r="AF72" s="154">
        <f t="shared" si="235"/>
        <v>0</v>
      </c>
      <c r="AG72" s="154">
        <f t="shared" si="281"/>
        <v>0</v>
      </c>
      <c r="AH72" s="154">
        <f t="shared" si="236"/>
        <v>0</v>
      </c>
      <c r="AI72" s="154">
        <f t="shared" si="282"/>
        <v>0</v>
      </c>
      <c r="AJ72" s="154">
        <f t="shared" si="237"/>
        <v>0</v>
      </c>
      <c r="AK72" s="154">
        <f t="shared" si="283"/>
        <v>0</v>
      </c>
      <c r="AL72" s="154">
        <f t="shared" si="238"/>
        <v>0</v>
      </c>
      <c r="AM72" s="154">
        <f t="shared" si="284"/>
        <v>0</v>
      </c>
      <c r="AN72" s="154">
        <f t="shared" si="239"/>
        <v>0</v>
      </c>
      <c r="AO72" s="157">
        <f t="shared" si="285"/>
        <v>0</v>
      </c>
      <c r="AP72" s="154">
        <f t="shared" si="286"/>
        <v>0</v>
      </c>
      <c r="AQ72" s="158">
        <f t="shared" si="287"/>
        <v>0</v>
      </c>
      <c r="AR72" s="156">
        <f t="shared" si="280"/>
        <v>0</v>
      </c>
      <c r="AS72" s="154">
        <f t="shared" si="240"/>
        <v>0</v>
      </c>
      <c r="AT72" s="154">
        <f t="shared" si="288"/>
        <v>0</v>
      </c>
      <c r="AU72" s="154">
        <f t="shared" si="241"/>
        <v>0</v>
      </c>
      <c r="AV72" s="154">
        <f t="shared" si="289"/>
        <v>0</v>
      </c>
      <c r="AW72" s="154">
        <f t="shared" si="242"/>
        <v>0</v>
      </c>
      <c r="AX72" s="154">
        <f t="shared" si="290"/>
        <v>0</v>
      </c>
      <c r="AY72" s="154">
        <f t="shared" si="243"/>
        <v>0</v>
      </c>
      <c r="AZ72" s="154">
        <f t="shared" si="291"/>
        <v>0</v>
      </c>
      <c r="BA72" s="154">
        <f t="shared" si="244"/>
        <v>0</v>
      </c>
      <c r="BB72" s="157">
        <f t="shared" si="292"/>
        <v>0</v>
      </c>
      <c r="BC72" s="154">
        <f t="shared" si="293"/>
        <v>0</v>
      </c>
      <c r="BD72" s="158">
        <f t="shared" si="294"/>
        <v>0</v>
      </c>
      <c r="BE72" s="156">
        <f t="shared" si="280"/>
        <v>0</v>
      </c>
      <c r="BF72" s="154">
        <f t="shared" si="245"/>
        <v>0</v>
      </c>
      <c r="BG72" s="154">
        <f t="shared" si="295"/>
        <v>0</v>
      </c>
      <c r="BH72" s="154">
        <f t="shared" si="246"/>
        <v>0</v>
      </c>
      <c r="BI72" s="154">
        <f t="shared" si="296"/>
        <v>0</v>
      </c>
      <c r="BJ72" s="154">
        <f t="shared" si="247"/>
        <v>0</v>
      </c>
      <c r="BK72" s="154">
        <f t="shared" si="297"/>
        <v>0</v>
      </c>
      <c r="BL72" s="154">
        <f t="shared" si="248"/>
        <v>0</v>
      </c>
      <c r="BM72" s="154">
        <f t="shared" si="298"/>
        <v>0</v>
      </c>
      <c r="BN72" s="154">
        <f t="shared" si="249"/>
        <v>0</v>
      </c>
      <c r="BO72" s="157">
        <f t="shared" si="299"/>
        <v>0</v>
      </c>
      <c r="BP72" s="154">
        <f t="shared" si="300"/>
        <v>0</v>
      </c>
      <c r="BQ72" s="158">
        <f t="shared" si="301"/>
        <v>0</v>
      </c>
      <c r="BR72" s="156">
        <f t="shared" si="280"/>
        <v>0</v>
      </c>
      <c r="BS72" s="154">
        <f t="shared" si="250"/>
        <v>0</v>
      </c>
      <c r="BT72" s="154">
        <f t="shared" si="302"/>
        <v>0</v>
      </c>
      <c r="BU72" s="154">
        <f t="shared" si="251"/>
        <v>0</v>
      </c>
      <c r="BV72" s="154">
        <f t="shared" si="303"/>
        <v>0</v>
      </c>
      <c r="BW72" s="154">
        <f t="shared" si="252"/>
        <v>0</v>
      </c>
      <c r="BX72" s="154">
        <f t="shared" si="304"/>
        <v>0</v>
      </c>
      <c r="BY72" s="154">
        <f t="shared" si="253"/>
        <v>0</v>
      </c>
      <c r="BZ72" s="154">
        <f t="shared" si="305"/>
        <v>0</v>
      </c>
      <c r="CA72" s="154">
        <f t="shared" si="254"/>
        <v>0</v>
      </c>
      <c r="CB72" s="157">
        <f t="shared" si="306"/>
        <v>0</v>
      </c>
      <c r="CC72" s="154">
        <f t="shared" si="307"/>
        <v>0</v>
      </c>
      <c r="CD72" s="158">
        <f t="shared" si="308"/>
        <v>0</v>
      </c>
      <c r="CE72" s="156">
        <f t="shared" si="280"/>
        <v>0</v>
      </c>
      <c r="CF72" s="154">
        <f t="shared" si="255"/>
        <v>0</v>
      </c>
      <c r="CG72" s="154">
        <f t="shared" si="309"/>
        <v>0</v>
      </c>
      <c r="CH72" s="154">
        <f t="shared" si="256"/>
        <v>0</v>
      </c>
      <c r="CI72" s="154">
        <f t="shared" si="310"/>
        <v>0</v>
      </c>
      <c r="CJ72" s="154">
        <f t="shared" si="257"/>
        <v>0</v>
      </c>
      <c r="CK72" s="154">
        <f t="shared" si="311"/>
        <v>0</v>
      </c>
      <c r="CL72" s="154">
        <f t="shared" si="258"/>
        <v>0</v>
      </c>
      <c r="CM72" s="154">
        <f t="shared" si="312"/>
        <v>0</v>
      </c>
      <c r="CN72" s="154">
        <f t="shared" si="259"/>
        <v>0</v>
      </c>
      <c r="CO72" s="157">
        <f t="shared" si="313"/>
        <v>0</v>
      </c>
      <c r="CP72" s="154">
        <f t="shared" si="314"/>
        <v>0</v>
      </c>
      <c r="CQ72" s="158">
        <f t="shared" si="315"/>
        <v>0</v>
      </c>
      <c r="CR72" s="156">
        <f t="shared" si="316"/>
        <v>0</v>
      </c>
      <c r="CS72" s="154">
        <f t="shared" si="261"/>
        <v>0</v>
      </c>
      <c r="CT72" s="154">
        <f t="shared" si="317"/>
        <v>0</v>
      </c>
      <c r="CU72" s="154">
        <f t="shared" si="262"/>
        <v>0</v>
      </c>
      <c r="CV72" s="154">
        <f t="shared" si="318"/>
        <v>0</v>
      </c>
      <c r="CW72" s="154">
        <f t="shared" si="263"/>
        <v>0</v>
      </c>
      <c r="CX72" s="154">
        <f t="shared" si="319"/>
        <v>0</v>
      </c>
      <c r="CY72" s="154">
        <f t="shared" si="264"/>
        <v>0</v>
      </c>
      <c r="CZ72" s="154">
        <f t="shared" si="320"/>
        <v>0</v>
      </c>
      <c r="DA72" s="154">
        <f t="shared" si="265"/>
        <v>0</v>
      </c>
      <c r="DB72" s="157">
        <f t="shared" si="321"/>
        <v>0</v>
      </c>
      <c r="DC72" s="154">
        <f t="shared" si="322"/>
        <v>0</v>
      </c>
      <c r="DD72" s="158">
        <f t="shared" si="323"/>
        <v>0</v>
      </c>
      <c r="DE72" s="156">
        <f t="shared" si="316"/>
        <v>0</v>
      </c>
      <c r="DF72" s="154">
        <f t="shared" si="266"/>
        <v>0</v>
      </c>
      <c r="DG72" s="154">
        <f t="shared" si="324"/>
        <v>0</v>
      </c>
      <c r="DH72" s="154">
        <f t="shared" si="267"/>
        <v>0</v>
      </c>
      <c r="DI72" s="154">
        <f t="shared" si="325"/>
        <v>0</v>
      </c>
      <c r="DJ72" s="154">
        <f t="shared" si="268"/>
        <v>0</v>
      </c>
      <c r="DK72" s="154">
        <f t="shared" si="326"/>
        <v>0</v>
      </c>
      <c r="DL72" s="154">
        <f t="shared" si="269"/>
        <v>0</v>
      </c>
      <c r="DM72" s="154">
        <f t="shared" si="327"/>
        <v>0</v>
      </c>
      <c r="DN72" s="154">
        <f t="shared" si="270"/>
        <v>0</v>
      </c>
      <c r="DO72" s="157">
        <f t="shared" si="328"/>
        <v>0</v>
      </c>
      <c r="DP72" s="154">
        <f t="shared" si="329"/>
        <v>0</v>
      </c>
      <c r="DQ72" s="158">
        <f t="shared" si="330"/>
        <v>0</v>
      </c>
      <c r="DR72" s="156">
        <f t="shared" si="316"/>
        <v>0</v>
      </c>
      <c r="DS72" s="154">
        <f t="shared" si="271"/>
        <v>0</v>
      </c>
      <c r="DT72" s="154">
        <f t="shared" si="331"/>
        <v>0</v>
      </c>
      <c r="DU72" s="154">
        <f t="shared" si="272"/>
        <v>0</v>
      </c>
      <c r="DV72" s="154">
        <f t="shared" si="332"/>
        <v>0</v>
      </c>
      <c r="DW72" s="154">
        <f t="shared" si="273"/>
        <v>0</v>
      </c>
      <c r="DX72" s="154">
        <f t="shared" si="333"/>
        <v>0</v>
      </c>
      <c r="DY72" s="154">
        <f t="shared" si="274"/>
        <v>0</v>
      </c>
      <c r="DZ72" s="154">
        <f t="shared" si="334"/>
        <v>0</v>
      </c>
      <c r="EA72" s="154">
        <f t="shared" si="275"/>
        <v>0</v>
      </c>
      <c r="EB72" s="157">
        <f t="shared" si="335"/>
        <v>0</v>
      </c>
      <c r="EC72" s="154">
        <f t="shared" si="336"/>
        <v>0</v>
      </c>
      <c r="ED72" s="158">
        <f t="shared" si="337"/>
        <v>0</v>
      </c>
    </row>
    <row r="73" spans="1:134" x14ac:dyDescent="0.35">
      <c r="A73" s="172"/>
      <c r="B73" s="173"/>
      <c r="C73" s="174"/>
      <c r="D73" s="175"/>
      <c r="E73" s="176"/>
      <c r="F73" s="177"/>
      <c r="G73" s="178"/>
      <c r="H73" s="179"/>
      <c r="I73" s="180"/>
      <c r="J73" s="181"/>
      <c r="K73" s="152">
        <f t="shared" si="338"/>
        <v>0</v>
      </c>
      <c r="L73" s="153">
        <f t="shared" si="339"/>
        <v>0</v>
      </c>
      <c r="M73" s="154">
        <f t="shared" si="340"/>
        <v>0</v>
      </c>
      <c r="N73" s="154"/>
      <c r="O73" s="154">
        <f t="shared" si="341"/>
        <v>0</v>
      </c>
      <c r="P73" s="155"/>
      <c r="Q73" s="154">
        <f t="shared" si="342"/>
        <v>0</v>
      </c>
      <c r="R73" s="156">
        <f t="shared" si="343"/>
        <v>0</v>
      </c>
      <c r="S73" s="154">
        <f t="shared" si="344"/>
        <v>0</v>
      </c>
      <c r="T73" s="154">
        <f t="shared" si="345"/>
        <v>0</v>
      </c>
      <c r="U73" s="154">
        <f t="shared" si="346"/>
        <v>0</v>
      </c>
      <c r="V73" s="154">
        <f t="shared" si="347"/>
        <v>0</v>
      </c>
      <c r="W73" s="154">
        <f t="shared" si="348"/>
        <v>0</v>
      </c>
      <c r="X73" s="154">
        <f t="shared" si="349"/>
        <v>0</v>
      </c>
      <c r="Y73" s="154">
        <f t="shared" si="350"/>
        <v>0</v>
      </c>
      <c r="Z73" s="154">
        <f t="shared" si="351"/>
        <v>0</v>
      </c>
      <c r="AA73" s="154">
        <f t="shared" si="352"/>
        <v>0</v>
      </c>
      <c r="AB73" s="157">
        <f t="shared" si="353"/>
        <v>0</v>
      </c>
      <c r="AC73" s="154">
        <f t="shared" si="354"/>
        <v>0</v>
      </c>
      <c r="AD73" s="158">
        <f t="shared" si="355"/>
        <v>0</v>
      </c>
      <c r="AE73" s="156">
        <f t="shared" si="280"/>
        <v>0</v>
      </c>
      <c r="AF73" s="154">
        <f t="shared" si="235"/>
        <v>0</v>
      </c>
      <c r="AG73" s="154">
        <f t="shared" si="281"/>
        <v>0</v>
      </c>
      <c r="AH73" s="154">
        <f t="shared" si="236"/>
        <v>0</v>
      </c>
      <c r="AI73" s="154">
        <f t="shared" si="282"/>
        <v>0</v>
      </c>
      <c r="AJ73" s="154">
        <f t="shared" si="237"/>
        <v>0</v>
      </c>
      <c r="AK73" s="154">
        <f t="shared" si="283"/>
        <v>0</v>
      </c>
      <c r="AL73" s="154">
        <f t="shared" si="238"/>
        <v>0</v>
      </c>
      <c r="AM73" s="154">
        <f t="shared" si="284"/>
        <v>0</v>
      </c>
      <c r="AN73" s="154">
        <f t="shared" si="239"/>
        <v>0</v>
      </c>
      <c r="AO73" s="157">
        <f t="shared" si="285"/>
        <v>0</v>
      </c>
      <c r="AP73" s="154">
        <f t="shared" si="286"/>
        <v>0</v>
      </c>
      <c r="AQ73" s="158">
        <f t="shared" si="287"/>
        <v>0</v>
      </c>
      <c r="AR73" s="156">
        <f t="shared" si="280"/>
        <v>0</v>
      </c>
      <c r="AS73" s="154">
        <f t="shared" si="240"/>
        <v>0</v>
      </c>
      <c r="AT73" s="154">
        <f t="shared" si="288"/>
        <v>0</v>
      </c>
      <c r="AU73" s="154">
        <f t="shared" si="241"/>
        <v>0</v>
      </c>
      <c r="AV73" s="154">
        <f t="shared" si="289"/>
        <v>0</v>
      </c>
      <c r="AW73" s="154">
        <f t="shared" si="242"/>
        <v>0</v>
      </c>
      <c r="AX73" s="154">
        <f t="shared" si="290"/>
        <v>0</v>
      </c>
      <c r="AY73" s="154">
        <f t="shared" si="243"/>
        <v>0</v>
      </c>
      <c r="AZ73" s="154">
        <f t="shared" si="291"/>
        <v>0</v>
      </c>
      <c r="BA73" s="154">
        <f t="shared" si="244"/>
        <v>0</v>
      </c>
      <c r="BB73" s="157">
        <f t="shared" si="292"/>
        <v>0</v>
      </c>
      <c r="BC73" s="154">
        <f t="shared" si="293"/>
        <v>0</v>
      </c>
      <c r="BD73" s="158">
        <f t="shared" si="294"/>
        <v>0</v>
      </c>
      <c r="BE73" s="156">
        <f t="shared" si="280"/>
        <v>0</v>
      </c>
      <c r="BF73" s="154">
        <f t="shared" si="245"/>
        <v>0</v>
      </c>
      <c r="BG73" s="154">
        <f t="shared" si="295"/>
        <v>0</v>
      </c>
      <c r="BH73" s="154">
        <f t="shared" si="246"/>
        <v>0</v>
      </c>
      <c r="BI73" s="154">
        <f t="shared" si="296"/>
        <v>0</v>
      </c>
      <c r="BJ73" s="154">
        <f t="shared" si="247"/>
        <v>0</v>
      </c>
      <c r="BK73" s="154">
        <f t="shared" si="297"/>
        <v>0</v>
      </c>
      <c r="BL73" s="154">
        <f t="shared" si="248"/>
        <v>0</v>
      </c>
      <c r="BM73" s="154">
        <f t="shared" si="298"/>
        <v>0</v>
      </c>
      <c r="BN73" s="154">
        <f t="shared" si="249"/>
        <v>0</v>
      </c>
      <c r="BO73" s="157">
        <f t="shared" si="299"/>
        <v>0</v>
      </c>
      <c r="BP73" s="154">
        <f t="shared" si="300"/>
        <v>0</v>
      </c>
      <c r="BQ73" s="158">
        <f t="shared" si="301"/>
        <v>0</v>
      </c>
      <c r="BR73" s="156">
        <f t="shared" si="280"/>
        <v>0</v>
      </c>
      <c r="BS73" s="154">
        <f t="shared" si="250"/>
        <v>0</v>
      </c>
      <c r="BT73" s="154">
        <f t="shared" si="302"/>
        <v>0</v>
      </c>
      <c r="BU73" s="154">
        <f t="shared" si="251"/>
        <v>0</v>
      </c>
      <c r="BV73" s="154">
        <f t="shared" si="303"/>
        <v>0</v>
      </c>
      <c r="BW73" s="154">
        <f t="shared" si="252"/>
        <v>0</v>
      </c>
      <c r="BX73" s="154">
        <f t="shared" si="304"/>
        <v>0</v>
      </c>
      <c r="BY73" s="154">
        <f t="shared" si="253"/>
        <v>0</v>
      </c>
      <c r="BZ73" s="154">
        <f t="shared" si="305"/>
        <v>0</v>
      </c>
      <c r="CA73" s="154">
        <f t="shared" si="254"/>
        <v>0</v>
      </c>
      <c r="CB73" s="157">
        <f t="shared" si="306"/>
        <v>0</v>
      </c>
      <c r="CC73" s="154">
        <f t="shared" si="307"/>
        <v>0</v>
      </c>
      <c r="CD73" s="158">
        <f t="shared" si="308"/>
        <v>0</v>
      </c>
      <c r="CE73" s="156">
        <f t="shared" si="280"/>
        <v>0</v>
      </c>
      <c r="CF73" s="154">
        <f t="shared" si="255"/>
        <v>0</v>
      </c>
      <c r="CG73" s="154">
        <f t="shared" si="309"/>
        <v>0</v>
      </c>
      <c r="CH73" s="154">
        <f t="shared" si="256"/>
        <v>0</v>
      </c>
      <c r="CI73" s="154">
        <f t="shared" si="310"/>
        <v>0</v>
      </c>
      <c r="CJ73" s="154">
        <f t="shared" si="257"/>
        <v>0</v>
      </c>
      <c r="CK73" s="154">
        <f t="shared" si="311"/>
        <v>0</v>
      </c>
      <c r="CL73" s="154">
        <f t="shared" si="258"/>
        <v>0</v>
      </c>
      <c r="CM73" s="154">
        <f t="shared" si="312"/>
        <v>0</v>
      </c>
      <c r="CN73" s="154">
        <f t="shared" si="259"/>
        <v>0</v>
      </c>
      <c r="CO73" s="157">
        <f t="shared" si="313"/>
        <v>0</v>
      </c>
      <c r="CP73" s="154">
        <f t="shared" si="314"/>
        <v>0</v>
      </c>
      <c r="CQ73" s="158">
        <f t="shared" si="315"/>
        <v>0</v>
      </c>
      <c r="CR73" s="156">
        <f t="shared" si="316"/>
        <v>0</v>
      </c>
      <c r="CS73" s="154">
        <f t="shared" si="261"/>
        <v>0</v>
      </c>
      <c r="CT73" s="154">
        <f t="shared" si="317"/>
        <v>0</v>
      </c>
      <c r="CU73" s="154">
        <f t="shared" si="262"/>
        <v>0</v>
      </c>
      <c r="CV73" s="154">
        <f t="shared" si="318"/>
        <v>0</v>
      </c>
      <c r="CW73" s="154">
        <f t="shared" si="263"/>
        <v>0</v>
      </c>
      <c r="CX73" s="154">
        <f t="shared" si="319"/>
        <v>0</v>
      </c>
      <c r="CY73" s="154">
        <f t="shared" si="264"/>
        <v>0</v>
      </c>
      <c r="CZ73" s="154">
        <f t="shared" si="320"/>
        <v>0</v>
      </c>
      <c r="DA73" s="154">
        <f t="shared" si="265"/>
        <v>0</v>
      </c>
      <c r="DB73" s="157">
        <f t="shared" si="321"/>
        <v>0</v>
      </c>
      <c r="DC73" s="154">
        <f t="shared" si="322"/>
        <v>0</v>
      </c>
      <c r="DD73" s="158">
        <f t="shared" si="323"/>
        <v>0</v>
      </c>
      <c r="DE73" s="156">
        <f t="shared" si="316"/>
        <v>0</v>
      </c>
      <c r="DF73" s="154">
        <f t="shared" si="266"/>
        <v>0</v>
      </c>
      <c r="DG73" s="154">
        <f t="shared" si="324"/>
        <v>0</v>
      </c>
      <c r="DH73" s="154">
        <f t="shared" si="267"/>
        <v>0</v>
      </c>
      <c r="DI73" s="154">
        <f t="shared" si="325"/>
        <v>0</v>
      </c>
      <c r="DJ73" s="154">
        <f t="shared" si="268"/>
        <v>0</v>
      </c>
      <c r="DK73" s="154">
        <f t="shared" si="326"/>
        <v>0</v>
      </c>
      <c r="DL73" s="154">
        <f t="shared" si="269"/>
        <v>0</v>
      </c>
      <c r="DM73" s="154">
        <f t="shared" si="327"/>
        <v>0</v>
      </c>
      <c r="DN73" s="154">
        <f t="shared" si="270"/>
        <v>0</v>
      </c>
      <c r="DO73" s="157">
        <f t="shared" si="328"/>
        <v>0</v>
      </c>
      <c r="DP73" s="154">
        <f t="shared" si="329"/>
        <v>0</v>
      </c>
      <c r="DQ73" s="158">
        <f t="shared" si="330"/>
        <v>0</v>
      </c>
      <c r="DR73" s="156">
        <f t="shared" si="316"/>
        <v>0</v>
      </c>
      <c r="DS73" s="154">
        <f t="shared" si="271"/>
        <v>0</v>
      </c>
      <c r="DT73" s="154">
        <f t="shared" si="331"/>
        <v>0</v>
      </c>
      <c r="DU73" s="154">
        <f t="shared" si="272"/>
        <v>0</v>
      </c>
      <c r="DV73" s="154">
        <f t="shared" si="332"/>
        <v>0</v>
      </c>
      <c r="DW73" s="154">
        <f t="shared" si="273"/>
        <v>0</v>
      </c>
      <c r="DX73" s="154">
        <f t="shared" si="333"/>
        <v>0</v>
      </c>
      <c r="DY73" s="154">
        <f t="shared" si="274"/>
        <v>0</v>
      </c>
      <c r="DZ73" s="154">
        <f t="shared" si="334"/>
        <v>0</v>
      </c>
      <c r="EA73" s="154">
        <f t="shared" si="275"/>
        <v>0</v>
      </c>
      <c r="EB73" s="157">
        <f t="shared" si="335"/>
        <v>0</v>
      </c>
      <c r="EC73" s="154">
        <f t="shared" si="336"/>
        <v>0</v>
      </c>
      <c r="ED73" s="158">
        <f t="shared" si="337"/>
        <v>0</v>
      </c>
    </row>
    <row r="74" spans="1:134" x14ac:dyDescent="0.35">
      <c r="A74" s="172"/>
      <c r="B74" s="173"/>
      <c r="C74" s="174"/>
      <c r="D74" s="175"/>
      <c r="E74" s="176"/>
      <c r="F74" s="177"/>
      <c r="G74" s="178"/>
      <c r="H74" s="179"/>
      <c r="I74" s="180"/>
      <c r="J74" s="181"/>
      <c r="K74" s="152">
        <f t="shared" si="338"/>
        <v>0</v>
      </c>
      <c r="L74" s="153">
        <f t="shared" si="339"/>
        <v>0</v>
      </c>
      <c r="M74" s="154">
        <f t="shared" si="340"/>
        <v>0</v>
      </c>
      <c r="N74" s="154"/>
      <c r="O74" s="154">
        <f t="shared" si="341"/>
        <v>0</v>
      </c>
      <c r="P74" s="155"/>
      <c r="Q74" s="154">
        <f t="shared" si="342"/>
        <v>0</v>
      </c>
      <c r="R74" s="156">
        <f t="shared" si="343"/>
        <v>0</v>
      </c>
      <c r="S74" s="154">
        <f t="shared" si="344"/>
        <v>0</v>
      </c>
      <c r="T74" s="154">
        <f t="shared" si="345"/>
        <v>0</v>
      </c>
      <c r="U74" s="154">
        <f t="shared" si="346"/>
        <v>0</v>
      </c>
      <c r="V74" s="154">
        <f t="shared" si="347"/>
        <v>0</v>
      </c>
      <c r="W74" s="154">
        <f t="shared" si="348"/>
        <v>0</v>
      </c>
      <c r="X74" s="154">
        <f t="shared" si="349"/>
        <v>0</v>
      </c>
      <c r="Y74" s="154">
        <f t="shared" si="350"/>
        <v>0</v>
      </c>
      <c r="Z74" s="154">
        <f t="shared" si="351"/>
        <v>0</v>
      </c>
      <c r="AA74" s="154">
        <f t="shared" si="352"/>
        <v>0</v>
      </c>
      <c r="AB74" s="157">
        <f t="shared" si="353"/>
        <v>0</v>
      </c>
      <c r="AC74" s="154">
        <f t="shared" si="354"/>
        <v>0</v>
      </c>
      <c r="AD74" s="158">
        <f t="shared" si="355"/>
        <v>0</v>
      </c>
      <c r="AE74" s="156">
        <f t="shared" si="280"/>
        <v>0</v>
      </c>
      <c r="AF74" s="154">
        <f t="shared" si="235"/>
        <v>0</v>
      </c>
      <c r="AG74" s="154">
        <f t="shared" si="281"/>
        <v>0</v>
      </c>
      <c r="AH74" s="154">
        <f t="shared" si="236"/>
        <v>0</v>
      </c>
      <c r="AI74" s="154">
        <f t="shared" si="282"/>
        <v>0</v>
      </c>
      <c r="AJ74" s="154">
        <f t="shared" si="237"/>
        <v>0</v>
      </c>
      <c r="AK74" s="154">
        <f t="shared" si="283"/>
        <v>0</v>
      </c>
      <c r="AL74" s="154">
        <f t="shared" si="238"/>
        <v>0</v>
      </c>
      <c r="AM74" s="154">
        <f t="shared" si="284"/>
        <v>0</v>
      </c>
      <c r="AN74" s="154">
        <f t="shared" si="239"/>
        <v>0</v>
      </c>
      <c r="AO74" s="157">
        <f t="shared" si="285"/>
        <v>0</v>
      </c>
      <c r="AP74" s="154">
        <f t="shared" si="286"/>
        <v>0</v>
      </c>
      <c r="AQ74" s="158">
        <f t="shared" si="287"/>
        <v>0</v>
      </c>
      <c r="AR74" s="156">
        <f t="shared" si="280"/>
        <v>0</v>
      </c>
      <c r="AS74" s="154">
        <f t="shared" si="240"/>
        <v>0</v>
      </c>
      <c r="AT74" s="154">
        <f t="shared" si="288"/>
        <v>0</v>
      </c>
      <c r="AU74" s="154">
        <f t="shared" si="241"/>
        <v>0</v>
      </c>
      <c r="AV74" s="154">
        <f t="shared" si="289"/>
        <v>0</v>
      </c>
      <c r="AW74" s="154">
        <f t="shared" si="242"/>
        <v>0</v>
      </c>
      <c r="AX74" s="154">
        <f t="shared" si="290"/>
        <v>0</v>
      </c>
      <c r="AY74" s="154">
        <f t="shared" si="243"/>
        <v>0</v>
      </c>
      <c r="AZ74" s="154">
        <f t="shared" si="291"/>
        <v>0</v>
      </c>
      <c r="BA74" s="154">
        <f t="shared" si="244"/>
        <v>0</v>
      </c>
      <c r="BB74" s="157">
        <f t="shared" si="292"/>
        <v>0</v>
      </c>
      <c r="BC74" s="154">
        <f t="shared" si="293"/>
        <v>0</v>
      </c>
      <c r="BD74" s="158">
        <f t="shared" si="294"/>
        <v>0</v>
      </c>
      <c r="BE74" s="156">
        <f t="shared" si="280"/>
        <v>0</v>
      </c>
      <c r="BF74" s="154">
        <f t="shared" si="245"/>
        <v>0</v>
      </c>
      <c r="BG74" s="154">
        <f t="shared" si="295"/>
        <v>0</v>
      </c>
      <c r="BH74" s="154">
        <f t="shared" si="246"/>
        <v>0</v>
      </c>
      <c r="BI74" s="154">
        <f t="shared" si="296"/>
        <v>0</v>
      </c>
      <c r="BJ74" s="154">
        <f t="shared" si="247"/>
        <v>0</v>
      </c>
      <c r="BK74" s="154">
        <f t="shared" si="297"/>
        <v>0</v>
      </c>
      <c r="BL74" s="154">
        <f t="shared" si="248"/>
        <v>0</v>
      </c>
      <c r="BM74" s="154">
        <f t="shared" si="298"/>
        <v>0</v>
      </c>
      <c r="BN74" s="154">
        <f t="shared" si="249"/>
        <v>0</v>
      </c>
      <c r="BO74" s="157">
        <f t="shared" si="299"/>
        <v>0</v>
      </c>
      <c r="BP74" s="154">
        <f t="shared" si="300"/>
        <v>0</v>
      </c>
      <c r="BQ74" s="158">
        <f t="shared" si="301"/>
        <v>0</v>
      </c>
      <c r="BR74" s="156">
        <f t="shared" si="280"/>
        <v>0</v>
      </c>
      <c r="BS74" s="154">
        <f t="shared" si="250"/>
        <v>0</v>
      </c>
      <c r="BT74" s="154">
        <f t="shared" si="302"/>
        <v>0</v>
      </c>
      <c r="BU74" s="154">
        <f t="shared" si="251"/>
        <v>0</v>
      </c>
      <c r="BV74" s="154">
        <f t="shared" si="303"/>
        <v>0</v>
      </c>
      <c r="BW74" s="154">
        <f t="shared" si="252"/>
        <v>0</v>
      </c>
      <c r="BX74" s="154">
        <f t="shared" si="304"/>
        <v>0</v>
      </c>
      <c r="BY74" s="154">
        <f t="shared" si="253"/>
        <v>0</v>
      </c>
      <c r="BZ74" s="154">
        <f t="shared" si="305"/>
        <v>0</v>
      </c>
      <c r="CA74" s="154">
        <f t="shared" si="254"/>
        <v>0</v>
      </c>
      <c r="CB74" s="157">
        <f t="shared" si="306"/>
        <v>0</v>
      </c>
      <c r="CC74" s="154">
        <f t="shared" si="307"/>
        <v>0</v>
      </c>
      <c r="CD74" s="158">
        <f t="shared" si="308"/>
        <v>0</v>
      </c>
      <c r="CE74" s="156">
        <f t="shared" si="280"/>
        <v>0</v>
      </c>
      <c r="CF74" s="154">
        <f t="shared" si="255"/>
        <v>0</v>
      </c>
      <c r="CG74" s="154">
        <f t="shared" si="309"/>
        <v>0</v>
      </c>
      <c r="CH74" s="154">
        <f t="shared" si="256"/>
        <v>0</v>
      </c>
      <c r="CI74" s="154">
        <f t="shared" si="310"/>
        <v>0</v>
      </c>
      <c r="CJ74" s="154">
        <f t="shared" si="257"/>
        <v>0</v>
      </c>
      <c r="CK74" s="154">
        <f t="shared" si="311"/>
        <v>0</v>
      </c>
      <c r="CL74" s="154">
        <f t="shared" si="258"/>
        <v>0</v>
      </c>
      <c r="CM74" s="154">
        <f t="shared" si="312"/>
        <v>0</v>
      </c>
      <c r="CN74" s="154">
        <f t="shared" si="259"/>
        <v>0</v>
      </c>
      <c r="CO74" s="157">
        <f t="shared" si="313"/>
        <v>0</v>
      </c>
      <c r="CP74" s="154">
        <f t="shared" si="314"/>
        <v>0</v>
      </c>
      <c r="CQ74" s="158">
        <f t="shared" si="315"/>
        <v>0</v>
      </c>
      <c r="CR74" s="156">
        <f t="shared" si="316"/>
        <v>0</v>
      </c>
      <c r="CS74" s="154">
        <f t="shared" si="261"/>
        <v>0</v>
      </c>
      <c r="CT74" s="154">
        <f t="shared" si="317"/>
        <v>0</v>
      </c>
      <c r="CU74" s="154">
        <f t="shared" si="262"/>
        <v>0</v>
      </c>
      <c r="CV74" s="154">
        <f t="shared" si="318"/>
        <v>0</v>
      </c>
      <c r="CW74" s="154">
        <f t="shared" si="263"/>
        <v>0</v>
      </c>
      <c r="CX74" s="154">
        <f t="shared" si="319"/>
        <v>0</v>
      </c>
      <c r="CY74" s="154">
        <f t="shared" si="264"/>
        <v>0</v>
      </c>
      <c r="CZ74" s="154">
        <f t="shared" si="320"/>
        <v>0</v>
      </c>
      <c r="DA74" s="154">
        <f t="shared" si="265"/>
        <v>0</v>
      </c>
      <c r="DB74" s="157">
        <f t="shared" si="321"/>
        <v>0</v>
      </c>
      <c r="DC74" s="154">
        <f t="shared" si="322"/>
        <v>0</v>
      </c>
      <c r="DD74" s="158">
        <f t="shared" si="323"/>
        <v>0</v>
      </c>
      <c r="DE74" s="156">
        <f t="shared" si="316"/>
        <v>0</v>
      </c>
      <c r="DF74" s="154">
        <f t="shared" si="266"/>
        <v>0</v>
      </c>
      <c r="DG74" s="154">
        <f t="shared" si="324"/>
        <v>0</v>
      </c>
      <c r="DH74" s="154">
        <f t="shared" si="267"/>
        <v>0</v>
      </c>
      <c r="DI74" s="154">
        <f t="shared" si="325"/>
        <v>0</v>
      </c>
      <c r="DJ74" s="154">
        <f t="shared" si="268"/>
        <v>0</v>
      </c>
      <c r="DK74" s="154">
        <f t="shared" si="326"/>
        <v>0</v>
      </c>
      <c r="DL74" s="154">
        <f t="shared" si="269"/>
        <v>0</v>
      </c>
      <c r="DM74" s="154">
        <f t="shared" si="327"/>
        <v>0</v>
      </c>
      <c r="DN74" s="154">
        <f t="shared" si="270"/>
        <v>0</v>
      </c>
      <c r="DO74" s="157">
        <f t="shared" si="328"/>
        <v>0</v>
      </c>
      <c r="DP74" s="154">
        <f t="shared" si="329"/>
        <v>0</v>
      </c>
      <c r="DQ74" s="158">
        <f t="shared" si="330"/>
        <v>0</v>
      </c>
      <c r="DR74" s="156">
        <f t="shared" si="316"/>
        <v>0</v>
      </c>
      <c r="DS74" s="154">
        <f t="shared" si="271"/>
        <v>0</v>
      </c>
      <c r="DT74" s="154">
        <f t="shared" si="331"/>
        <v>0</v>
      </c>
      <c r="DU74" s="154">
        <f t="shared" si="272"/>
        <v>0</v>
      </c>
      <c r="DV74" s="154">
        <f t="shared" si="332"/>
        <v>0</v>
      </c>
      <c r="DW74" s="154">
        <f t="shared" si="273"/>
        <v>0</v>
      </c>
      <c r="DX74" s="154">
        <f t="shared" si="333"/>
        <v>0</v>
      </c>
      <c r="DY74" s="154">
        <f t="shared" si="274"/>
        <v>0</v>
      </c>
      <c r="DZ74" s="154">
        <f t="shared" si="334"/>
        <v>0</v>
      </c>
      <c r="EA74" s="154">
        <f t="shared" si="275"/>
        <v>0</v>
      </c>
      <c r="EB74" s="157">
        <f t="shared" si="335"/>
        <v>0</v>
      </c>
      <c r="EC74" s="154">
        <f t="shared" si="336"/>
        <v>0</v>
      </c>
      <c r="ED74" s="158">
        <f t="shared" si="337"/>
        <v>0</v>
      </c>
    </row>
    <row r="75" spans="1:134" x14ac:dyDescent="0.35">
      <c r="A75" s="172"/>
      <c r="B75" s="173"/>
      <c r="C75" s="174"/>
      <c r="D75" s="175"/>
      <c r="E75" s="176"/>
      <c r="F75" s="177"/>
      <c r="G75" s="178"/>
      <c r="H75" s="179"/>
      <c r="I75" s="180"/>
      <c r="J75" s="181"/>
      <c r="K75" s="152">
        <f t="shared" si="338"/>
        <v>0</v>
      </c>
      <c r="L75" s="153">
        <f t="shared" si="339"/>
        <v>0</v>
      </c>
      <c r="M75" s="154">
        <f t="shared" si="340"/>
        <v>0</v>
      </c>
      <c r="N75" s="154"/>
      <c r="O75" s="154">
        <f t="shared" si="341"/>
        <v>0</v>
      </c>
      <c r="P75" s="155"/>
      <c r="Q75" s="154">
        <f t="shared" si="342"/>
        <v>0</v>
      </c>
      <c r="R75" s="156">
        <f t="shared" si="343"/>
        <v>0</v>
      </c>
      <c r="S75" s="154">
        <f t="shared" si="344"/>
        <v>0</v>
      </c>
      <c r="T75" s="154">
        <f t="shared" si="345"/>
        <v>0</v>
      </c>
      <c r="U75" s="154">
        <f t="shared" si="346"/>
        <v>0</v>
      </c>
      <c r="V75" s="154">
        <f t="shared" si="347"/>
        <v>0</v>
      </c>
      <c r="W75" s="154">
        <f t="shared" si="348"/>
        <v>0</v>
      </c>
      <c r="X75" s="154">
        <f t="shared" si="349"/>
        <v>0</v>
      </c>
      <c r="Y75" s="154">
        <f t="shared" si="350"/>
        <v>0</v>
      </c>
      <c r="Z75" s="154">
        <f t="shared" si="351"/>
        <v>0</v>
      </c>
      <c r="AA75" s="154">
        <f t="shared" si="352"/>
        <v>0</v>
      </c>
      <c r="AB75" s="157">
        <f t="shared" si="353"/>
        <v>0</v>
      </c>
      <c r="AC75" s="154">
        <f t="shared" si="354"/>
        <v>0</v>
      </c>
      <c r="AD75" s="158">
        <f t="shared" si="355"/>
        <v>0</v>
      </c>
      <c r="AE75" s="156">
        <f t="shared" si="280"/>
        <v>0</v>
      </c>
      <c r="AF75" s="154">
        <f t="shared" si="235"/>
        <v>0</v>
      </c>
      <c r="AG75" s="154">
        <f t="shared" si="281"/>
        <v>0</v>
      </c>
      <c r="AH75" s="154">
        <f t="shared" si="236"/>
        <v>0</v>
      </c>
      <c r="AI75" s="154">
        <f t="shared" si="282"/>
        <v>0</v>
      </c>
      <c r="AJ75" s="154">
        <f t="shared" si="237"/>
        <v>0</v>
      </c>
      <c r="AK75" s="154">
        <f t="shared" si="283"/>
        <v>0</v>
      </c>
      <c r="AL75" s="154">
        <f t="shared" si="238"/>
        <v>0</v>
      </c>
      <c r="AM75" s="154">
        <f t="shared" si="284"/>
        <v>0</v>
      </c>
      <c r="AN75" s="154">
        <f t="shared" si="239"/>
        <v>0</v>
      </c>
      <c r="AO75" s="157">
        <f t="shared" si="285"/>
        <v>0</v>
      </c>
      <c r="AP75" s="154">
        <f t="shared" si="286"/>
        <v>0</v>
      </c>
      <c r="AQ75" s="158">
        <f t="shared" si="287"/>
        <v>0</v>
      </c>
      <c r="AR75" s="156">
        <f t="shared" si="280"/>
        <v>0</v>
      </c>
      <c r="AS75" s="154">
        <f t="shared" si="240"/>
        <v>0</v>
      </c>
      <c r="AT75" s="154">
        <f t="shared" si="288"/>
        <v>0</v>
      </c>
      <c r="AU75" s="154">
        <f t="shared" si="241"/>
        <v>0</v>
      </c>
      <c r="AV75" s="154">
        <f t="shared" si="289"/>
        <v>0</v>
      </c>
      <c r="AW75" s="154">
        <f t="shared" si="242"/>
        <v>0</v>
      </c>
      <c r="AX75" s="154">
        <f t="shared" si="290"/>
        <v>0</v>
      </c>
      <c r="AY75" s="154">
        <f t="shared" si="243"/>
        <v>0</v>
      </c>
      <c r="AZ75" s="154">
        <f t="shared" si="291"/>
        <v>0</v>
      </c>
      <c r="BA75" s="154">
        <f t="shared" si="244"/>
        <v>0</v>
      </c>
      <c r="BB75" s="157">
        <f t="shared" si="292"/>
        <v>0</v>
      </c>
      <c r="BC75" s="154">
        <f t="shared" si="293"/>
        <v>0</v>
      </c>
      <c r="BD75" s="158">
        <f t="shared" si="294"/>
        <v>0</v>
      </c>
      <c r="BE75" s="156">
        <f t="shared" si="280"/>
        <v>0</v>
      </c>
      <c r="BF75" s="154">
        <f t="shared" si="245"/>
        <v>0</v>
      </c>
      <c r="BG75" s="154">
        <f t="shared" si="295"/>
        <v>0</v>
      </c>
      <c r="BH75" s="154">
        <f t="shared" si="246"/>
        <v>0</v>
      </c>
      <c r="BI75" s="154">
        <f t="shared" si="296"/>
        <v>0</v>
      </c>
      <c r="BJ75" s="154">
        <f t="shared" si="247"/>
        <v>0</v>
      </c>
      <c r="BK75" s="154">
        <f t="shared" si="297"/>
        <v>0</v>
      </c>
      <c r="BL75" s="154">
        <f t="shared" si="248"/>
        <v>0</v>
      </c>
      <c r="BM75" s="154">
        <f t="shared" si="298"/>
        <v>0</v>
      </c>
      <c r="BN75" s="154">
        <f t="shared" si="249"/>
        <v>0</v>
      </c>
      <c r="BO75" s="157">
        <f t="shared" si="299"/>
        <v>0</v>
      </c>
      <c r="BP75" s="154">
        <f t="shared" si="300"/>
        <v>0</v>
      </c>
      <c r="BQ75" s="158">
        <f t="shared" si="301"/>
        <v>0</v>
      </c>
      <c r="BR75" s="156">
        <f t="shared" si="280"/>
        <v>0</v>
      </c>
      <c r="BS75" s="154">
        <f t="shared" si="250"/>
        <v>0</v>
      </c>
      <c r="BT75" s="154">
        <f t="shared" si="302"/>
        <v>0</v>
      </c>
      <c r="BU75" s="154">
        <f t="shared" si="251"/>
        <v>0</v>
      </c>
      <c r="BV75" s="154">
        <f t="shared" si="303"/>
        <v>0</v>
      </c>
      <c r="BW75" s="154">
        <f t="shared" si="252"/>
        <v>0</v>
      </c>
      <c r="BX75" s="154">
        <f t="shared" si="304"/>
        <v>0</v>
      </c>
      <c r="BY75" s="154">
        <f t="shared" si="253"/>
        <v>0</v>
      </c>
      <c r="BZ75" s="154">
        <f t="shared" si="305"/>
        <v>0</v>
      </c>
      <c r="CA75" s="154">
        <f t="shared" si="254"/>
        <v>0</v>
      </c>
      <c r="CB75" s="157">
        <f t="shared" si="306"/>
        <v>0</v>
      </c>
      <c r="CC75" s="154">
        <f t="shared" si="307"/>
        <v>0</v>
      </c>
      <c r="CD75" s="158">
        <f t="shared" si="308"/>
        <v>0</v>
      </c>
      <c r="CE75" s="156">
        <f t="shared" si="280"/>
        <v>0</v>
      </c>
      <c r="CF75" s="154">
        <f t="shared" si="255"/>
        <v>0</v>
      </c>
      <c r="CG75" s="154">
        <f t="shared" si="309"/>
        <v>0</v>
      </c>
      <c r="CH75" s="154">
        <f t="shared" si="256"/>
        <v>0</v>
      </c>
      <c r="CI75" s="154">
        <f t="shared" si="310"/>
        <v>0</v>
      </c>
      <c r="CJ75" s="154">
        <f t="shared" si="257"/>
        <v>0</v>
      </c>
      <c r="CK75" s="154">
        <f t="shared" si="311"/>
        <v>0</v>
      </c>
      <c r="CL75" s="154">
        <f t="shared" si="258"/>
        <v>0</v>
      </c>
      <c r="CM75" s="154">
        <f t="shared" si="312"/>
        <v>0</v>
      </c>
      <c r="CN75" s="154">
        <f t="shared" si="259"/>
        <v>0</v>
      </c>
      <c r="CO75" s="157">
        <f t="shared" si="313"/>
        <v>0</v>
      </c>
      <c r="CP75" s="154">
        <f t="shared" si="314"/>
        <v>0</v>
      </c>
      <c r="CQ75" s="158">
        <f t="shared" si="315"/>
        <v>0</v>
      </c>
      <c r="CR75" s="156">
        <f t="shared" si="316"/>
        <v>0</v>
      </c>
      <c r="CS75" s="154">
        <f t="shared" si="261"/>
        <v>0</v>
      </c>
      <c r="CT75" s="154">
        <f t="shared" si="317"/>
        <v>0</v>
      </c>
      <c r="CU75" s="154">
        <f t="shared" si="262"/>
        <v>0</v>
      </c>
      <c r="CV75" s="154">
        <f t="shared" si="318"/>
        <v>0</v>
      </c>
      <c r="CW75" s="154">
        <f t="shared" si="263"/>
        <v>0</v>
      </c>
      <c r="CX75" s="154">
        <f t="shared" si="319"/>
        <v>0</v>
      </c>
      <c r="CY75" s="154">
        <f t="shared" si="264"/>
        <v>0</v>
      </c>
      <c r="CZ75" s="154">
        <f t="shared" si="320"/>
        <v>0</v>
      </c>
      <c r="DA75" s="154">
        <f t="shared" si="265"/>
        <v>0</v>
      </c>
      <c r="DB75" s="157">
        <f t="shared" si="321"/>
        <v>0</v>
      </c>
      <c r="DC75" s="154">
        <f t="shared" si="322"/>
        <v>0</v>
      </c>
      <c r="DD75" s="158">
        <f t="shared" si="323"/>
        <v>0</v>
      </c>
      <c r="DE75" s="156">
        <f t="shared" si="316"/>
        <v>0</v>
      </c>
      <c r="DF75" s="154">
        <f t="shared" si="266"/>
        <v>0</v>
      </c>
      <c r="DG75" s="154">
        <f t="shared" si="324"/>
        <v>0</v>
      </c>
      <c r="DH75" s="154">
        <f t="shared" si="267"/>
        <v>0</v>
      </c>
      <c r="DI75" s="154">
        <f t="shared" si="325"/>
        <v>0</v>
      </c>
      <c r="DJ75" s="154">
        <f t="shared" si="268"/>
        <v>0</v>
      </c>
      <c r="DK75" s="154">
        <f t="shared" si="326"/>
        <v>0</v>
      </c>
      <c r="DL75" s="154">
        <f t="shared" si="269"/>
        <v>0</v>
      </c>
      <c r="DM75" s="154">
        <f t="shared" si="327"/>
        <v>0</v>
      </c>
      <c r="DN75" s="154">
        <f t="shared" si="270"/>
        <v>0</v>
      </c>
      <c r="DO75" s="157">
        <f t="shared" si="328"/>
        <v>0</v>
      </c>
      <c r="DP75" s="154">
        <f t="shared" si="329"/>
        <v>0</v>
      </c>
      <c r="DQ75" s="158">
        <f t="shared" si="330"/>
        <v>0</v>
      </c>
      <c r="DR75" s="156">
        <f t="shared" si="316"/>
        <v>0</v>
      </c>
      <c r="DS75" s="154">
        <f t="shared" si="271"/>
        <v>0</v>
      </c>
      <c r="DT75" s="154">
        <f t="shared" si="331"/>
        <v>0</v>
      </c>
      <c r="DU75" s="154">
        <f t="shared" si="272"/>
        <v>0</v>
      </c>
      <c r="DV75" s="154">
        <f t="shared" si="332"/>
        <v>0</v>
      </c>
      <c r="DW75" s="154">
        <f t="shared" si="273"/>
        <v>0</v>
      </c>
      <c r="DX75" s="154">
        <f t="shared" si="333"/>
        <v>0</v>
      </c>
      <c r="DY75" s="154">
        <f t="shared" si="274"/>
        <v>0</v>
      </c>
      <c r="DZ75" s="154">
        <f t="shared" si="334"/>
        <v>0</v>
      </c>
      <c r="EA75" s="154">
        <f t="shared" si="275"/>
        <v>0</v>
      </c>
      <c r="EB75" s="157">
        <f t="shared" si="335"/>
        <v>0</v>
      </c>
      <c r="EC75" s="154">
        <f t="shared" si="336"/>
        <v>0</v>
      </c>
      <c r="ED75" s="158">
        <f t="shared" si="337"/>
        <v>0</v>
      </c>
    </row>
    <row r="76" spans="1:134" x14ac:dyDescent="0.35">
      <c r="A76" s="172"/>
      <c r="B76" s="173"/>
      <c r="C76" s="174"/>
      <c r="D76" s="175"/>
      <c r="E76" s="176"/>
      <c r="F76" s="177"/>
      <c r="G76" s="178"/>
      <c r="H76" s="179"/>
      <c r="I76" s="180"/>
      <c r="J76" s="181"/>
      <c r="K76" s="152">
        <f t="shared" si="338"/>
        <v>0</v>
      </c>
      <c r="L76" s="153">
        <f t="shared" si="339"/>
        <v>0</v>
      </c>
      <c r="M76" s="154">
        <f t="shared" si="340"/>
        <v>0</v>
      </c>
      <c r="N76" s="154"/>
      <c r="O76" s="154">
        <f t="shared" si="341"/>
        <v>0</v>
      </c>
      <c r="P76" s="155"/>
      <c r="Q76" s="154">
        <f t="shared" si="342"/>
        <v>0</v>
      </c>
      <c r="R76" s="156">
        <f t="shared" si="343"/>
        <v>0</v>
      </c>
      <c r="S76" s="154">
        <f t="shared" si="344"/>
        <v>0</v>
      </c>
      <c r="T76" s="154">
        <f t="shared" si="345"/>
        <v>0</v>
      </c>
      <c r="U76" s="154">
        <f t="shared" si="346"/>
        <v>0</v>
      </c>
      <c r="V76" s="154">
        <f t="shared" si="347"/>
        <v>0</v>
      </c>
      <c r="W76" s="154">
        <f t="shared" si="348"/>
        <v>0</v>
      </c>
      <c r="X76" s="154">
        <f t="shared" si="349"/>
        <v>0</v>
      </c>
      <c r="Y76" s="154">
        <f t="shared" si="350"/>
        <v>0</v>
      </c>
      <c r="Z76" s="154">
        <f t="shared" si="351"/>
        <v>0</v>
      </c>
      <c r="AA76" s="154">
        <f t="shared" si="352"/>
        <v>0</v>
      </c>
      <c r="AB76" s="157">
        <f t="shared" si="353"/>
        <v>0</v>
      </c>
      <c r="AC76" s="154">
        <f t="shared" si="354"/>
        <v>0</v>
      </c>
      <c r="AD76" s="158">
        <f t="shared" si="355"/>
        <v>0</v>
      </c>
      <c r="AE76" s="156">
        <f t="shared" si="280"/>
        <v>0</v>
      </c>
      <c r="AF76" s="154">
        <f t="shared" si="235"/>
        <v>0</v>
      </c>
      <c r="AG76" s="154">
        <f t="shared" si="281"/>
        <v>0</v>
      </c>
      <c r="AH76" s="154">
        <f t="shared" si="236"/>
        <v>0</v>
      </c>
      <c r="AI76" s="154">
        <f t="shared" si="282"/>
        <v>0</v>
      </c>
      <c r="AJ76" s="154">
        <f t="shared" si="237"/>
        <v>0</v>
      </c>
      <c r="AK76" s="154">
        <f t="shared" si="283"/>
        <v>0</v>
      </c>
      <c r="AL76" s="154">
        <f t="shared" si="238"/>
        <v>0</v>
      </c>
      <c r="AM76" s="154">
        <f t="shared" si="284"/>
        <v>0</v>
      </c>
      <c r="AN76" s="154">
        <f t="shared" si="239"/>
        <v>0</v>
      </c>
      <c r="AO76" s="157">
        <f t="shared" si="285"/>
        <v>0</v>
      </c>
      <c r="AP76" s="154">
        <f t="shared" si="286"/>
        <v>0</v>
      </c>
      <c r="AQ76" s="158">
        <f t="shared" si="287"/>
        <v>0</v>
      </c>
      <c r="AR76" s="156">
        <f t="shared" si="280"/>
        <v>0</v>
      </c>
      <c r="AS76" s="154">
        <f t="shared" si="240"/>
        <v>0</v>
      </c>
      <c r="AT76" s="154">
        <f t="shared" si="288"/>
        <v>0</v>
      </c>
      <c r="AU76" s="154">
        <f t="shared" si="241"/>
        <v>0</v>
      </c>
      <c r="AV76" s="154">
        <f t="shared" si="289"/>
        <v>0</v>
      </c>
      <c r="AW76" s="154">
        <f t="shared" si="242"/>
        <v>0</v>
      </c>
      <c r="AX76" s="154">
        <f t="shared" si="290"/>
        <v>0</v>
      </c>
      <c r="AY76" s="154">
        <f t="shared" si="243"/>
        <v>0</v>
      </c>
      <c r="AZ76" s="154">
        <f t="shared" si="291"/>
        <v>0</v>
      </c>
      <c r="BA76" s="154">
        <f t="shared" si="244"/>
        <v>0</v>
      </c>
      <c r="BB76" s="157">
        <f t="shared" si="292"/>
        <v>0</v>
      </c>
      <c r="BC76" s="154">
        <f t="shared" si="293"/>
        <v>0</v>
      </c>
      <c r="BD76" s="158">
        <f t="shared" si="294"/>
        <v>0</v>
      </c>
      <c r="BE76" s="156">
        <f t="shared" si="280"/>
        <v>0</v>
      </c>
      <c r="BF76" s="154">
        <f t="shared" si="245"/>
        <v>0</v>
      </c>
      <c r="BG76" s="154">
        <f t="shared" si="295"/>
        <v>0</v>
      </c>
      <c r="BH76" s="154">
        <f t="shared" si="246"/>
        <v>0</v>
      </c>
      <c r="BI76" s="154">
        <f t="shared" si="296"/>
        <v>0</v>
      </c>
      <c r="BJ76" s="154">
        <f t="shared" si="247"/>
        <v>0</v>
      </c>
      <c r="BK76" s="154">
        <f t="shared" si="297"/>
        <v>0</v>
      </c>
      <c r="BL76" s="154">
        <f t="shared" si="248"/>
        <v>0</v>
      </c>
      <c r="BM76" s="154">
        <f t="shared" si="298"/>
        <v>0</v>
      </c>
      <c r="BN76" s="154">
        <f t="shared" si="249"/>
        <v>0</v>
      </c>
      <c r="BO76" s="157">
        <f t="shared" si="299"/>
        <v>0</v>
      </c>
      <c r="BP76" s="154">
        <f t="shared" si="300"/>
        <v>0</v>
      </c>
      <c r="BQ76" s="158">
        <f t="shared" si="301"/>
        <v>0</v>
      </c>
      <c r="BR76" s="156">
        <f t="shared" si="280"/>
        <v>0</v>
      </c>
      <c r="BS76" s="154">
        <f t="shared" si="250"/>
        <v>0</v>
      </c>
      <c r="BT76" s="154">
        <f t="shared" si="302"/>
        <v>0</v>
      </c>
      <c r="BU76" s="154">
        <f t="shared" si="251"/>
        <v>0</v>
      </c>
      <c r="BV76" s="154">
        <f t="shared" si="303"/>
        <v>0</v>
      </c>
      <c r="BW76" s="154">
        <f t="shared" si="252"/>
        <v>0</v>
      </c>
      <c r="BX76" s="154">
        <f t="shared" si="304"/>
        <v>0</v>
      </c>
      <c r="BY76" s="154">
        <f t="shared" si="253"/>
        <v>0</v>
      </c>
      <c r="BZ76" s="154">
        <f t="shared" si="305"/>
        <v>0</v>
      </c>
      <c r="CA76" s="154">
        <f t="shared" si="254"/>
        <v>0</v>
      </c>
      <c r="CB76" s="157">
        <f t="shared" si="306"/>
        <v>0</v>
      </c>
      <c r="CC76" s="154">
        <f t="shared" si="307"/>
        <v>0</v>
      </c>
      <c r="CD76" s="158">
        <f t="shared" si="308"/>
        <v>0</v>
      </c>
      <c r="CE76" s="156">
        <f t="shared" si="280"/>
        <v>0</v>
      </c>
      <c r="CF76" s="154">
        <f t="shared" si="255"/>
        <v>0</v>
      </c>
      <c r="CG76" s="154">
        <f t="shared" si="309"/>
        <v>0</v>
      </c>
      <c r="CH76" s="154">
        <f t="shared" si="256"/>
        <v>0</v>
      </c>
      <c r="CI76" s="154">
        <f t="shared" si="310"/>
        <v>0</v>
      </c>
      <c r="CJ76" s="154">
        <f t="shared" si="257"/>
        <v>0</v>
      </c>
      <c r="CK76" s="154">
        <f t="shared" si="311"/>
        <v>0</v>
      </c>
      <c r="CL76" s="154">
        <f t="shared" si="258"/>
        <v>0</v>
      </c>
      <c r="CM76" s="154">
        <f t="shared" si="312"/>
        <v>0</v>
      </c>
      <c r="CN76" s="154">
        <f t="shared" si="259"/>
        <v>0</v>
      </c>
      <c r="CO76" s="157">
        <f t="shared" si="313"/>
        <v>0</v>
      </c>
      <c r="CP76" s="154">
        <f t="shared" si="314"/>
        <v>0</v>
      </c>
      <c r="CQ76" s="158">
        <f t="shared" si="315"/>
        <v>0</v>
      </c>
      <c r="CR76" s="156">
        <f t="shared" si="316"/>
        <v>0</v>
      </c>
      <c r="CS76" s="154">
        <f t="shared" si="261"/>
        <v>0</v>
      </c>
      <c r="CT76" s="154">
        <f t="shared" si="317"/>
        <v>0</v>
      </c>
      <c r="CU76" s="154">
        <f t="shared" si="262"/>
        <v>0</v>
      </c>
      <c r="CV76" s="154">
        <f t="shared" si="318"/>
        <v>0</v>
      </c>
      <c r="CW76" s="154">
        <f t="shared" si="263"/>
        <v>0</v>
      </c>
      <c r="CX76" s="154">
        <f t="shared" si="319"/>
        <v>0</v>
      </c>
      <c r="CY76" s="154">
        <f t="shared" si="264"/>
        <v>0</v>
      </c>
      <c r="CZ76" s="154">
        <f t="shared" si="320"/>
        <v>0</v>
      </c>
      <c r="DA76" s="154">
        <f t="shared" si="265"/>
        <v>0</v>
      </c>
      <c r="DB76" s="157">
        <f t="shared" si="321"/>
        <v>0</v>
      </c>
      <c r="DC76" s="154">
        <f t="shared" si="322"/>
        <v>0</v>
      </c>
      <c r="DD76" s="158">
        <f t="shared" si="323"/>
        <v>0</v>
      </c>
      <c r="DE76" s="156">
        <f t="shared" si="316"/>
        <v>0</v>
      </c>
      <c r="DF76" s="154">
        <f t="shared" si="266"/>
        <v>0</v>
      </c>
      <c r="DG76" s="154">
        <f t="shared" si="324"/>
        <v>0</v>
      </c>
      <c r="DH76" s="154">
        <f t="shared" si="267"/>
        <v>0</v>
      </c>
      <c r="DI76" s="154">
        <f t="shared" si="325"/>
        <v>0</v>
      </c>
      <c r="DJ76" s="154">
        <f t="shared" si="268"/>
        <v>0</v>
      </c>
      <c r="DK76" s="154">
        <f t="shared" si="326"/>
        <v>0</v>
      </c>
      <c r="DL76" s="154">
        <f t="shared" si="269"/>
        <v>0</v>
      </c>
      <c r="DM76" s="154">
        <f t="shared" si="327"/>
        <v>0</v>
      </c>
      <c r="DN76" s="154">
        <f t="shared" si="270"/>
        <v>0</v>
      </c>
      <c r="DO76" s="157">
        <f t="shared" si="328"/>
        <v>0</v>
      </c>
      <c r="DP76" s="154">
        <f t="shared" si="329"/>
        <v>0</v>
      </c>
      <c r="DQ76" s="158">
        <f t="shared" si="330"/>
        <v>0</v>
      </c>
      <c r="DR76" s="156">
        <f t="shared" si="316"/>
        <v>0</v>
      </c>
      <c r="DS76" s="154">
        <f t="shared" si="271"/>
        <v>0</v>
      </c>
      <c r="DT76" s="154">
        <f t="shared" si="331"/>
        <v>0</v>
      </c>
      <c r="DU76" s="154">
        <f t="shared" si="272"/>
        <v>0</v>
      </c>
      <c r="DV76" s="154">
        <f t="shared" si="332"/>
        <v>0</v>
      </c>
      <c r="DW76" s="154">
        <f t="shared" si="273"/>
        <v>0</v>
      </c>
      <c r="DX76" s="154">
        <f t="shared" si="333"/>
        <v>0</v>
      </c>
      <c r="DY76" s="154">
        <f t="shared" si="274"/>
        <v>0</v>
      </c>
      <c r="DZ76" s="154">
        <f t="shared" si="334"/>
        <v>0</v>
      </c>
      <c r="EA76" s="154">
        <f t="shared" si="275"/>
        <v>0</v>
      </c>
      <c r="EB76" s="157">
        <f t="shared" si="335"/>
        <v>0</v>
      </c>
      <c r="EC76" s="154">
        <f t="shared" si="336"/>
        <v>0</v>
      </c>
      <c r="ED76" s="158">
        <f t="shared" si="337"/>
        <v>0</v>
      </c>
    </row>
    <row r="77" spans="1:134" x14ac:dyDescent="0.35">
      <c r="A77" s="172"/>
      <c r="B77" s="173"/>
      <c r="C77" s="174"/>
      <c r="D77" s="175"/>
      <c r="E77" s="176"/>
      <c r="F77" s="177"/>
      <c r="G77" s="178"/>
      <c r="H77" s="179"/>
      <c r="I77" s="180"/>
      <c r="J77" s="181"/>
      <c r="K77" s="152">
        <f t="shared" si="338"/>
        <v>0</v>
      </c>
      <c r="L77" s="153">
        <f t="shared" si="339"/>
        <v>0</v>
      </c>
      <c r="M77" s="154">
        <f t="shared" si="340"/>
        <v>0</v>
      </c>
      <c r="N77" s="154"/>
      <c r="O77" s="154">
        <f t="shared" si="341"/>
        <v>0</v>
      </c>
      <c r="P77" s="155"/>
      <c r="Q77" s="154">
        <f t="shared" si="342"/>
        <v>0</v>
      </c>
      <c r="R77" s="156">
        <f t="shared" si="343"/>
        <v>0</v>
      </c>
      <c r="S77" s="154">
        <f t="shared" si="344"/>
        <v>0</v>
      </c>
      <c r="T77" s="154">
        <f t="shared" si="345"/>
        <v>0</v>
      </c>
      <c r="U77" s="154">
        <f t="shared" si="346"/>
        <v>0</v>
      </c>
      <c r="V77" s="154">
        <f t="shared" si="347"/>
        <v>0</v>
      </c>
      <c r="W77" s="154">
        <f t="shared" si="348"/>
        <v>0</v>
      </c>
      <c r="X77" s="154">
        <f t="shared" si="349"/>
        <v>0</v>
      </c>
      <c r="Y77" s="154">
        <f t="shared" si="350"/>
        <v>0</v>
      </c>
      <c r="Z77" s="154">
        <f t="shared" si="351"/>
        <v>0</v>
      </c>
      <c r="AA77" s="154">
        <f t="shared" si="352"/>
        <v>0</v>
      </c>
      <c r="AB77" s="157">
        <f t="shared" si="353"/>
        <v>0</v>
      </c>
      <c r="AC77" s="154">
        <f t="shared" si="354"/>
        <v>0</v>
      </c>
      <c r="AD77" s="158">
        <f t="shared" si="355"/>
        <v>0</v>
      </c>
      <c r="AE77" s="156">
        <f t="shared" si="280"/>
        <v>0</v>
      </c>
      <c r="AF77" s="154">
        <f t="shared" si="235"/>
        <v>0</v>
      </c>
      <c r="AG77" s="154">
        <f t="shared" si="281"/>
        <v>0</v>
      </c>
      <c r="AH77" s="154">
        <f t="shared" si="236"/>
        <v>0</v>
      </c>
      <c r="AI77" s="154">
        <f t="shared" si="282"/>
        <v>0</v>
      </c>
      <c r="AJ77" s="154">
        <f t="shared" si="237"/>
        <v>0</v>
      </c>
      <c r="AK77" s="154">
        <f t="shared" si="283"/>
        <v>0</v>
      </c>
      <c r="AL77" s="154">
        <f t="shared" si="238"/>
        <v>0</v>
      </c>
      <c r="AM77" s="154">
        <f t="shared" si="284"/>
        <v>0</v>
      </c>
      <c r="AN77" s="154">
        <f t="shared" si="239"/>
        <v>0</v>
      </c>
      <c r="AO77" s="157">
        <f t="shared" si="285"/>
        <v>0</v>
      </c>
      <c r="AP77" s="154">
        <f t="shared" si="286"/>
        <v>0</v>
      </c>
      <c r="AQ77" s="158">
        <f t="shared" si="287"/>
        <v>0</v>
      </c>
      <c r="AR77" s="156">
        <f t="shared" si="280"/>
        <v>0</v>
      </c>
      <c r="AS77" s="154">
        <f t="shared" si="240"/>
        <v>0</v>
      </c>
      <c r="AT77" s="154">
        <f t="shared" si="288"/>
        <v>0</v>
      </c>
      <c r="AU77" s="154">
        <f t="shared" si="241"/>
        <v>0</v>
      </c>
      <c r="AV77" s="154">
        <f t="shared" si="289"/>
        <v>0</v>
      </c>
      <c r="AW77" s="154">
        <f t="shared" si="242"/>
        <v>0</v>
      </c>
      <c r="AX77" s="154">
        <f t="shared" si="290"/>
        <v>0</v>
      </c>
      <c r="AY77" s="154">
        <f t="shared" si="243"/>
        <v>0</v>
      </c>
      <c r="AZ77" s="154">
        <f t="shared" si="291"/>
        <v>0</v>
      </c>
      <c r="BA77" s="154">
        <f t="shared" si="244"/>
        <v>0</v>
      </c>
      <c r="BB77" s="157">
        <f t="shared" si="292"/>
        <v>0</v>
      </c>
      <c r="BC77" s="154">
        <f t="shared" si="293"/>
        <v>0</v>
      </c>
      <c r="BD77" s="158">
        <f t="shared" si="294"/>
        <v>0</v>
      </c>
      <c r="BE77" s="156">
        <f t="shared" si="280"/>
        <v>0</v>
      </c>
      <c r="BF77" s="154">
        <f t="shared" si="245"/>
        <v>0</v>
      </c>
      <c r="BG77" s="154">
        <f t="shared" si="295"/>
        <v>0</v>
      </c>
      <c r="BH77" s="154">
        <f t="shared" si="246"/>
        <v>0</v>
      </c>
      <c r="BI77" s="154">
        <f t="shared" si="296"/>
        <v>0</v>
      </c>
      <c r="BJ77" s="154">
        <f t="shared" si="247"/>
        <v>0</v>
      </c>
      <c r="BK77" s="154">
        <f t="shared" si="297"/>
        <v>0</v>
      </c>
      <c r="BL77" s="154">
        <f t="shared" si="248"/>
        <v>0</v>
      </c>
      <c r="BM77" s="154">
        <f t="shared" si="298"/>
        <v>0</v>
      </c>
      <c r="BN77" s="154">
        <f t="shared" si="249"/>
        <v>0</v>
      </c>
      <c r="BO77" s="157">
        <f t="shared" si="299"/>
        <v>0</v>
      </c>
      <c r="BP77" s="154">
        <f t="shared" si="300"/>
        <v>0</v>
      </c>
      <c r="BQ77" s="158">
        <f t="shared" si="301"/>
        <v>0</v>
      </c>
      <c r="BR77" s="156">
        <f t="shared" si="280"/>
        <v>0</v>
      </c>
      <c r="BS77" s="154">
        <f t="shared" si="250"/>
        <v>0</v>
      </c>
      <c r="BT77" s="154">
        <f t="shared" si="302"/>
        <v>0</v>
      </c>
      <c r="BU77" s="154">
        <f t="shared" si="251"/>
        <v>0</v>
      </c>
      <c r="BV77" s="154">
        <f t="shared" si="303"/>
        <v>0</v>
      </c>
      <c r="BW77" s="154">
        <f t="shared" si="252"/>
        <v>0</v>
      </c>
      <c r="BX77" s="154">
        <f t="shared" si="304"/>
        <v>0</v>
      </c>
      <c r="BY77" s="154">
        <f t="shared" si="253"/>
        <v>0</v>
      </c>
      <c r="BZ77" s="154">
        <f t="shared" si="305"/>
        <v>0</v>
      </c>
      <c r="CA77" s="154">
        <f t="shared" si="254"/>
        <v>0</v>
      </c>
      <c r="CB77" s="157">
        <f t="shared" si="306"/>
        <v>0</v>
      </c>
      <c r="CC77" s="154">
        <f t="shared" si="307"/>
        <v>0</v>
      </c>
      <c r="CD77" s="158">
        <f t="shared" si="308"/>
        <v>0</v>
      </c>
      <c r="CE77" s="156">
        <f t="shared" si="280"/>
        <v>0</v>
      </c>
      <c r="CF77" s="154">
        <f t="shared" si="255"/>
        <v>0</v>
      </c>
      <c r="CG77" s="154">
        <f t="shared" si="309"/>
        <v>0</v>
      </c>
      <c r="CH77" s="154">
        <f t="shared" si="256"/>
        <v>0</v>
      </c>
      <c r="CI77" s="154">
        <f t="shared" si="310"/>
        <v>0</v>
      </c>
      <c r="CJ77" s="154">
        <f t="shared" si="257"/>
        <v>0</v>
      </c>
      <c r="CK77" s="154">
        <f t="shared" si="311"/>
        <v>0</v>
      </c>
      <c r="CL77" s="154">
        <f t="shared" si="258"/>
        <v>0</v>
      </c>
      <c r="CM77" s="154">
        <f t="shared" si="312"/>
        <v>0</v>
      </c>
      <c r="CN77" s="154">
        <f t="shared" si="259"/>
        <v>0</v>
      </c>
      <c r="CO77" s="157">
        <f t="shared" si="313"/>
        <v>0</v>
      </c>
      <c r="CP77" s="154">
        <f t="shared" si="314"/>
        <v>0</v>
      </c>
      <c r="CQ77" s="158">
        <f t="shared" si="315"/>
        <v>0</v>
      </c>
      <c r="CR77" s="156">
        <f t="shared" si="316"/>
        <v>0</v>
      </c>
      <c r="CS77" s="154">
        <f t="shared" si="261"/>
        <v>0</v>
      </c>
      <c r="CT77" s="154">
        <f t="shared" si="317"/>
        <v>0</v>
      </c>
      <c r="CU77" s="154">
        <f t="shared" si="262"/>
        <v>0</v>
      </c>
      <c r="CV77" s="154">
        <f t="shared" si="318"/>
        <v>0</v>
      </c>
      <c r="CW77" s="154">
        <f t="shared" si="263"/>
        <v>0</v>
      </c>
      <c r="CX77" s="154">
        <f t="shared" si="319"/>
        <v>0</v>
      </c>
      <c r="CY77" s="154">
        <f t="shared" si="264"/>
        <v>0</v>
      </c>
      <c r="CZ77" s="154">
        <f t="shared" si="320"/>
        <v>0</v>
      </c>
      <c r="DA77" s="154">
        <f t="shared" si="265"/>
        <v>0</v>
      </c>
      <c r="DB77" s="157">
        <f t="shared" si="321"/>
        <v>0</v>
      </c>
      <c r="DC77" s="154">
        <f t="shared" si="322"/>
        <v>0</v>
      </c>
      <c r="DD77" s="158">
        <f t="shared" si="323"/>
        <v>0</v>
      </c>
      <c r="DE77" s="156">
        <f t="shared" si="316"/>
        <v>0</v>
      </c>
      <c r="DF77" s="154">
        <f t="shared" si="266"/>
        <v>0</v>
      </c>
      <c r="DG77" s="154">
        <f t="shared" si="324"/>
        <v>0</v>
      </c>
      <c r="DH77" s="154">
        <f t="shared" si="267"/>
        <v>0</v>
      </c>
      <c r="DI77" s="154">
        <f t="shared" si="325"/>
        <v>0</v>
      </c>
      <c r="DJ77" s="154">
        <f t="shared" si="268"/>
        <v>0</v>
      </c>
      <c r="DK77" s="154">
        <f t="shared" si="326"/>
        <v>0</v>
      </c>
      <c r="DL77" s="154">
        <f t="shared" si="269"/>
        <v>0</v>
      </c>
      <c r="DM77" s="154">
        <f t="shared" si="327"/>
        <v>0</v>
      </c>
      <c r="DN77" s="154">
        <f t="shared" si="270"/>
        <v>0</v>
      </c>
      <c r="DO77" s="157">
        <f t="shared" si="328"/>
        <v>0</v>
      </c>
      <c r="DP77" s="154">
        <f t="shared" si="329"/>
        <v>0</v>
      </c>
      <c r="DQ77" s="158">
        <f t="shared" si="330"/>
        <v>0</v>
      </c>
      <c r="DR77" s="156">
        <f t="shared" si="316"/>
        <v>0</v>
      </c>
      <c r="DS77" s="154">
        <f t="shared" si="271"/>
        <v>0</v>
      </c>
      <c r="DT77" s="154">
        <f t="shared" si="331"/>
        <v>0</v>
      </c>
      <c r="DU77" s="154">
        <f t="shared" si="272"/>
        <v>0</v>
      </c>
      <c r="DV77" s="154">
        <f t="shared" si="332"/>
        <v>0</v>
      </c>
      <c r="DW77" s="154">
        <f t="shared" si="273"/>
        <v>0</v>
      </c>
      <c r="DX77" s="154">
        <f t="shared" si="333"/>
        <v>0</v>
      </c>
      <c r="DY77" s="154">
        <f t="shared" si="274"/>
        <v>0</v>
      </c>
      <c r="DZ77" s="154">
        <f t="shared" si="334"/>
        <v>0</v>
      </c>
      <c r="EA77" s="154">
        <f t="shared" si="275"/>
        <v>0</v>
      </c>
      <c r="EB77" s="157">
        <f t="shared" si="335"/>
        <v>0</v>
      </c>
      <c r="EC77" s="154">
        <f t="shared" si="336"/>
        <v>0</v>
      </c>
      <c r="ED77" s="158">
        <f t="shared" si="337"/>
        <v>0</v>
      </c>
    </row>
    <row r="78" spans="1:134" x14ac:dyDescent="0.35">
      <c r="A78" s="172"/>
      <c r="B78" s="173"/>
      <c r="C78" s="174"/>
      <c r="D78" s="175"/>
      <c r="E78" s="176"/>
      <c r="F78" s="177"/>
      <c r="G78" s="178"/>
      <c r="H78" s="179"/>
      <c r="I78" s="180"/>
      <c r="J78" s="181"/>
      <c r="K78" s="152">
        <f t="shared" si="338"/>
        <v>0</v>
      </c>
      <c r="L78" s="153">
        <f t="shared" si="339"/>
        <v>0</v>
      </c>
      <c r="M78" s="154">
        <f t="shared" si="340"/>
        <v>0</v>
      </c>
      <c r="N78" s="154"/>
      <c r="O78" s="154">
        <f t="shared" si="341"/>
        <v>0</v>
      </c>
      <c r="P78" s="155"/>
      <c r="Q78" s="154">
        <f t="shared" si="342"/>
        <v>0</v>
      </c>
      <c r="R78" s="156">
        <f t="shared" si="343"/>
        <v>0</v>
      </c>
      <c r="S78" s="154">
        <f t="shared" si="344"/>
        <v>0</v>
      </c>
      <c r="T78" s="154">
        <f t="shared" si="345"/>
        <v>0</v>
      </c>
      <c r="U78" s="154">
        <f t="shared" si="346"/>
        <v>0</v>
      </c>
      <c r="V78" s="154">
        <f t="shared" si="347"/>
        <v>0</v>
      </c>
      <c r="W78" s="154">
        <f t="shared" si="348"/>
        <v>0</v>
      </c>
      <c r="X78" s="154">
        <f t="shared" si="349"/>
        <v>0</v>
      </c>
      <c r="Y78" s="154">
        <f t="shared" si="350"/>
        <v>0</v>
      </c>
      <c r="Z78" s="154">
        <f t="shared" si="351"/>
        <v>0</v>
      </c>
      <c r="AA78" s="154">
        <f t="shared" si="352"/>
        <v>0</v>
      </c>
      <c r="AB78" s="157">
        <f t="shared" si="353"/>
        <v>0</v>
      </c>
      <c r="AC78" s="154">
        <f t="shared" si="354"/>
        <v>0</v>
      </c>
      <c r="AD78" s="158">
        <f t="shared" si="355"/>
        <v>0</v>
      </c>
      <c r="AE78" s="156">
        <f t="shared" si="280"/>
        <v>0</v>
      </c>
      <c r="AF78" s="154">
        <f t="shared" si="235"/>
        <v>0</v>
      </c>
      <c r="AG78" s="154">
        <f t="shared" si="281"/>
        <v>0</v>
      </c>
      <c r="AH78" s="154">
        <f t="shared" si="236"/>
        <v>0</v>
      </c>
      <c r="AI78" s="154">
        <f t="shared" si="282"/>
        <v>0</v>
      </c>
      <c r="AJ78" s="154">
        <f t="shared" si="237"/>
        <v>0</v>
      </c>
      <c r="AK78" s="154">
        <f t="shared" si="283"/>
        <v>0</v>
      </c>
      <c r="AL78" s="154">
        <f t="shared" si="238"/>
        <v>0</v>
      </c>
      <c r="AM78" s="154">
        <f t="shared" si="284"/>
        <v>0</v>
      </c>
      <c r="AN78" s="154">
        <f t="shared" si="239"/>
        <v>0</v>
      </c>
      <c r="AO78" s="157">
        <f t="shared" si="285"/>
        <v>0</v>
      </c>
      <c r="AP78" s="154">
        <f t="shared" si="286"/>
        <v>0</v>
      </c>
      <c r="AQ78" s="158">
        <f t="shared" si="287"/>
        <v>0</v>
      </c>
      <c r="AR78" s="156">
        <f t="shared" si="280"/>
        <v>0</v>
      </c>
      <c r="AS78" s="154">
        <f t="shared" si="240"/>
        <v>0</v>
      </c>
      <c r="AT78" s="154">
        <f t="shared" si="288"/>
        <v>0</v>
      </c>
      <c r="AU78" s="154">
        <f t="shared" si="241"/>
        <v>0</v>
      </c>
      <c r="AV78" s="154">
        <f t="shared" si="289"/>
        <v>0</v>
      </c>
      <c r="AW78" s="154">
        <f t="shared" si="242"/>
        <v>0</v>
      </c>
      <c r="AX78" s="154">
        <f t="shared" si="290"/>
        <v>0</v>
      </c>
      <c r="AY78" s="154">
        <f t="shared" si="243"/>
        <v>0</v>
      </c>
      <c r="AZ78" s="154">
        <f t="shared" si="291"/>
        <v>0</v>
      </c>
      <c r="BA78" s="154">
        <f t="shared" si="244"/>
        <v>0</v>
      </c>
      <c r="BB78" s="157">
        <f t="shared" si="292"/>
        <v>0</v>
      </c>
      <c r="BC78" s="154">
        <f t="shared" si="293"/>
        <v>0</v>
      </c>
      <c r="BD78" s="158">
        <f t="shared" si="294"/>
        <v>0</v>
      </c>
      <c r="BE78" s="156">
        <f t="shared" si="280"/>
        <v>0</v>
      </c>
      <c r="BF78" s="154">
        <f t="shared" si="245"/>
        <v>0</v>
      </c>
      <c r="BG78" s="154">
        <f t="shared" si="295"/>
        <v>0</v>
      </c>
      <c r="BH78" s="154">
        <f t="shared" si="246"/>
        <v>0</v>
      </c>
      <c r="BI78" s="154">
        <f t="shared" si="296"/>
        <v>0</v>
      </c>
      <c r="BJ78" s="154">
        <f t="shared" si="247"/>
        <v>0</v>
      </c>
      <c r="BK78" s="154">
        <f t="shared" si="297"/>
        <v>0</v>
      </c>
      <c r="BL78" s="154">
        <f t="shared" si="248"/>
        <v>0</v>
      </c>
      <c r="BM78" s="154">
        <f t="shared" si="298"/>
        <v>0</v>
      </c>
      <c r="BN78" s="154">
        <f t="shared" si="249"/>
        <v>0</v>
      </c>
      <c r="BO78" s="157">
        <f t="shared" si="299"/>
        <v>0</v>
      </c>
      <c r="BP78" s="154">
        <f t="shared" si="300"/>
        <v>0</v>
      </c>
      <c r="BQ78" s="158">
        <f t="shared" si="301"/>
        <v>0</v>
      </c>
      <c r="BR78" s="156">
        <f t="shared" si="280"/>
        <v>0</v>
      </c>
      <c r="BS78" s="154">
        <f t="shared" si="250"/>
        <v>0</v>
      </c>
      <c r="BT78" s="154">
        <f t="shared" si="302"/>
        <v>0</v>
      </c>
      <c r="BU78" s="154">
        <f t="shared" si="251"/>
        <v>0</v>
      </c>
      <c r="BV78" s="154">
        <f t="shared" si="303"/>
        <v>0</v>
      </c>
      <c r="BW78" s="154">
        <f t="shared" si="252"/>
        <v>0</v>
      </c>
      <c r="BX78" s="154">
        <f t="shared" si="304"/>
        <v>0</v>
      </c>
      <c r="BY78" s="154">
        <f t="shared" si="253"/>
        <v>0</v>
      </c>
      <c r="BZ78" s="154">
        <f t="shared" si="305"/>
        <v>0</v>
      </c>
      <c r="CA78" s="154">
        <f t="shared" si="254"/>
        <v>0</v>
      </c>
      <c r="CB78" s="157">
        <f t="shared" si="306"/>
        <v>0</v>
      </c>
      <c r="CC78" s="154">
        <f t="shared" si="307"/>
        <v>0</v>
      </c>
      <c r="CD78" s="158">
        <f t="shared" si="308"/>
        <v>0</v>
      </c>
      <c r="CE78" s="156">
        <f t="shared" si="280"/>
        <v>0</v>
      </c>
      <c r="CF78" s="154">
        <f t="shared" si="255"/>
        <v>0</v>
      </c>
      <c r="CG78" s="154">
        <f t="shared" si="309"/>
        <v>0</v>
      </c>
      <c r="CH78" s="154">
        <f t="shared" si="256"/>
        <v>0</v>
      </c>
      <c r="CI78" s="154">
        <f t="shared" si="310"/>
        <v>0</v>
      </c>
      <c r="CJ78" s="154">
        <f t="shared" si="257"/>
        <v>0</v>
      </c>
      <c r="CK78" s="154">
        <f t="shared" si="311"/>
        <v>0</v>
      </c>
      <c r="CL78" s="154">
        <f t="shared" si="258"/>
        <v>0</v>
      </c>
      <c r="CM78" s="154">
        <f t="shared" si="312"/>
        <v>0</v>
      </c>
      <c r="CN78" s="154">
        <f t="shared" si="259"/>
        <v>0</v>
      </c>
      <c r="CO78" s="157">
        <f t="shared" si="313"/>
        <v>0</v>
      </c>
      <c r="CP78" s="154">
        <f t="shared" si="314"/>
        <v>0</v>
      </c>
      <c r="CQ78" s="158">
        <f t="shared" si="315"/>
        <v>0</v>
      </c>
      <c r="CR78" s="156">
        <f t="shared" si="316"/>
        <v>0</v>
      </c>
      <c r="CS78" s="154">
        <f t="shared" si="261"/>
        <v>0</v>
      </c>
      <c r="CT78" s="154">
        <f t="shared" si="317"/>
        <v>0</v>
      </c>
      <c r="CU78" s="154">
        <f t="shared" si="262"/>
        <v>0</v>
      </c>
      <c r="CV78" s="154">
        <f t="shared" si="318"/>
        <v>0</v>
      </c>
      <c r="CW78" s="154">
        <f t="shared" si="263"/>
        <v>0</v>
      </c>
      <c r="CX78" s="154">
        <f t="shared" si="319"/>
        <v>0</v>
      </c>
      <c r="CY78" s="154">
        <f t="shared" si="264"/>
        <v>0</v>
      </c>
      <c r="CZ78" s="154">
        <f t="shared" si="320"/>
        <v>0</v>
      </c>
      <c r="DA78" s="154">
        <f t="shared" si="265"/>
        <v>0</v>
      </c>
      <c r="DB78" s="157">
        <f t="shared" si="321"/>
        <v>0</v>
      </c>
      <c r="DC78" s="154">
        <f t="shared" si="322"/>
        <v>0</v>
      </c>
      <c r="DD78" s="158">
        <f t="shared" si="323"/>
        <v>0</v>
      </c>
      <c r="DE78" s="156">
        <f t="shared" si="316"/>
        <v>0</v>
      </c>
      <c r="DF78" s="154">
        <f t="shared" si="266"/>
        <v>0</v>
      </c>
      <c r="DG78" s="154">
        <f t="shared" si="324"/>
        <v>0</v>
      </c>
      <c r="DH78" s="154">
        <f t="shared" si="267"/>
        <v>0</v>
      </c>
      <c r="DI78" s="154">
        <f t="shared" si="325"/>
        <v>0</v>
      </c>
      <c r="DJ78" s="154">
        <f t="shared" si="268"/>
        <v>0</v>
      </c>
      <c r="DK78" s="154">
        <f t="shared" si="326"/>
        <v>0</v>
      </c>
      <c r="DL78" s="154">
        <f t="shared" si="269"/>
        <v>0</v>
      </c>
      <c r="DM78" s="154">
        <f t="shared" si="327"/>
        <v>0</v>
      </c>
      <c r="DN78" s="154">
        <f t="shared" si="270"/>
        <v>0</v>
      </c>
      <c r="DO78" s="157">
        <f t="shared" si="328"/>
        <v>0</v>
      </c>
      <c r="DP78" s="154">
        <f t="shared" si="329"/>
        <v>0</v>
      </c>
      <c r="DQ78" s="158">
        <f t="shared" si="330"/>
        <v>0</v>
      </c>
      <c r="DR78" s="156">
        <f t="shared" si="316"/>
        <v>0</v>
      </c>
      <c r="DS78" s="154">
        <f t="shared" si="271"/>
        <v>0</v>
      </c>
      <c r="DT78" s="154">
        <f t="shared" si="331"/>
        <v>0</v>
      </c>
      <c r="DU78" s="154">
        <f t="shared" si="272"/>
        <v>0</v>
      </c>
      <c r="DV78" s="154">
        <f t="shared" si="332"/>
        <v>0</v>
      </c>
      <c r="DW78" s="154">
        <f t="shared" si="273"/>
        <v>0</v>
      </c>
      <c r="DX78" s="154">
        <f t="shared" si="333"/>
        <v>0</v>
      </c>
      <c r="DY78" s="154">
        <f t="shared" si="274"/>
        <v>0</v>
      </c>
      <c r="DZ78" s="154">
        <f t="shared" si="334"/>
        <v>0</v>
      </c>
      <c r="EA78" s="154">
        <f t="shared" si="275"/>
        <v>0</v>
      </c>
      <c r="EB78" s="157">
        <f t="shared" si="335"/>
        <v>0</v>
      </c>
      <c r="EC78" s="154">
        <f t="shared" si="336"/>
        <v>0</v>
      </c>
      <c r="ED78" s="158">
        <f t="shared" si="337"/>
        <v>0</v>
      </c>
    </row>
    <row r="79" spans="1:134" x14ac:dyDescent="0.35">
      <c r="A79" s="172"/>
      <c r="B79" s="173"/>
      <c r="C79" s="174"/>
      <c r="D79" s="175"/>
      <c r="E79" s="176"/>
      <c r="F79" s="177"/>
      <c r="G79" s="178"/>
      <c r="H79" s="179"/>
      <c r="I79" s="180"/>
      <c r="J79" s="181"/>
      <c r="K79" s="152">
        <f t="shared" si="338"/>
        <v>0</v>
      </c>
      <c r="L79" s="153">
        <f t="shared" si="339"/>
        <v>0</v>
      </c>
      <c r="M79" s="154">
        <f t="shared" si="340"/>
        <v>0</v>
      </c>
      <c r="N79" s="154"/>
      <c r="O79" s="154">
        <f t="shared" si="341"/>
        <v>0</v>
      </c>
      <c r="P79" s="155"/>
      <c r="Q79" s="154">
        <f t="shared" si="342"/>
        <v>0</v>
      </c>
      <c r="R79" s="156">
        <f t="shared" si="343"/>
        <v>0</v>
      </c>
      <c r="S79" s="154">
        <f t="shared" si="344"/>
        <v>0</v>
      </c>
      <c r="T79" s="154">
        <f t="shared" si="345"/>
        <v>0</v>
      </c>
      <c r="U79" s="154">
        <f t="shared" si="346"/>
        <v>0</v>
      </c>
      <c r="V79" s="154">
        <f t="shared" si="347"/>
        <v>0</v>
      </c>
      <c r="W79" s="154">
        <f t="shared" si="348"/>
        <v>0</v>
      </c>
      <c r="X79" s="154">
        <f t="shared" si="349"/>
        <v>0</v>
      </c>
      <c r="Y79" s="154">
        <f t="shared" si="350"/>
        <v>0</v>
      </c>
      <c r="Z79" s="154">
        <f t="shared" si="351"/>
        <v>0</v>
      </c>
      <c r="AA79" s="154">
        <f t="shared" si="352"/>
        <v>0</v>
      </c>
      <c r="AB79" s="157">
        <f t="shared" si="353"/>
        <v>0</v>
      </c>
      <c r="AC79" s="154">
        <f t="shared" si="354"/>
        <v>0</v>
      </c>
      <c r="AD79" s="158">
        <f t="shared" si="355"/>
        <v>0</v>
      </c>
      <c r="AE79" s="156">
        <f t="shared" si="280"/>
        <v>0</v>
      </c>
      <c r="AF79" s="154">
        <f t="shared" si="235"/>
        <v>0</v>
      </c>
      <c r="AG79" s="154">
        <f t="shared" si="281"/>
        <v>0</v>
      </c>
      <c r="AH79" s="154">
        <f t="shared" si="236"/>
        <v>0</v>
      </c>
      <c r="AI79" s="154">
        <f t="shared" si="282"/>
        <v>0</v>
      </c>
      <c r="AJ79" s="154">
        <f t="shared" si="237"/>
        <v>0</v>
      </c>
      <c r="AK79" s="154">
        <f t="shared" si="283"/>
        <v>0</v>
      </c>
      <c r="AL79" s="154">
        <f t="shared" si="238"/>
        <v>0</v>
      </c>
      <c r="AM79" s="154">
        <f t="shared" si="284"/>
        <v>0</v>
      </c>
      <c r="AN79" s="154">
        <f t="shared" si="239"/>
        <v>0</v>
      </c>
      <c r="AO79" s="157">
        <f t="shared" si="285"/>
        <v>0</v>
      </c>
      <c r="AP79" s="154">
        <f t="shared" si="286"/>
        <v>0</v>
      </c>
      <c r="AQ79" s="158">
        <f t="shared" si="287"/>
        <v>0</v>
      </c>
      <c r="AR79" s="156">
        <f t="shared" si="280"/>
        <v>0</v>
      </c>
      <c r="AS79" s="154">
        <f t="shared" si="240"/>
        <v>0</v>
      </c>
      <c r="AT79" s="154">
        <f t="shared" si="288"/>
        <v>0</v>
      </c>
      <c r="AU79" s="154">
        <f t="shared" si="241"/>
        <v>0</v>
      </c>
      <c r="AV79" s="154">
        <f t="shared" si="289"/>
        <v>0</v>
      </c>
      <c r="AW79" s="154">
        <f t="shared" si="242"/>
        <v>0</v>
      </c>
      <c r="AX79" s="154">
        <f t="shared" si="290"/>
        <v>0</v>
      </c>
      <c r="AY79" s="154">
        <f t="shared" si="243"/>
        <v>0</v>
      </c>
      <c r="AZ79" s="154">
        <f t="shared" si="291"/>
        <v>0</v>
      </c>
      <c r="BA79" s="154">
        <f t="shared" si="244"/>
        <v>0</v>
      </c>
      <c r="BB79" s="157">
        <f t="shared" si="292"/>
        <v>0</v>
      </c>
      <c r="BC79" s="154">
        <f t="shared" si="293"/>
        <v>0</v>
      </c>
      <c r="BD79" s="158">
        <f t="shared" si="294"/>
        <v>0</v>
      </c>
      <c r="BE79" s="156">
        <f t="shared" si="280"/>
        <v>0</v>
      </c>
      <c r="BF79" s="154">
        <f t="shared" si="245"/>
        <v>0</v>
      </c>
      <c r="BG79" s="154">
        <f t="shared" si="295"/>
        <v>0</v>
      </c>
      <c r="BH79" s="154">
        <f t="shared" si="246"/>
        <v>0</v>
      </c>
      <c r="BI79" s="154">
        <f t="shared" si="296"/>
        <v>0</v>
      </c>
      <c r="BJ79" s="154">
        <f t="shared" si="247"/>
        <v>0</v>
      </c>
      <c r="BK79" s="154">
        <f t="shared" si="297"/>
        <v>0</v>
      </c>
      <c r="BL79" s="154">
        <f t="shared" si="248"/>
        <v>0</v>
      </c>
      <c r="BM79" s="154">
        <f t="shared" si="298"/>
        <v>0</v>
      </c>
      <c r="BN79" s="154">
        <f t="shared" si="249"/>
        <v>0</v>
      </c>
      <c r="BO79" s="157">
        <f t="shared" si="299"/>
        <v>0</v>
      </c>
      <c r="BP79" s="154">
        <f t="shared" si="300"/>
        <v>0</v>
      </c>
      <c r="BQ79" s="158">
        <f t="shared" si="301"/>
        <v>0</v>
      </c>
      <c r="BR79" s="156">
        <f t="shared" si="280"/>
        <v>0</v>
      </c>
      <c r="BS79" s="154">
        <f t="shared" si="250"/>
        <v>0</v>
      </c>
      <c r="BT79" s="154">
        <f t="shared" si="302"/>
        <v>0</v>
      </c>
      <c r="BU79" s="154">
        <f t="shared" si="251"/>
        <v>0</v>
      </c>
      <c r="BV79" s="154">
        <f t="shared" si="303"/>
        <v>0</v>
      </c>
      <c r="BW79" s="154">
        <f t="shared" si="252"/>
        <v>0</v>
      </c>
      <c r="BX79" s="154">
        <f t="shared" si="304"/>
        <v>0</v>
      </c>
      <c r="BY79" s="154">
        <f t="shared" si="253"/>
        <v>0</v>
      </c>
      <c r="BZ79" s="154">
        <f t="shared" si="305"/>
        <v>0</v>
      </c>
      <c r="CA79" s="154">
        <f t="shared" si="254"/>
        <v>0</v>
      </c>
      <c r="CB79" s="157">
        <f t="shared" si="306"/>
        <v>0</v>
      </c>
      <c r="CC79" s="154">
        <f t="shared" si="307"/>
        <v>0</v>
      </c>
      <c r="CD79" s="158">
        <f t="shared" si="308"/>
        <v>0</v>
      </c>
      <c r="CE79" s="156">
        <f t="shared" si="280"/>
        <v>0</v>
      </c>
      <c r="CF79" s="154">
        <f t="shared" si="255"/>
        <v>0</v>
      </c>
      <c r="CG79" s="154">
        <f t="shared" si="309"/>
        <v>0</v>
      </c>
      <c r="CH79" s="154">
        <f t="shared" si="256"/>
        <v>0</v>
      </c>
      <c r="CI79" s="154">
        <f t="shared" si="310"/>
        <v>0</v>
      </c>
      <c r="CJ79" s="154">
        <f t="shared" si="257"/>
        <v>0</v>
      </c>
      <c r="CK79" s="154">
        <f t="shared" si="311"/>
        <v>0</v>
      </c>
      <c r="CL79" s="154">
        <f t="shared" si="258"/>
        <v>0</v>
      </c>
      <c r="CM79" s="154">
        <f t="shared" si="312"/>
        <v>0</v>
      </c>
      <c r="CN79" s="154">
        <f t="shared" si="259"/>
        <v>0</v>
      </c>
      <c r="CO79" s="157">
        <f t="shared" si="313"/>
        <v>0</v>
      </c>
      <c r="CP79" s="154">
        <f t="shared" si="314"/>
        <v>0</v>
      </c>
      <c r="CQ79" s="158">
        <f t="shared" si="315"/>
        <v>0</v>
      </c>
      <c r="CR79" s="156">
        <f t="shared" si="316"/>
        <v>0</v>
      </c>
      <c r="CS79" s="154">
        <f t="shared" si="261"/>
        <v>0</v>
      </c>
      <c r="CT79" s="154">
        <f t="shared" si="317"/>
        <v>0</v>
      </c>
      <c r="CU79" s="154">
        <f t="shared" si="262"/>
        <v>0</v>
      </c>
      <c r="CV79" s="154">
        <f t="shared" si="318"/>
        <v>0</v>
      </c>
      <c r="CW79" s="154">
        <f t="shared" si="263"/>
        <v>0</v>
      </c>
      <c r="CX79" s="154">
        <f t="shared" si="319"/>
        <v>0</v>
      </c>
      <c r="CY79" s="154">
        <f t="shared" si="264"/>
        <v>0</v>
      </c>
      <c r="CZ79" s="154">
        <f t="shared" si="320"/>
        <v>0</v>
      </c>
      <c r="DA79" s="154">
        <f t="shared" si="265"/>
        <v>0</v>
      </c>
      <c r="DB79" s="157">
        <f t="shared" si="321"/>
        <v>0</v>
      </c>
      <c r="DC79" s="154">
        <f t="shared" si="322"/>
        <v>0</v>
      </c>
      <c r="DD79" s="158">
        <f t="shared" si="323"/>
        <v>0</v>
      </c>
      <c r="DE79" s="156">
        <f t="shared" si="316"/>
        <v>0</v>
      </c>
      <c r="DF79" s="154">
        <f t="shared" si="266"/>
        <v>0</v>
      </c>
      <c r="DG79" s="154">
        <f t="shared" si="324"/>
        <v>0</v>
      </c>
      <c r="DH79" s="154">
        <f t="shared" si="267"/>
        <v>0</v>
      </c>
      <c r="DI79" s="154">
        <f t="shared" si="325"/>
        <v>0</v>
      </c>
      <c r="DJ79" s="154">
        <f t="shared" si="268"/>
        <v>0</v>
      </c>
      <c r="DK79" s="154">
        <f t="shared" si="326"/>
        <v>0</v>
      </c>
      <c r="DL79" s="154">
        <f t="shared" si="269"/>
        <v>0</v>
      </c>
      <c r="DM79" s="154">
        <f t="shared" si="327"/>
        <v>0</v>
      </c>
      <c r="DN79" s="154">
        <f t="shared" si="270"/>
        <v>0</v>
      </c>
      <c r="DO79" s="157">
        <f t="shared" si="328"/>
        <v>0</v>
      </c>
      <c r="DP79" s="154">
        <f t="shared" si="329"/>
        <v>0</v>
      </c>
      <c r="DQ79" s="158">
        <f t="shared" si="330"/>
        <v>0</v>
      </c>
      <c r="DR79" s="156">
        <f t="shared" si="316"/>
        <v>0</v>
      </c>
      <c r="DS79" s="154">
        <f t="shared" si="271"/>
        <v>0</v>
      </c>
      <c r="DT79" s="154">
        <f t="shared" si="331"/>
        <v>0</v>
      </c>
      <c r="DU79" s="154">
        <f t="shared" si="272"/>
        <v>0</v>
      </c>
      <c r="DV79" s="154">
        <f t="shared" si="332"/>
        <v>0</v>
      </c>
      <c r="DW79" s="154">
        <f t="shared" si="273"/>
        <v>0</v>
      </c>
      <c r="DX79" s="154">
        <f t="shared" si="333"/>
        <v>0</v>
      </c>
      <c r="DY79" s="154">
        <f t="shared" si="274"/>
        <v>0</v>
      </c>
      <c r="DZ79" s="154">
        <f t="shared" si="334"/>
        <v>0</v>
      </c>
      <c r="EA79" s="154">
        <f t="shared" si="275"/>
        <v>0</v>
      </c>
      <c r="EB79" s="157">
        <f t="shared" si="335"/>
        <v>0</v>
      </c>
      <c r="EC79" s="154">
        <f t="shared" si="336"/>
        <v>0</v>
      </c>
      <c r="ED79" s="158">
        <f t="shared" si="337"/>
        <v>0</v>
      </c>
    </row>
    <row r="80" spans="1:134" x14ac:dyDescent="0.35">
      <c r="A80" s="172"/>
      <c r="B80" s="173"/>
      <c r="C80" s="174"/>
      <c r="D80" s="175"/>
      <c r="E80" s="176"/>
      <c r="F80" s="177"/>
      <c r="G80" s="178"/>
      <c r="H80" s="179"/>
      <c r="I80" s="180"/>
      <c r="J80" s="181"/>
      <c r="K80" s="152">
        <f t="shared" si="338"/>
        <v>0</v>
      </c>
      <c r="L80" s="153">
        <f t="shared" si="339"/>
        <v>0</v>
      </c>
      <c r="M80" s="154">
        <f t="shared" si="340"/>
        <v>0</v>
      </c>
      <c r="N80" s="154"/>
      <c r="O80" s="154">
        <f t="shared" si="341"/>
        <v>0</v>
      </c>
      <c r="P80" s="155"/>
      <c r="Q80" s="154">
        <f t="shared" si="342"/>
        <v>0</v>
      </c>
      <c r="R80" s="156">
        <f t="shared" si="343"/>
        <v>0</v>
      </c>
      <c r="S80" s="154">
        <f t="shared" si="344"/>
        <v>0</v>
      </c>
      <c r="T80" s="154">
        <f t="shared" si="345"/>
        <v>0</v>
      </c>
      <c r="U80" s="154">
        <f t="shared" si="346"/>
        <v>0</v>
      </c>
      <c r="V80" s="154">
        <f t="shared" si="347"/>
        <v>0</v>
      </c>
      <c r="W80" s="154">
        <f t="shared" si="348"/>
        <v>0</v>
      </c>
      <c r="X80" s="154">
        <f t="shared" si="349"/>
        <v>0</v>
      </c>
      <c r="Y80" s="154">
        <f t="shared" si="350"/>
        <v>0</v>
      </c>
      <c r="Z80" s="154">
        <f t="shared" si="351"/>
        <v>0</v>
      </c>
      <c r="AA80" s="154">
        <f t="shared" si="352"/>
        <v>0</v>
      </c>
      <c r="AB80" s="157">
        <f t="shared" si="353"/>
        <v>0</v>
      </c>
      <c r="AC80" s="154">
        <f t="shared" si="354"/>
        <v>0</v>
      </c>
      <c r="AD80" s="158">
        <f t="shared" si="355"/>
        <v>0</v>
      </c>
      <c r="AE80" s="156">
        <f t="shared" si="280"/>
        <v>0</v>
      </c>
      <c r="AF80" s="154">
        <f t="shared" si="235"/>
        <v>0</v>
      </c>
      <c r="AG80" s="154">
        <f t="shared" si="281"/>
        <v>0</v>
      </c>
      <c r="AH80" s="154">
        <f t="shared" si="236"/>
        <v>0</v>
      </c>
      <c r="AI80" s="154">
        <f t="shared" si="282"/>
        <v>0</v>
      </c>
      <c r="AJ80" s="154">
        <f t="shared" si="237"/>
        <v>0</v>
      </c>
      <c r="AK80" s="154">
        <f t="shared" si="283"/>
        <v>0</v>
      </c>
      <c r="AL80" s="154">
        <f t="shared" si="238"/>
        <v>0</v>
      </c>
      <c r="AM80" s="154">
        <f t="shared" si="284"/>
        <v>0</v>
      </c>
      <c r="AN80" s="154">
        <f t="shared" si="239"/>
        <v>0</v>
      </c>
      <c r="AO80" s="157">
        <f t="shared" si="285"/>
        <v>0</v>
      </c>
      <c r="AP80" s="154">
        <f t="shared" si="286"/>
        <v>0</v>
      </c>
      <c r="AQ80" s="158">
        <f t="shared" si="287"/>
        <v>0</v>
      </c>
      <c r="AR80" s="156">
        <f t="shared" si="280"/>
        <v>0</v>
      </c>
      <c r="AS80" s="154">
        <f t="shared" si="240"/>
        <v>0</v>
      </c>
      <c r="AT80" s="154">
        <f t="shared" si="288"/>
        <v>0</v>
      </c>
      <c r="AU80" s="154">
        <f t="shared" si="241"/>
        <v>0</v>
      </c>
      <c r="AV80" s="154">
        <f t="shared" si="289"/>
        <v>0</v>
      </c>
      <c r="AW80" s="154">
        <f t="shared" si="242"/>
        <v>0</v>
      </c>
      <c r="AX80" s="154">
        <f t="shared" si="290"/>
        <v>0</v>
      </c>
      <c r="AY80" s="154">
        <f t="shared" si="243"/>
        <v>0</v>
      </c>
      <c r="AZ80" s="154">
        <f t="shared" si="291"/>
        <v>0</v>
      </c>
      <c r="BA80" s="154">
        <f t="shared" si="244"/>
        <v>0</v>
      </c>
      <c r="BB80" s="157">
        <f t="shared" si="292"/>
        <v>0</v>
      </c>
      <c r="BC80" s="154">
        <f t="shared" si="293"/>
        <v>0</v>
      </c>
      <c r="BD80" s="158">
        <f t="shared" si="294"/>
        <v>0</v>
      </c>
      <c r="BE80" s="156">
        <f t="shared" si="280"/>
        <v>0</v>
      </c>
      <c r="BF80" s="154">
        <f t="shared" si="245"/>
        <v>0</v>
      </c>
      <c r="BG80" s="154">
        <f t="shared" si="295"/>
        <v>0</v>
      </c>
      <c r="BH80" s="154">
        <f t="shared" si="246"/>
        <v>0</v>
      </c>
      <c r="BI80" s="154">
        <f t="shared" si="296"/>
        <v>0</v>
      </c>
      <c r="BJ80" s="154">
        <f t="shared" si="247"/>
        <v>0</v>
      </c>
      <c r="BK80" s="154">
        <f t="shared" si="297"/>
        <v>0</v>
      </c>
      <c r="BL80" s="154">
        <f t="shared" si="248"/>
        <v>0</v>
      </c>
      <c r="BM80" s="154">
        <f t="shared" si="298"/>
        <v>0</v>
      </c>
      <c r="BN80" s="154">
        <f t="shared" si="249"/>
        <v>0</v>
      </c>
      <c r="BO80" s="157">
        <f t="shared" si="299"/>
        <v>0</v>
      </c>
      <c r="BP80" s="154">
        <f t="shared" si="300"/>
        <v>0</v>
      </c>
      <c r="BQ80" s="158">
        <f t="shared" si="301"/>
        <v>0</v>
      </c>
      <c r="BR80" s="156">
        <f t="shared" si="280"/>
        <v>0</v>
      </c>
      <c r="BS80" s="154">
        <f t="shared" si="250"/>
        <v>0</v>
      </c>
      <c r="BT80" s="154">
        <f t="shared" si="302"/>
        <v>0</v>
      </c>
      <c r="BU80" s="154">
        <f t="shared" si="251"/>
        <v>0</v>
      </c>
      <c r="BV80" s="154">
        <f t="shared" si="303"/>
        <v>0</v>
      </c>
      <c r="BW80" s="154">
        <f t="shared" si="252"/>
        <v>0</v>
      </c>
      <c r="BX80" s="154">
        <f t="shared" si="304"/>
        <v>0</v>
      </c>
      <c r="BY80" s="154">
        <f t="shared" si="253"/>
        <v>0</v>
      </c>
      <c r="BZ80" s="154">
        <f t="shared" si="305"/>
        <v>0</v>
      </c>
      <c r="CA80" s="154">
        <f t="shared" si="254"/>
        <v>0</v>
      </c>
      <c r="CB80" s="157">
        <f t="shared" si="306"/>
        <v>0</v>
      </c>
      <c r="CC80" s="154">
        <f t="shared" si="307"/>
        <v>0</v>
      </c>
      <c r="CD80" s="158">
        <f t="shared" si="308"/>
        <v>0</v>
      </c>
      <c r="CE80" s="156">
        <f t="shared" si="280"/>
        <v>0</v>
      </c>
      <c r="CF80" s="154">
        <f t="shared" si="255"/>
        <v>0</v>
      </c>
      <c r="CG80" s="154">
        <f t="shared" si="309"/>
        <v>0</v>
      </c>
      <c r="CH80" s="154">
        <f t="shared" si="256"/>
        <v>0</v>
      </c>
      <c r="CI80" s="154">
        <f t="shared" si="310"/>
        <v>0</v>
      </c>
      <c r="CJ80" s="154">
        <f t="shared" si="257"/>
        <v>0</v>
      </c>
      <c r="CK80" s="154">
        <f t="shared" si="311"/>
        <v>0</v>
      </c>
      <c r="CL80" s="154">
        <f t="shared" si="258"/>
        <v>0</v>
      </c>
      <c r="CM80" s="154">
        <f t="shared" si="312"/>
        <v>0</v>
      </c>
      <c r="CN80" s="154">
        <f t="shared" si="259"/>
        <v>0</v>
      </c>
      <c r="CO80" s="157">
        <f t="shared" si="313"/>
        <v>0</v>
      </c>
      <c r="CP80" s="154">
        <f t="shared" si="314"/>
        <v>0</v>
      </c>
      <c r="CQ80" s="158">
        <f t="shared" si="315"/>
        <v>0</v>
      </c>
      <c r="CR80" s="156">
        <f t="shared" si="316"/>
        <v>0</v>
      </c>
      <c r="CS80" s="154">
        <f t="shared" si="261"/>
        <v>0</v>
      </c>
      <c r="CT80" s="154">
        <f t="shared" si="317"/>
        <v>0</v>
      </c>
      <c r="CU80" s="154">
        <f t="shared" si="262"/>
        <v>0</v>
      </c>
      <c r="CV80" s="154">
        <f t="shared" si="318"/>
        <v>0</v>
      </c>
      <c r="CW80" s="154">
        <f t="shared" si="263"/>
        <v>0</v>
      </c>
      <c r="CX80" s="154">
        <f t="shared" si="319"/>
        <v>0</v>
      </c>
      <c r="CY80" s="154">
        <f t="shared" si="264"/>
        <v>0</v>
      </c>
      <c r="CZ80" s="154">
        <f t="shared" si="320"/>
        <v>0</v>
      </c>
      <c r="DA80" s="154">
        <f t="shared" si="265"/>
        <v>0</v>
      </c>
      <c r="DB80" s="157">
        <f t="shared" si="321"/>
        <v>0</v>
      </c>
      <c r="DC80" s="154">
        <f t="shared" si="322"/>
        <v>0</v>
      </c>
      <c r="DD80" s="158">
        <f t="shared" si="323"/>
        <v>0</v>
      </c>
      <c r="DE80" s="156">
        <f t="shared" si="316"/>
        <v>0</v>
      </c>
      <c r="DF80" s="154">
        <f t="shared" si="266"/>
        <v>0</v>
      </c>
      <c r="DG80" s="154">
        <f t="shared" si="324"/>
        <v>0</v>
      </c>
      <c r="DH80" s="154">
        <f t="shared" si="267"/>
        <v>0</v>
      </c>
      <c r="DI80" s="154">
        <f t="shared" si="325"/>
        <v>0</v>
      </c>
      <c r="DJ80" s="154">
        <f t="shared" si="268"/>
        <v>0</v>
      </c>
      <c r="DK80" s="154">
        <f t="shared" si="326"/>
        <v>0</v>
      </c>
      <c r="DL80" s="154">
        <f t="shared" si="269"/>
        <v>0</v>
      </c>
      <c r="DM80" s="154">
        <f t="shared" si="327"/>
        <v>0</v>
      </c>
      <c r="DN80" s="154">
        <f t="shared" si="270"/>
        <v>0</v>
      </c>
      <c r="DO80" s="157">
        <f t="shared" si="328"/>
        <v>0</v>
      </c>
      <c r="DP80" s="154">
        <f t="shared" si="329"/>
        <v>0</v>
      </c>
      <c r="DQ80" s="158">
        <f t="shared" si="330"/>
        <v>0</v>
      </c>
      <c r="DR80" s="156">
        <f t="shared" si="316"/>
        <v>0</v>
      </c>
      <c r="DS80" s="154">
        <f t="shared" si="271"/>
        <v>0</v>
      </c>
      <c r="DT80" s="154">
        <f t="shared" si="331"/>
        <v>0</v>
      </c>
      <c r="DU80" s="154">
        <f t="shared" si="272"/>
        <v>0</v>
      </c>
      <c r="DV80" s="154">
        <f t="shared" si="332"/>
        <v>0</v>
      </c>
      <c r="DW80" s="154">
        <f t="shared" si="273"/>
        <v>0</v>
      </c>
      <c r="DX80" s="154">
        <f t="shared" si="333"/>
        <v>0</v>
      </c>
      <c r="DY80" s="154">
        <f t="shared" si="274"/>
        <v>0</v>
      </c>
      <c r="DZ80" s="154">
        <f t="shared" si="334"/>
        <v>0</v>
      </c>
      <c r="EA80" s="154">
        <f t="shared" si="275"/>
        <v>0</v>
      </c>
      <c r="EB80" s="157">
        <f t="shared" si="335"/>
        <v>0</v>
      </c>
      <c r="EC80" s="154">
        <f t="shared" si="336"/>
        <v>0</v>
      </c>
      <c r="ED80" s="158">
        <f t="shared" si="337"/>
        <v>0</v>
      </c>
    </row>
    <row r="81" spans="1:134" x14ac:dyDescent="0.35">
      <c r="A81" s="172"/>
      <c r="B81" s="173"/>
      <c r="C81" s="174"/>
      <c r="D81" s="175"/>
      <c r="E81" s="176"/>
      <c r="F81" s="177"/>
      <c r="G81" s="178"/>
      <c r="H81" s="179"/>
      <c r="I81" s="180"/>
      <c r="J81" s="181"/>
      <c r="K81" s="152">
        <f t="shared" si="338"/>
        <v>0</v>
      </c>
      <c r="L81" s="153">
        <f t="shared" si="339"/>
        <v>0</v>
      </c>
      <c r="M81" s="154">
        <f t="shared" si="340"/>
        <v>0</v>
      </c>
      <c r="N81" s="154"/>
      <c r="O81" s="154">
        <f t="shared" si="341"/>
        <v>0</v>
      </c>
      <c r="P81" s="155"/>
      <c r="Q81" s="154">
        <f t="shared" si="342"/>
        <v>0</v>
      </c>
      <c r="R81" s="156">
        <f t="shared" si="343"/>
        <v>0</v>
      </c>
      <c r="S81" s="154">
        <f t="shared" si="344"/>
        <v>0</v>
      </c>
      <c r="T81" s="154">
        <f t="shared" si="345"/>
        <v>0</v>
      </c>
      <c r="U81" s="154">
        <f t="shared" si="346"/>
        <v>0</v>
      </c>
      <c r="V81" s="154">
        <f t="shared" si="347"/>
        <v>0</v>
      </c>
      <c r="W81" s="154">
        <f t="shared" si="348"/>
        <v>0</v>
      </c>
      <c r="X81" s="154">
        <f t="shared" si="349"/>
        <v>0</v>
      </c>
      <c r="Y81" s="154">
        <f t="shared" si="350"/>
        <v>0</v>
      </c>
      <c r="Z81" s="154">
        <f t="shared" si="351"/>
        <v>0</v>
      </c>
      <c r="AA81" s="154">
        <f t="shared" si="352"/>
        <v>0</v>
      </c>
      <c r="AB81" s="157">
        <f t="shared" si="353"/>
        <v>0</v>
      </c>
      <c r="AC81" s="154">
        <f t="shared" si="354"/>
        <v>0</v>
      </c>
      <c r="AD81" s="158">
        <f t="shared" si="355"/>
        <v>0</v>
      </c>
      <c r="AE81" s="156">
        <f t="shared" si="280"/>
        <v>0</v>
      </c>
      <c r="AF81" s="154">
        <f t="shared" si="235"/>
        <v>0</v>
      </c>
      <c r="AG81" s="154">
        <f t="shared" si="281"/>
        <v>0</v>
      </c>
      <c r="AH81" s="154">
        <f t="shared" si="236"/>
        <v>0</v>
      </c>
      <c r="AI81" s="154">
        <f t="shared" si="282"/>
        <v>0</v>
      </c>
      <c r="AJ81" s="154">
        <f t="shared" si="237"/>
        <v>0</v>
      </c>
      <c r="AK81" s="154">
        <f t="shared" si="283"/>
        <v>0</v>
      </c>
      <c r="AL81" s="154">
        <f t="shared" si="238"/>
        <v>0</v>
      </c>
      <c r="AM81" s="154">
        <f t="shared" si="284"/>
        <v>0</v>
      </c>
      <c r="AN81" s="154">
        <f t="shared" si="239"/>
        <v>0</v>
      </c>
      <c r="AO81" s="157">
        <f t="shared" si="285"/>
        <v>0</v>
      </c>
      <c r="AP81" s="154">
        <f t="shared" si="286"/>
        <v>0</v>
      </c>
      <c r="AQ81" s="158">
        <f t="shared" si="287"/>
        <v>0</v>
      </c>
      <c r="AR81" s="156">
        <f t="shared" si="280"/>
        <v>0</v>
      </c>
      <c r="AS81" s="154">
        <f t="shared" si="240"/>
        <v>0</v>
      </c>
      <c r="AT81" s="154">
        <f t="shared" si="288"/>
        <v>0</v>
      </c>
      <c r="AU81" s="154">
        <f t="shared" si="241"/>
        <v>0</v>
      </c>
      <c r="AV81" s="154">
        <f t="shared" si="289"/>
        <v>0</v>
      </c>
      <c r="AW81" s="154">
        <f t="shared" si="242"/>
        <v>0</v>
      </c>
      <c r="AX81" s="154">
        <f t="shared" si="290"/>
        <v>0</v>
      </c>
      <c r="AY81" s="154">
        <f t="shared" si="243"/>
        <v>0</v>
      </c>
      <c r="AZ81" s="154">
        <f t="shared" si="291"/>
        <v>0</v>
      </c>
      <c r="BA81" s="154">
        <f t="shared" si="244"/>
        <v>0</v>
      </c>
      <c r="BB81" s="157">
        <f t="shared" si="292"/>
        <v>0</v>
      </c>
      <c r="BC81" s="154">
        <f t="shared" si="293"/>
        <v>0</v>
      </c>
      <c r="BD81" s="158">
        <f t="shared" si="294"/>
        <v>0</v>
      </c>
      <c r="BE81" s="156">
        <f t="shared" si="280"/>
        <v>0</v>
      </c>
      <c r="BF81" s="154">
        <f t="shared" si="245"/>
        <v>0</v>
      </c>
      <c r="BG81" s="154">
        <f t="shared" si="295"/>
        <v>0</v>
      </c>
      <c r="BH81" s="154">
        <f t="shared" si="246"/>
        <v>0</v>
      </c>
      <c r="BI81" s="154">
        <f t="shared" si="296"/>
        <v>0</v>
      </c>
      <c r="BJ81" s="154">
        <f t="shared" si="247"/>
        <v>0</v>
      </c>
      <c r="BK81" s="154">
        <f t="shared" si="297"/>
        <v>0</v>
      </c>
      <c r="BL81" s="154">
        <f t="shared" si="248"/>
        <v>0</v>
      </c>
      <c r="BM81" s="154">
        <f t="shared" si="298"/>
        <v>0</v>
      </c>
      <c r="BN81" s="154">
        <f t="shared" si="249"/>
        <v>0</v>
      </c>
      <c r="BO81" s="157">
        <f t="shared" si="299"/>
        <v>0</v>
      </c>
      <c r="BP81" s="154">
        <f t="shared" si="300"/>
        <v>0</v>
      </c>
      <c r="BQ81" s="158">
        <f t="shared" si="301"/>
        <v>0</v>
      </c>
      <c r="BR81" s="156">
        <f t="shared" si="280"/>
        <v>0</v>
      </c>
      <c r="BS81" s="154">
        <f t="shared" si="250"/>
        <v>0</v>
      </c>
      <c r="BT81" s="154">
        <f t="shared" si="302"/>
        <v>0</v>
      </c>
      <c r="BU81" s="154">
        <f t="shared" si="251"/>
        <v>0</v>
      </c>
      <c r="BV81" s="154">
        <f t="shared" si="303"/>
        <v>0</v>
      </c>
      <c r="BW81" s="154">
        <f t="shared" si="252"/>
        <v>0</v>
      </c>
      <c r="BX81" s="154">
        <f t="shared" si="304"/>
        <v>0</v>
      </c>
      <c r="BY81" s="154">
        <f t="shared" si="253"/>
        <v>0</v>
      </c>
      <c r="BZ81" s="154">
        <f t="shared" si="305"/>
        <v>0</v>
      </c>
      <c r="CA81" s="154">
        <f t="shared" si="254"/>
        <v>0</v>
      </c>
      <c r="CB81" s="157">
        <f t="shared" si="306"/>
        <v>0</v>
      </c>
      <c r="CC81" s="154">
        <f t="shared" si="307"/>
        <v>0</v>
      </c>
      <c r="CD81" s="158">
        <f t="shared" si="308"/>
        <v>0</v>
      </c>
      <c r="CE81" s="156">
        <f t="shared" si="280"/>
        <v>0</v>
      </c>
      <c r="CF81" s="154">
        <f t="shared" si="255"/>
        <v>0</v>
      </c>
      <c r="CG81" s="154">
        <f t="shared" si="309"/>
        <v>0</v>
      </c>
      <c r="CH81" s="154">
        <f t="shared" si="256"/>
        <v>0</v>
      </c>
      <c r="CI81" s="154">
        <f t="shared" si="310"/>
        <v>0</v>
      </c>
      <c r="CJ81" s="154">
        <f t="shared" si="257"/>
        <v>0</v>
      </c>
      <c r="CK81" s="154">
        <f t="shared" si="311"/>
        <v>0</v>
      </c>
      <c r="CL81" s="154">
        <f t="shared" si="258"/>
        <v>0</v>
      </c>
      <c r="CM81" s="154">
        <f t="shared" si="312"/>
        <v>0</v>
      </c>
      <c r="CN81" s="154">
        <f t="shared" si="259"/>
        <v>0</v>
      </c>
      <c r="CO81" s="157">
        <f t="shared" si="313"/>
        <v>0</v>
      </c>
      <c r="CP81" s="154">
        <f t="shared" si="314"/>
        <v>0</v>
      </c>
      <c r="CQ81" s="158">
        <f t="shared" si="315"/>
        <v>0</v>
      </c>
      <c r="CR81" s="156">
        <f t="shared" si="316"/>
        <v>0</v>
      </c>
      <c r="CS81" s="154">
        <f t="shared" si="261"/>
        <v>0</v>
      </c>
      <c r="CT81" s="154">
        <f t="shared" si="317"/>
        <v>0</v>
      </c>
      <c r="CU81" s="154">
        <f t="shared" si="262"/>
        <v>0</v>
      </c>
      <c r="CV81" s="154">
        <f t="shared" si="318"/>
        <v>0</v>
      </c>
      <c r="CW81" s="154">
        <f t="shared" si="263"/>
        <v>0</v>
      </c>
      <c r="CX81" s="154">
        <f t="shared" si="319"/>
        <v>0</v>
      </c>
      <c r="CY81" s="154">
        <f t="shared" si="264"/>
        <v>0</v>
      </c>
      <c r="CZ81" s="154">
        <f t="shared" si="320"/>
        <v>0</v>
      </c>
      <c r="DA81" s="154">
        <f t="shared" si="265"/>
        <v>0</v>
      </c>
      <c r="DB81" s="157">
        <f t="shared" si="321"/>
        <v>0</v>
      </c>
      <c r="DC81" s="154">
        <f t="shared" si="322"/>
        <v>0</v>
      </c>
      <c r="DD81" s="158">
        <f t="shared" si="323"/>
        <v>0</v>
      </c>
      <c r="DE81" s="156">
        <f t="shared" si="316"/>
        <v>0</v>
      </c>
      <c r="DF81" s="154">
        <f t="shared" si="266"/>
        <v>0</v>
      </c>
      <c r="DG81" s="154">
        <f t="shared" si="324"/>
        <v>0</v>
      </c>
      <c r="DH81" s="154">
        <f t="shared" si="267"/>
        <v>0</v>
      </c>
      <c r="DI81" s="154">
        <f t="shared" si="325"/>
        <v>0</v>
      </c>
      <c r="DJ81" s="154">
        <f t="shared" si="268"/>
        <v>0</v>
      </c>
      <c r="DK81" s="154">
        <f t="shared" si="326"/>
        <v>0</v>
      </c>
      <c r="DL81" s="154">
        <f t="shared" si="269"/>
        <v>0</v>
      </c>
      <c r="DM81" s="154">
        <f t="shared" si="327"/>
        <v>0</v>
      </c>
      <c r="DN81" s="154">
        <f t="shared" si="270"/>
        <v>0</v>
      </c>
      <c r="DO81" s="157">
        <f t="shared" si="328"/>
        <v>0</v>
      </c>
      <c r="DP81" s="154">
        <f t="shared" si="329"/>
        <v>0</v>
      </c>
      <c r="DQ81" s="158">
        <f t="shared" si="330"/>
        <v>0</v>
      </c>
      <c r="DR81" s="156">
        <f t="shared" si="316"/>
        <v>0</v>
      </c>
      <c r="DS81" s="154">
        <f t="shared" si="271"/>
        <v>0</v>
      </c>
      <c r="DT81" s="154">
        <f t="shared" si="331"/>
        <v>0</v>
      </c>
      <c r="DU81" s="154">
        <f t="shared" si="272"/>
        <v>0</v>
      </c>
      <c r="DV81" s="154">
        <f t="shared" si="332"/>
        <v>0</v>
      </c>
      <c r="DW81" s="154">
        <f t="shared" si="273"/>
        <v>0</v>
      </c>
      <c r="DX81" s="154">
        <f t="shared" si="333"/>
        <v>0</v>
      </c>
      <c r="DY81" s="154">
        <f t="shared" si="274"/>
        <v>0</v>
      </c>
      <c r="DZ81" s="154">
        <f t="shared" si="334"/>
        <v>0</v>
      </c>
      <c r="EA81" s="154">
        <f t="shared" si="275"/>
        <v>0</v>
      </c>
      <c r="EB81" s="157">
        <f t="shared" si="335"/>
        <v>0</v>
      </c>
      <c r="EC81" s="154">
        <f t="shared" si="336"/>
        <v>0</v>
      </c>
      <c r="ED81" s="158">
        <f t="shared" si="337"/>
        <v>0</v>
      </c>
    </row>
    <row r="82" spans="1:134" x14ac:dyDescent="0.35">
      <c r="A82" s="172"/>
      <c r="B82" s="173"/>
      <c r="C82" s="174"/>
      <c r="D82" s="175"/>
      <c r="E82" s="176"/>
      <c r="F82" s="177"/>
      <c r="G82" s="178"/>
      <c r="H82" s="179"/>
      <c r="I82" s="180"/>
      <c r="J82" s="181"/>
      <c r="K82" s="152">
        <f t="shared" si="338"/>
        <v>0</v>
      </c>
      <c r="L82" s="153">
        <f t="shared" si="339"/>
        <v>0</v>
      </c>
      <c r="M82" s="154">
        <f t="shared" si="340"/>
        <v>0</v>
      </c>
      <c r="N82" s="154"/>
      <c r="O82" s="154">
        <f t="shared" si="341"/>
        <v>0</v>
      </c>
      <c r="P82" s="155"/>
      <c r="Q82" s="154">
        <f t="shared" si="342"/>
        <v>0</v>
      </c>
      <c r="R82" s="156">
        <f t="shared" si="343"/>
        <v>0</v>
      </c>
      <c r="S82" s="154">
        <f t="shared" si="344"/>
        <v>0</v>
      </c>
      <c r="T82" s="154">
        <f t="shared" si="345"/>
        <v>0</v>
      </c>
      <c r="U82" s="154">
        <f t="shared" si="346"/>
        <v>0</v>
      </c>
      <c r="V82" s="154">
        <f t="shared" si="347"/>
        <v>0</v>
      </c>
      <c r="W82" s="154">
        <f t="shared" si="348"/>
        <v>0</v>
      </c>
      <c r="X82" s="154">
        <f t="shared" si="349"/>
        <v>0</v>
      </c>
      <c r="Y82" s="154">
        <f t="shared" si="350"/>
        <v>0</v>
      </c>
      <c r="Z82" s="154">
        <f t="shared" si="351"/>
        <v>0</v>
      </c>
      <c r="AA82" s="154">
        <f t="shared" si="352"/>
        <v>0</v>
      </c>
      <c r="AB82" s="157">
        <f t="shared" si="353"/>
        <v>0</v>
      </c>
      <c r="AC82" s="154">
        <f t="shared" si="354"/>
        <v>0</v>
      </c>
      <c r="AD82" s="158">
        <f t="shared" si="355"/>
        <v>0</v>
      </c>
      <c r="AE82" s="156">
        <f t="shared" si="280"/>
        <v>0</v>
      </c>
      <c r="AF82" s="154">
        <f t="shared" si="235"/>
        <v>0</v>
      </c>
      <c r="AG82" s="154">
        <f t="shared" si="281"/>
        <v>0</v>
      </c>
      <c r="AH82" s="154">
        <f t="shared" si="236"/>
        <v>0</v>
      </c>
      <c r="AI82" s="154">
        <f t="shared" si="282"/>
        <v>0</v>
      </c>
      <c r="AJ82" s="154">
        <f t="shared" si="237"/>
        <v>0</v>
      </c>
      <c r="AK82" s="154">
        <f t="shared" si="283"/>
        <v>0</v>
      </c>
      <c r="AL82" s="154">
        <f t="shared" si="238"/>
        <v>0</v>
      </c>
      <c r="AM82" s="154">
        <f t="shared" si="284"/>
        <v>0</v>
      </c>
      <c r="AN82" s="154">
        <f t="shared" si="239"/>
        <v>0</v>
      </c>
      <c r="AO82" s="157">
        <f t="shared" si="285"/>
        <v>0</v>
      </c>
      <c r="AP82" s="154">
        <f t="shared" si="286"/>
        <v>0</v>
      </c>
      <c r="AQ82" s="158">
        <f t="shared" si="287"/>
        <v>0</v>
      </c>
      <c r="AR82" s="156">
        <f t="shared" si="280"/>
        <v>0</v>
      </c>
      <c r="AS82" s="154">
        <f t="shared" si="240"/>
        <v>0</v>
      </c>
      <c r="AT82" s="154">
        <f t="shared" si="288"/>
        <v>0</v>
      </c>
      <c r="AU82" s="154">
        <f t="shared" si="241"/>
        <v>0</v>
      </c>
      <c r="AV82" s="154">
        <f t="shared" si="289"/>
        <v>0</v>
      </c>
      <c r="AW82" s="154">
        <f t="shared" si="242"/>
        <v>0</v>
      </c>
      <c r="AX82" s="154">
        <f t="shared" si="290"/>
        <v>0</v>
      </c>
      <c r="AY82" s="154">
        <f t="shared" si="243"/>
        <v>0</v>
      </c>
      <c r="AZ82" s="154">
        <f t="shared" si="291"/>
        <v>0</v>
      </c>
      <c r="BA82" s="154">
        <f t="shared" si="244"/>
        <v>0</v>
      </c>
      <c r="BB82" s="157">
        <f t="shared" si="292"/>
        <v>0</v>
      </c>
      <c r="BC82" s="154">
        <f t="shared" si="293"/>
        <v>0</v>
      </c>
      <c r="BD82" s="158">
        <f t="shared" si="294"/>
        <v>0</v>
      </c>
      <c r="BE82" s="156">
        <f t="shared" si="280"/>
        <v>0</v>
      </c>
      <c r="BF82" s="154">
        <f t="shared" si="245"/>
        <v>0</v>
      </c>
      <c r="BG82" s="154">
        <f t="shared" si="295"/>
        <v>0</v>
      </c>
      <c r="BH82" s="154">
        <f t="shared" si="246"/>
        <v>0</v>
      </c>
      <c r="BI82" s="154">
        <f t="shared" si="296"/>
        <v>0</v>
      </c>
      <c r="BJ82" s="154">
        <f t="shared" si="247"/>
        <v>0</v>
      </c>
      <c r="BK82" s="154">
        <f t="shared" si="297"/>
        <v>0</v>
      </c>
      <c r="BL82" s="154">
        <f t="shared" si="248"/>
        <v>0</v>
      </c>
      <c r="BM82" s="154">
        <f t="shared" si="298"/>
        <v>0</v>
      </c>
      <c r="BN82" s="154">
        <f t="shared" si="249"/>
        <v>0</v>
      </c>
      <c r="BO82" s="157">
        <f t="shared" si="299"/>
        <v>0</v>
      </c>
      <c r="BP82" s="154">
        <f t="shared" si="300"/>
        <v>0</v>
      </c>
      <c r="BQ82" s="158">
        <f t="shared" si="301"/>
        <v>0</v>
      </c>
      <c r="BR82" s="156">
        <f t="shared" si="280"/>
        <v>0</v>
      </c>
      <c r="BS82" s="154">
        <f t="shared" si="250"/>
        <v>0</v>
      </c>
      <c r="BT82" s="154">
        <f t="shared" si="302"/>
        <v>0</v>
      </c>
      <c r="BU82" s="154">
        <f t="shared" si="251"/>
        <v>0</v>
      </c>
      <c r="BV82" s="154">
        <f t="shared" si="303"/>
        <v>0</v>
      </c>
      <c r="BW82" s="154">
        <f t="shared" si="252"/>
        <v>0</v>
      </c>
      <c r="BX82" s="154">
        <f t="shared" si="304"/>
        <v>0</v>
      </c>
      <c r="BY82" s="154">
        <f t="shared" si="253"/>
        <v>0</v>
      </c>
      <c r="BZ82" s="154">
        <f t="shared" si="305"/>
        <v>0</v>
      </c>
      <c r="CA82" s="154">
        <f t="shared" si="254"/>
        <v>0</v>
      </c>
      <c r="CB82" s="157">
        <f t="shared" si="306"/>
        <v>0</v>
      </c>
      <c r="CC82" s="154">
        <f t="shared" si="307"/>
        <v>0</v>
      </c>
      <c r="CD82" s="158">
        <f t="shared" si="308"/>
        <v>0</v>
      </c>
      <c r="CE82" s="156">
        <f t="shared" si="280"/>
        <v>0</v>
      </c>
      <c r="CF82" s="154">
        <f t="shared" si="255"/>
        <v>0</v>
      </c>
      <c r="CG82" s="154">
        <f t="shared" si="309"/>
        <v>0</v>
      </c>
      <c r="CH82" s="154">
        <f t="shared" si="256"/>
        <v>0</v>
      </c>
      <c r="CI82" s="154">
        <f t="shared" si="310"/>
        <v>0</v>
      </c>
      <c r="CJ82" s="154">
        <f t="shared" si="257"/>
        <v>0</v>
      </c>
      <c r="CK82" s="154">
        <f t="shared" si="311"/>
        <v>0</v>
      </c>
      <c r="CL82" s="154">
        <f t="shared" si="258"/>
        <v>0</v>
      </c>
      <c r="CM82" s="154">
        <f t="shared" si="312"/>
        <v>0</v>
      </c>
      <c r="CN82" s="154">
        <f t="shared" si="259"/>
        <v>0</v>
      </c>
      <c r="CO82" s="157">
        <f t="shared" si="313"/>
        <v>0</v>
      </c>
      <c r="CP82" s="154">
        <f t="shared" si="314"/>
        <v>0</v>
      </c>
      <c r="CQ82" s="158">
        <f t="shared" si="315"/>
        <v>0</v>
      </c>
      <c r="CR82" s="156">
        <f t="shared" si="316"/>
        <v>0</v>
      </c>
      <c r="CS82" s="154">
        <f t="shared" si="261"/>
        <v>0</v>
      </c>
      <c r="CT82" s="154">
        <f t="shared" si="317"/>
        <v>0</v>
      </c>
      <c r="CU82" s="154">
        <f t="shared" si="262"/>
        <v>0</v>
      </c>
      <c r="CV82" s="154">
        <f t="shared" si="318"/>
        <v>0</v>
      </c>
      <c r="CW82" s="154">
        <f t="shared" si="263"/>
        <v>0</v>
      </c>
      <c r="CX82" s="154">
        <f t="shared" si="319"/>
        <v>0</v>
      </c>
      <c r="CY82" s="154">
        <f t="shared" si="264"/>
        <v>0</v>
      </c>
      <c r="CZ82" s="154">
        <f t="shared" si="320"/>
        <v>0</v>
      </c>
      <c r="DA82" s="154">
        <f t="shared" si="265"/>
        <v>0</v>
      </c>
      <c r="DB82" s="157">
        <f t="shared" si="321"/>
        <v>0</v>
      </c>
      <c r="DC82" s="154">
        <f t="shared" si="322"/>
        <v>0</v>
      </c>
      <c r="DD82" s="158">
        <f t="shared" si="323"/>
        <v>0</v>
      </c>
      <c r="DE82" s="156">
        <f t="shared" si="316"/>
        <v>0</v>
      </c>
      <c r="DF82" s="154">
        <f t="shared" si="266"/>
        <v>0</v>
      </c>
      <c r="DG82" s="154">
        <f t="shared" si="324"/>
        <v>0</v>
      </c>
      <c r="DH82" s="154">
        <f t="shared" si="267"/>
        <v>0</v>
      </c>
      <c r="DI82" s="154">
        <f t="shared" si="325"/>
        <v>0</v>
      </c>
      <c r="DJ82" s="154">
        <f t="shared" si="268"/>
        <v>0</v>
      </c>
      <c r="DK82" s="154">
        <f t="shared" si="326"/>
        <v>0</v>
      </c>
      <c r="DL82" s="154">
        <f t="shared" si="269"/>
        <v>0</v>
      </c>
      <c r="DM82" s="154">
        <f t="shared" si="327"/>
        <v>0</v>
      </c>
      <c r="DN82" s="154">
        <f t="shared" si="270"/>
        <v>0</v>
      </c>
      <c r="DO82" s="157">
        <f t="shared" si="328"/>
        <v>0</v>
      </c>
      <c r="DP82" s="154">
        <f t="shared" si="329"/>
        <v>0</v>
      </c>
      <c r="DQ82" s="158">
        <f t="shared" si="330"/>
        <v>0</v>
      </c>
      <c r="DR82" s="156">
        <f t="shared" si="316"/>
        <v>0</v>
      </c>
      <c r="DS82" s="154">
        <f t="shared" si="271"/>
        <v>0</v>
      </c>
      <c r="DT82" s="154">
        <f t="shared" si="331"/>
        <v>0</v>
      </c>
      <c r="DU82" s="154">
        <f t="shared" si="272"/>
        <v>0</v>
      </c>
      <c r="DV82" s="154">
        <f t="shared" si="332"/>
        <v>0</v>
      </c>
      <c r="DW82" s="154">
        <f t="shared" si="273"/>
        <v>0</v>
      </c>
      <c r="DX82" s="154">
        <f t="shared" si="333"/>
        <v>0</v>
      </c>
      <c r="DY82" s="154">
        <f t="shared" si="274"/>
        <v>0</v>
      </c>
      <c r="DZ82" s="154">
        <f t="shared" si="334"/>
        <v>0</v>
      </c>
      <c r="EA82" s="154">
        <f t="shared" si="275"/>
        <v>0</v>
      </c>
      <c r="EB82" s="157">
        <f t="shared" si="335"/>
        <v>0</v>
      </c>
      <c r="EC82" s="154">
        <f t="shared" si="336"/>
        <v>0</v>
      </c>
      <c r="ED82" s="158">
        <f t="shared" si="337"/>
        <v>0</v>
      </c>
    </row>
    <row r="83" spans="1:134" x14ac:dyDescent="0.35">
      <c r="A83" s="172"/>
      <c r="B83" s="173"/>
      <c r="C83" s="174"/>
      <c r="D83" s="175"/>
      <c r="E83" s="176"/>
      <c r="F83" s="177"/>
      <c r="G83" s="178"/>
      <c r="H83" s="179"/>
      <c r="I83" s="180"/>
      <c r="J83" s="181"/>
      <c r="K83" s="152">
        <f t="shared" si="338"/>
        <v>0</v>
      </c>
      <c r="L83" s="153">
        <f t="shared" si="339"/>
        <v>0</v>
      </c>
      <c r="M83" s="154">
        <f t="shared" si="340"/>
        <v>0</v>
      </c>
      <c r="N83" s="154"/>
      <c r="O83" s="154">
        <f t="shared" si="341"/>
        <v>0</v>
      </c>
      <c r="P83" s="155"/>
      <c r="Q83" s="154">
        <f t="shared" si="342"/>
        <v>0</v>
      </c>
      <c r="R83" s="156">
        <f t="shared" si="343"/>
        <v>0</v>
      </c>
      <c r="S83" s="154">
        <f t="shared" si="344"/>
        <v>0</v>
      </c>
      <c r="T83" s="154">
        <f t="shared" si="345"/>
        <v>0</v>
      </c>
      <c r="U83" s="154">
        <f t="shared" si="346"/>
        <v>0</v>
      </c>
      <c r="V83" s="154">
        <f t="shared" si="347"/>
        <v>0</v>
      </c>
      <c r="W83" s="154">
        <f t="shared" si="348"/>
        <v>0</v>
      </c>
      <c r="X83" s="154">
        <f t="shared" si="349"/>
        <v>0</v>
      </c>
      <c r="Y83" s="154">
        <f t="shared" si="350"/>
        <v>0</v>
      </c>
      <c r="Z83" s="154">
        <f t="shared" si="351"/>
        <v>0</v>
      </c>
      <c r="AA83" s="154">
        <f t="shared" si="352"/>
        <v>0</v>
      </c>
      <c r="AB83" s="157">
        <f t="shared" si="353"/>
        <v>0</v>
      </c>
      <c r="AC83" s="154">
        <f t="shared" si="354"/>
        <v>0</v>
      </c>
      <c r="AD83" s="158">
        <f t="shared" si="355"/>
        <v>0</v>
      </c>
      <c r="AE83" s="156">
        <f t="shared" si="280"/>
        <v>0</v>
      </c>
      <c r="AF83" s="154">
        <f t="shared" si="235"/>
        <v>0</v>
      </c>
      <c r="AG83" s="154">
        <f t="shared" si="281"/>
        <v>0</v>
      </c>
      <c r="AH83" s="154">
        <f t="shared" si="236"/>
        <v>0</v>
      </c>
      <c r="AI83" s="154">
        <f t="shared" si="282"/>
        <v>0</v>
      </c>
      <c r="AJ83" s="154">
        <f t="shared" si="237"/>
        <v>0</v>
      </c>
      <c r="AK83" s="154">
        <f t="shared" si="283"/>
        <v>0</v>
      </c>
      <c r="AL83" s="154">
        <f t="shared" si="238"/>
        <v>0</v>
      </c>
      <c r="AM83" s="154">
        <f t="shared" si="284"/>
        <v>0</v>
      </c>
      <c r="AN83" s="154">
        <f t="shared" si="239"/>
        <v>0</v>
      </c>
      <c r="AO83" s="157">
        <f t="shared" si="285"/>
        <v>0</v>
      </c>
      <c r="AP83" s="154">
        <f t="shared" si="286"/>
        <v>0</v>
      </c>
      <c r="AQ83" s="158">
        <f t="shared" si="287"/>
        <v>0</v>
      </c>
      <c r="AR83" s="156">
        <f t="shared" si="280"/>
        <v>0</v>
      </c>
      <c r="AS83" s="154">
        <f t="shared" si="240"/>
        <v>0</v>
      </c>
      <c r="AT83" s="154">
        <f t="shared" si="288"/>
        <v>0</v>
      </c>
      <c r="AU83" s="154">
        <f t="shared" si="241"/>
        <v>0</v>
      </c>
      <c r="AV83" s="154">
        <f t="shared" si="289"/>
        <v>0</v>
      </c>
      <c r="AW83" s="154">
        <f t="shared" si="242"/>
        <v>0</v>
      </c>
      <c r="AX83" s="154">
        <f t="shared" si="290"/>
        <v>0</v>
      </c>
      <c r="AY83" s="154">
        <f t="shared" si="243"/>
        <v>0</v>
      </c>
      <c r="AZ83" s="154">
        <f t="shared" si="291"/>
        <v>0</v>
      </c>
      <c r="BA83" s="154">
        <f t="shared" si="244"/>
        <v>0</v>
      </c>
      <c r="BB83" s="157">
        <f t="shared" si="292"/>
        <v>0</v>
      </c>
      <c r="BC83" s="154">
        <f t="shared" si="293"/>
        <v>0</v>
      </c>
      <c r="BD83" s="158">
        <f t="shared" si="294"/>
        <v>0</v>
      </c>
      <c r="BE83" s="156">
        <f t="shared" si="280"/>
        <v>0</v>
      </c>
      <c r="BF83" s="154">
        <f t="shared" si="245"/>
        <v>0</v>
      </c>
      <c r="BG83" s="154">
        <f t="shared" si="295"/>
        <v>0</v>
      </c>
      <c r="BH83" s="154">
        <f t="shared" si="246"/>
        <v>0</v>
      </c>
      <c r="BI83" s="154">
        <f t="shared" si="296"/>
        <v>0</v>
      </c>
      <c r="BJ83" s="154">
        <f t="shared" si="247"/>
        <v>0</v>
      </c>
      <c r="BK83" s="154">
        <f t="shared" si="297"/>
        <v>0</v>
      </c>
      <c r="BL83" s="154">
        <f t="shared" si="248"/>
        <v>0</v>
      </c>
      <c r="BM83" s="154">
        <f t="shared" si="298"/>
        <v>0</v>
      </c>
      <c r="BN83" s="154">
        <f t="shared" si="249"/>
        <v>0</v>
      </c>
      <c r="BO83" s="157">
        <f t="shared" si="299"/>
        <v>0</v>
      </c>
      <c r="BP83" s="154">
        <f t="shared" si="300"/>
        <v>0</v>
      </c>
      <c r="BQ83" s="158">
        <f t="shared" si="301"/>
        <v>0</v>
      </c>
      <c r="BR83" s="156">
        <f t="shared" si="280"/>
        <v>0</v>
      </c>
      <c r="BS83" s="154">
        <f t="shared" si="250"/>
        <v>0</v>
      </c>
      <c r="BT83" s="154">
        <f t="shared" si="302"/>
        <v>0</v>
      </c>
      <c r="BU83" s="154">
        <f t="shared" si="251"/>
        <v>0</v>
      </c>
      <c r="BV83" s="154">
        <f t="shared" si="303"/>
        <v>0</v>
      </c>
      <c r="BW83" s="154">
        <f t="shared" si="252"/>
        <v>0</v>
      </c>
      <c r="BX83" s="154">
        <f t="shared" si="304"/>
        <v>0</v>
      </c>
      <c r="BY83" s="154">
        <f t="shared" si="253"/>
        <v>0</v>
      </c>
      <c r="BZ83" s="154">
        <f t="shared" si="305"/>
        <v>0</v>
      </c>
      <c r="CA83" s="154">
        <f t="shared" si="254"/>
        <v>0</v>
      </c>
      <c r="CB83" s="157">
        <f t="shared" si="306"/>
        <v>0</v>
      </c>
      <c r="CC83" s="154">
        <f t="shared" si="307"/>
        <v>0</v>
      </c>
      <c r="CD83" s="158">
        <f t="shared" si="308"/>
        <v>0</v>
      </c>
      <c r="CE83" s="156">
        <f t="shared" si="280"/>
        <v>0</v>
      </c>
      <c r="CF83" s="154">
        <f t="shared" si="255"/>
        <v>0</v>
      </c>
      <c r="CG83" s="154">
        <f t="shared" si="309"/>
        <v>0</v>
      </c>
      <c r="CH83" s="154">
        <f t="shared" si="256"/>
        <v>0</v>
      </c>
      <c r="CI83" s="154">
        <f t="shared" si="310"/>
        <v>0</v>
      </c>
      <c r="CJ83" s="154">
        <f t="shared" si="257"/>
        <v>0</v>
      </c>
      <c r="CK83" s="154">
        <f t="shared" si="311"/>
        <v>0</v>
      </c>
      <c r="CL83" s="154">
        <f t="shared" si="258"/>
        <v>0</v>
      </c>
      <c r="CM83" s="154">
        <f t="shared" si="312"/>
        <v>0</v>
      </c>
      <c r="CN83" s="154">
        <f t="shared" si="259"/>
        <v>0</v>
      </c>
      <c r="CO83" s="157">
        <f t="shared" si="313"/>
        <v>0</v>
      </c>
      <c r="CP83" s="154">
        <f t="shared" si="314"/>
        <v>0</v>
      </c>
      <c r="CQ83" s="158">
        <f t="shared" si="315"/>
        <v>0</v>
      </c>
      <c r="CR83" s="156">
        <f t="shared" si="316"/>
        <v>0</v>
      </c>
      <c r="CS83" s="154">
        <f t="shared" si="261"/>
        <v>0</v>
      </c>
      <c r="CT83" s="154">
        <f t="shared" si="317"/>
        <v>0</v>
      </c>
      <c r="CU83" s="154">
        <f t="shared" si="262"/>
        <v>0</v>
      </c>
      <c r="CV83" s="154">
        <f t="shared" si="318"/>
        <v>0</v>
      </c>
      <c r="CW83" s="154">
        <f t="shared" si="263"/>
        <v>0</v>
      </c>
      <c r="CX83" s="154">
        <f t="shared" si="319"/>
        <v>0</v>
      </c>
      <c r="CY83" s="154">
        <f t="shared" si="264"/>
        <v>0</v>
      </c>
      <c r="CZ83" s="154">
        <f t="shared" si="320"/>
        <v>0</v>
      </c>
      <c r="DA83" s="154">
        <f t="shared" si="265"/>
        <v>0</v>
      </c>
      <c r="DB83" s="157">
        <f t="shared" si="321"/>
        <v>0</v>
      </c>
      <c r="DC83" s="154">
        <f t="shared" si="322"/>
        <v>0</v>
      </c>
      <c r="DD83" s="158">
        <f t="shared" si="323"/>
        <v>0</v>
      </c>
      <c r="DE83" s="156">
        <f t="shared" si="316"/>
        <v>0</v>
      </c>
      <c r="DF83" s="154">
        <f t="shared" si="266"/>
        <v>0</v>
      </c>
      <c r="DG83" s="154">
        <f t="shared" si="324"/>
        <v>0</v>
      </c>
      <c r="DH83" s="154">
        <f t="shared" si="267"/>
        <v>0</v>
      </c>
      <c r="DI83" s="154">
        <f t="shared" si="325"/>
        <v>0</v>
      </c>
      <c r="DJ83" s="154">
        <f t="shared" si="268"/>
        <v>0</v>
      </c>
      <c r="DK83" s="154">
        <f t="shared" si="326"/>
        <v>0</v>
      </c>
      <c r="DL83" s="154">
        <f t="shared" si="269"/>
        <v>0</v>
      </c>
      <c r="DM83" s="154">
        <f t="shared" si="327"/>
        <v>0</v>
      </c>
      <c r="DN83" s="154">
        <f t="shared" si="270"/>
        <v>0</v>
      </c>
      <c r="DO83" s="157">
        <f t="shared" si="328"/>
        <v>0</v>
      </c>
      <c r="DP83" s="154">
        <f t="shared" si="329"/>
        <v>0</v>
      </c>
      <c r="DQ83" s="158">
        <f t="shared" si="330"/>
        <v>0</v>
      </c>
      <c r="DR83" s="156">
        <f t="shared" si="316"/>
        <v>0</v>
      </c>
      <c r="DS83" s="154">
        <f t="shared" si="271"/>
        <v>0</v>
      </c>
      <c r="DT83" s="154">
        <f t="shared" si="331"/>
        <v>0</v>
      </c>
      <c r="DU83" s="154">
        <f t="shared" si="272"/>
        <v>0</v>
      </c>
      <c r="DV83" s="154">
        <f t="shared" si="332"/>
        <v>0</v>
      </c>
      <c r="DW83" s="154">
        <f t="shared" si="273"/>
        <v>0</v>
      </c>
      <c r="DX83" s="154">
        <f t="shared" si="333"/>
        <v>0</v>
      </c>
      <c r="DY83" s="154">
        <f t="shared" si="274"/>
        <v>0</v>
      </c>
      <c r="DZ83" s="154">
        <f t="shared" si="334"/>
        <v>0</v>
      </c>
      <c r="EA83" s="154">
        <f t="shared" si="275"/>
        <v>0</v>
      </c>
      <c r="EB83" s="157">
        <f t="shared" si="335"/>
        <v>0</v>
      </c>
      <c r="EC83" s="154">
        <f t="shared" si="336"/>
        <v>0</v>
      </c>
      <c r="ED83" s="158">
        <f t="shared" si="337"/>
        <v>0</v>
      </c>
    </row>
    <row r="84" spans="1:134" x14ac:dyDescent="0.35">
      <c r="A84" s="172"/>
      <c r="B84" s="173"/>
      <c r="C84" s="174"/>
      <c r="D84" s="175"/>
      <c r="E84" s="176"/>
      <c r="F84" s="177"/>
      <c r="G84" s="178"/>
      <c r="H84" s="179"/>
      <c r="I84" s="180"/>
      <c r="J84" s="181"/>
      <c r="K84" s="152">
        <f t="shared" si="338"/>
        <v>0</v>
      </c>
      <c r="L84" s="153">
        <f t="shared" si="339"/>
        <v>0</v>
      </c>
      <c r="M84" s="154">
        <f t="shared" si="340"/>
        <v>0</v>
      </c>
      <c r="N84" s="154"/>
      <c r="O84" s="154">
        <f t="shared" si="341"/>
        <v>0</v>
      </c>
      <c r="P84" s="155"/>
      <c r="Q84" s="154">
        <f t="shared" si="342"/>
        <v>0</v>
      </c>
      <c r="R84" s="156">
        <f t="shared" si="343"/>
        <v>0</v>
      </c>
      <c r="S84" s="154">
        <f t="shared" si="344"/>
        <v>0</v>
      </c>
      <c r="T84" s="154">
        <f t="shared" si="345"/>
        <v>0</v>
      </c>
      <c r="U84" s="154">
        <f t="shared" si="346"/>
        <v>0</v>
      </c>
      <c r="V84" s="154">
        <f t="shared" si="347"/>
        <v>0</v>
      </c>
      <c r="W84" s="154">
        <f t="shared" si="348"/>
        <v>0</v>
      </c>
      <c r="X84" s="154">
        <f t="shared" si="349"/>
        <v>0</v>
      </c>
      <c r="Y84" s="154">
        <f t="shared" si="350"/>
        <v>0</v>
      </c>
      <c r="Z84" s="154">
        <f t="shared" si="351"/>
        <v>0</v>
      </c>
      <c r="AA84" s="154">
        <f t="shared" si="352"/>
        <v>0</v>
      </c>
      <c r="AB84" s="157">
        <f t="shared" si="353"/>
        <v>0</v>
      </c>
      <c r="AC84" s="154">
        <f t="shared" si="354"/>
        <v>0</v>
      </c>
      <c r="AD84" s="158">
        <f t="shared" si="355"/>
        <v>0</v>
      </c>
      <c r="AE84" s="156">
        <f t="shared" si="280"/>
        <v>0</v>
      </c>
      <c r="AF84" s="154">
        <f t="shared" si="235"/>
        <v>0</v>
      </c>
      <c r="AG84" s="154">
        <f t="shared" si="281"/>
        <v>0</v>
      </c>
      <c r="AH84" s="154">
        <f t="shared" si="236"/>
        <v>0</v>
      </c>
      <c r="AI84" s="154">
        <f t="shared" si="282"/>
        <v>0</v>
      </c>
      <c r="AJ84" s="154">
        <f t="shared" si="237"/>
        <v>0</v>
      </c>
      <c r="AK84" s="154">
        <f t="shared" si="283"/>
        <v>0</v>
      </c>
      <c r="AL84" s="154">
        <f t="shared" si="238"/>
        <v>0</v>
      </c>
      <c r="AM84" s="154">
        <f t="shared" si="284"/>
        <v>0</v>
      </c>
      <c r="AN84" s="154">
        <f t="shared" si="239"/>
        <v>0</v>
      </c>
      <c r="AO84" s="157">
        <f t="shared" si="285"/>
        <v>0</v>
      </c>
      <c r="AP84" s="154">
        <f t="shared" si="286"/>
        <v>0</v>
      </c>
      <c r="AQ84" s="158">
        <f t="shared" si="287"/>
        <v>0</v>
      </c>
      <c r="AR84" s="156">
        <f t="shared" si="280"/>
        <v>0</v>
      </c>
      <c r="AS84" s="154">
        <f t="shared" si="240"/>
        <v>0</v>
      </c>
      <c r="AT84" s="154">
        <f t="shared" si="288"/>
        <v>0</v>
      </c>
      <c r="AU84" s="154">
        <f t="shared" si="241"/>
        <v>0</v>
      </c>
      <c r="AV84" s="154">
        <f t="shared" si="289"/>
        <v>0</v>
      </c>
      <c r="AW84" s="154">
        <f t="shared" si="242"/>
        <v>0</v>
      </c>
      <c r="AX84" s="154">
        <f t="shared" si="290"/>
        <v>0</v>
      </c>
      <c r="AY84" s="154">
        <f t="shared" si="243"/>
        <v>0</v>
      </c>
      <c r="AZ84" s="154">
        <f t="shared" si="291"/>
        <v>0</v>
      </c>
      <c r="BA84" s="154">
        <f t="shared" si="244"/>
        <v>0</v>
      </c>
      <c r="BB84" s="157">
        <f t="shared" si="292"/>
        <v>0</v>
      </c>
      <c r="BC84" s="154">
        <f t="shared" si="293"/>
        <v>0</v>
      </c>
      <c r="BD84" s="158">
        <f t="shared" si="294"/>
        <v>0</v>
      </c>
      <c r="BE84" s="156">
        <f t="shared" si="280"/>
        <v>0</v>
      </c>
      <c r="BF84" s="154">
        <f t="shared" si="245"/>
        <v>0</v>
      </c>
      <c r="BG84" s="154">
        <f t="shared" si="295"/>
        <v>0</v>
      </c>
      <c r="BH84" s="154">
        <f t="shared" si="246"/>
        <v>0</v>
      </c>
      <c r="BI84" s="154">
        <f t="shared" si="296"/>
        <v>0</v>
      </c>
      <c r="BJ84" s="154">
        <f t="shared" si="247"/>
        <v>0</v>
      </c>
      <c r="BK84" s="154">
        <f t="shared" si="297"/>
        <v>0</v>
      </c>
      <c r="BL84" s="154">
        <f t="shared" si="248"/>
        <v>0</v>
      </c>
      <c r="BM84" s="154">
        <f t="shared" si="298"/>
        <v>0</v>
      </c>
      <c r="BN84" s="154">
        <f t="shared" si="249"/>
        <v>0</v>
      </c>
      <c r="BO84" s="157">
        <f t="shared" si="299"/>
        <v>0</v>
      </c>
      <c r="BP84" s="154">
        <f t="shared" si="300"/>
        <v>0</v>
      </c>
      <c r="BQ84" s="158">
        <f t="shared" si="301"/>
        <v>0</v>
      </c>
      <c r="BR84" s="156">
        <f t="shared" si="280"/>
        <v>0</v>
      </c>
      <c r="BS84" s="154">
        <f t="shared" si="250"/>
        <v>0</v>
      </c>
      <c r="BT84" s="154">
        <f t="shared" si="302"/>
        <v>0</v>
      </c>
      <c r="BU84" s="154">
        <f t="shared" si="251"/>
        <v>0</v>
      </c>
      <c r="BV84" s="154">
        <f t="shared" si="303"/>
        <v>0</v>
      </c>
      <c r="BW84" s="154">
        <f t="shared" si="252"/>
        <v>0</v>
      </c>
      <c r="BX84" s="154">
        <f t="shared" si="304"/>
        <v>0</v>
      </c>
      <c r="BY84" s="154">
        <f t="shared" si="253"/>
        <v>0</v>
      </c>
      <c r="BZ84" s="154">
        <f t="shared" si="305"/>
        <v>0</v>
      </c>
      <c r="CA84" s="154">
        <f t="shared" si="254"/>
        <v>0</v>
      </c>
      <c r="CB84" s="157">
        <f t="shared" si="306"/>
        <v>0</v>
      </c>
      <c r="CC84" s="154">
        <f t="shared" si="307"/>
        <v>0</v>
      </c>
      <c r="CD84" s="158">
        <f t="shared" si="308"/>
        <v>0</v>
      </c>
      <c r="CE84" s="156">
        <f t="shared" si="280"/>
        <v>0</v>
      </c>
      <c r="CF84" s="154">
        <f t="shared" si="255"/>
        <v>0</v>
      </c>
      <c r="CG84" s="154">
        <f t="shared" si="309"/>
        <v>0</v>
      </c>
      <c r="CH84" s="154">
        <f t="shared" si="256"/>
        <v>0</v>
      </c>
      <c r="CI84" s="154">
        <f t="shared" si="310"/>
        <v>0</v>
      </c>
      <c r="CJ84" s="154">
        <f t="shared" si="257"/>
        <v>0</v>
      </c>
      <c r="CK84" s="154">
        <f t="shared" si="311"/>
        <v>0</v>
      </c>
      <c r="CL84" s="154">
        <f t="shared" si="258"/>
        <v>0</v>
      </c>
      <c r="CM84" s="154">
        <f t="shared" si="312"/>
        <v>0</v>
      </c>
      <c r="CN84" s="154">
        <f t="shared" si="259"/>
        <v>0</v>
      </c>
      <c r="CO84" s="157">
        <f t="shared" si="313"/>
        <v>0</v>
      </c>
      <c r="CP84" s="154">
        <f t="shared" si="314"/>
        <v>0</v>
      </c>
      <c r="CQ84" s="158">
        <f t="shared" si="315"/>
        <v>0</v>
      </c>
      <c r="CR84" s="156">
        <f t="shared" si="316"/>
        <v>0</v>
      </c>
      <c r="CS84" s="154">
        <f t="shared" si="261"/>
        <v>0</v>
      </c>
      <c r="CT84" s="154">
        <f t="shared" si="317"/>
        <v>0</v>
      </c>
      <c r="CU84" s="154">
        <f t="shared" si="262"/>
        <v>0</v>
      </c>
      <c r="CV84" s="154">
        <f t="shared" si="318"/>
        <v>0</v>
      </c>
      <c r="CW84" s="154">
        <f t="shared" si="263"/>
        <v>0</v>
      </c>
      <c r="CX84" s="154">
        <f t="shared" si="319"/>
        <v>0</v>
      </c>
      <c r="CY84" s="154">
        <f t="shared" si="264"/>
        <v>0</v>
      </c>
      <c r="CZ84" s="154">
        <f t="shared" si="320"/>
        <v>0</v>
      </c>
      <c r="DA84" s="154">
        <f t="shared" si="265"/>
        <v>0</v>
      </c>
      <c r="DB84" s="157">
        <f t="shared" si="321"/>
        <v>0</v>
      </c>
      <c r="DC84" s="154">
        <f t="shared" si="322"/>
        <v>0</v>
      </c>
      <c r="DD84" s="158">
        <f t="shared" si="323"/>
        <v>0</v>
      </c>
      <c r="DE84" s="156">
        <f t="shared" si="316"/>
        <v>0</v>
      </c>
      <c r="DF84" s="154">
        <f t="shared" si="266"/>
        <v>0</v>
      </c>
      <c r="DG84" s="154">
        <f t="shared" si="324"/>
        <v>0</v>
      </c>
      <c r="DH84" s="154">
        <f t="shared" si="267"/>
        <v>0</v>
      </c>
      <c r="DI84" s="154">
        <f t="shared" si="325"/>
        <v>0</v>
      </c>
      <c r="DJ84" s="154">
        <f t="shared" si="268"/>
        <v>0</v>
      </c>
      <c r="DK84" s="154">
        <f t="shared" si="326"/>
        <v>0</v>
      </c>
      <c r="DL84" s="154">
        <f t="shared" si="269"/>
        <v>0</v>
      </c>
      <c r="DM84" s="154">
        <f t="shared" si="327"/>
        <v>0</v>
      </c>
      <c r="DN84" s="154">
        <f t="shared" si="270"/>
        <v>0</v>
      </c>
      <c r="DO84" s="157">
        <f t="shared" si="328"/>
        <v>0</v>
      </c>
      <c r="DP84" s="154">
        <f t="shared" si="329"/>
        <v>0</v>
      </c>
      <c r="DQ84" s="158">
        <f t="shared" si="330"/>
        <v>0</v>
      </c>
      <c r="DR84" s="156">
        <f t="shared" si="316"/>
        <v>0</v>
      </c>
      <c r="DS84" s="154">
        <f t="shared" si="271"/>
        <v>0</v>
      </c>
      <c r="DT84" s="154">
        <f t="shared" si="331"/>
        <v>0</v>
      </c>
      <c r="DU84" s="154">
        <f t="shared" si="272"/>
        <v>0</v>
      </c>
      <c r="DV84" s="154">
        <f t="shared" si="332"/>
        <v>0</v>
      </c>
      <c r="DW84" s="154">
        <f t="shared" si="273"/>
        <v>0</v>
      </c>
      <c r="DX84" s="154">
        <f t="shared" si="333"/>
        <v>0</v>
      </c>
      <c r="DY84" s="154">
        <f t="shared" si="274"/>
        <v>0</v>
      </c>
      <c r="DZ84" s="154">
        <f t="shared" si="334"/>
        <v>0</v>
      </c>
      <c r="EA84" s="154">
        <f t="shared" si="275"/>
        <v>0</v>
      </c>
      <c r="EB84" s="157">
        <f t="shared" si="335"/>
        <v>0</v>
      </c>
      <c r="EC84" s="154">
        <f t="shared" si="336"/>
        <v>0</v>
      </c>
      <c r="ED84" s="158">
        <f t="shared" si="337"/>
        <v>0</v>
      </c>
    </row>
    <row r="85" spans="1:134" x14ac:dyDescent="0.35">
      <c r="A85" s="172"/>
      <c r="B85" s="173"/>
      <c r="C85" s="174"/>
      <c r="D85" s="175"/>
      <c r="E85" s="176"/>
      <c r="F85" s="177"/>
      <c r="G85" s="178"/>
      <c r="H85" s="179"/>
      <c r="I85" s="180"/>
      <c r="J85" s="181"/>
      <c r="K85" s="152">
        <f t="shared" si="338"/>
        <v>0</v>
      </c>
      <c r="L85" s="153">
        <f t="shared" si="339"/>
        <v>0</v>
      </c>
      <c r="M85" s="154">
        <f t="shared" si="340"/>
        <v>0</v>
      </c>
      <c r="N85" s="154"/>
      <c r="O85" s="154">
        <f t="shared" si="341"/>
        <v>0</v>
      </c>
      <c r="P85" s="155"/>
      <c r="Q85" s="154">
        <f t="shared" si="342"/>
        <v>0</v>
      </c>
      <c r="R85" s="156">
        <f t="shared" si="343"/>
        <v>0</v>
      </c>
      <c r="S85" s="154">
        <f t="shared" si="344"/>
        <v>0</v>
      </c>
      <c r="T85" s="154">
        <f t="shared" si="345"/>
        <v>0</v>
      </c>
      <c r="U85" s="154">
        <f t="shared" si="346"/>
        <v>0</v>
      </c>
      <c r="V85" s="154">
        <f t="shared" si="347"/>
        <v>0</v>
      </c>
      <c r="W85" s="154">
        <f t="shared" si="348"/>
        <v>0</v>
      </c>
      <c r="X85" s="154">
        <f t="shared" si="349"/>
        <v>0</v>
      </c>
      <c r="Y85" s="154">
        <f t="shared" si="350"/>
        <v>0</v>
      </c>
      <c r="Z85" s="154">
        <f t="shared" si="351"/>
        <v>0</v>
      </c>
      <c r="AA85" s="154">
        <f t="shared" si="352"/>
        <v>0</v>
      </c>
      <c r="AB85" s="157">
        <f t="shared" si="353"/>
        <v>0</v>
      </c>
      <c r="AC85" s="154">
        <f t="shared" si="354"/>
        <v>0</v>
      </c>
      <c r="AD85" s="158">
        <f t="shared" si="355"/>
        <v>0</v>
      </c>
      <c r="AE85" s="156">
        <f t="shared" ref="AE85:CE100" si="356">IF(YEAR($F85)=AE$4,$E85,0)</f>
        <v>0</v>
      </c>
      <c r="AF85" s="154">
        <f t="shared" ref="AF85:AF125" si="357">IF($J85&lt;&gt;"H",AE85,0)</f>
        <v>0</v>
      </c>
      <c r="AG85" s="154">
        <f t="shared" si="281"/>
        <v>0</v>
      </c>
      <c r="AH85" s="154">
        <f t="shared" ref="AH85:AH125" si="358">IF($J85&lt;&gt;"H",AG85,0)</f>
        <v>0</v>
      </c>
      <c r="AI85" s="154">
        <f t="shared" si="282"/>
        <v>0</v>
      </c>
      <c r="AJ85" s="154">
        <f t="shared" ref="AJ85:AJ125" si="359">IF(AK85&lt;&gt;0,ROUND(AK85/$L85*AI85,2),0)</f>
        <v>0</v>
      </c>
      <c r="AK85" s="154">
        <f t="shared" si="283"/>
        <v>0</v>
      </c>
      <c r="AL85" s="154">
        <f t="shared" ref="AL85:AL125" si="360">IF($J85&lt;&gt;"H",AK85,0)</f>
        <v>0</v>
      </c>
      <c r="AM85" s="154">
        <f t="shared" si="284"/>
        <v>0</v>
      </c>
      <c r="AN85" s="154">
        <f t="shared" ref="AN85:AN125" si="361">IF($J85&lt;&gt;"H",AM85,0)</f>
        <v>0</v>
      </c>
      <c r="AO85" s="157">
        <f t="shared" si="285"/>
        <v>0</v>
      </c>
      <c r="AP85" s="154">
        <f t="shared" si="286"/>
        <v>0</v>
      </c>
      <c r="AQ85" s="158">
        <f t="shared" si="287"/>
        <v>0</v>
      </c>
      <c r="AR85" s="156">
        <f t="shared" si="356"/>
        <v>0</v>
      </c>
      <c r="AS85" s="154">
        <f t="shared" ref="AS85:AS125" si="362">IF($J85&lt;&gt;"H",AR85,0)</f>
        <v>0</v>
      </c>
      <c r="AT85" s="154">
        <f t="shared" si="288"/>
        <v>0</v>
      </c>
      <c r="AU85" s="154">
        <f t="shared" ref="AU85:AU125" si="363">IF($J85&lt;&gt;"H",AT85,0)</f>
        <v>0</v>
      </c>
      <c r="AV85" s="154">
        <f t="shared" si="289"/>
        <v>0</v>
      </c>
      <c r="AW85" s="154">
        <f t="shared" ref="AW85:AW125" si="364">IF(AX85&lt;&gt;0,ROUND(AX85/$L85*AV85,2),0)</f>
        <v>0</v>
      </c>
      <c r="AX85" s="154">
        <f t="shared" si="290"/>
        <v>0</v>
      </c>
      <c r="AY85" s="154">
        <f t="shared" ref="AY85:AY125" si="365">IF($J85&lt;&gt;"H",AX85,0)</f>
        <v>0</v>
      </c>
      <c r="AZ85" s="154">
        <f t="shared" si="291"/>
        <v>0</v>
      </c>
      <c r="BA85" s="154">
        <f t="shared" ref="BA85:BA125" si="366">IF($J85&lt;&gt;"H",AZ85,0)</f>
        <v>0</v>
      </c>
      <c r="BB85" s="157">
        <f t="shared" si="292"/>
        <v>0</v>
      </c>
      <c r="BC85" s="154">
        <f t="shared" si="293"/>
        <v>0</v>
      </c>
      <c r="BD85" s="158">
        <f t="shared" si="294"/>
        <v>0</v>
      </c>
      <c r="BE85" s="156">
        <f t="shared" si="356"/>
        <v>0</v>
      </c>
      <c r="BF85" s="154">
        <f t="shared" ref="BF85:BF125" si="367">IF($J85&lt;&gt;"H",BE85,0)</f>
        <v>0</v>
      </c>
      <c r="BG85" s="154">
        <f t="shared" si="295"/>
        <v>0</v>
      </c>
      <c r="BH85" s="154">
        <f t="shared" ref="BH85:BH125" si="368">IF($J85&lt;&gt;"H",BG85,0)</f>
        <v>0</v>
      </c>
      <c r="BI85" s="154">
        <f t="shared" si="296"/>
        <v>0</v>
      </c>
      <c r="BJ85" s="154">
        <f t="shared" ref="BJ85:BJ125" si="369">IF(BK85&lt;&gt;0,ROUND(BK85/$L85*BI85,2),0)</f>
        <v>0</v>
      </c>
      <c r="BK85" s="154">
        <f t="shared" si="297"/>
        <v>0</v>
      </c>
      <c r="BL85" s="154">
        <f t="shared" ref="BL85:BL125" si="370">IF($J85&lt;&gt;"H",BK85,0)</f>
        <v>0</v>
      </c>
      <c r="BM85" s="154">
        <f t="shared" si="298"/>
        <v>0</v>
      </c>
      <c r="BN85" s="154">
        <f t="shared" ref="BN85:BN125" si="371">IF($J85&lt;&gt;"H",BM85,0)</f>
        <v>0</v>
      </c>
      <c r="BO85" s="157">
        <f t="shared" si="299"/>
        <v>0</v>
      </c>
      <c r="BP85" s="154">
        <f t="shared" si="300"/>
        <v>0</v>
      </c>
      <c r="BQ85" s="158">
        <f t="shared" si="301"/>
        <v>0</v>
      </c>
      <c r="BR85" s="156">
        <f t="shared" si="356"/>
        <v>0</v>
      </c>
      <c r="BS85" s="154">
        <f t="shared" ref="BS85:BS125" si="372">IF($J85&lt;&gt;"H",BR85,0)</f>
        <v>0</v>
      </c>
      <c r="BT85" s="154">
        <f t="shared" si="302"/>
        <v>0</v>
      </c>
      <c r="BU85" s="154">
        <f t="shared" ref="BU85:BU125" si="373">IF($J85&lt;&gt;"H",BT85,0)</f>
        <v>0</v>
      </c>
      <c r="BV85" s="154">
        <f t="shared" si="303"/>
        <v>0</v>
      </c>
      <c r="BW85" s="154">
        <f t="shared" ref="BW85:BW125" si="374">IF(BX85&lt;&gt;0,ROUND(BX85/$L85*BV85,2),0)</f>
        <v>0</v>
      </c>
      <c r="BX85" s="154">
        <f t="shared" si="304"/>
        <v>0</v>
      </c>
      <c r="BY85" s="154">
        <f t="shared" ref="BY85:BY125" si="375">IF($J85&lt;&gt;"H",BX85,0)</f>
        <v>0</v>
      </c>
      <c r="BZ85" s="154">
        <f t="shared" si="305"/>
        <v>0</v>
      </c>
      <c r="CA85" s="154">
        <f t="shared" ref="CA85:CA125" si="376">IF($J85&lt;&gt;"H",BZ85,0)</f>
        <v>0</v>
      </c>
      <c r="CB85" s="157">
        <f t="shared" si="306"/>
        <v>0</v>
      </c>
      <c r="CC85" s="154">
        <f t="shared" si="307"/>
        <v>0</v>
      </c>
      <c r="CD85" s="158">
        <f t="shared" si="308"/>
        <v>0</v>
      </c>
      <c r="CE85" s="156">
        <f t="shared" si="356"/>
        <v>0</v>
      </c>
      <c r="CF85" s="154">
        <f t="shared" ref="CF85:CF125" si="377">IF($J85&lt;&gt;"H",CE85,0)</f>
        <v>0</v>
      </c>
      <c r="CG85" s="154">
        <f t="shared" si="309"/>
        <v>0</v>
      </c>
      <c r="CH85" s="154">
        <f t="shared" ref="CH85:CH125" si="378">IF($J85&lt;&gt;"H",CG85,0)</f>
        <v>0</v>
      </c>
      <c r="CI85" s="154">
        <f t="shared" si="310"/>
        <v>0</v>
      </c>
      <c r="CJ85" s="154">
        <f t="shared" ref="CJ85:CJ125" si="379">IF(CK85&lt;&gt;0,ROUND(CK85/$L85*CI85,2),0)</f>
        <v>0</v>
      </c>
      <c r="CK85" s="154">
        <f t="shared" si="311"/>
        <v>0</v>
      </c>
      <c r="CL85" s="154">
        <f t="shared" ref="CL85:CL125" si="380">IF($J85&lt;&gt;"H",CK85,0)</f>
        <v>0</v>
      </c>
      <c r="CM85" s="154">
        <f t="shared" si="312"/>
        <v>0</v>
      </c>
      <c r="CN85" s="154">
        <f t="shared" ref="CN85:CN125" si="381">IF($J85&lt;&gt;"H",CM85,0)</f>
        <v>0</v>
      </c>
      <c r="CO85" s="157">
        <f t="shared" si="313"/>
        <v>0</v>
      </c>
      <c r="CP85" s="154">
        <f t="shared" si="314"/>
        <v>0</v>
      </c>
      <c r="CQ85" s="158">
        <f t="shared" si="315"/>
        <v>0</v>
      </c>
      <c r="CR85" s="156">
        <f t="shared" ref="CR85:DR100" si="382">IF(YEAR($F85)=CR$4,$E85,0)</f>
        <v>0</v>
      </c>
      <c r="CS85" s="154">
        <f t="shared" ref="CS85:CS125" si="383">IF($J85&lt;&gt;"H",CR85,0)</f>
        <v>0</v>
      </c>
      <c r="CT85" s="154">
        <f t="shared" si="317"/>
        <v>0</v>
      </c>
      <c r="CU85" s="154">
        <f t="shared" ref="CU85:CU125" si="384">IF($J85&lt;&gt;"H",CT85,0)</f>
        <v>0</v>
      </c>
      <c r="CV85" s="154">
        <f t="shared" si="318"/>
        <v>0</v>
      </c>
      <c r="CW85" s="154">
        <f t="shared" ref="CW85:CW125" si="385">IF(CX85&lt;&gt;0,ROUND(CX85/$L85*CV85,2),0)</f>
        <v>0</v>
      </c>
      <c r="CX85" s="154">
        <f t="shared" si="319"/>
        <v>0</v>
      </c>
      <c r="CY85" s="154">
        <f t="shared" ref="CY85:CY125" si="386">IF($J85&lt;&gt;"H",CX85,0)</f>
        <v>0</v>
      </c>
      <c r="CZ85" s="154">
        <f t="shared" si="320"/>
        <v>0</v>
      </c>
      <c r="DA85" s="154">
        <f t="shared" ref="DA85:DA125" si="387">IF($J85&lt;&gt;"H",CZ85,0)</f>
        <v>0</v>
      </c>
      <c r="DB85" s="157">
        <f t="shared" si="321"/>
        <v>0</v>
      </c>
      <c r="DC85" s="154">
        <f t="shared" si="322"/>
        <v>0</v>
      </c>
      <c r="DD85" s="158">
        <f t="shared" si="323"/>
        <v>0</v>
      </c>
      <c r="DE85" s="156">
        <f t="shared" si="382"/>
        <v>0</v>
      </c>
      <c r="DF85" s="154">
        <f t="shared" ref="DF85:DF125" si="388">IF($J85&lt;&gt;"H",DE85,0)</f>
        <v>0</v>
      </c>
      <c r="DG85" s="154">
        <f t="shared" si="324"/>
        <v>0</v>
      </c>
      <c r="DH85" s="154">
        <f t="shared" ref="DH85:DH125" si="389">IF($J85&lt;&gt;"H",DG85,0)</f>
        <v>0</v>
      </c>
      <c r="DI85" s="154">
        <f t="shared" si="325"/>
        <v>0</v>
      </c>
      <c r="DJ85" s="154">
        <f t="shared" ref="DJ85:DJ125" si="390">IF(DK85&lt;&gt;0,ROUND(DK85/$L85*DI85,2),0)</f>
        <v>0</v>
      </c>
      <c r="DK85" s="154">
        <f t="shared" si="326"/>
        <v>0</v>
      </c>
      <c r="DL85" s="154">
        <f t="shared" ref="DL85:DL125" si="391">IF($J85&lt;&gt;"H",DK85,0)</f>
        <v>0</v>
      </c>
      <c r="DM85" s="154">
        <f t="shared" si="327"/>
        <v>0</v>
      </c>
      <c r="DN85" s="154">
        <f t="shared" ref="DN85:DN125" si="392">IF($J85&lt;&gt;"H",DM85,0)</f>
        <v>0</v>
      </c>
      <c r="DO85" s="157">
        <f t="shared" si="328"/>
        <v>0</v>
      </c>
      <c r="DP85" s="154">
        <f t="shared" si="329"/>
        <v>0</v>
      </c>
      <c r="DQ85" s="158">
        <f t="shared" si="330"/>
        <v>0</v>
      </c>
      <c r="DR85" s="156">
        <f t="shared" si="382"/>
        <v>0</v>
      </c>
      <c r="DS85" s="154">
        <f t="shared" ref="DS85:DS125" si="393">IF($J85&lt;&gt;"H",DR85,0)</f>
        <v>0</v>
      </c>
      <c r="DT85" s="154">
        <f t="shared" si="331"/>
        <v>0</v>
      </c>
      <c r="DU85" s="154">
        <f t="shared" ref="DU85:DU125" si="394">IF($J85&lt;&gt;"H",DT85,0)</f>
        <v>0</v>
      </c>
      <c r="DV85" s="154">
        <f t="shared" si="332"/>
        <v>0</v>
      </c>
      <c r="DW85" s="154">
        <f t="shared" ref="DW85:DW125" si="395">IF(DX85&lt;&gt;0,ROUND(DX85/$L85*DV85,2),0)</f>
        <v>0</v>
      </c>
      <c r="DX85" s="154">
        <f t="shared" si="333"/>
        <v>0</v>
      </c>
      <c r="DY85" s="154">
        <f t="shared" ref="DY85:DY125" si="396">IF($J85&lt;&gt;"H",DX85,0)</f>
        <v>0</v>
      </c>
      <c r="DZ85" s="154">
        <f t="shared" si="334"/>
        <v>0</v>
      </c>
      <c r="EA85" s="154">
        <f t="shared" ref="EA85:EA125" si="397">IF($J85&lt;&gt;"H",DZ85,0)</f>
        <v>0</v>
      </c>
      <c r="EB85" s="157">
        <f t="shared" si="335"/>
        <v>0</v>
      </c>
      <c r="EC85" s="154">
        <f t="shared" si="336"/>
        <v>0</v>
      </c>
      <c r="ED85" s="158">
        <f t="shared" si="337"/>
        <v>0</v>
      </c>
    </row>
    <row r="86" spans="1:134" x14ac:dyDescent="0.35">
      <c r="A86" s="172"/>
      <c r="B86" s="173"/>
      <c r="C86" s="174"/>
      <c r="D86" s="175"/>
      <c r="E86" s="176"/>
      <c r="F86" s="177"/>
      <c r="G86" s="178"/>
      <c r="H86" s="179"/>
      <c r="I86" s="180"/>
      <c r="J86" s="181"/>
      <c r="K86" s="152">
        <f t="shared" si="338"/>
        <v>0</v>
      </c>
      <c r="L86" s="153">
        <f t="shared" si="339"/>
        <v>0</v>
      </c>
      <c r="M86" s="154">
        <f t="shared" si="340"/>
        <v>0</v>
      </c>
      <c r="N86" s="154"/>
      <c r="O86" s="154">
        <f t="shared" si="341"/>
        <v>0</v>
      </c>
      <c r="P86" s="155"/>
      <c r="Q86" s="154">
        <f t="shared" si="342"/>
        <v>0</v>
      </c>
      <c r="R86" s="156">
        <f t="shared" si="343"/>
        <v>0</v>
      </c>
      <c r="S86" s="154">
        <f t="shared" si="344"/>
        <v>0</v>
      </c>
      <c r="T86" s="154">
        <f t="shared" si="345"/>
        <v>0</v>
      </c>
      <c r="U86" s="154">
        <f t="shared" si="346"/>
        <v>0</v>
      </c>
      <c r="V86" s="154">
        <f t="shared" si="347"/>
        <v>0</v>
      </c>
      <c r="W86" s="154">
        <f t="shared" si="348"/>
        <v>0</v>
      </c>
      <c r="X86" s="154">
        <f t="shared" si="349"/>
        <v>0</v>
      </c>
      <c r="Y86" s="154">
        <f t="shared" si="350"/>
        <v>0</v>
      </c>
      <c r="Z86" s="154">
        <f t="shared" si="351"/>
        <v>0</v>
      </c>
      <c r="AA86" s="154">
        <f t="shared" si="352"/>
        <v>0</v>
      </c>
      <c r="AB86" s="157">
        <f t="shared" si="353"/>
        <v>0</v>
      </c>
      <c r="AC86" s="154">
        <f t="shared" si="354"/>
        <v>0</v>
      </c>
      <c r="AD86" s="158">
        <f t="shared" si="355"/>
        <v>0</v>
      </c>
      <c r="AE86" s="156">
        <f t="shared" si="356"/>
        <v>0</v>
      </c>
      <c r="AF86" s="154">
        <f t="shared" si="357"/>
        <v>0</v>
      </c>
      <c r="AG86" s="154">
        <f t="shared" si="281"/>
        <v>0</v>
      </c>
      <c r="AH86" s="154">
        <f t="shared" si="358"/>
        <v>0</v>
      </c>
      <c r="AI86" s="154">
        <f t="shared" si="282"/>
        <v>0</v>
      </c>
      <c r="AJ86" s="154">
        <f t="shared" si="359"/>
        <v>0</v>
      </c>
      <c r="AK86" s="154">
        <f t="shared" si="283"/>
        <v>0</v>
      </c>
      <c r="AL86" s="154">
        <f t="shared" si="360"/>
        <v>0</v>
      </c>
      <c r="AM86" s="154">
        <f t="shared" si="284"/>
        <v>0</v>
      </c>
      <c r="AN86" s="154">
        <f t="shared" si="361"/>
        <v>0</v>
      </c>
      <c r="AO86" s="157">
        <f t="shared" si="285"/>
        <v>0</v>
      </c>
      <c r="AP86" s="154">
        <f t="shared" si="286"/>
        <v>0</v>
      </c>
      <c r="AQ86" s="158">
        <f t="shared" si="287"/>
        <v>0</v>
      </c>
      <c r="AR86" s="156">
        <f t="shared" si="356"/>
        <v>0</v>
      </c>
      <c r="AS86" s="154">
        <f t="shared" si="362"/>
        <v>0</v>
      </c>
      <c r="AT86" s="154">
        <f t="shared" si="288"/>
        <v>0</v>
      </c>
      <c r="AU86" s="154">
        <f t="shared" si="363"/>
        <v>0</v>
      </c>
      <c r="AV86" s="154">
        <f t="shared" si="289"/>
        <v>0</v>
      </c>
      <c r="AW86" s="154">
        <f t="shared" si="364"/>
        <v>0</v>
      </c>
      <c r="AX86" s="154">
        <f t="shared" si="290"/>
        <v>0</v>
      </c>
      <c r="AY86" s="154">
        <f t="shared" si="365"/>
        <v>0</v>
      </c>
      <c r="AZ86" s="154">
        <f t="shared" si="291"/>
        <v>0</v>
      </c>
      <c r="BA86" s="154">
        <f t="shared" si="366"/>
        <v>0</v>
      </c>
      <c r="BB86" s="157">
        <f t="shared" si="292"/>
        <v>0</v>
      </c>
      <c r="BC86" s="154">
        <f t="shared" si="293"/>
        <v>0</v>
      </c>
      <c r="BD86" s="158">
        <f t="shared" si="294"/>
        <v>0</v>
      </c>
      <c r="BE86" s="156">
        <f t="shared" si="356"/>
        <v>0</v>
      </c>
      <c r="BF86" s="154">
        <f t="shared" si="367"/>
        <v>0</v>
      </c>
      <c r="BG86" s="154">
        <f t="shared" si="295"/>
        <v>0</v>
      </c>
      <c r="BH86" s="154">
        <f t="shared" si="368"/>
        <v>0</v>
      </c>
      <c r="BI86" s="154">
        <f t="shared" si="296"/>
        <v>0</v>
      </c>
      <c r="BJ86" s="154">
        <f t="shared" si="369"/>
        <v>0</v>
      </c>
      <c r="BK86" s="154">
        <f t="shared" si="297"/>
        <v>0</v>
      </c>
      <c r="BL86" s="154">
        <f t="shared" si="370"/>
        <v>0</v>
      </c>
      <c r="BM86" s="154">
        <f t="shared" si="298"/>
        <v>0</v>
      </c>
      <c r="BN86" s="154">
        <f t="shared" si="371"/>
        <v>0</v>
      </c>
      <c r="BO86" s="157">
        <f t="shared" si="299"/>
        <v>0</v>
      </c>
      <c r="BP86" s="154">
        <f t="shared" si="300"/>
        <v>0</v>
      </c>
      <c r="BQ86" s="158">
        <f t="shared" si="301"/>
        <v>0</v>
      </c>
      <c r="BR86" s="156">
        <f t="shared" si="356"/>
        <v>0</v>
      </c>
      <c r="BS86" s="154">
        <f t="shared" si="372"/>
        <v>0</v>
      </c>
      <c r="BT86" s="154">
        <f t="shared" si="302"/>
        <v>0</v>
      </c>
      <c r="BU86" s="154">
        <f t="shared" si="373"/>
        <v>0</v>
      </c>
      <c r="BV86" s="154">
        <f t="shared" si="303"/>
        <v>0</v>
      </c>
      <c r="BW86" s="154">
        <f t="shared" si="374"/>
        <v>0</v>
      </c>
      <c r="BX86" s="154">
        <f t="shared" si="304"/>
        <v>0</v>
      </c>
      <c r="BY86" s="154">
        <f t="shared" si="375"/>
        <v>0</v>
      </c>
      <c r="BZ86" s="154">
        <f t="shared" si="305"/>
        <v>0</v>
      </c>
      <c r="CA86" s="154">
        <f t="shared" si="376"/>
        <v>0</v>
      </c>
      <c r="CB86" s="157">
        <f t="shared" si="306"/>
        <v>0</v>
      </c>
      <c r="CC86" s="154">
        <f t="shared" si="307"/>
        <v>0</v>
      </c>
      <c r="CD86" s="158">
        <f t="shared" si="308"/>
        <v>0</v>
      </c>
      <c r="CE86" s="156">
        <f t="shared" si="356"/>
        <v>0</v>
      </c>
      <c r="CF86" s="154">
        <f t="shared" si="377"/>
        <v>0</v>
      </c>
      <c r="CG86" s="154">
        <f t="shared" si="309"/>
        <v>0</v>
      </c>
      <c r="CH86" s="154">
        <f t="shared" si="378"/>
        <v>0</v>
      </c>
      <c r="CI86" s="154">
        <f t="shared" si="310"/>
        <v>0</v>
      </c>
      <c r="CJ86" s="154">
        <f t="shared" si="379"/>
        <v>0</v>
      </c>
      <c r="CK86" s="154">
        <f t="shared" si="311"/>
        <v>0</v>
      </c>
      <c r="CL86" s="154">
        <f t="shared" si="380"/>
        <v>0</v>
      </c>
      <c r="CM86" s="154">
        <f t="shared" si="312"/>
        <v>0</v>
      </c>
      <c r="CN86" s="154">
        <f t="shared" si="381"/>
        <v>0</v>
      </c>
      <c r="CO86" s="157">
        <f t="shared" si="313"/>
        <v>0</v>
      </c>
      <c r="CP86" s="154">
        <f t="shared" si="314"/>
        <v>0</v>
      </c>
      <c r="CQ86" s="158">
        <f t="shared" si="315"/>
        <v>0</v>
      </c>
      <c r="CR86" s="156">
        <f t="shared" si="382"/>
        <v>0</v>
      </c>
      <c r="CS86" s="154">
        <f t="shared" si="383"/>
        <v>0</v>
      </c>
      <c r="CT86" s="154">
        <f t="shared" si="317"/>
        <v>0</v>
      </c>
      <c r="CU86" s="154">
        <f t="shared" si="384"/>
        <v>0</v>
      </c>
      <c r="CV86" s="154">
        <f t="shared" si="318"/>
        <v>0</v>
      </c>
      <c r="CW86" s="154">
        <f t="shared" si="385"/>
        <v>0</v>
      </c>
      <c r="CX86" s="154">
        <f t="shared" si="319"/>
        <v>0</v>
      </c>
      <c r="CY86" s="154">
        <f t="shared" si="386"/>
        <v>0</v>
      </c>
      <c r="CZ86" s="154">
        <f t="shared" si="320"/>
        <v>0</v>
      </c>
      <c r="DA86" s="154">
        <f t="shared" si="387"/>
        <v>0</v>
      </c>
      <c r="DB86" s="157">
        <f t="shared" si="321"/>
        <v>0</v>
      </c>
      <c r="DC86" s="154">
        <f t="shared" si="322"/>
        <v>0</v>
      </c>
      <c r="DD86" s="158">
        <f t="shared" si="323"/>
        <v>0</v>
      </c>
      <c r="DE86" s="156">
        <f t="shared" si="382"/>
        <v>0</v>
      </c>
      <c r="DF86" s="154">
        <f t="shared" si="388"/>
        <v>0</v>
      </c>
      <c r="DG86" s="154">
        <f t="shared" si="324"/>
        <v>0</v>
      </c>
      <c r="DH86" s="154">
        <f t="shared" si="389"/>
        <v>0</v>
      </c>
      <c r="DI86" s="154">
        <f t="shared" si="325"/>
        <v>0</v>
      </c>
      <c r="DJ86" s="154">
        <f t="shared" si="390"/>
        <v>0</v>
      </c>
      <c r="DK86" s="154">
        <f t="shared" si="326"/>
        <v>0</v>
      </c>
      <c r="DL86" s="154">
        <f t="shared" si="391"/>
        <v>0</v>
      </c>
      <c r="DM86" s="154">
        <f t="shared" si="327"/>
        <v>0</v>
      </c>
      <c r="DN86" s="154">
        <f t="shared" si="392"/>
        <v>0</v>
      </c>
      <c r="DO86" s="157">
        <f t="shared" si="328"/>
        <v>0</v>
      </c>
      <c r="DP86" s="154">
        <f t="shared" si="329"/>
        <v>0</v>
      </c>
      <c r="DQ86" s="158">
        <f t="shared" si="330"/>
        <v>0</v>
      </c>
      <c r="DR86" s="156">
        <f t="shared" si="382"/>
        <v>0</v>
      </c>
      <c r="DS86" s="154">
        <f t="shared" si="393"/>
        <v>0</v>
      </c>
      <c r="DT86" s="154">
        <f t="shared" si="331"/>
        <v>0</v>
      </c>
      <c r="DU86" s="154">
        <f t="shared" si="394"/>
        <v>0</v>
      </c>
      <c r="DV86" s="154">
        <f t="shared" si="332"/>
        <v>0</v>
      </c>
      <c r="DW86" s="154">
        <f t="shared" si="395"/>
        <v>0</v>
      </c>
      <c r="DX86" s="154">
        <f t="shared" si="333"/>
        <v>0</v>
      </c>
      <c r="DY86" s="154">
        <f t="shared" si="396"/>
        <v>0</v>
      </c>
      <c r="DZ86" s="154">
        <f t="shared" si="334"/>
        <v>0</v>
      </c>
      <c r="EA86" s="154">
        <f t="shared" si="397"/>
        <v>0</v>
      </c>
      <c r="EB86" s="157">
        <f t="shared" si="335"/>
        <v>0</v>
      </c>
      <c r="EC86" s="154">
        <f t="shared" si="336"/>
        <v>0</v>
      </c>
      <c r="ED86" s="158">
        <f t="shared" si="337"/>
        <v>0</v>
      </c>
    </row>
    <row r="87" spans="1:134" x14ac:dyDescent="0.35">
      <c r="A87" s="172"/>
      <c r="B87" s="173"/>
      <c r="C87" s="174"/>
      <c r="D87" s="175"/>
      <c r="E87" s="176"/>
      <c r="F87" s="177"/>
      <c r="G87" s="178"/>
      <c r="H87" s="179"/>
      <c r="I87" s="180"/>
      <c r="J87" s="181"/>
      <c r="K87" s="152">
        <f t="shared" si="338"/>
        <v>0</v>
      </c>
      <c r="L87" s="153">
        <f t="shared" si="339"/>
        <v>0</v>
      </c>
      <c r="M87" s="154">
        <f t="shared" si="340"/>
        <v>0</v>
      </c>
      <c r="N87" s="154"/>
      <c r="O87" s="154">
        <f t="shared" si="341"/>
        <v>0</v>
      </c>
      <c r="P87" s="155"/>
      <c r="Q87" s="154">
        <f t="shared" si="342"/>
        <v>0</v>
      </c>
      <c r="R87" s="156">
        <f t="shared" si="343"/>
        <v>0</v>
      </c>
      <c r="S87" s="154">
        <f t="shared" si="344"/>
        <v>0</v>
      </c>
      <c r="T87" s="154">
        <f t="shared" si="345"/>
        <v>0</v>
      </c>
      <c r="U87" s="154">
        <f t="shared" si="346"/>
        <v>0</v>
      </c>
      <c r="V87" s="154">
        <f t="shared" si="347"/>
        <v>0</v>
      </c>
      <c r="W87" s="154">
        <f t="shared" si="348"/>
        <v>0</v>
      </c>
      <c r="X87" s="154">
        <f t="shared" si="349"/>
        <v>0</v>
      </c>
      <c r="Y87" s="154">
        <f t="shared" si="350"/>
        <v>0</v>
      </c>
      <c r="Z87" s="154">
        <f t="shared" si="351"/>
        <v>0</v>
      </c>
      <c r="AA87" s="154">
        <f t="shared" si="352"/>
        <v>0</v>
      </c>
      <c r="AB87" s="157">
        <f t="shared" si="353"/>
        <v>0</v>
      </c>
      <c r="AC87" s="154">
        <f t="shared" si="354"/>
        <v>0</v>
      </c>
      <c r="AD87" s="158">
        <f t="shared" si="355"/>
        <v>0</v>
      </c>
      <c r="AE87" s="156">
        <f t="shared" si="356"/>
        <v>0</v>
      </c>
      <c r="AF87" s="154">
        <f t="shared" si="357"/>
        <v>0</v>
      </c>
      <c r="AG87" s="154">
        <f t="shared" si="281"/>
        <v>0</v>
      </c>
      <c r="AH87" s="154">
        <f t="shared" si="358"/>
        <v>0</v>
      </c>
      <c r="AI87" s="154">
        <f t="shared" si="282"/>
        <v>0</v>
      </c>
      <c r="AJ87" s="154">
        <f t="shared" si="359"/>
        <v>0</v>
      </c>
      <c r="AK87" s="154">
        <f t="shared" si="283"/>
        <v>0</v>
      </c>
      <c r="AL87" s="154">
        <f t="shared" si="360"/>
        <v>0</v>
      </c>
      <c r="AM87" s="154">
        <f t="shared" si="284"/>
        <v>0</v>
      </c>
      <c r="AN87" s="154">
        <f t="shared" si="361"/>
        <v>0</v>
      </c>
      <c r="AO87" s="157">
        <f t="shared" si="285"/>
        <v>0</v>
      </c>
      <c r="AP87" s="154">
        <f t="shared" si="286"/>
        <v>0</v>
      </c>
      <c r="AQ87" s="158">
        <f t="shared" si="287"/>
        <v>0</v>
      </c>
      <c r="AR87" s="156">
        <f t="shared" si="356"/>
        <v>0</v>
      </c>
      <c r="AS87" s="154">
        <f t="shared" si="362"/>
        <v>0</v>
      </c>
      <c r="AT87" s="154">
        <f t="shared" si="288"/>
        <v>0</v>
      </c>
      <c r="AU87" s="154">
        <f t="shared" si="363"/>
        <v>0</v>
      </c>
      <c r="AV87" s="154">
        <f t="shared" si="289"/>
        <v>0</v>
      </c>
      <c r="AW87" s="154">
        <f t="shared" si="364"/>
        <v>0</v>
      </c>
      <c r="AX87" s="154">
        <f t="shared" si="290"/>
        <v>0</v>
      </c>
      <c r="AY87" s="154">
        <f t="shared" si="365"/>
        <v>0</v>
      </c>
      <c r="AZ87" s="154">
        <f t="shared" si="291"/>
        <v>0</v>
      </c>
      <c r="BA87" s="154">
        <f t="shared" si="366"/>
        <v>0</v>
      </c>
      <c r="BB87" s="157">
        <f t="shared" si="292"/>
        <v>0</v>
      </c>
      <c r="BC87" s="154">
        <f t="shared" si="293"/>
        <v>0</v>
      </c>
      <c r="BD87" s="158">
        <f t="shared" si="294"/>
        <v>0</v>
      </c>
      <c r="BE87" s="156">
        <f t="shared" si="356"/>
        <v>0</v>
      </c>
      <c r="BF87" s="154">
        <f t="shared" si="367"/>
        <v>0</v>
      </c>
      <c r="BG87" s="154">
        <f t="shared" si="295"/>
        <v>0</v>
      </c>
      <c r="BH87" s="154">
        <f t="shared" si="368"/>
        <v>0</v>
      </c>
      <c r="BI87" s="154">
        <f t="shared" si="296"/>
        <v>0</v>
      </c>
      <c r="BJ87" s="154">
        <f t="shared" si="369"/>
        <v>0</v>
      </c>
      <c r="BK87" s="154">
        <f t="shared" si="297"/>
        <v>0</v>
      </c>
      <c r="BL87" s="154">
        <f t="shared" si="370"/>
        <v>0</v>
      </c>
      <c r="BM87" s="154">
        <f t="shared" si="298"/>
        <v>0</v>
      </c>
      <c r="BN87" s="154">
        <f t="shared" si="371"/>
        <v>0</v>
      </c>
      <c r="BO87" s="157">
        <f t="shared" si="299"/>
        <v>0</v>
      </c>
      <c r="BP87" s="154">
        <f t="shared" si="300"/>
        <v>0</v>
      </c>
      <c r="BQ87" s="158">
        <f t="shared" si="301"/>
        <v>0</v>
      </c>
      <c r="BR87" s="156">
        <f t="shared" si="356"/>
        <v>0</v>
      </c>
      <c r="BS87" s="154">
        <f t="shared" si="372"/>
        <v>0</v>
      </c>
      <c r="BT87" s="154">
        <f t="shared" si="302"/>
        <v>0</v>
      </c>
      <c r="BU87" s="154">
        <f t="shared" si="373"/>
        <v>0</v>
      </c>
      <c r="BV87" s="154">
        <f t="shared" si="303"/>
        <v>0</v>
      </c>
      <c r="BW87" s="154">
        <f t="shared" si="374"/>
        <v>0</v>
      </c>
      <c r="BX87" s="154">
        <f t="shared" si="304"/>
        <v>0</v>
      </c>
      <c r="BY87" s="154">
        <f t="shared" si="375"/>
        <v>0</v>
      </c>
      <c r="BZ87" s="154">
        <f t="shared" si="305"/>
        <v>0</v>
      </c>
      <c r="CA87" s="154">
        <f t="shared" si="376"/>
        <v>0</v>
      </c>
      <c r="CB87" s="157">
        <f t="shared" si="306"/>
        <v>0</v>
      </c>
      <c r="CC87" s="154">
        <f t="shared" si="307"/>
        <v>0</v>
      </c>
      <c r="CD87" s="158">
        <f t="shared" si="308"/>
        <v>0</v>
      </c>
      <c r="CE87" s="156">
        <f t="shared" si="356"/>
        <v>0</v>
      </c>
      <c r="CF87" s="154">
        <f t="shared" si="377"/>
        <v>0</v>
      </c>
      <c r="CG87" s="154">
        <f t="shared" si="309"/>
        <v>0</v>
      </c>
      <c r="CH87" s="154">
        <f t="shared" si="378"/>
        <v>0</v>
      </c>
      <c r="CI87" s="154">
        <f t="shared" si="310"/>
        <v>0</v>
      </c>
      <c r="CJ87" s="154">
        <f t="shared" si="379"/>
        <v>0</v>
      </c>
      <c r="CK87" s="154">
        <f t="shared" si="311"/>
        <v>0</v>
      </c>
      <c r="CL87" s="154">
        <f t="shared" si="380"/>
        <v>0</v>
      </c>
      <c r="CM87" s="154">
        <f t="shared" si="312"/>
        <v>0</v>
      </c>
      <c r="CN87" s="154">
        <f t="shared" si="381"/>
        <v>0</v>
      </c>
      <c r="CO87" s="157">
        <f t="shared" si="313"/>
        <v>0</v>
      </c>
      <c r="CP87" s="154">
        <f t="shared" si="314"/>
        <v>0</v>
      </c>
      <c r="CQ87" s="158">
        <f t="shared" si="315"/>
        <v>0</v>
      </c>
      <c r="CR87" s="156">
        <f t="shared" si="382"/>
        <v>0</v>
      </c>
      <c r="CS87" s="154">
        <f t="shared" si="383"/>
        <v>0</v>
      </c>
      <c r="CT87" s="154">
        <f t="shared" si="317"/>
        <v>0</v>
      </c>
      <c r="CU87" s="154">
        <f t="shared" si="384"/>
        <v>0</v>
      </c>
      <c r="CV87" s="154">
        <f t="shared" si="318"/>
        <v>0</v>
      </c>
      <c r="CW87" s="154">
        <f t="shared" si="385"/>
        <v>0</v>
      </c>
      <c r="CX87" s="154">
        <f t="shared" si="319"/>
        <v>0</v>
      </c>
      <c r="CY87" s="154">
        <f t="shared" si="386"/>
        <v>0</v>
      </c>
      <c r="CZ87" s="154">
        <f t="shared" si="320"/>
        <v>0</v>
      </c>
      <c r="DA87" s="154">
        <f t="shared" si="387"/>
        <v>0</v>
      </c>
      <c r="DB87" s="157">
        <f t="shared" si="321"/>
        <v>0</v>
      </c>
      <c r="DC87" s="154">
        <f t="shared" si="322"/>
        <v>0</v>
      </c>
      <c r="DD87" s="158">
        <f t="shared" si="323"/>
        <v>0</v>
      </c>
      <c r="DE87" s="156">
        <f t="shared" si="382"/>
        <v>0</v>
      </c>
      <c r="DF87" s="154">
        <f t="shared" si="388"/>
        <v>0</v>
      </c>
      <c r="DG87" s="154">
        <f t="shared" si="324"/>
        <v>0</v>
      </c>
      <c r="DH87" s="154">
        <f t="shared" si="389"/>
        <v>0</v>
      </c>
      <c r="DI87" s="154">
        <f t="shared" si="325"/>
        <v>0</v>
      </c>
      <c r="DJ87" s="154">
        <f t="shared" si="390"/>
        <v>0</v>
      </c>
      <c r="DK87" s="154">
        <f t="shared" si="326"/>
        <v>0</v>
      </c>
      <c r="DL87" s="154">
        <f t="shared" si="391"/>
        <v>0</v>
      </c>
      <c r="DM87" s="154">
        <f t="shared" si="327"/>
        <v>0</v>
      </c>
      <c r="DN87" s="154">
        <f t="shared" si="392"/>
        <v>0</v>
      </c>
      <c r="DO87" s="157">
        <f t="shared" si="328"/>
        <v>0</v>
      </c>
      <c r="DP87" s="154">
        <f t="shared" si="329"/>
        <v>0</v>
      </c>
      <c r="DQ87" s="158">
        <f t="shared" si="330"/>
        <v>0</v>
      </c>
      <c r="DR87" s="156">
        <f t="shared" si="382"/>
        <v>0</v>
      </c>
      <c r="DS87" s="154">
        <f t="shared" si="393"/>
        <v>0</v>
      </c>
      <c r="DT87" s="154">
        <f t="shared" si="331"/>
        <v>0</v>
      </c>
      <c r="DU87" s="154">
        <f t="shared" si="394"/>
        <v>0</v>
      </c>
      <c r="DV87" s="154">
        <f t="shared" si="332"/>
        <v>0</v>
      </c>
      <c r="DW87" s="154">
        <f t="shared" si="395"/>
        <v>0</v>
      </c>
      <c r="DX87" s="154">
        <f t="shared" si="333"/>
        <v>0</v>
      </c>
      <c r="DY87" s="154">
        <f t="shared" si="396"/>
        <v>0</v>
      </c>
      <c r="DZ87" s="154">
        <f t="shared" si="334"/>
        <v>0</v>
      </c>
      <c r="EA87" s="154">
        <f t="shared" si="397"/>
        <v>0</v>
      </c>
      <c r="EB87" s="157">
        <f t="shared" si="335"/>
        <v>0</v>
      </c>
      <c r="EC87" s="154">
        <f t="shared" si="336"/>
        <v>0</v>
      </c>
      <c r="ED87" s="158">
        <f t="shared" si="337"/>
        <v>0</v>
      </c>
    </row>
    <row r="88" spans="1:134" x14ac:dyDescent="0.35">
      <c r="A88" s="172"/>
      <c r="B88" s="173"/>
      <c r="C88" s="174"/>
      <c r="D88" s="175"/>
      <c r="E88" s="176"/>
      <c r="F88" s="177"/>
      <c r="G88" s="178"/>
      <c r="H88" s="179"/>
      <c r="I88" s="180"/>
      <c r="J88" s="181"/>
      <c r="K88" s="152">
        <f t="shared" si="338"/>
        <v>0</v>
      </c>
      <c r="L88" s="153">
        <f t="shared" si="339"/>
        <v>0</v>
      </c>
      <c r="M88" s="154">
        <f t="shared" si="340"/>
        <v>0</v>
      </c>
      <c r="N88" s="154"/>
      <c r="O88" s="154">
        <f t="shared" si="341"/>
        <v>0</v>
      </c>
      <c r="P88" s="155"/>
      <c r="Q88" s="154">
        <f t="shared" si="342"/>
        <v>0</v>
      </c>
      <c r="R88" s="156">
        <f t="shared" si="343"/>
        <v>0</v>
      </c>
      <c r="S88" s="154">
        <f t="shared" si="344"/>
        <v>0</v>
      </c>
      <c r="T88" s="154">
        <f t="shared" si="345"/>
        <v>0</v>
      </c>
      <c r="U88" s="154">
        <f t="shared" si="346"/>
        <v>0</v>
      </c>
      <c r="V88" s="154">
        <f t="shared" si="347"/>
        <v>0</v>
      </c>
      <c r="W88" s="154">
        <f t="shared" si="348"/>
        <v>0</v>
      </c>
      <c r="X88" s="154">
        <f t="shared" si="349"/>
        <v>0</v>
      </c>
      <c r="Y88" s="154">
        <f t="shared" si="350"/>
        <v>0</v>
      </c>
      <c r="Z88" s="154">
        <f t="shared" si="351"/>
        <v>0</v>
      </c>
      <c r="AA88" s="154">
        <f t="shared" si="352"/>
        <v>0</v>
      </c>
      <c r="AB88" s="157">
        <f t="shared" si="353"/>
        <v>0</v>
      </c>
      <c r="AC88" s="154">
        <f t="shared" si="354"/>
        <v>0</v>
      </c>
      <c r="AD88" s="158">
        <f t="shared" si="355"/>
        <v>0</v>
      </c>
      <c r="AE88" s="156">
        <f t="shared" si="356"/>
        <v>0</v>
      </c>
      <c r="AF88" s="154">
        <f t="shared" si="357"/>
        <v>0</v>
      </c>
      <c r="AG88" s="154">
        <f t="shared" si="281"/>
        <v>0</v>
      </c>
      <c r="AH88" s="154">
        <f t="shared" si="358"/>
        <v>0</v>
      </c>
      <c r="AI88" s="154">
        <f t="shared" si="282"/>
        <v>0</v>
      </c>
      <c r="AJ88" s="154">
        <f t="shared" si="359"/>
        <v>0</v>
      </c>
      <c r="AK88" s="154">
        <f t="shared" si="283"/>
        <v>0</v>
      </c>
      <c r="AL88" s="154">
        <f t="shared" si="360"/>
        <v>0</v>
      </c>
      <c r="AM88" s="154">
        <f t="shared" si="284"/>
        <v>0</v>
      </c>
      <c r="AN88" s="154">
        <f t="shared" si="361"/>
        <v>0</v>
      </c>
      <c r="AO88" s="157">
        <f t="shared" si="285"/>
        <v>0</v>
      </c>
      <c r="AP88" s="154">
        <f t="shared" si="286"/>
        <v>0</v>
      </c>
      <c r="AQ88" s="158">
        <f t="shared" si="287"/>
        <v>0</v>
      </c>
      <c r="AR88" s="156">
        <f t="shared" si="356"/>
        <v>0</v>
      </c>
      <c r="AS88" s="154">
        <f t="shared" si="362"/>
        <v>0</v>
      </c>
      <c r="AT88" s="154">
        <f t="shared" si="288"/>
        <v>0</v>
      </c>
      <c r="AU88" s="154">
        <f t="shared" si="363"/>
        <v>0</v>
      </c>
      <c r="AV88" s="154">
        <f t="shared" si="289"/>
        <v>0</v>
      </c>
      <c r="AW88" s="154">
        <f t="shared" si="364"/>
        <v>0</v>
      </c>
      <c r="AX88" s="154">
        <f t="shared" si="290"/>
        <v>0</v>
      </c>
      <c r="AY88" s="154">
        <f t="shared" si="365"/>
        <v>0</v>
      </c>
      <c r="AZ88" s="154">
        <f t="shared" si="291"/>
        <v>0</v>
      </c>
      <c r="BA88" s="154">
        <f t="shared" si="366"/>
        <v>0</v>
      </c>
      <c r="BB88" s="157">
        <f t="shared" si="292"/>
        <v>0</v>
      </c>
      <c r="BC88" s="154">
        <f t="shared" si="293"/>
        <v>0</v>
      </c>
      <c r="BD88" s="158">
        <f t="shared" si="294"/>
        <v>0</v>
      </c>
      <c r="BE88" s="156">
        <f t="shared" si="356"/>
        <v>0</v>
      </c>
      <c r="BF88" s="154">
        <f t="shared" si="367"/>
        <v>0</v>
      </c>
      <c r="BG88" s="154">
        <f t="shared" si="295"/>
        <v>0</v>
      </c>
      <c r="BH88" s="154">
        <f t="shared" si="368"/>
        <v>0</v>
      </c>
      <c r="BI88" s="154">
        <f t="shared" si="296"/>
        <v>0</v>
      </c>
      <c r="BJ88" s="154">
        <f t="shared" si="369"/>
        <v>0</v>
      </c>
      <c r="BK88" s="154">
        <f t="shared" si="297"/>
        <v>0</v>
      </c>
      <c r="BL88" s="154">
        <f t="shared" si="370"/>
        <v>0</v>
      </c>
      <c r="BM88" s="154">
        <f t="shared" si="298"/>
        <v>0</v>
      </c>
      <c r="BN88" s="154">
        <f t="shared" si="371"/>
        <v>0</v>
      </c>
      <c r="BO88" s="157">
        <f t="shared" si="299"/>
        <v>0</v>
      </c>
      <c r="BP88" s="154">
        <f t="shared" si="300"/>
        <v>0</v>
      </c>
      <c r="BQ88" s="158">
        <f t="shared" si="301"/>
        <v>0</v>
      </c>
      <c r="BR88" s="156">
        <f t="shared" si="356"/>
        <v>0</v>
      </c>
      <c r="BS88" s="154">
        <f t="shared" si="372"/>
        <v>0</v>
      </c>
      <c r="BT88" s="154">
        <f t="shared" si="302"/>
        <v>0</v>
      </c>
      <c r="BU88" s="154">
        <f t="shared" si="373"/>
        <v>0</v>
      </c>
      <c r="BV88" s="154">
        <f t="shared" si="303"/>
        <v>0</v>
      </c>
      <c r="BW88" s="154">
        <f t="shared" si="374"/>
        <v>0</v>
      </c>
      <c r="BX88" s="154">
        <f t="shared" si="304"/>
        <v>0</v>
      </c>
      <c r="BY88" s="154">
        <f t="shared" si="375"/>
        <v>0</v>
      </c>
      <c r="BZ88" s="154">
        <f t="shared" si="305"/>
        <v>0</v>
      </c>
      <c r="CA88" s="154">
        <f t="shared" si="376"/>
        <v>0</v>
      </c>
      <c r="CB88" s="157">
        <f t="shared" si="306"/>
        <v>0</v>
      </c>
      <c r="CC88" s="154">
        <f t="shared" si="307"/>
        <v>0</v>
      </c>
      <c r="CD88" s="158">
        <f t="shared" si="308"/>
        <v>0</v>
      </c>
      <c r="CE88" s="156">
        <f t="shared" si="356"/>
        <v>0</v>
      </c>
      <c r="CF88" s="154">
        <f t="shared" si="377"/>
        <v>0</v>
      </c>
      <c r="CG88" s="154">
        <f t="shared" si="309"/>
        <v>0</v>
      </c>
      <c r="CH88" s="154">
        <f t="shared" si="378"/>
        <v>0</v>
      </c>
      <c r="CI88" s="154">
        <f t="shared" si="310"/>
        <v>0</v>
      </c>
      <c r="CJ88" s="154">
        <f t="shared" si="379"/>
        <v>0</v>
      </c>
      <c r="CK88" s="154">
        <f t="shared" si="311"/>
        <v>0</v>
      </c>
      <c r="CL88" s="154">
        <f t="shared" si="380"/>
        <v>0</v>
      </c>
      <c r="CM88" s="154">
        <f t="shared" si="312"/>
        <v>0</v>
      </c>
      <c r="CN88" s="154">
        <f t="shared" si="381"/>
        <v>0</v>
      </c>
      <c r="CO88" s="157">
        <f t="shared" si="313"/>
        <v>0</v>
      </c>
      <c r="CP88" s="154">
        <f t="shared" si="314"/>
        <v>0</v>
      </c>
      <c r="CQ88" s="158">
        <f t="shared" si="315"/>
        <v>0</v>
      </c>
      <c r="CR88" s="156">
        <f t="shared" si="382"/>
        <v>0</v>
      </c>
      <c r="CS88" s="154">
        <f t="shared" si="383"/>
        <v>0</v>
      </c>
      <c r="CT88" s="154">
        <f t="shared" si="317"/>
        <v>0</v>
      </c>
      <c r="CU88" s="154">
        <f t="shared" si="384"/>
        <v>0</v>
      </c>
      <c r="CV88" s="154">
        <f t="shared" si="318"/>
        <v>0</v>
      </c>
      <c r="CW88" s="154">
        <f t="shared" si="385"/>
        <v>0</v>
      </c>
      <c r="CX88" s="154">
        <f t="shared" si="319"/>
        <v>0</v>
      </c>
      <c r="CY88" s="154">
        <f t="shared" si="386"/>
        <v>0</v>
      </c>
      <c r="CZ88" s="154">
        <f t="shared" si="320"/>
        <v>0</v>
      </c>
      <c r="DA88" s="154">
        <f t="shared" si="387"/>
        <v>0</v>
      </c>
      <c r="DB88" s="157">
        <f t="shared" si="321"/>
        <v>0</v>
      </c>
      <c r="DC88" s="154">
        <f t="shared" si="322"/>
        <v>0</v>
      </c>
      <c r="DD88" s="158">
        <f t="shared" si="323"/>
        <v>0</v>
      </c>
      <c r="DE88" s="156">
        <f t="shared" si="382"/>
        <v>0</v>
      </c>
      <c r="DF88" s="154">
        <f t="shared" si="388"/>
        <v>0</v>
      </c>
      <c r="DG88" s="154">
        <f t="shared" si="324"/>
        <v>0</v>
      </c>
      <c r="DH88" s="154">
        <f t="shared" si="389"/>
        <v>0</v>
      </c>
      <c r="DI88" s="154">
        <f t="shared" si="325"/>
        <v>0</v>
      </c>
      <c r="DJ88" s="154">
        <f t="shared" si="390"/>
        <v>0</v>
      </c>
      <c r="DK88" s="154">
        <f t="shared" si="326"/>
        <v>0</v>
      </c>
      <c r="DL88" s="154">
        <f t="shared" si="391"/>
        <v>0</v>
      </c>
      <c r="DM88" s="154">
        <f t="shared" si="327"/>
        <v>0</v>
      </c>
      <c r="DN88" s="154">
        <f t="shared" si="392"/>
        <v>0</v>
      </c>
      <c r="DO88" s="157">
        <f t="shared" si="328"/>
        <v>0</v>
      </c>
      <c r="DP88" s="154">
        <f t="shared" si="329"/>
        <v>0</v>
      </c>
      <c r="DQ88" s="158">
        <f t="shared" si="330"/>
        <v>0</v>
      </c>
      <c r="DR88" s="156">
        <f t="shared" si="382"/>
        <v>0</v>
      </c>
      <c r="DS88" s="154">
        <f t="shared" si="393"/>
        <v>0</v>
      </c>
      <c r="DT88" s="154">
        <f t="shared" si="331"/>
        <v>0</v>
      </c>
      <c r="DU88" s="154">
        <f t="shared" si="394"/>
        <v>0</v>
      </c>
      <c r="DV88" s="154">
        <f t="shared" si="332"/>
        <v>0</v>
      </c>
      <c r="DW88" s="154">
        <f t="shared" si="395"/>
        <v>0</v>
      </c>
      <c r="DX88" s="154">
        <f t="shared" si="333"/>
        <v>0</v>
      </c>
      <c r="DY88" s="154">
        <f t="shared" si="396"/>
        <v>0</v>
      </c>
      <c r="DZ88" s="154">
        <f t="shared" si="334"/>
        <v>0</v>
      </c>
      <c r="EA88" s="154">
        <f t="shared" si="397"/>
        <v>0</v>
      </c>
      <c r="EB88" s="157">
        <f t="shared" si="335"/>
        <v>0</v>
      </c>
      <c r="EC88" s="154">
        <f t="shared" si="336"/>
        <v>0</v>
      </c>
      <c r="ED88" s="158">
        <f t="shared" si="337"/>
        <v>0</v>
      </c>
    </row>
    <row r="89" spans="1:134" x14ac:dyDescent="0.35">
      <c r="A89" s="172"/>
      <c r="B89" s="173"/>
      <c r="C89" s="174"/>
      <c r="D89" s="175"/>
      <c r="E89" s="176"/>
      <c r="F89" s="177"/>
      <c r="G89" s="178"/>
      <c r="H89" s="179"/>
      <c r="I89" s="180"/>
      <c r="J89" s="181"/>
      <c r="K89" s="152">
        <f t="shared" si="338"/>
        <v>0</v>
      </c>
      <c r="L89" s="153">
        <f t="shared" si="339"/>
        <v>0</v>
      </c>
      <c r="M89" s="154">
        <f t="shared" si="340"/>
        <v>0</v>
      </c>
      <c r="N89" s="154"/>
      <c r="O89" s="154">
        <f t="shared" si="341"/>
        <v>0</v>
      </c>
      <c r="P89" s="155"/>
      <c r="Q89" s="154">
        <f t="shared" si="342"/>
        <v>0</v>
      </c>
      <c r="R89" s="156">
        <f t="shared" si="343"/>
        <v>0</v>
      </c>
      <c r="S89" s="154">
        <f t="shared" si="344"/>
        <v>0</v>
      </c>
      <c r="T89" s="154">
        <f t="shared" si="345"/>
        <v>0</v>
      </c>
      <c r="U89" s="154">
        <f t="shared" si="346"/>
        <v>0</v>
      </c>
      <c r="V89" s="154">
        <f t="shared" si="347"/>
        <v>0</v>
      </c>
      <c r="W89" s="154">
        <f t="shared" si="348"/>
        <v>0</v>
      </c>
      <c r="X89" s="154">
        <f t="shared" si="349"/>
        <v>0</v>
      </c>
      <c r="Y89" s="154">
        <f t="shared" si="350"/>
        <v>0</v>
      </c>
      <c r="Z89" s="154">
        <f t="shared" si="351"/>
        <v>0</v>
      </c>
      <c r="AA89" s="154">
        <f t="shared" si="352"/>
        <v>0</v>
      </c>
      <c r="AB89" s="157">
        <f t="shared" si="353"/>
        <v>0</v>
      </c>
      <c r="AC89" s="154">
        <f t="shared" si="354"/>
        <v>0</v>
      </c>
      <c r="AD89" s="158">
        <f t="shared" si="355"/>
        <v>0</v>
      </c>
      <c r="AE89" s="156">
        <f t="shared" si="356"/>
        <v>0</v>
      </c>
      <c r="AF89" s="154">
        <f t="shared" si="357"/>
        <v>0</v>
      </c>
      <c r="AG89" s="154">
        <f t="shared" si="281"/>
        <v>0</v>
      </c>
      <c r="AH89" s="154">
        <f t="shared" si="358"/>
        <v>0</v>
      </c>
      <c r="AI89" s="154">
        <f t="shared" si="282"/>
        <v>0</v>
      </c>
      <c r="AJ89" s="154">
        <f t="shared" si="359"/>
        <v>0</v>
      </c>
      <c r="AK89" s="154">
        <f t="shared" si="283"/>
        <v>0</v>
      </c>
      <c r="AL89" s="154">
        <f t="shared" si="360"/>
        <v>0</v>
      </c>
      <c r="AM89" s="154">
        <f t="shared" si="284"/>
        <v>0</v>
      </c>
      <c r="AN89" s="154">
        <f t="shared" si="361"/>
        <v>0</v>
      </c>
      <c r="AO89" s="157">
        <f t="shared" si="285"/>
        <v>0</v>
      </c>
      <c r="AP89" s="154">
        <f t="shared" si="286"/>
        <v>0</v>
      </c>
      <c r="AQ89" s="158">
        <f t="shared" si="287"/>
        <v>0</v>
      </c>
      <c r="AR89" s="156">
        <f t="shared" si="356"/>
        <v>0</v>
      </c>
      <c r="AS89" s="154">
        <f t="shared" si="362"/>
        <v>0</v>
      </c>
      <c r="AT89" s="154">
        <f t="shared" si="288"/>
        <v>0</v>
      </c>
      <c r="AU89" s="154">
        <f t="shared" si="363"/>
        <v>0</v>
      </c>
      <c r="AV89" s="154">
        <f t="shared" si="289"/>
        <v>0</v>
      </c>
      <c r="AW89" s="154">
        <f t="shared" si="364"/>
        <v>0</v>
      </c>
      <c r="AX89" s="154">
        <f t="shared" si="290"/>
        <v>0</v>
      </c>
      <c r="AY89" s="154">
        <f t="shared" si="365"/>
        <v>0</v>
      </c>
      <c r="AZ89" s="154">
        <f t="shared" si="291"/>
        <v>0</v>
      </c>
      <c r="BA89" s="154">
        <f t="shared" si="366"/>
        <v>0</v>
      </c>
      <c r="BB89" s="157">
        <f t="shared" si="292"/>
        <v>0</v>
      </c>
      <c r="BC89" s="154">
        <f t="shared" si="293"/>
        <v>0</v>
      </c>
      <c r="BD89" s="158">
        <f t="shared" si="294"/>
        <v>0</v>
      </c>
      <c r="BE89" s="156">
        <f t="shared" si="356"/>
        <v>0</v>
      </c>
      <c r="BF89" s="154">
        <f t="shared" si="367"/>
        <v>0</v>
      </c>
      <c r="BG89" s="154">
        <f t="shared" si="295"/>
        <v>0</v>
      </c>
      <c r="BH89" s="154">
        <f t="shared" si="368"/>
        <v>0</v>
      </c>
      <c r="BI89" s="154">
        <f t="shared" si="296"/>
        <v>0</v>
      </c>
      <c r="BJ89" s="154">
        <f t="shared" si="369"/>
        <v>0</v>
      </c>
      <c r="BK89" s="154">
        <f t="shared" si="297"/>
        <v>0</v>
      </c>
      <c r="BL89" s="154">
        <f t="shared" si="370"/>
        <v>0</v>
      </c>
      <c r="BM89" s="154">
        <f t="shared" si="298"/>
        <v>0</v>
      </c>
      <c r="BN89" s="154">
        <f t="shared" si="371"/>
        <v>0</v>
      </c>
      <c r="BO89" s="157">
        <f t="shared" si="299"/>
        <v>0</v>
      </c>
      <c r="BP89" s="154">
        <f t="shared" si="300"/>
        <v>0</v>
      </c>
      <c r="BQ89" s="158">
        <f t="shared" si="301"/>
        <v>0</v>
      </c>
      <c r="BR89" s="156">
        <f t="shared" si="356"/>
        <v>0</v>
      </c>
      <c r="BS89" s="154">
        <f t="shared" si="372"/>
        <v>0</v>
      </c>
      <c r="BT89" s="154">
        <f t="shared" si="302"/>
        <v>0</v>
      </c>
      <c r="BU89" s="154">
        <f t="shared" si="373"/>
        <v>0</v>
      </c>
      <c r="BV89" s="154">
        <f t="shared" si="303"/>
        <v>0</v>
      </c>
      <c r="BW89" s="154">
        <f t="shared" si="374"/>
        <v>0</v>
      </c>
      <c r="BX89" s="154">
        <f t="shared" si="304"/>
        <v>0</v>
      </c>
      <c r="BY89" s="154">
        <f t="shared" si="375"/>
        <v>0</v>
      </c>
      <c r="BZ89" s="154">
        <f t="shared" si="305"/>
        <v>0</v>
      </c>
      <c r="CA89" s="154">
        <f t="shared" si="376"/>
        <v>0</v>
      </c>
      <c r="CB89" s="157">
        <f t="shared" si="306"/>
        <v>0</v>
      </c>
      <c r="CC89" s="154">
        <f t="shared" si="307"/>
        <v>0</v>
      </c>
      <c r="CD89" s="158">
        <f t="shared" si="308"/>
        <v>0</v>
      </c>
      <c r="CE89" s="156">
        <f t="shared" si="356"/>
        <v>0</v>
      </c>
      <c r="CF89" s="154">
        <f t="shared" si="377"/>
        <v>0</v>
      </c>
      <c r="CG89" s="154">
        <f t="shared" si="309"/>
        <v>0</v>
      </c>
      <c r="CH89" s="154">
        <f t="shared" si="378"/>
        <v>0</v>
      </c>
      <c r="CI89" s="154">
        <f t="shared" si="310"/>
        <v>0</v>
      </c>
      <c r="CJ89" s="154">
        <f t="shared" si="379"/>
        <v>0</v>
      </c>
      <c r="CK89" s="154">
        <f t="shared" si="311"/>
        <v>0</v>
      </c>
      <c r="CL89" s="154">
        <f t="shared" si="380"/>
        <v>0</v>
      </c>
      <c r="CM89" s="154">
        <f t="shared" si="312"/>
        <v>0</v>
      </c>
      <c r="CN89" s="154">
        <f t="shared" si="381"/>
        <v>0</v>
      </c>
      <c r="CO89" s="157">
        <f t="shared" si="313"/>
        <v>0</v>
      </c>
      <c r="CP89" s="154">
        <f t="shared" si="314"/>
        <v>0</v>
      </c>
      <c r="CQ89" s="158">
        <f t="shared" si="315"/>
        <v>0</v>
      </c>
      <c r="CR89" s="156">
        <f t="shared" si="382"/>
        <v>0</v>
      </c>
      <c r="CS89" s="154">
        <f t="shared" si="383"/>
        <v>0</v>
      </c>
      <c r="CT89" s="154">
        <f t="shared" si="317"/>
        <v>0</v>
      </c>
      <c r="CU89" s="154">
        <f t="shared" si="384"/>
        <v>0</v>
      </c>
      <c r="CV89" s="154">
        <f t="shared" si="318"/>
        <v>0</v>
      </c>
      <c r="CW89" s="154">
        <f t="shared" si="385"/>
        <v>0</v>
      </c>
      <c r="CX89" s="154">
        <f t="shared" si="319"/>
        <v>0</v>
      </c>
      <c r="CY89" s="154">
        <f t="shared" si="386"/>
        <v>0</v>
      </c>
      <c r="CZ89" s="154">
        <f t="shared" si="320"/>
        <v>0</v>
      </c>
      <c r="DA89" s="154">
        <f t="shared" si="387"/>
        <v>0</v>
      </c>
      <c r="DB89" s="157">
        <f t="shared" si="321"/>
        <v>0</v>
      </c>
      <c r="DC89" s="154">
        <f t="shared" si="322"/>
        <v>0</v>
      </c>
      <c r="DD89" s="158">
        <f t="shared" si="323"/>
        <v>0</v>
      </c>
      <c r="DE89" s="156">
        <f t="shared" si="382"/>
        <v>0</v>
      </c>
      <c r="DF89" s="154">
        <f t="shared" si="388"/>
        <v>0</v>
      </c>
      <c r="DG89" s="154">
        <f t="shared" si="324"/>
        <v>0</v>
      </c>
      <c r="DH89" s="154">
        <f t="shared" si="389"/>
        <v>0</v>
      </c>
      <c r="DI89" s="154">
        <f t="shared" si="325"/>
        <v>0</v>
      </c>
      <c r="DJ89" s="154">
        <f t="shared" si="390"/>
        <v>0</v>
      </c>
      <c r="DK89" s="154">
        <f t="shared" si="326"/>
        <v>0</v>
      </c>
      <c r="DL89" s="154">
        <f t="shared" si="391"/>
        <v>0</v>
      </c>
      <c r="DM89" s="154">
        <f t="shared" si="327"/>
        <v>0</v>
      </c>
      <c r="DN89" s="154">
        <f t="shared" si="392"/>
        <v>0</v>
      </c>
      <c r="DO89" s="157">
        <f t="shared" si="328"/>
        <v>0</v>
      </c>
      <c r="DP89" s="154">
        <f t="shared" si="329"/>
        <v>0</v>
      </c>
      <c r="DQ89" s="158">
        <f t="shared" si="330"/>
        <v>0</v>
      </c>
      <c r="DR89" s="156">
        <f t="shared" si="382"/>
        <v>0</v>
      </c>
      <c r="DS89" s="154">
        <f t="shared" si="393"/>
        <v>0</v>
      </c>
      <c r="DT89" s="154">
        <f t="shared" si="331"/>
        <v>0</v>
      </c>
      <c r="DU89" s="154">
        <f t="shared" si="394"/>
        <v>0</v>
      </c>
      <c r="DV89" s="154">
        <f t="shared" si="332"/>
        <v>0</v>
      </c>
      <c r="DW89" s="154">
        <f t="shared" si="395"/>
        <v>0</v>
      </c>
      <c r="DX89" s="154">
        <f t="shared" si="333"/>
        <v>0</v>
      </c>
      <c r="DY89" s="154">
        <f t="shared" si="396"/>
        <v>0</v>
      </c>
      <c r="DZ89" s="154">
        <f t="shared" si="334"/>
        <v>0</v>
      </c>
      <c r="EA89" s="154">
        <f t="shared" si="397"/>
        <v>0</v>
      </c>
      <c r="EB89" s="157">
        <f t="shared" si="335"/>
        <v>0</v>
      </c>
      <c r="EC89" s="154">
        <f t="shared" si="336"/>
        <v>0</v>
      </c>
      <c r="ED89" s="158">
        <f t="shared" si="337"/>
        <v>0</v>
      </c>
    </row>
    <row r="90" spans="1:134" x14ac:dyDescent="0.35">
      <c r="A90" s="172"/>
      <c r="B90" s="173"/>
      <c r="C90" s="174"/>
      <c r="D90" s="175"/>
      <c r="E90" s="176"/>
      <c r="F90" s="177"/>
      <c r="G90" s="178"/>
      <c r="H90" s="179"/>
      <c r="I90" s="180"/>
      <c r="J90" s="181"/>
      <c r="K90" s="152">
        <f t="shared" si="338"/>
        <v>0</v>
      </c>
      <c r="L90" s="153">
        <f t="shared" si="339"/>
        <v>0</v>
      </c>
      <c r="M90" s="154">
        <f t="shared" si="340"/>
        <v>0</v>
      </c>
      <c r="N90" s="154"/>
      <c r="O90" s="154">
        <f t="shared" si="341"/>
        <v>0</v>
      </c>
      <c r="P90" s="155"/>
      <c r="Q90" s="154">
        <f t="shared" si="342"/>
        <v>0</v>
      </c>
      <c r="R90" s="156">
        <f t="shared" si="343"/>
        <v>0</v>
      </c>
      <c r="S90" s="154">
        <f t="shared" si="344"/>
        <v>0</v>
      </c>
      <c r="T90" s="154">
        <f t="shared" si="345"/>
        <v>0</v>
      </c>
      <c r="U90" s="154">
        <f t="shared" si="346"/>
        <v>0</v>
      </c>
      <c r="V90" s="154">
        <f t="shared" si="347"/>
        <v>0</v>
      </c>
      <c r="W90" s="154">
        <f t="shared" si="348"/>
        <v>0</v>
      </c>
      <c r="X90" s="154">
        <f t="shared" si="349"/>
        <v>0</v>
      </c>
      <c r="Y90" s="154">
        <f t="shared" si="350"/>
        <v>0</v>
      </c>
      <c r="Z90" s="154">
        <f t="shared" si="351"/>
        <v>0</v>
      </c>
      <c r="AA90" s="154">
        <f t="shared" si="352"/>
        <v>0</v>
      </c>
      <c r="AB90" s="157">
        <f t="shared" si="353"/>
        <v>0</v>
      </c>
      <c r="AC90" s="154">
        <f t="shared" si="354"/>
        <v>0</v>
      </c>
      <c r="AD90" s="158">
        <f t="shared" si="355"/>
        <v>0</v>
      </c>
      <c r="AE90" s="156">
        <f t="shared" si="356"/>
        <v>0</v>
      </c>
      <c r="AF90" s="154">
        <f t="shared" si="357"/>
        <v>0</v>
      </c>
      <c r="AG90" s="154">
        <f t="shared" si="281"/>
        <v>0</v>
      </c>
      <c r="AH90" s="154">
        <f t="shared" si="358"/>
        <v>0</v>
      </c>
      <c r="AI90" s="154">
        <f t="shared" si="282"/>
        <v>0</v>
      </c>
      <c r="AJ90" s="154">
        <f t="shared" si="359"/>
        <v>0</v>
      </c>
      <c r="AK90" s="154">
        <f t="shared" si="283"/>
        <v>0</v>
      </c>
      <c r="AL90" s="154">
        <f t="shared" si="360"/>
        <v>0</v>
      </c>
      <c r="AM90" s="154">
        <f t="shared" si="284"/>
        <v>0</v>
      </c>
      <c r="AN90" s="154">
        <f t="shared" si="361"/>
        <v>0</v>
      </c>
      <c r="AO90" s="157">
        <f t="shared" si="285"/>
        <v>0</v>
      </c>
      <c r="AP90" s="154">
        <f t="shared" si="286"/>
        <v>0</v>
      </c>
      <c r="AQ90" s="158">
        <f t="shared" si="287"/>
        <v>0</v>
      </c>
      <c r="AR90" s="156">
        <f t="shared" si="356"/>
        <v>0</v>
      </c>
      <c r="AS90" s="154">
        <f t="shared" si="362"/>
        <v>0</v>
      </c>
      <c r="AT90" s="154">
        <f t="shared" si="288"/>
        <v>0</v>
      </c>
      <c r="AU90" s="154">
        <f t="shared" si="363"/>
        <v>0</v>
      </c>
      <c r="AV90" s="154">
        <f t="shared" si="289"/>
        <v>0</v>
      </c>
      <c r="AW90" s="154">
        <f t="shared" si="364"/>
        <v>0</v>
      </c>
      <c r="AX90" s="154">
        <f t="shared" si="290"/>
        <v>0</v>
      </c>
      <c r="AY90" s="154">
        <f t="shared" si="365"/>
        <v>0</v>
      </c>
      <c r="AZ90" s="154">
        <f t="shared" si="291"/>
        <v>0</v>
      </c>
      <c r="BA90" s="154">
        <f t="shared" si="366"/>
        <v>0</v>
      </c>
      <c r="BB90" s="157">
        <f t="shared" si="292"/>
        <v>0</v>
      </c>
      <c r="BC90" s="154">
        <f t="shared" si="293"/>
        <v>0</v>
      </c>
      <c r="BD90" s="158">
        <f t="shared" si="294"/>
        <v>0</v>
      </c>
      <c r="BE90" s="156">
        <f t="shared" si="356"/>
        <v>0</v>
      </c>
      <c r="BF90" s="154">
        <f t="shared" si="367"/>
        <v>0</v>
      </c>
      <c r="BG90" s="154">
        <f t="shared" si="295"/>
        <v>0</v>
      </c>
      <c r="BH90" s="154">
        <f t="shared" si="368"/>
        <v>0</v>
      </c>
      <c r="BI90" s="154">
        <f t="shared" si="296"/>
        <v>0</v>
      </c>
      <c r="BJ90" s="154">
        <f t="shared" si="369"/>
        <v>0</v>
      </c>
      <c r="BK90" s="154">
        <f t="shared" si="297"/>
        <v>0</v>
      </c>
      <c r="BL90" s="154">
        <f t="shared" si="370"/>
        <v>0</v>
      </c>
      <c r="BM90" s="154">
        <f t="shared" si="298"/>
        <v>0</v>
      </c>
      <c r="BN90" s="154">
        <f t="shared" si="371"/>
        <v>0</v>
      </c>
      <c r="BO90" s="157">
        <f t="shared" si="299"/>
        <v>0</v>
      </c>
      <c r="BP90" s="154">
        <f t="shared" si="300"/>
        <v>0</v>
      </c>
      <c r="BQ90" s="158">
        <f t="shared" si="301"/>
        <v>0</v>
      </c>
      <c r="BR90" s="156">
        <f t="shared" si="356"/>
        <v>0</v>
      </c>
      <c r="BS90" s="154">
        <f t="shared" si="372"/>
        <v>0</v>
      </c>
      <c r="BT90" s="154">
        <f t="shared" si="302"/>
        <v>0</v>
      </c>
      <c r="BU90" s="154">
        <f t="shared" si="373"/>
        <v>0</v>
      </c>
      <c r="BV90" s="154">
        <f t="shared" si="303"/>
        <v>0</v>
      </c>
      <c r="BW90" s="154">
        <f t="shared" si="374"/>
        <v>0</v>
      </c>
      <c r="BX90" s="154">
        <f t="shared" si="304"/>
        <v>0</v>
      </c>
      <c r="BY90" s="154">
        <f t="shared" si="375"/>
        <v>0</v>
      </c>
      <c r="BZ90" s="154">
        <f t="shared" si="305"/>
        <v>0</v>
      </c>
      <c r="CA90" s="154">
        <f t="shared" si="376"/>
        <v>0</v>
      </c>
      <c r="CB90" s="157">
        <f t="shared" si="306"/>
        <v>0</v>
      </c>
      <c r="CC90" s="154">
        <f t="shared" si="307"/>
        <v>0</v>
      </c>
      <c r="CD90" s="158">
        <f t="shared" si="308"/>
        <v>0</v>
      </c>
      <c r="CE90" s="156">
        <f t="shared" si="356"/>
        <v>0</v>
      </c>
      <c r="CF90" s="154">
        <f t="shared" si="377"/>
        <v>0</v>
      </c>
      <c r="CG90" s="154">
        <f t="shared" si="309"/>
        <v>0</v>
      </c>
      <c r="CH90" s="154">
        <f t="shared" si="378"/>
        <v>0</v>
      </c>
      <c r="CI90" s="154">
        <f t="shared" si="310"/>
        <v>0</v>
      </c>
      <c r="CJ90" s="154">
        <f t="shared" si="379"/>
        <v>0</v>
      </c>
      <c r="CK90" s="154">
        <f t="shared" si="311"/>
        <v>0</v>
      </c>
      <c r="CL90" s="154">
        <f t="shared" si="380"/>
        <v>0</v>
      </c>
      <c r="CM90" s="154">
        <f t="shared" si="312"/>
        <v>0</v>
      </c>
      <c r="CN90" s="154">
        <f t="shared" si="381"/>
        <v>0</v>
      </c>
      <c r="CO90" s="157">
        <f t="shared" si="313"/>
        <v>0</v>
      </c>
      <c r="CP90" s="154">
        <f t="shared" si="314"/>
        <v>0</v>
      </c>
      <c r="CQ90" s="158">
        <f t="shared" si="315"/>
        <v>0</v>
      </c>
      <c r="CR90" s="156">
        <f t="shared" si="382"/>
        <v>0</v>
      </c>
      <c r="CS90" s="154">
        <f t="shared" si="383"/>
        <v>0</v>
      </c>
      <c r="CT90" s="154">
        <f t="shared" si="317"/>
        <v>0</v>
      </c>
      <c r="CU90" s="154">
        <f t="shared" si="384"/>
        <v>0</v>
      </c>
      <c r="CV90" s="154">
        <f t="shared" si="318"/>
        <v>0</v>
      </c>
      <c r="CW90" s="154">
        <f t="shared" si="385"/>
        <v>0</v>
      </c>
      <c r="CX90" s="154">
        <f t="shared" si="319"/>
        <v>0</v>
      </c>
      <c r="CY90" s="154">
        <f t="shared" si="386"/>
        <v>0</v>
      </c>
      <c r="CZ90" s="154">
        <f t="shared" si="320"/>
        <v>0</v>
      </c>
      <c r="DA90" s="154">
        <f t="shared" si="387"/>
        <v>0</v>
      </c>
      <c r="DB90" s="157">
        <f t="shared" si="321"/>
        <v>0</v>
      </c>
      <c r="DC90" s="154">
        <f t="shared" si="322"/>
        <v>0</v>
      </c>
      <c r="DD90" s="158">
        <f t="shared" si="323"/>
        <v>0</v>
      </c>
      <c r="DE90" s="156">
        <f t="shared" si="382"/>
        <v>0</v>
      </c>
      <c r="DF90" s="154">
        <f t="shared" si="388"/>
        <v>0</v>
      </c>
      <c r="DG90" s="154">
        <f t="shared" si="324"/>
        <v>0</v>
      </c>
      <c r="DH90" s="154">
        <f t="shared" si="389"/>
        <v>0</v>
      </c>
      <c r="DI90" s="154">
        <f t="shared" si="325"/>
        <v>0</v>
      </c>
      <c r="DJ90" s="154">
        <f t="shared" si="390"/>
        <v>0</v>
      </c>
      <c r="DK90" s="154">
        <f t="shared" si="326"/>
        <v>0</v>
      </c>
      <c r="DL90" s="154">
        <f t="shared" si="391"/>
        <v>0</v>
      </c>
      <c r="DM90" s="154">
        <f t="shared" si="327"/>
        <v>0</v>
      </c>
      <c r="DN90" s="154">
        <f t="shared" si="392"/>
        <v>0</v>
      </c>
      <c r="DO90" s="157">
        <f t="shared" si="328"/>
        <v>0</v>
      </c>
      <c r="DP90" s="154">
        <f t="shared" si="329"/>
        <v>0</v>
      </c>
      <c r="DQ90" s="158">
        <f t="shared" si="330"/>
        <v>0</v>
      </c>
      <c r="DR90" s="156">
        <f t="shared" si="382"/>
        <v>0</v>
      </c>
      <c r="DS90" s="154">
        <f t="shared" si="393"/>
        <v>0</v>
      </c>
      <c r="DT90" s="154">
        <f t="shared" si="331"/>
        <v>0</v>
      </c>
      <c r="DU90" s="154">
        <f t="shared" si="394"/>
        <v>0</v>
      </c>
      <c r="DV90" s="154">
        <f t="shared" si="332"/>
        <v>0</v>
      </c>
      <c r="DW90" s="154">
        <f t="shared" si="395"/>
        <v>0</v>
      </c>
      <c r="DX90" s="154">
        <f t="shared" si="333"/>
        <v>0</v>
      </c>
      <c r="DY90" s="154">
        <f t="shared" si="396"/>
        <v>0</v>
      </c>
      <c r="DZ90" s="154">
        <f t="shared" si="334"/>
        <v>0</v>
      </c>
      <c r="EA90" s="154">
        <f t="shared" si="397"/>
        <v>0</v>
      </c>
      <c r="EB90" s="157">
        <f t="shared" si="335"/>
        <v>0</v>
      </c>
      <c r="EC90" s="154">
        <f t="shared" si="336"/>
        <v>0</v>
      </c>
      <c r="ED90" s="158">
        <f t="shared" si="337"/>
        <v>0</v>
      </c>
    </row>
    <row r="91" spans="1:134" x14ac:dyDescent="0.35">
      <c r="A91" s="172"/>
      <c r="B91" s="173"/>
      <c r="C91" s="174"/>
      <c r="D91" s="175"/>
      <c r="E91" s="176"/>
      <c r="F91" s="177"/>
      <c r="G91" s="178"/>
      <c r="H91" s="179"/>
      <c r="I91" s="180"/>
      <c r="J91" s="181"/>
      <c r="K91" s="152">
        <f t="shared" si="338"/>
        <v>0</v>
      </c>
      <c r="L91" s="153">
        <f t="shared" si="339"/>
        <v>0</v>
      </c>
      <c r="M91" s="154">
        <f t="shared" si="340"/>
        <v>0</v>
      </c>
      <c r="N91" s="154"/>
      <c r="O91" s="154">
        <f t="shared" si="341"/>
        <v>0</v>
      </c>
      <c r="P91" s="155"/>
      <c r="Q91" s="154">
        <f t="shared" si="342"/>
        <v>0</v>
      </c>
      <c r="R91" s="156">
        <f t="shared" si="343"/>
        <v>0</v>
      </c>
      <c r="S91" s="154">
        <f t="shared" si="344"/>
        <v>0</v>
      </c>
      <c r="T91" s="154">
        <f t="shared" si="345"/>
        <v>0</v>
      </c>
      <c r="U91" s="154">
        <f t="shared" si="346"/>
        <v>0</v>
      </c>
      <c r="V91" s="154">
        <f t="shared" si="347"/>
        <v>0</v>
      </c>
      <c r="W91" s="154">
        <f t="shared" si="348"/>
        <v>0</v>
      </c>
      <c r="X91" s="154">
        <f t="shared" si="349"/>
        <v>0</v>
      </c>
      <c r="Y91" s="154">
        <f t="shared" si="350"/>
        <v>0</v>
      </c>
      <c r="Z91" s="154">
        <f t="shared" si="351"/>
        <v>0</v>
      </c>
      <c r="AA91" s="154">
        <f t="shared" si="352"/>
        <v>0</v>
      </c>
      <c r="AB91" s="157">
        <f t="shared" si="353"/>
        <v>0</v>
      </c>
      <c r="AC91" s="154">
        <f t="shared" si="354"/>
        <v>0</v>
      </c>
      <c r="AD91" s="158">
        <f t="shared" si="355"/>
        <v>0</v>
      </c>
      <c r="AE91" s="156">
        <f t="shared" si="356"/>
        <v>0</v>
      </c>
      <c r="AF91" s="154">
        <f t="shared" si="357"/>
        <v>0</v>
      </c>
      <c r="AG91" s="154">
        <f t="shared" si="281"/>
        <v>0</v>
      </c>
      <c r="AH91" s="154">
        <f t="shared" si="358"/>
        <v>0</v>
      </c>
      <c r="AI91" s="154">
        <f t="shared" si="282"/>
        <v>0</v>
      </c>
      <c r="AJ91" s="154">
        <f t="shared" si="359"/>
        <v>0</v>
      </c>
      <c r="AK91" s="154">
        <f t="shared" si="283"/>
        <v>0</v>
      </c>
      <c r="AL91" s="154">
        <f t="shared" si="360"/>
        <v>0</v>
      </c>
      <c r="AM91" s="154">
        <f t="shared" si="284"/>
        <v>0</v>
      </c>
      <c r="AN91" s="154">
        <f t="shared" si="361"/>
        <v>0</v>
      </c>
      <c r="AO91" s="157">
        <f t="shared" si="285"/>
        <v>0</v>
      </c>
      <c r="AP91" s="154">
        <f t="shared" si="286"/>
        <v>0</v>
      </c>
      <c r="AQ91" s="158">
        <f t="shared" si="287"/>
        <v>0</v>
      </c>
      <c r="AR91" s="156">
        <f t="shared" si="356"/>
        <v>0</v>
      </c>
      <c r="AS91" s="154">
        <f t="shared" si="362"/>
        <v>0</v>
      </c>
      <c r="AT91" s="154">
        <f t="shared" si="288"/>
        <v>0</v>
      </c>
      <c r="AU91" s="154">
        <f t="shared" si="363"/>
        <v>0</v>
      </c>
      <c r="AV91" s="154">
        <f t="shared" si="289"/>
        <v>0</v>
      </c>
      <c r="AW91" s="154">
        <f t="shared" si="364"/>
        <v>0</v>
      </c>
      <c r="AX91" s="154">
        <f t="shared" si="290"/>
        <v>0</v>
      </c>
      <c r="AY91" s="154">
        <f t="shared" si="365"/>
        <v>0</v>
      </c>
      <c r="AZ91" s="154">
        <f t="shared" si="291"/>
        <v>0</v>
      </c>
      <c r="BA91" s="154">
        <f t="shared" si="366"/>
        <v>0</v>
      </c>
      <c r="BB91" s="157">
        <f t="shared" si="292"/>
        <v>0</v>
      </c>
      <c r="BC91" s="154">
        <f t="shared" si="293"/>
        <v>0</v>
      </c>
      <c r="BD91" s="158">
        <f t="shared" si="294"/>
        <v>0</v>
      </c>
      <c r="BE91" s="156">
        <f t="shared" si="356"/>
        <v>0</v>
      </c>
      <c r="BF91" s="154">
        <f t="shared" si="367"/>
        <v>0</v>
      </c>
      <c r="BG91" s="154">
        <f t="shared" si="295"/>
        <v>0</v>
      </c>
      <c r="BH91" s="154">
        <f t="shared" si="368"/>
        <v>0</v>
      </c>
      <c r="BI91" s="154">
        <f t="shared" si="296"/>
        <v>0</v>
      </c>
      <c r="BJ91" s="154">
        <f t="shared" si="369"/>
        <v>0</v>
      </c>
      <c r="BK91" s="154">
        <f t="shared" si="297"/>
        <v>0</v>
      </c>
      <c r="BL91" s="154">
        <f t="shared" si="370"/>
        <v>0</v>
      </c>
      <c r="BM91" s="154">
        <f t="shared" si="298"/>
        <v>0</v>
      </c>
      <c r="BN91" s="154">
        <f t="shared" si="371"/>
        <v>0</v>
      </c>
      <c r="BO91" s="157">
        <f t="shared" si="299"/>
        <v>0</v>
      </c>
      <c r="BP91" s="154">
        <f t="shared" si="300"/>
        <v>0</v>
      </c>
      <c r="BQ91" s="158">
        <f t="shared" si="301"/>
        <v>0</v>
      </c>
      <c r="BR91" s="156">
        <f t="shared" si="356"/>
        <v>0</v>
      </c>
      <c r="BS91" s="154">
        <f t="shared" si="372"/>
        <v>0</v>
      </c>
      <c r="BT91" s="154">
        <f t="shared" si="302"/>
        <v>0</v>
      </c>
      <c r="BU91" s="154">
        <f t="shared" si="373"/>
        <v>0</v>
      </c>
      <c r="BV91" s="154">
        <f t="shared" si="303"/>
        <v>0</v>
      </c>
      <c r="BW91" s="154">
        <f t="shared" si="374"/>
        <v>0</v>
      </c>
      <c r="BX91" s="154">
        <f t="shared" si="304"/>
        <v>0</v>
      </c>
      <c r="BY91" s="154">
        <f t="shared" si="375"/>
        <v>0</v>
      </c>
      <c r="BZ91" s="154">
        <f t="shared" si="305"/>
        <v>0</v>
      </c>
      <c r="CA91" s="154">
        <f t="shared" si="376"/>
        <v>0</v>
      </c>
      <c r="CB91" s="157">
        <f t="shared" si="306"/>
        <v>0</v>
      </c>
      <c r="CC91" s="154">
        <f t="shared" si="307"/>
        <v>0</v>
      </c>
      <c r="CD91" s="158">
        <f t="shared" si="308"/>
        <v>0</v>
      </c>
      <c r="CE91" s="156">
        <f t="shared" si="356"/>
        <v>0</v>
      </c>
      <c r="CF91" s="154">
        <f t="shared" si="377"/>
        <v>0</v>
      </c>
      <c r="CG91" s="154">
        <f t="shared" si="309"/>
        <v>0</v>
      </c>
      <c r="CH91" s="154">
        <f t="shared" si="378"/>
        <v>0</v>
      </c>
      <c r="CI91" s="154">
        <f t="shared" si="310"/>
        <v>0</v>
      </c>
      <c r="CJ91" s="154">
        <f t="shared" si="379"/>
        <v>0</v>
      </c>
      <c r="CK91" s="154">
        <f t="shared" si="311"/>
        <v>0</v>
      </c>
      <c r="CL91" s="154">
        <f t="shared" si="380"/>
        <v>0</v>
      </c>
      <c r="CM91" s="154">
        <f t="shared" si="312"/>
        <v>0</v>
      </c>
      <c r="CN91" s="154">
        <f t="shared" si="381"/>
        <v>0</v>
      </c>
      <c r="CO91" s="157">
        <f t="shared" si="313"/>
        <v>0</v>
      </c>
      <c r="CP91" s="154">
        <f t="shared" si="314"/>
        <v>0</v>
      </c>
      <c r="CQ91" s="158">
        <f t="shared" si="315"/>
        <v>0</v>
      </c>
      <c r="CR91" s="156">
        <f t="shared" si="382"/>
        <v>0</v>
      </c>
      <c r="CS91" s="154">
        <f t="shared" si="383"/>
        <v>0</v>
      </c>
      <c r="CT91" s="154">
        <f t="shared" si="317"/>
        <v>0</v>
      </c>
      <c r="CU91" s="154">
        <f t="shared" si="384"/>
        <v>0</v>
      </c>
      <c r="CV91" s="154">
        <f t="shared" si="318"/>
        <v>0</v>
      </c>
      <c r="CW91" s="154">
        <f t="shared" si="385"/>
        <v>0</v>
      </c>
      <c r="CX91" s="154">
        <f t="shared" si="319"/>
        <v>0</v>
      </c>
      <c r="CY91" s="154">
        <f t="shared" si="386"/>
        <v>0</v>
      </c>
      <c r="CZ91" s="154">
        <f t="shared" si="320"/>
        <v>0</v>
      </c>
      <c r="DA91" s="154">
        <f t="shared" si="387"/>
        <v>0</v>
      </c>
      <c r="DB91" s="157">
        <f t="shared" si="321"/>
        <v>0</v>
      </c>
      <c r="DC91" s="154">
        <f t="shared" si="322"/>
        <v>0</v>
      </c>
      <c r="DD91" s="158">
        <f t="shared" si="323"/>
        <v>0</v>
      </c>
      <c r="DE91" s="156">
        <f t="shared" si="382"/>
        <v>0</v>
      </c>
      <c r="DF91" s="154">
        <f t="shared" si="388"/>
        <v>0</v>
      </c>
      <c r="DG91" s="154">
        <f t="shared" si="324"/>
        <v>0</v>
      </c>
      <c r="DH91" s="154">
        <f t="shared" si="389"/>
        <v>0</v>
      </c>
      <c r="DI91" s="154">
        <f t="shared" si="325"/>
        <v>0</v>
      </c>
      <c r="DJ91" s="154">
        <f t="shared" si="390"/>
        <v>0</v>
      </c>
      <c r="DK91" s="154">
        <f t="shared" si="326"/>
        <v>0</v>
      </c>
      <c r="DL91" s="154">
        <f t="shared" si="391"/>
        <v>0</v>
      </c>
      <c r="DM91" s="154">
        <f t="shared" si="327"/>
        <v>0</v>
      </c>
      <c r="DN91" s="154">
        <f t="shared" si="392"/>
        <v>0</v>
      </c>
      <c r="DO91" s="157">
        <f t="shared" si="328"/>
        <v>0</v>
      </c>
      <c r="DP91" s="154">
        <f t="shared" si="329"/>
        <v>0</v>
      </c>
      <c r="DQ91" s="158">
        <f t="shared" si="330"/>
        <v>0</v>
      </c>
      <c r="DR91" s="156">
        <f t="shared" si="382"/>
        <v>0</v>
      </c>
      <c r="DS91" s="154">
        <f t="shared" si="393"/>
        <v>0</v>
      </c>
      <c r="DT91" s="154">
        <f t="shared" si="331"/>
        <v>0</v>
      </c>
      <c r="DU91" s="154">
        <f t="shared" si="394"/>
        <v>0</v>
      </c>
      <c r="DV91" s="154">
        <f t="shared" si="332"/>
        <v>0</v>
      </c>
      <c r="DW91" s="154">
        <f t="shared" si="395"/>
        <v>0</v>
      </c>
      <c r="DX91" s="154">
        <f t="shared" si="333"/>
        <v>0</v>
      </c>
      <c r="DY91" s="154">
        <f t="shared" si="396"/>
        <v>0</v>
      </c>
      <c r="DZ91" s="154">
        <f t="shared" si="334"/>
        <v>0</v>
      </c>
      <c r="EA91" s="154">
        <f t="shared" si="397"/>
        <v>0</v>
      </c>
      <c r="EB91" s="157">
        <f t="shared" si="335"/>
        <v>0</v>
      </c>
      <c r="EC91" s="154">
        <f t="shared" si="336"/>
        <v>0</v>
      </c>
      <c r="ED91" s="158">
        <f t="shared" si="337"/>
        <v>0</v>
      </c>
    </row>
    <row r="92" spans="1:134" x14ac:dyDescent="0.35">
      <c r="A92" s="172"/>
      <c r="B92" s="173"/>
      <c r="C92" s="174"/>
      <c r="D92" s="175"/>
      <c r="E92" s="176"/>
      <c r="F92" s="177"/>
      <c r="G92" s="178"/>
      <c r="H92" s="179"/>
      <c r="I92" s="180"/>
      <c r="J92" s="181"/>
      <c r="K92" s="152">
        <f t="shared" si="338"/>
        <v>0</v>
      </c>
      <c r="L92" s="153">
        <f t="shared" si="339"/>
        <v>0</v>
      </c>
      <c r="M92" s="154">
        <f t="shared" si="340"/>
        <v>0</v>
      </c>
      <c r="N92" s="154"/>
      <c r="O92" s="154">
        <f t="shared" si="341"/>
        <v>0</v>
      </c>
      <c r="P92" s="155"/>
      <c r="Q92" s="154">
        <f t="shared" si="342"/>
        <v>0</v>
      </c>
      <c r="R92" s="156">
        <f t="shared" si="343"/>
        <v>0</v>
      </c>
      <c r="S92" s="154">
        <f t="shared" si="344"/>
        <v>0</v>
      </c>
      <c r="T92" s="154">
        <f t="shared" si="345"/>
        <v>0</v>
      </c>
      <c r="U92" s="154">
        <f t="shared" si="346"/>
        <v>0</v>
      </c>
      <c r="V92" s="154">
        <f t="shared" si="347"/>
        <v>0</v>
      </c>
      <c r="W92" s="154">
        <f t="shared" si="348"/>
        <v>0</v>
      </c>
      <c r="X92" s="154">
        <f t="shared" si="349"/>
        <v>0</v>
      </c>
      <c r="Y92" s="154">
        <f t="shared" si="350"/>
        <v>0</v>
      </c>
      <c r="Z92" s="154">
        <f t="shared" si="351"/>
        <v>0</v>
      </c>
      <c r="AA92" s="154">
        <f t="shared" si="352"/>
        <v>0</v>
      </c>
      <c r="AB92" s="157">
        <f t="shared" si="353"/>
        <v>0</v>
      </c>
      <c r="AC92" s="154">
        <f t="shared" si="354"/>
        <v>0</v>
      </c>
      <c r="AD92" s="158">
        <f t="shared" si="355"/>
        <v>0</v>
      </c>
      <c r="AE92" s="156">
        <f t="shared" si="356"/>
        <v>0</v>
      </c>
      <c r="AF92" s="154">
        <f t="shared" si="357"/>
        <v>0</v>
      </c>
      <c r="AG92" s="154">
        <f t="shared" si="281"/>
        <v>0</v>
      </c>
      <c r="AH92" s="154">
        <f t="shared" si="358"/>
        <v>0</v>
      </c>
      <c r="AI92" s="154">
        <f t="shared" si="282"/>
        <v>0</v>
      </c>
      <c r="AJ92" s="154">
        <f t="shared" si="359"/>
        <v>0</v>
      </c>
      <c r="AK92" s="154">
        <f t="shared" si="283"/>
        <v>0</v>
      </c>
      <c r="AL92" s="154">
        <f t="shared" si="360"/>
        <v>0</v>
      </c>
      <c r="AM92" s="154">
        <f t="shared" si="284"/>
        <v>0</v>
      </c>
      <c r="AN92" s="154">
        <f t="shared" si="361"/>
        <v>0</v>
      </c>
      <c r="AO92" s="157">
        <f t="shared" si="285"/>
        <v>0</v>
      </c>
      <c r="AP92" s="154">
        <f t="shared" si="286"/>
        <v>0</v>
      </c>
      <c r="AQ92" s="158">
        <f t="shared" si="287"/>
        <v>0</v>
      </c>
      <c r="AR92" s="156">
        <f t="shared" si="356"/>
        <v>0</v>
      </c>
      <c r="AS92" s="154">
        <f t="shared" si="362"/>
        <v>0</v>
      </c>
      <c r="AT92" s="154">
        <f t="shared" si="288"/>
        <v>0</v>
      </c>
      <c r="AU92" s="154">
        <f t="shared" si="363"/>
        <v>0</v>
      </c>
      <c r="AV92" s="154">
        <f t="shared" si="289"/>
        <v>0</v>
      </c>
      <c r="AW92" s="154">
        <f t="shared" si="364"/>
        <v>0</v>
      </c>
      <c r="AX92" s="154">
        <f t="shared" si="290"/>
        <v>0</v>
      </c>
      <c r="AY92" s="154">
        <f t="shared" si="365"/>
        <v>0</v>
      </c>
      <c r="AZ92" s="154">
        <f t="shared" si="291"/>
        <v>0</v>
      </c>
      <c r="BA92" s="154">
        <f t="shared" si="366"/>
        <v>0</v>
      </c>
      <c r="BB92" s="157">
        <f t="shared" si="292"/>
        <v>0</v>
      </c>
      <c r="BC92" s="154">
        <f t="shared" si="293"/>
        <v>0</v>
      </c>
      <c r="BD92" s="158">
        <f t="shared" si="294"/>
        <v>0</v>
      </c>
      <c r="BE92" s="156">
        <f t="shared" si="356"/>
        <v>0</v>
      </c>
      <c r="BF92" s="154">
        <f t="shared" si="367"/>
        <v>0</v>
      </c>
      <c r="BG92" s="154">
        <f t="shared" si="295"/>
        <v>0</v>
      </c>
      <c r="BH92" s="154">
        <f t="shared" si="368"/>
        <v>0</v>
      </c>
      <c r="BI92" s="154">
        <f t="shared" si="296"/>
        <v>0</v>
      </c>
      <c r="BJ92" s="154">
        <f t="shared" si="369"/>
        <v>0</v>
      </c>
      <c r="BK92" s="154">
        <f t="shared" si="297"/>
        <v>0</v>
      </c>
      <c r="BL92" s="154">
        <f t="shared" si="370"/>
        <v>0</v>
      </c>
      <c r="BM92" s="154">
        <f t="shared" si="298"/>
        <v>0</v>
      </c>
      <c r="BN92" s="154">
        <f t="shared" si="371"/>
        <v>0</v>
      </c>
      <c r="BO92" s="157">
        <f t="shared" si="299"/>
        <v>0</v>
      </c>
      <c r="BP92" s="154">
        <f t="shared" si="300"/>
        <v>0</v>
      </c>
      <c r="BQ92" s="158">
        <f t="shared" si="301"/>
        <v>0</v>
      </c>
      <c r="BR92" s="156">
        <f t="shared" si="356"/>
        <v>0</v>
      </c>
      <c r="BS92" s="154">
        <f t="shared" si="372"/>
        <v>0</v>
      </c>
      <c r="BT92" s="154">
        <f t="shared" si="302"/>
        <v>0</v>
      </c>
      <c r="BU92" s="154">
        <f t="shared" si="373"/>
        <v>0</v>
      </c>
      <c r="BV92" s="154">
        <f t="shared" si="303"/>
        <v>0</v>
      </c>
      <c r="BW92" s="154">
        <f t="shared" si="374"/>
        <v>0</v>
      </c>
      <c r="BX92" s="154">
        <f t="shared" si="304"/>
        <v>0</v>
      </c>
      <c r="BY92" s="154">
        <f t="shared" si="375"/>
        <v>0</v>
      </c>
      <c r="BZ92" s="154">
        <f t="shared" si="305"/>
        <v>0</v>
      </c>
      <c r="CA92" s="154">
        <f t="shared" si="376"/>
        <v>0</v>
      </c>
      <c r="CB92" s="157">
        <f t="shared" si="306"/>
        <v>0</v>
      </c>
      <c r="CC92" s="154">
        <f t="shared" si="307"/>
        <v>0</v>
      </c>
      <c r="CD92" s="158">
        <f t="shared" si="308"/>
        <v>0</v>
      </c>
      <c r="CE92" s="156">
        <f t="shared" si="356"/>
        <v>0</v>
      </c>
      <c r="CF92" s="154">
        <f t="shared" si="377"/>
        <v>0</v>
      </c>
      <c r="CG92" s="154">
        <f t="shared" si="309"/>
        <v>0</v>
      </c>
      <c r="CH92" s="154">
        <f t="shared" si="378"/>
        <v>0</v>
      </c>
      <c r="CI92" s="154">
        <f t="shared" si="310"/>
        <v>0</v>
      </c>
      <c r="CJ92" s="154">
        <f t="shared" si="379"/>
        <v>0</v>
      </c>
      <c r="CK92" s="154">
        <f t="shared" si="311"/>
        <v>0</v>
      </c>
      <c r="CL92" s="154">
        <f t="shared" si="380"/>
        <v>0</v>
      </c>
      <c r="CM92" s="154">
        <f t="shared" si="312"/>
        <v>0</v>
      </c>
      <c r="CN92" s="154">
        <f t="shared" si="381"/>
        <v>0</v>
      </c>
      <c r="CO92" s="157">
        <f t="shared" si="313"/>
        <v>0</v>
      </c>
      <c r="CP92" s="154">
        <f t="shared" si="314"/>
        <v>0</v>
      </c>
      <c r="CQ92" s="158">
        <f t="shared" si="315"/>
        <v>0</v>
      </c>
      <c r="CR92" s="156">
        <f t="shared" si="382"/>
        <v>0</v>
      </c>
      <c r="CS92" s="154">
        <f t="shared" si="383"/>
        <v>0</v>
      </c>
      <c r="CT92" s="154">
        <f t="shared" si="317"/>
        <v>0</v>
      </c>
      <c r="CU92" s="154">
        <f t="shared" si="384"/>
        <v>0</v>
      </c>
      <c r="CV92" s="154">
        <f t="shared" si="318"/>
        <v>0</v>
      </c>
      <c r="CW92" s="154">
        <f t="shared" si="385"/>
        <v>0</v>
      </c>
      <c r="CX92" s="154">
        <f t="shared" si="319"/>
        <v>0</v>
      </c>
      <c r="CY92" s="154">
        <f t="shared" si="386"/>
        <v>0</v>
      </c>
      <c r="CZ92" s="154">
        <f t="shared" si="320"/>
        <v>0</v>
      </c>
      <c r="DA92" s="154">
        <f t="shared" si="387"/>
        <v>0</v>
      </c>
      <c r="DB92" s="157">
        <f t="shared" si="321"/>
        <v>0</v>
      </c>
      <c r="DC92" s="154">
        <f t="shared" si="322"/>
        <v>0</v>
      </c>
      <c r="DD92" s="158">
        <f t="shared" si="323"/>
        <v>0</v>
      </c>
      <c r="DE92" s="156">
        <f t="shared" si="382"/>
        <v>0</v>
      </c>
      <c r="DF92" s="154">
        <f t="shared" si="388"/>
        <v>0</v>
      </c>
      <c r="DG92" s="154">
        <f t="shared" si="324"/>
        <v>0</v>
      </c>
      <c r="DH92" s="154">
        <f t="shared" si="389"/>
        <v>0</v>
      </c>
      <c r="DI92" s="154">
        <f t="shared" si="325"/>
        <v>0</v>
      </c>
      <c r="DJ92" s="154">
        <f t="shared" si="390"/>
        <v>0</v>
      </c>
      <c r="DK92" s="154">
        <f t="shared" si="326"/>
        <v>0</v>
      </c>
      <c r="DL92" s="154">
        <f t="shared" si="391"/>
        <v>0</v>
      </c>
      <c r="DM92" s="154">
        <f t="shared" si="327"/>
        <v>0</v>
      </c>
      <c r="DN92" s="154">
        <f t="shared" si="392"/>
        <v>0</v>
      </c>
      <c r="DO92" s="157">
        <f t="shared" si="328"/>
        <v>0</v>
      </c>
      <c r="DP92" s="154">
        <f t="shared" si="329"/>
        <v>0</v>
      </c>
      <c r="DQ92" s="158">
        <f t="shared" si="330"/>
        <v>0</v>
      </c>
      <c r="DR92" s="156">
        <f t="shared" si="382"/>
        <v>0</v>
      </c>
      <c r="DS92" s="154">
        <f t="shared" si="393"/>
        <v>0</v>
      </c>
      <c r="DT92" s="154">
        <f t="shared" si="331"/>
        <v>0</v>
      </c>
      <c r="DU92" s="154">
        <f t="shared" si="394"/>
        <v>0</v>
      </c>
      <c r="DV92" s="154">
        <f t="shared" si="332"/>
        <v>0</v>
      </c>
      <c r="DW92" s="154">
        <f t="shared" si="395"/>
        <v>0</v>
      </c>
      <c r="DX92" s="154">
        <f t="shared" si="333"/>
        <v>0</v>
      </c>
      <c r="DY92" s="154">
        <f t="shared" si="396"/>
        <v>0</v>
      </c>
      <c r="DZ92" s="154">
        <f t="shared" si="334"/>
        <v>0</v>
      </c>
      <c r="EA92" s="154">
        <f t="shared" si="397"/>
        <v>0</v>
      </c>
      <c r="EB92" s="157">
        <f t="shared" si="335"/>
        <v>0</v>
      </c>
      <c r="EC92" s="154">
        <f t="shared" si="336"/>
        <v>0</v>
      </c>
      <c r="ED92" s="158">
        <f t="shared" si="337"/>
        <v>0</v>
      </c>
    </row>
    <row r="93" spans="1:134" x14ac:dyDescent="0.35">
      <c r="A93" s="172"/>
      <c r="B93" s="173"/>
      <c r="C93" s="174"/>
      <c r="D93" s="175"/>
      <c r="E93" s="176"/>
      <c r="F93" s="177"/>
      <c r="G93" s="178"/>
      <c r="H93" s="179"/>
      <c r="I93" s="180"/>
      <c r="J93" s="181"/>
      <c r="K93" s="152">
        <f t="shared" si="338"/>
        <v>0</v>
      </c>
      <c r="L93" s="153">
        <f t="shared" si="339"/>
        <v>0</v>
      </c>
      <c r="M93" s="154">
        <f t="shared" si="340"/>
        <v>0</v>
      </c>
      <c r="N93" s="154"/>
      <c r="O93" s="154">
        <f t="shared" si="341"/>
        <v>0</v>
      </c>
      <c r="P93" s="155"/>
      <c r="Q93" s="154">
        <f t="shared" si="342"/>
        <v>0</v>
      </c>
      <c r="R93" s="156">
        <f t="shared" si="343"/>
        <v>0</v>
      </c>
      <c r="S93" s="154">
        <f t="shared" si="344"/>
        <v>0</v>
      </c>
      <c r="T93" s="154">
        <f t="shared" si="345"/>
        <v>0</v>
      </c>
      <c r="U93" s="154">
        <f t="shared" si="346"/>
        <v>0</v>
      </c>
      <c r="V93" s="154">
        <f t="shared" si="347"/>
        <v>0</v>
      </c>
      <c r="W93" s="154">
        <f t="shared" si="348"/>
        <v>0</v>
      </c>
      <c r="X93" s="154">
        <f t="shared" si="349"/>
        <v>0</v>
      </c>
      <c r="Y93" s="154">
        <f t="shared" si="350"/>
        <v>0</v>
      </c>
      <c r="Z93" s="154">
        <f t="shared" si="351"/>
        <v>0</v>
      </c>
      <c r="AA93" s="154">
        <f t="shared" si="352"/>
        <v>0</v>
      </c>
      <c r="AB93" s="157">
        <f t="shared" si="353"/>
        <v>0</v>
      </c>
      <c r="AC93" s="154">
        <f t="shared" si="354"/>
        <v>0</v>
      </c>
      <c r="AD93" s="158">
        <f t="shared" si="355"/>
        <v>0</v>
      </c>
      <c r="AE93" s="156">
        <f t="shared" si="356"/>
        <v>0</v>
      </c>
      <c r="AF93" s="154">
        <f t="shared" si="357"/>
        <v>0</v>
      </c>
      <c r="AG93" s="154">
        <f t="shared" si="281"/>
        <v>0</v>
      </c>
      <c r="AH93" s="154">
        <f t="shared" si="358"/>
        <v>0</v>
      </c>
      <c r="AI93" s="154">
        <f t="shared" si="282"/>
        <v>0</v>
      </c>
      <c r="AJ93" s="154">
        <f t="shared" si="359"/>
        <v>0</v>
      </c>
      <c r="AK93" s="154">
        <f t="shared" si="283"/>
        <v>0</v>
      </c>
      <c r="AL93" s="154">
        <f t="shared" si="360"/>
        <v>0</v>
      </c>
      <c r="AM93" s="154">
        <f t="shared" si="284"/>
        <v>0</v>
      </c>
      <c r="AN93" s="154">
        <f t="shared" si="361"/>
        <v>0</v>
      </c>
      <c r="AO93" s="157">
        <f t="shared" si="285"/>
        <v>0</v>
      </c>
      <c r="AP93" s="154">
        <f t="shared" si="286"/>
        <v>0</v>
      </c>
      <c r="AQ93" s="158">
        <f t="shared" si="287"/>
        <v>0</v>
      </c>
      <c r="AR93" s="156">
        <f t="shared" si="356"/>
        <v>0</v>
      </c>
      <c r="AS93" s="154">
        <f t="shared" si="362"/>
        <v>0</v>
      </c>
      <c r="AT93" s="154">
        <f t="shared" si="288"/>
        <v>0</v>
      </c>
      <c r="AU93" s="154">
        <f t="shared" si="363"/>
        <v>0</v>
      </c>
      <c r="AV93" s="154">
        <f t="shared" si="289"/>
        <v>0</v>
      </c>
      <c r="AW93" s="154">
        <f t="shared" si="364"/>
        <v>0</v>
      </c>
      <c r="AX93" s="154">
        <f t="shared" si="290"/>
        <v>0</v>
      </c>
      <c r="AY93" s="154">
        <f t="shared" si="365"/>
        <v>0</v>
      </c>
      <c r="AZ93" s="154">
        <f t="shared" si="291"/>
        <v>0</v>
      </c>
      <c r="BA93" s="154">
        <f t="shared" si="366"/>
        <v>0</v>
      </c>
      <c r="BB93" s="157">
        <f t="shared" si="292"/>
        <v>0</v>
      </c>
      <c r="BC93" s="154">
        <f t="shared" si="293"/>
        <v>0</v>
      </c>
      <c r="BD93" s="158">
        <f t="shared" si="294"/>
        <v>0</v>
      </c>
      <c r="BE93" s="156">
        <f t="shared" si="356"/>
        <v>0</v>
      </c>
      <c r="BF93" s="154">
        <f t="shared" si="367"/>
        <v>0</v>
      </c>
      <c r="BG93" s="154">
        <f t="shared" si="295"/>
        <v>0</v>
      </c>
      <c r="BH93" s="154">
        <f t="shared" si="368"/>
        <v>0</v>
      </c>
      <c r="BI93" s="154">
        <f t="shared" si="296"/>
        <v>0</v>
      </c>
      <c r="BJ93" s="154">
        <f t="shared" si="369"/>
        <v>0</v>
      </c>
      <c r="BK93" s="154">
        <f t="shared" si="297"/>
        <v>0</v>
      </c>
      <c r="BL93" s="154">
        <f t="shared" si="370"/>
        <v>0</v>
      </c>
      <c r="BM93" s="154">
        <f t="shared" si="298"/>
        <v>0</v>
      </c>
      <c r="BN93" s="154">
        <f t="shared" si="371"/>
        <v>0</v>
      </c>
      <c r="BO93" s="157">
        <f t="shared" si="299"/>
        <v>0</v>
      </c>
      <c r="BP93" s="154">
        <f t="shared" si="300"/>
        <v>0</v>
      </c>
      <c r="BQ93" s="158">
        <f t="shared" si="301"/>
        <v>0</v>
      </c>
      <c r="BR93" s="156">
        <f t="shared" si="356"/>
        <v>0</v>
      </c>
      <c r="BS93" s="154">
        <f t="shared" si="372"/>
        <v>0</v>
      </c>
      <c r="BT93" s="154">
        <f t="shared" si="302"/>
        <v>0</v>
      </c>
      <c r="BU93" s="154">
        <f t="shared" si="373"/>
        <v>0</v>
      </c>
      <c r="BV93" s="154">
        <f t="shared" si="303"/>
        <v>0</v>
      </c>
      <c r="BW93" s="154">
        <f t="shared" si="374"/>
        <v>0</v>
      </c>
      <c r="BX93" s="154">
        <f t="shared" si="304"/>
        <v>0</v>
      </c>
      <c r="BY93" s="154">
        <f t="shared" si="375"/>
        <v>0</v>
      </c>
      <c r="BZ93" s="154">
        <f t="shared" si="305"/>
        <v>0</v>
      </c>
      <c r="CA93" s="154">
        <f t="shared" si="376"/>
        <v>0</v>
      </c>
      <c r="CB93" s="157">
        <f t="shared" si="306"/>
        <v>0</v>
      </c>
      <c r="CC93" s="154">
        <f t="shared" si="307"/>
        <v>0</v>
      </c>
      <c r="CD93" s="158">
        <f t="shared" si="308"/>
        <v>0</v>
      </c>
      <c r="CE93" s="156">
        <f t="shared" si="356"/>
        <v>0</v>
      </c>
      <c r="CF93" s="154">
        <f t="shared" si="377"/>
        <v>0</v>
      </c>
      <c r="CG93" s="154">
        <f t="shared" si="309"/>
        <v>0</v>
      </c>
      <c r="CH93" s="154">
        <f t="shared" si="378"/>
        <v>0</v>
      </c>
      <c r="CI93" s="154">
        <f t="shared" si="310"/>
        <v>0</v>
      </c>
      <c r="CJ93" s="154">
        <f t="shared" si="379"/>
        <v>0</v>
      </c>
      <c r="CK93" s="154">
        <f t="shared" si="311"/>
        <v>0</v>
      </c>
      <c r="CL93" s="154">
        <f t="shared" si="380"/>
        <v>0</v>
      </c>
      <c r="CM93" s="154">
        <f t="shared" si="312"/>
        <v>0</v>
      </c>
      <c r="CN93" s="154">
        <f t="shared" si="381"/>
        <v>0</v>
      </c>
      <c r="CO93" s="157">
        <f t="shared" si="313"/>
        <v>0</v>
      </c>
      <c r="CP93" s="154">
        <f t="shared" si="314"/>
        <v>0</v>
      </c>
      <c r="CQ93" s="158">
        <f t="shared" si="315"/>
        <v>0</v>
      </c>
      <c r="CR93" s="156">
        <f t="shared" si="382"/>
        <v>0</v>
      </c>
      <c r="CS93" s="154">
        <f t="shared" si="383"/>
        <v>0</v>
      </c>
      <c r="CT93" s="154">
        <f t="shared" si="317"/>
        <v>0</v>
      </c>
      <c r="CU93" s="154">
        <f t="shared" si="384"/>
        <v>0</v>
      </c>
      <c r="CV93" s="154">
        <f t="shared" si="318"/>
        <v>0</v>
      </c>
      <c r="CW93" s="154">
        <f t="shared" si="385"/>
        <v>0</v>
      </c>
      <c r="CX93" s="154">
        <f t="shared" si="319"/>
        <v>0</v>
      </c>
      <c r="CY93" s="154">
        <f t="shared" si="386"/>
        <v>0</v>
      </c>
      <c r="CZ93" s="154">
        <f t="shared" si="320"/>
        <v>0</v>
      </c>
      <c r="DA93" s="154">
        <f t="shared" si="387"/>
        <v>0</v>
      </c>
      <c r="DB93" s="157">
        <f t="shared" si="321"/>
        <v>0</v>
      </c>
      <c r="DC93" s="154">
        <f t="shared" si="322"/>
        <v>0</v>
      </c>
      <c r="DD93" s="158">
        <f t="shared" si="323"/>
        <v>0</v>
      </c>
      <c r="DE93" s="156">
        <f t="shared" si="382"/>
        <v>0</v>
      </c>
      <c r="DF93" s="154">
        <f t="shared" si="388"/>
        <v>0</v>
      </c>
      <c r="DG93" s="154">
        <f t="shared" si="324"/>
        <v>0</v>
      </c>
      <c r="DH93" s="154">
        <f t="shared" si="389"/>
        <v>0</v>
      </c>
      <c r="DI93" s="154">
        <f t="shared" si="325"/>
        <v>0</v>
      </c>
      <c r="DJ93" s="154">
        <f t="shared" si="390"/>
        <v>0</v>
      </c>
      <c r="DK93" s="154">
        <f t="shared" si="326"/>
        <v>0</v>
      </c>
      <c r="DL93" s="154">
        <f t="shared" si="391"/>
        <v>0</v>
      </c>
      <c r="DM93" s="154">
        <f t="shared" si="327"/>
        <v>0</v>
      </c>
      <c r="DN93" s="154">
        <f t="shared" si="392"/>
        <v>0</v>
      </c>
      <c r="DO93" s="157">
        <f t="shared" si="328"/>
        <v>0</v>
      </c>
      <c r="DP93" s="154">
        <f t="shared" si="329"/>
        <v>0</v>
      </c>
      <c r="DQ93" s="158">
        <f t="shared" si="330"/>
        <v>0</v>
      </c>
      <c r="DR93" s="156">
        <f t="shared" si="382"/>
        <v>0</v>
      </c>
      <c r="DS93" s="154">
        <f t="shared" si="393"/>
        <v>0</v>
      </c>
      <c r="DT93" s="154">
        <f t="shared" si="331"/>
        <v>0</v>
      </c>
      <c r="DU93" s="154">
        <f t="shared" si="394"/>
        <v>0</v>
      </c>
      <c r="DV93" s="154">
        <f t="shared" si="332"/>
        <v>0</v>
      </c>
      <c r="DW93" s="154">
        <f t="shared" si="395"/>
        <v>0</v>
      </c>
      <c r="DX93" s="154">
        <f t="shared" si="333"/>
        <v>0</v>
      </c>
      <c r="DY93" s="154">
        <f t="shared" si="396"/>
        <v>0</v>
      </c>
      <c r="DZ93" s="154">
        <f t="shared" si="334"/>
        <v>0</v>
      </c>
      <c r="EA93" s="154">
        <f t="shared" si="397"/>
        <v>0</v>
      </c>
      <c r="EB93" s="157">
        <f t="shared" si="335"/>
        <v>0</v>
      </c>
      <c r="EC93" s="154">
        <f t="shared" si="336"/>
        <v>0</v>
      </c>
      <c r="ED93" s="158">
        <f t="shared" si="337"/>
        <v>0</v>
      </c>
    </row>
    <row r="94" spans="1:134" x14ac:dyDescent="0.35">
      <c r="A94" s="172"/>
      <c r="B94" s="173"/>
      <c r="C94" s="174"/>
      <c r="D94" s="175"/>
      <c r="E94" s="176"/>
      <c r="F94" s="177"/>
      <c r="G94" s="178"/>
      <c r="H94" s="179"/>
      <c r="I94" s="180"/>
      <c r="J94" s="181"/>
      <c r="K94" s="152">
        <f t="shared" si="338"/>
        <v>0</v>
      </c>
      <c r="L94" s="153">
        <f t="shared" si="339"/>
        <v>0</v>
      </c>
      <c r="M94" s="154">
        <f t="shared" si="340"/>
        <v>0</v>
      </c>
      <c r="N94" s="154"/>
      <c r="O94" s="154">
        <f t="shared" si="341"/>
        <v>0</v>
      </c>
      <c r="P94" s="155"/>
      <c r="Q94" s="154">
        <f t="shared" si="342"/>
        <v>0</v>
      </c>
      <c r="R94" s="156">
        <f t="shared" si="343"/>
        <v>0</v>
      </c>
      <c r="S94" s="154">
        <f t="shared" si="344"/>
        <v>0</v>
      </c>
      <c r="T94" s="154">
        <f t="shared" si="345"/>
        <v>0</v>
      </c>
      <c r="U94" s="154">
        <f t="shared" si="346"/>
        <v>0</v>
      </c>
      <c r="V94" s="154">
        <f t="shared" si="347"/>
        <v>0</v>
      </c>
      <c r="W94" s="154">
        <f t="shared" si="348"/>
        <v>0</v>
      </c>
      <c r="X94" s="154">
        <f t="shared" si="349"/>
        <v>0</v>
      </c>
      <c r="Y94" s="154">
        <f t="shared" si="350"/>
        <v>0</v>
      </c>
      <c r="Z94" s="154">
        <f t="shared" si="351"/>
        <v>0</v>
      </c>
      <c r="AA94" s="154">
        <f t="shared" si="352"/>
        <v>0</v>
      </c>
      <c r="AB94" s="157">
        <f t="shared" si="353"/>
        <v>0</v>
      </c>
      <c r="AC94" s="154">
        <f t="shared" si="354"/>
        <v>0</v>
      </c>
      <c r="AD94" s="158">
        <f t="shared" si="355"/>
        <v>0</v>
      </c>
      <c r="AE94" s="156">
        <f t="shared" si="356"/>
        <v>0</v>
      </c>
      <c r="AF94" s="154">
        <f t="shared" si="357"/>
        <v>0</v>
      </c>
      <c r="AG94" s="154">
        <f t="shared" si="281"/>
        <v>0</v>
      </c>
      <c r="AH94" s="154">
        <f t="shared" si="358"/>
        <v>0</v>
      </c>
      <c r="AI94" s="154">
        <f t="shared" si="282"/>
        <v>0</v>
      </c>
      <c r="AJ94" s="154">
        <f t="shared" si="359"/>
        <v>0</v>
      </c>
      <c r="AK94" s="154">
        <f t="shared" si="283"/>
        <v>0</v>
      </c>
      <c r="AL94" s="154">
        <f t="shared" si="360"/>
        <v>0</v>
      </c>
      <c r="AM94" s="154">
        <f t="shared" si="284"/>
        <v>0</v>
      </c>
      <c r="AN94" s="154">
        <f t="shared" si="361"/>
        <v>0</v>
      </c>
      <c r="AO94" s="157">
        <f t="shared" si="285"/>
        <v>0</v>
      </c>
      <c r="AP94" s="154">
        <f t="shared" si="286"/>
        <v>0</v>
      </c>
      <c r="AQ94" s="158">
        <f t="shared" si="287"/>
        <v>0</v>
      </c>
      <c r="AR94" s="156">
        <f t="shared" si="356"/>
        <v>0</v>
      </c>
      <c r="AS94" s="154">
        <f t="shared" si="362"/>
        <v>0</v>
      </c>
      <c r="AT94" s="154">
        <f t="shared" si="288"/>
        <v>0</v>
      </c>
      <c r="AU94" s="154">
        <f t="shared" si="363"/>
        <v>0</v>
      </c>
      <c r="AV94" s="154">
        <f t="shared" si="289"/>
        <v>0</v>
      </c>
      <c r="AW94" s="154">
        <f t="shared" si="364"/>
        <v>0</v>
      </c>
      <c r="AX94" s="154">
        <f t="shared" si="290"/>
        <v>0</v>
      </c>
      <c r="AY94" s="154">
        <f t="shared" si="365"/>
        <v>0</v>
      </c>
      <c r="AZ94" s="154">
        <f t="shared" si="291"/>
        <v>0</v>
      </c>
      <c r="BA94" s="154">
        <f t="shared" si="366"/>
        <v>0</v>
      </c>
      <c r="BB94" s="157">
        <f t="shared" si="292"/>
        <v>0</v>
      </c>
      <c r="BC94" s="154">
        <f t="shared" si="293"/>
        <v>0</v>
      </c>
      <c r="BD94" s="158">
        <f t="shared" si="294"/>
        <v>0</v>
      </c>
      <c r="BE94" s="156">
        <f t="shared" si="356"/>
        <v>0</v>
      </c>
      <c r="BF94" s="154">
        <f t="shared" si="367"/>
        <v>0</v>
      </c>
      <c r="BG94" s="154">
        <f t="shared" si="295"/>
        <v>0</v>
      </c>
      <c r="BH94" s="154">
        <f t="shared" si="368"/>
        <v>0</v>
      </c>
      <c r="BI94" s="154">
        <f t="shared" si="296"/>
        <v>0</v>
      </c>
      <c r="BJ94" s="154">
        <f t="shared" si="369"/>
        <v>0</v>
      </c>
      <c r="BK94" s="154">
        <f t="shared" si="297"/>
        <v>0</v>
      </c>
      <c r="BL94" s="154">
        <f t="shared" si="370"/>
        <v>0</v>
      </c>
      <c r="BM94" s="154">
        <f t="shared" si="298"/>
        <v>0</v>
      </c>
      <c r="BN94" s="154">
        <f t="shared" si="371"/>
        <v>0</v>
      </c>
      <c r="BO94" s="157">
        <f t="shared" si="299"/>
        <v>0</v>
      </c>
      <c r="BP94" s="154">
        <f t="shared" si="300"/>
        <v>0</v>
      </c>
      <c r="BQ94" s="158">
        <f t="shared" si="301"/>
        <v>0</v>
      </c>
      <c r="BR94" s="156">
        <f t="shared" si="356"/>
        <v>0</v>
      </c>
      <c r="BS94" s="154">
        <f t="shared" si="372"/>
        <v>0</v>
      </c>
      <c r="BT94" s="154">
        <f t="shared" si="302"/>
        <v>0</v>
      </c>
      <c r="BU94" s="154">
        <f t="shared" si="373"/>
        <v>0</v>
      </c>
      <c r="BV94" s="154">
        <f t="shared" si="303"/>
        <v>0</v>
      </c>
      <c r="BW94" s="154">
        <f t="shared" si="374"/>
        <v>0</v>
      </c>
      <c r="BX94" s="154">
        <f t="shared" si="304"/>
        <v>0</v>
      </c>
      <c r="BY94" s="154">
        <f t="shared" si="375"/>
        <v>0</v>
      </c>
      <c r="BZ94" s="154">
        <f t="shared" si="305"/>
        <v>0</v>
      </c>
      <c r="CA94" s="154">
        <f t="shared" si="376"/>
        <v>0</v>
      </c>
      <c r="CB94" s="157">
        <f t="shared" si="306"/>
        <v>0</v>
      </c>
      <c r="CC94" s="154">
        <f t="shared" si="307"/>
        <v>0</v>
      </c>
      <c r="CD94" s="158">
        <f t="shared" si="308"/>
        <v>0</v>
      </c>
      <c r="CE94" s="156">
        <f t="shared" si="356"/>
        <v>0</v>
      </c>
      <c r="CF94" s="154">
        <f t="shared" si="377"/>
        <v>0</v>
      </c>
      <c r="CG94" s="154">
        <f t="shared" si="309"/>
        <v>0</v>
      </c>
      <c r="CH94" s="154">
        <f t="shared" si="378"/>
        <v>0</v>
      </c>
      <c r="CI94" s="154">
        <f t="shared" si="310"/>
        <v>0</v>
      </c>
      <c r="CJ94" s="154">
        <f t="shared" si="379"/>
        <v>0</v>
      </c>
      <c r="CK94" s="154">
        <f t="shared" si="311"/>
        <v>0</v>
      </c>
      <c r="CL94" s="154">
        <f t="shared" si="380"/>
        <v>0</v>
      </c>
      <c r="CM94" s="154">
        <f t="shared" si="312"/>
        <v>0</v>
      </c>
      <c r="CN94" s="154">
        <f t="shared" si="381"/>
        <v>0</v>
      </c>
      <c r="CO94" s="157">
        <f t="shared" si="313"/>
        <v>0</v>
      </c>
      <c r="CP94" s="154">
        <f t="shared" si="314"/>
        <v>0</v>
      </c>
      <c r="CQ94" s="158">
        <f t="shared" si="315"/>
        <v>0</v>
      </c>
      <c r="CR94" s="156">
        <f t="shared" si="382"/>
        <v>0</v>
      </c>
      <c r="CS94" s="154">
        <f t="shared" si="383"/>
        <v>0</v>
      </c>
      <c r="CT94" s="154">
        <f t="shared" si="317"/>
        <v>0</v>
      </c>
      <c r="CU94" s="154">
        <f t="shared" si="384"/>
        <v>0</v>
      </c>
      <c r="CV94" s="154">
        <f t="shared" si="318"/>
        <v>0</v>
      </c>
      <c r="CW94" s="154">
        <f t="shared" si="385"/>
        <v>0</v>
      </c>
      <c r="CX94" s="154">
        <f t="shared" si="319"/>
        <v>0</v>
      </c>
      <c r="CY94" s="154">
        <f t="shared" si="386"/>
        <v>0</v>
      </c>
      <c r="CZ94" s="154">
        <f t="shared" si="320"/>
        <v>0</v>
      </c>
      <c r="DA94" s="154">
        <f t="shared" si="387"/>
        <v>0</v>
      </c>
      <c r="DB94" s="157">
        <f t="shared" si="321"/>
        <v>0</v>
      </c>
      <c r="DC94" s="154">
        <f t="shared" si="322"/>
        <v>0</v>
      </c>
      <c r="DD94" s="158">
        <f t="shared" si="323"/>
        <v>0</v>
      </c>
      <c r="DE94" s="156">
        <f t="shared" si="382"/>
        <v>0</v>
      </c>
      <c r="DF94" s="154">
        <f t="shared" si="388"/>
        <v>0</v>
      </c>
      <c r="DG94" s="154">
        <f t="shared" si="324"/>
        <v>0</v>
      </c>
      <c r="DH94" s="154">
        <f t="shared" si="389"/>
        <v>0</v>
      </c>
      <c r="DI94" s="154">
        <f t="shared" si="325"/>
        <v>0</v>
      </c>
      <c r="DJ94" s="154">
        <f t="shared" si="390"/>
        <v>0</v>
      </c>
      <c r="DK94" s="154">
        <f t="shared" si="326"/>
        <v>0</v>
      </c>
      <c r="DL94" s="154">
        <f t="shared" si="391"/>
        <v>0</v>
      </c>
      <c r="DM94" s="154">
        <f t="shared" si="327"/>
        <v>0</v>
      </c>
      <c r="DN94" s="154">
        <f t="shared" si="392"/>
        <v>0</v>
      </c>
      <c r="DO94" s="157">
        <f t="shared" si="328"/>
        <v>0</v>
      </c>
      <c r="DP94" s="154">
        <f t="shared" si="329"/>
        <v>0</v>
      </c>
      <c r="DQ94" s="158">
        <f t="shared" si="330"/>
        <v>0</v>
      </c>
      <c r="DR94" s="156">
        <f t="shared" si="382"/>
        <v>0</v>
      </c>
      <c r="DS94" s="154">
        <f t="shared" si="393"/>
        <v>0</v>
      </c>
      <c r="DT94" s="154">
        <f t="shared" si="331"/>
        <v>0</v>
      </c>
      <c r="DU94" s="154">
        <f t="shared" si="394"/>
        <v>0</v>
      </c>
      <c r="DV94" s="154">
        <f t="shared" si="332"/>
        <v>0</v>
      </c>
      <c r="DW94" s="154">
        <f t="shared" si="395"/>
        <v>0</v>
      </c>
      <c r="DX94" s="154">
        <f t="shared" si="333"/>
        <v>0</v>
      </c>
      <c r="DY94" s="154">
        <f t="shared" si="396"/>
        <v>0</v>
      </c>
      <c r="DZ94" s="154">
        <f t="shared" si="334"/>
        <v>0</v>
      </c>
      <c r="EA94" s="154">
        <f t="shared" si="397"/>
        <v>0</v>
      </c>
      <c r="EB94" s="157">
        <f t="shared" si="335"/>
        <v>0</v>
      </c>
      <c r="EC94" s="154">
        <f t="shared" si="336"/>
        <v>0</v>
      </c>
      <c r="ED94" s="158">
        <f t="shared" si="337"/>
        <v>0</v>
      </c>
    </row>
    <row r="95" spans="1:134" x14ac:dyDescent="0.35">
      <c r="A95" s="172"/>
      <c r="B95" s="173"/>
      <c r="C95" s="174"/>
      <c r="D95" s="175"/>
      <c r="E95" s="176"/>
      <c r="F95" s="177"/>
      <c r="G95" s="178"/>
      <c r="H95" s="179"/>
      <c r="I95" s="180"/>
      <c r="J95" s="181"/>
      <c r="K95" s="152">
        <f t="shared" si="338"/>
        <v>0</v>
      </c>
      <c r="L95" s="153">
        <f t="shared" si="339"/>
        <v>0</v>
      </c>
      <c r="M95" s="154">
        <f t="shared" si="340"/>
        <v>0</v>
      </c>
      <c r="N95" s="154"/>
      <c r="O95" s="154">
        <f t="shared" si="341"/>
        <v>0</v>
      </c>
      <c r="P95" s="155"/>
      <c r="Q95" s="154">
        <f t="shared" si="342"/>
        <v>0</v>
      </c>
      <c r="R95" s="156">
        <f t="shared" si="343"/>
        <v>0</v>
      </c>
      <c r="S95" s="154">
        <f t="shared" si="344"/>
        <v>0</v>
      </c>
      <c r="T95" s="154">
        <f t="shared" si="345"/>
        <v>0</v>
      </c>
      <c r="U95" s="154">
        <f t="shared" si="346"/>
        <v>0</v>
      </c>
      <c r="V95" s="154">
        <f t="shared" si="347"/>
        <v>0</v>
      </c>
      <c r="W95" s="154">
        <f t="shared" si="348"/>
        <v>0</v>
      </c>
      <c r="X95" s="154">
        <f t="shared" si="349"/>
        <v>0</v>
      </c>
      <c r="Y95" s="154">
        <f t="shared" si="350"/>
        <v>0</v>
      </c>
      <c r="Z95" s="154">
        <f t="shared" si="351"/>
        <v>0</v>
      </c>
      <c r="AA95" s="154">
        <f t="shared" si="352"/>
        <v>0</v>
      </c>
      <c r="AB95" s="157">
        <f t="shared" si="353"/>
        <v>0</v>
      </c>
      <c r="AC95" s="154">
        <f t="shared" si="354"/>
        <v>0</v>
      </c>
      <c r="AD95" s="158">
        <f t="shared" si="355"/>
        <v>0</v>
      </c>
      <c r="AE95" s="156">
        <f t="shared" si="356"/>
        <v>0</v>
      </c>
      <c r="AF95" s="154">
        <f t="shared" si="357"/>
        <v>0</v>
      </c>
      <c r="AG95" s="154">
        <f t="shared" si="281"/>
        <v>0</v>
      </c>
      <c r="AH95" s="154">
        <f t="shared" si="358"/>
        <v>0</v>
      </c>
      <c r="AI95" s="154">
        <f t="shared" si="282"/>
        <v>0</v>
      </c>
      <c r="AJ95" s="154">
        <f t="shared" si="359"/>
        <v>0</v>
      </c>
      <c r="AK95" s="154">
        <f t="shared" si="283"/>
        <v>0</v>
      </c>
      <c r="AL95" s="154">
        <f t="shared" si="360"/>
        <v>0</v>
      </c>
      <c r="AM95" s="154">
        <f t="shared" si="284"/>
        <v>0</v>
      </c>
      <c r="AN95" s="154">
        <f t="shared" si="361"/>
        <v>0</v>
      </c>
      <c r="AO95" s="157">
        <f t="shared" si="285"/>
        <v>0</v>
      </c>
      <c r="AP95" s="154">
        <f t="shared" si="286"/>
        <v>0</v>
      </c>
      <c r="AQ95" s="158">
        <f t="shared" si="287"/>
        <v>0</v>
      </c>
      <c r="AR95" s="156">
        <f t="shared" si="356"/>
        <v>0</v>
      </c>
      <c r="AS95" s="154">
        <f t="shared" si="362"/>
        <v>0</v>
      </c>
      <c r="AT95" s="154">
        <f t="shared" si="288"/>
        <v>0</v>
      </c>
      <c r="AU95" s="154">
        <f t="shared" si="363"/>
        <v>0</v>
      </c>
      <c r="AV95" s="154">
        <f t="shared" si="289"/>
        <v>0</v>
      </c>
      <c r="AW95" s="154">
        <f t="shared" si="364"/>
        <v>0</v>
      </c>
      <c r="AX95" s="154">
        <f t="shared" si="290"/>
        <v>0</v>
      </c>
      <c r="AY95" s="154">
        <f t="shared" si="365"/>
        <v>0</v>
      </c>
      <c r="AZ95" s="154">
        <f t="shared" si="291"/>
        <v>0</v>
      </c>
      <c r="BA95" s="154">
        <f t="shared" si="366"/>
        <v>0</v>
      </c>
      <c r="BB95" s="157">
        <f t="shared" si="292"/>
        <v>0</v>
      </c>
      <c r="BC95" s="154">
        <f t="shared" si="293"/>
        <v>0</v>
      </c>
      <c r="BD95" s="158">
        <f t="shared" si="294"/>
        <v>0</v>
      </c>
      <c r="BE95" s="156">
        <f t="shared" si="356"/>
        <v>0</v>
      </c>
      <c r="BF95" s="154">
        <f t="shared" si="367"/>
        <v>0</v>
      </c>
      <c r="BG95" s="154">
        <f t="shared" si="295"/>
        <v>0</v>
      </c>
      <c r="BH95" s="154">
        <f t="shared" si="368"/>
        <v>0</v>
      </c>
      <c r="BI95" s="154">
        <f t="shared" si="296"/>
        <v>0</v>
      </c>
      <c r="BJ95" s="154">
        <f t="shared" si="369"/>
        <v>0</v>
      </c>
      <c r="BK95" s="154">
        <f t="shared" si="297"/>
        <v>0</v>
      </c>
      <c r="BL95" s="154">
        <f t="shared" si="370"/>
        <v>0</v>
      </c>
      <c r="BM95" s="154">
        <f t="shared" si="298"/>
        <v>0</v>
      </c>
      <c r="BN95" s="154">
        <f t="shared" si="371"/>
        <v>0</v>
      </c>
      <c r="BO95" s="157">
        <f t="shared" si="299"/>
        <v>0</v>
      </c>
      <c r="BP95" s="154">
        <f t="shared" si="300"/>
        <v>0</v>
      </c>
      <c r="BQ95" s="158">
        <f t="shared" si="301"/>
        <v>0</v>
      </c>
      <c r="BR95" s="156">
        <f t="shared" si="356"/>
        <v>0</v>
      </c>
      <c r="BS95" s="154">
        <f t="shared" si="372"/>
        <v>0</v>
      </c>
      <c r="BT95" s="154">
        <f t="shared" si="302"/>
        <v>0</v>
      </c>
      <c r="BU95" s="154">
        <f t="shared" si="373"/>
        <v>0</v>
      </c>
      <c r="BV95" s="154">
        <f t="shared" si="303"/>
        <v>0</v>
      </c>
      <c r="BW95" s="154">
        <f t="shared" si="374"/>
        <v>0</v>
      </c>
      <c r="BX95" s="154">
        <f t="shared" si="304"/>
        <v>0</v>
      </c>
      <c r="BY95" s="154">
        <f t="shared" si="375"/>
        <v>0</v>
      </c>
      <c r="BZ95" s="154">
        <f t="shared" si="305"/>
        <v>0</v>
      </c>
      <c r="CA95" s="154">
        <f t="shared" si="376"/>
        <v>0</v>
      </c>
      <c r="CB95" s="157">
        <f t="shared" si="306"/>
        <v>0</v>
      </c>
      <c r="CC95" s="154">
        <f t="shared" si="307"/>
        <v>0</v>
      </c>
      <c r="CD95" s="158">
        <f t="shared" si="308"/>
        <v>0</v>
      </c>
      <c r="CE95" s="156">
        <f t="shared" si="356"/>
        <v>0</v>
      </c>
      <c r="CF95" s="154">
        <f t="shared" si="377"/>
        <v>0</v>
      </c>
      <c r="CG95" s="154">
        <f t="shared" si="309"/>
        <v>0</v>
      </c>
      <c r="CH95" s="154">
        <f t="shared" si="378"/>
        <v>0</v>
      </c>
      <c r="CI95" s="154">
        <f t="shared" si="310"/>
        <v>0</v>
      </c>
      <c r="CJ95" s="154">
        <f t="shared" si="379"/>
        <v>0</v>
      </c>
      <c r="CK95" s="154">
        <f t="shared" si="311"/>
        <v>0</v>
      </c>
      <c r="CL95" s="154">
        <f t="shared" si="380"/>
        <v>0</v>
      </c>
      <c r="CM95" s="154">
        <f t="shared" si="312"/>
        <v>0</v>
      </c>
      <c r="CN95" s="154">
        <f t="shared" si="381"/>
        <v>0</v>
      </c>
      <c r="CO95" s="157">
        <f t="shared" si="313"/>
        <v>0</v>
      </c>
      <c r="CP95" s="154">
        <f t="shared" si="314"/>
        <v>0</v>
      </c>
      <c r="CQ95" s="158">
        <f t="shared" si="315"/>
        <v>0</v>
      </c>
      <c r="CR95" s="156">
        <f t="shared" si="382"/>
        <v>0</v>
      </c>
      <c r="CS95" s="154">
        <f t="shared" si="383"/>
        <v>0</v>
      </c>
      <c r="CT95" s="154">
        <f t="shared" si="317"/>
        <v>0</v>
      </c>
      <c r="CU95" s="154">
        <f t="shared" si="384"/>
        <v>0</v>
      </c>
      <c r="CV95" s="154">
        <f t="shared" si="318"/>
        <v>0</v>
      </c>
      <c r="CW95" s="154">
        <f t="shared" si="385"/>
        <v>0</v>
      </c>
      <c r="CX95" s="154">
        <f t="shared" si="319"/>
        <v>0</v>
      </c>
      <c r="CY95" s="154">
        <f t="shared" si="386"/>
        <v>0</v>
      </c>
      <c r="CZ95" s="154">
        <f t="shared" si="320"/>
        <v>0</v>
      </c>
      <c r="DA95" s="154">
        <f t="shared" si="387"/>
        <v>0</v>
      </c>
      <c r="DB95" s="157">
        <f t="shared" si="321"/>
        <v>0</v>
      </c>
      <c r="DC95" s="154">
        <f t="shared" si="322"/>
        <v>0</v>
      </c>
      <c r="DD95" s="158">
        <f t="shared" si="323"/>
        <v>0</v>
      </c>
      <c r="DE95" s="156">
        <f t="shared" si="382"/>
        <v>0</v>
      </c>
      <c r="DF95" s="154">
        <f t="shared" si="388"/>
        <v>0</v>
      </c>
      <c r="DG95" s="154">
        <f t="shared" si="324"/>
        <v>0</v>
      </c>
      <c r="DH95" s="154">
        <f t="shared" si="389"/>
        <v>0</v>
      </c>
      <c r="DI95" s="154">
        <f t="shared" si="325"/>
        <v>0</v>
      </c>
      <c r="DJ95" s="154">
        <f t="shared" si="390"/>
        <v>0</v>
      </c>
      <c r="DK95" s="154">
        <f t="shared" si="326"/>
        <v>0</v>
      </c>
      <c r="DL95" s="154">
        <f t="shared" si="391"/>
        <v>0</v>
      </c>
      <c r="DM95" s="154">
        <f t="shared" si="327"/>
        <v>0</v>
      </c>
      <c r="DN95" s="154">
        <f t="shared" si="392"/>
        <v>0</v>
      </c>
      <c r="DO95" s="157">
        <f t="shared" si="328"/>
        <v>0</v>
      </c>
      <c r="DP95" s="154">
        <f t="shared" si="329"/>
        <v>0</v>
      </c>
      <c r="DQ95" s="158">
        <f t="shared" si="330"/>
        <v>0</v>
      </c>
      <c r="DR95" s="156">
        <f t="shared" si="382"/>
        <v>0</v>
      </c>
      <c r="DS95" s="154">
        <f t="shared" si="393"/>
        <v>0</v>
      </c>
      <c r="DT95" s="154">
        <f t="shared" si="331"/>
        <v>0</v>
      </c>
      <c r="DU95" s="154">
        <f t="shared" si="394"/>
        <v>0</v>
      </c>
      <c r="DV95" s="154">
        <f t="shared" si="332"/>
        <v>0</v>
      </c>
      <c r="DW95" s="154">
        <f t="shared" si="395"/>
        <v>0</v>
      </c>
      <c r="DX95" s="154">
        <f t="shared" si="333"/>
        <v>0</v>
      </c>
      <c r="DY95" s="154">
        <f t="shared" si="396"/>
        <v>0</v>
      </c>
      <c r="DZ95" s="154">
        <f t="shared" si="334"/>
        <v>0</v>
      </c>
      <c r="EA95" s="154">
        <f t="shared" si="397"/>
        <v>0</v>
      </c>
      <c r="EB95" s="157">
        <f t="shared" si="335"/>
        <v>0</v>
      </c>
      <c r="EC95" s="154">
        <f t="shared" si="336"/>
        <v>0</v>
      </c>
      <c r="ED95" s="158">
        <f t="shared" si="337"/>
        <v>0</v>
      </c>
    </row>
    <row r="96" spans="1:134" x14ac:dyDescent="0.35">
      <c r="A96" s="172"/>
      <c r="B96" s="173"/>
      <c r="C96" s="174"/>
      <c r="D96" s="175"/>
      <c r="E96" s="176"/>
      <c r="F96" s="177"/>
      <c r="G96" s="178"/>
      <c r="H96" s="179"/>
      <c r="I96" s="180"/>
      <c r="J96" s="181"/>
      <c r="K96" s="152">
        <f t="shared" si="338"/>
        <v>0</v>
      </c>
      <c r="L96" s="153">
        <f t="shared" si="339"/>
        <v>0</v>
      </c>
      <c r="M96" s="154">
        <f t="shared" si="340"/>
        <v>0</v>
      </c>
      <c r="N96" s="154"/>
      <c r="O96" s="154">
        <f t="shared" si="341"/>
        <v>0</v>
      </c>
      <c r="P96" s="155"/>
      <c r="Q96" s="154">
        <f t="shared" si="342"/>
        <v>0</v>
      </c>
      <c r="R96" s="156">
        <f t="shared" si="343"/>
        <v>0</v>
      </c>
      <c r="S96" s="154">
        <f t="shared" si="344"/>
        <v>0</v>
      </c>
      <c r="T96" s="154">
        <f t="shared" si="345"/>
        <v>0</v>
      </c>
      <c r="U96" s="154">
        <f t="shared" si="346"/>
        <v>0</v>
      </c>
      <c r="V96" s="154">
        <f t="shared" si="347"/>
        <v>0</v>
      </c>
      <c r="W96" s="154">
        <f t="shared" si="348"/>
        <v>0</v>
      </c>
      <c r="X96" s="154">
        <f t="shared" si="349"/>
        <v>0</v>
      </c>
      <c r="Y96" s="154">
        <f t="shared" si="350"/>
        <v>0</v>
      </c>
      <c r="Z96" s="154">
        <f t="shared" si="351"/>
        <v>0</v>
      </c>
      <c r="AA96" s="154">
        <f t="shared" si="352"/>
        <v>0</v>
      </c>
      <c r="AB96" s="157">
        <f t="shared" si="353"/>
        <v>0</v>
      </c>
      <c r="AC96" s="154">
        <f t="shared" si="354"/>
        <v>0</v>
      </c>
      <c r="AD96" s="158">
        <f t="shared" si="355"/>
        <v>0</v>
      </c>
      <c r="AE96" s="156">
        <f t="shared" si="356"/>
        <v>0</v>
      </c>
      <c r="AF96" s="154">
        <f t="shared" si="357"/>
        <v>0</v>
      </c>
      <c r="AG96" s="154">
        <f t="shared" si="281"/>
        <v>0</v>
      </c>
      <c r="AH96" s="154">
        <f t="shared" si="358"/>
        <v>0</v>
      </c>
      <c r="AI96" s="154">
        <f t="shared" si="282"/>
        <v>0</v>
      </c>
      <c r="AJ96" s="154">
        <f t="shared" si="359"/>
        <v>0</v>
      </c>
      <c r="AK96" s="154">
        <f t="shared" si="283"/>
        <v>0</v>
      </c>
      <c r="AL96" s="154">
        <f t="shared" si="360"/>
        <v>0</v>
      </c>
      <c r="AM96" s="154">
        <f t="shared" si="284"/>
        <v>0</v>
      </c>
      <c r="AN96" s="154">
        <f t="shared" si="361"/>
        <v>0</v>
      </c>
      <c r="AO96" s="157">
        <f t="shared" si="285"/>
        <v>0</v>
      </c>
      <c r="AP96" s="154">
        <f t="shared" si="286"/>
        <v>0</v>
      </c>
      <c r="AQ96" s="158">
        <f t="shared" si="287"/>
        <v>0</v>
      </c>
      <c r="AR96" s="156">
        <f t="shared" si="356"/>
        <v>0</v>
      </c>
      <c r="AS96" s="154">
        <f t="shared" si="362"/>
        <v>0</v>
      </c>
      <c r="AT96" s="154">
        <f t="shared" si="288"/>
        <v>0</v>
      </c>
      <c r="AU96" s="154">
        <f t="shared" si="363"/>
        <v>0</v>
      </c>
      <c r="AV96" s="154">
        <f t="shared" si="289"/>
        <v>0</v>
      </c>
      <c r="AW96" s="154">
        <f t="shared" si="364"/>
        <v>0</v>
      </c>
      <c r="AX96" s="154">
        <f t="shared" si="290"/>
        <v>0</v>
      </c>
      <c r="AY96" s="154">
        <f t="shared" si="365"/>
        <v>0</v>
      </c>
      <c r="AZ96" s="154">
        <f t="shared" si="291"/>
        <v>0</v>
      </c>
      <c r="BA96" s="154">
        <f t="shared" si="366"/>
        <v>0</v>
      </c>
      <c r="BB96" s="157">
        <f t="shared" si="292"/>
        <v>0</v>
      </c>
      <c r="BC96" s="154">
        <f t="shared" si="293"/>
        <v>0</v>
      </c>
      <c r="BD96" s="158">
        <f t="shared" si="294"/>
        <v>0</v>
      </c>
      <c r="BE96" s="156">
        <f t="shared" si="356"/>
        <v>0</v>
      </c>
      <c r="BF96" s="154">
        <f t="shared" si="367"/>
        <v>0</v>
      </c>
      <c r="BG96" s="154">
        <f t="shared" si="295"/>
        <v>0</v>
      </c>
      <c r="BH96" s="154">
        <f t="shared" si="368"/>
        <v>0</v>
      </c>
      <c r="BI96" s="154">
        <f t="shared" si="296"/>
        <v>0</v>
      </c>
      <c r="BJ96" s="154">
        <f t="shared" si="369"/>
        <v>0</v>
      </c>
      <c r="BK96" s="154">
        <f t="shared" si="297"/>
        <v>0</v>
      </c>
      <c r="BL96" s="154">
        <f t="shared" si="370"/>
        <v>0</v>
      </c>
      <c r="BM96" s="154">
        <f t="shared" si="298"/>
        <v>0</v>
      </c>
      <c r="BN96" s="154">
        <f t="shared" si="371"/>
        <v>0</v>
      </c>
      <c r="BO96" s="157">
        <f t="shared" si="299"/>
        <v>0</v>
      </c>
      <c r="BP96" s="154">
        <f t="shared" si="300"/>
        <v>0</v>
      </c>
      <c r="BQ96" s="158">
        <f t="shared" si="301"/>
        <v>0</v>
      </c>
      <c r="BR96" s="156">
        <f t="shared" si="356"/>
        <v>0</v>
      </c>
      <c r="BS96" s="154">
        <f t="shared" si="372"/>
        <v>0</v>
      </c>
      <c r="BT96" s="154">
        <f t="shared" si="302"/>
        <v>0</v>
      </c>
      <c r="BU96" s="154">
        <f t="shared" si="373"/>
        <v>0</v>
      </c>
      <c r="BV96" s="154">
        <f t="shared" si="303"/>
        <v>0</v>
      </c>
      <c r="BW96" s="154">
        <f t="shared" si="374"/>
        <v>0</v>
      </c>
      <c r="BX96" s="154">
        <f t="shared" si="304"/>
        <v>0</v>
      </c>
      <c r="BY96" s="154">
        <f t="shared" si="375"/>
        <v>0</v>
      </c>
      <c r="BZ96" s="154">
        <f t="shared" si="305"/>
        <v>0</v>
      </c>
      <c r="CA96" s="154">
        <f t="shared" si="376"/>
        <v>0</v>
      </c>
      <c r="CB96" s="157">
        <f t="shared" si="306"/>
        <v>0</v>
      </c>
      <c r="CC96" s="154">
        <f t="shared" si="307"/>
        <v>0</v>
      </c>
      <c r="CD96" s="158">
        <f t="shared" si="308"/>
        <v>0</v>
      </c>
      <c r="CE96" s="156">
        <f t="shared" si="356"/>
        <v>0</v>
      </c>
      <c r="CF96" s="154">
        <f t="shared" si="377"/>
        <v>0</v>
      </c>
      <c r="CG96" s="154">
        <f t="shared" si="309"/>
        <v>0</v>
      </c>
      <c r="CH96" s="154">
        <f t="shared" si="378"/>
        <v>0</v>
      </c>
      <c r="CI96" s="154">
        <f t="shared" si="310"/>
        <v>0</v>
      </c>
      <c r="CJ96" s="154">
        <f t="shared" si="379"/>
        <v>0</v>
      </c>
      <c r="CK96" s="154">
        <f t="shared" si="311"/>
        <v>0</v>
      </c>
      <c r="CL96" s="154">
        <f t="shared" si="380"/>
        <v>0</v>
      </c>
      <c r="CM96" s="154">
        <f t="shared" si="312"/>
        <v>0</v>
      </c>
      <c r="CN96" s="154">
        <f t="shared" si="381"/>
        <v>0</v>
      </c>
      <c r="CO96" s="157">
        <f t="shared" si="313"/>
        <v>0</v>
      </c>
      <c r="CP96" s="154">
        <f t="shared" si="314"/>
        <v>0</v>
      </c>
      <c r="CQ96" s="158">
        <f t="shared" si="315"/>
        <v>0</v>
      </c>
      <c r="CR96" s="156">
        <f t="shared" si="382"/>
        <v>0</v>
      </c>
      <c r="CS96" s="154">
        <f t="shared" si="383"/>
        <v>0</v>
      </c>
      <c r="CT96" s="154">
        <f t="shared" si="317"/>
        <v>0</v>
      </c>
      <c r="CU96" s="154">
        <f t="shared" si="384"/>
        <v>0</v>
      </c>
      <c r="CV96" s="154">
        <f t="shared" si="318"/>
        <v>0</v>
      </c>
      <c r="CW96" s="154">
        <f t="shared" si="385"/>
        <v>0</v>
      </c>
      <c r="CX96" s="154">
        <f t="shared" si="319"/>
        <v>0</v>
      </c>
      <c r="CY96" s="154">
        <f t="shared" si="386"/>
        <v>0</v>
      </c>
      <c r="CZ96" s="154">
        <f t="shared" si="320"/>
        <v>0</v>
      </c>
      <c r="DA96" s="154">
        <f t="shared" si="387"/>
        <v>0</v>
      </c>
      <c r="DB96" s="157">
        <f t="shared" si="321"/>
        <v>0</v>
      </c>
      <c r="DC96" s="154">
        <f t="shared" si="322"/>
        <v>0</v>
      </c>
      <c r="DD96" s="158">
        <f t="shared" si="323"/>
        <v>0</v>
      </c>
      <c r="DE96" s="156">
        <f t="shared" si="382"/>
        <v>0</v>
      </c>
      <c r="DF96" s="154">
        <f t="shared" si="388"/>
        <v>0</v>
      </c>
      <c r="DG96" s="154">
        <f t="shared" si="324"/>
        <v>0</v>
      </c>
      <c r="DH96" s="154">
        <f t="shared" si="389"/>
        <v>0</v>
      </c>
      <c r="DI96" s="154">
        <f t="shared" si="325"/>
        <v>0</v>
      </c>
      <c r="DJ96" s="154">
        <f t="shared" si="390"/>
        <v>0</v>
      </c>
      <c r="DK96" s="154">
        <f t="shared" si="326"/>
        <v>0</v>
      </c>
      <c r="DL96" s="154">
        <f t="shared" si="391"/>
        <v>0</v>
      </c>
      <c r="DM96" s="154">
        <f t="shared" si="327"/>
        <v>0</v>
      </c>
      <c r="DN96" s="154">
        <f t="shared" si="392"/>
        <v>0</v>
      </c>
      <c r="DO96" s="157">
        <f t="shared" si="328"/>
        <v>0</v>
      </c>
      <c r="DP96" s="154">
        <f t="shared" si="329"/>
        <v>0</v>
      </c>
      <c r="DQ96" s="158">
        <f t="shared" si="330"/>
        <v>0</v>
      </c>
      <c r="DR96" s="156">
        <f t="shared" si="382"/>
        <v>0</v>
      </c>
      <c r="DS96" s="154">
        <f t="shared" si="393"/>
        <v>0</v>
      </c>
      <c r="DT96" s="154">
        <f t="shared" si="331"/>
        <v>0</v>
      </c>
      <c r="DU96" s="154">
        <f t="shared" si="394"/>
        <v>0</v>
      </c>
      <c r="DV96" s="154">
        <f t="shared" si="332"/>
        <v>0</v>
      </c>
      <c r="DW96" s="154">
        <f t="shared" si="395"/>
        <v>0</v>
      </c>
      <c r="DX96" s="154">
        <f t="shared" si="333"/>
        <v>0</v>
      </c>
      <c r="DY96" s="154">
        <f t="shared" si="396"/>
        <v>0</v>
      </c>
      <c r="DZ96" s="154">
        <f t="shared" si="334"/>
        <v>0</v>
      </c>
      <c r="EA96" s="154">
        <f t="shared" si="397"/>
        <v>0</v>
      </c>
      <c r="EB96" s="157">
        <f t="shared" si="335"/>
        <v>0</v>
      </c>
      <c r="EC96" s="154">
        <f t="shared" si="336"/>
        <v>0</v>
      </c>
      <c r="ED96" s="158">
        <f t="shared" si="337"/>
        <v>0</v>
      </c>
    </row>
    <row r="97" spans="1:134" x14ac:dyDescent="0.35">
      <c r="A97" s="172"/>
      <c r="B97" s="173"/>
      <c r="C97" s="174"/>
      <c r="D97" s="175"/>
      <c r="E97" s="176"/>
      <c r="F97" s="177"/>
      <c r="G97" s="178"/>
      <c r="H97" s="179"/>
      <c r="I97" s="180"/>
      <c r="J97" s="181"/>
      <c r="K97" s="152">
        <f t="shared" si="338"/>
        <v>0</v>
      </c>
      <c r="L97" s="153">
        <f t="shared" si="339"/>
        <v>0</v>
      </c>
      <c r="M97" s="154">
        <f t="shared" si="340"/>
        <v>0</v>
      </c>
      <c r="N97" s="154"/>
      <c r="O97" s="154">
        <f t="shared" si="341"/>
        <v>0</v>
      </c>
      <c r="P97" s="155"/>
      <c r="Q97" s="154">
        <f t="shared" si="342"/>
        <v>0</v>
      </c>
      <c r="R97" s="156">
        <f t="shared" si="343"/>
        <v>0</v>
      </c>
      <c r="S97" s="154">
        <f t="shared" si="344"/>
        <v>0</v>
      </c>
      <c r="T97" s="154">
        <f t="shared" si="345"/>
        <v>0</v>
      </c>
      <c r="U97" s="154">
        <f t="shared" si="346"/>
        <v>0</v>
      </c>
      <c r="V97" s="154">
        <f t="shared" si="347"/>
        <v>0</v>
      </c>
      <c r="W97" s="154">
        <f t="shared" si="348"/>
        <v>0</v>
      </c>
      <c r="X97" s="154">
        <f t="shared" si="349"/>
        <v>0</v>
      </c>
      <c r="Y97" s="154">
        <f t="shared" si="350"/>
        <v>0</v>
      </c>
      <c r="Z97" s="154">
        <f t="shared" si="351"/>
        <v>0</v>
      </c>
      <c r="AA97" s="154">
        <f t="shared" si="352"/>
        <v>0</v>
      </c>
      <c r="AB97" s="157">
        <f t="shared" si="353"/>
        <v>0</v>
      </c>
      <c r="AC97" s="154">
        <f t="shared" si="354"/>
        <v>0</v>
      </c>
      <c r="AD97" s="158">
        <f t="shared" si="355"/>
        <v>0</v>
      </c>
      <c r="AE97" s="156">
        <f t="shared" si="356"/>
        <v>0</v>
      </c>
      <c r="AF97" s="154">
        <f t="shared" si="357"/>
        <v>0</v>
      </c>
      <c r="AG97" s="154">
        <f t="shared" si="281"/>
        <v>0</v>
      </c>
      <c r="AH97" s="154">
        <f t="shared" si="358"/>
        <v>0</v>
      </c>
      <c r="AI97" s="154">
        <f t="shared" si="282"/>
        <v>0</v>
      </c>
      <c r="AJ97" s="154">
        <f t="shared" si="359"/>
        <v>0</v>
      </c>
      <c r="AK97" s="154">
        <f t="shared" si="283"/>
        <v>0</v>
      </c>
      <c r="AL97" s="154">
        <f t="shared" si="360"/>
        <v>0</v>
      </c>
      <c r="AM97" s="154">
        <f t="shared" si="284"/>
        <v>0</v>
      </c>
      <c r="AN97" s="154">
        <f t="shared" si="361"/>
        <v>0</v>
      </c>
      <c r="AO97" s="157">
        <f t="shared" si="285"/>
        <v>0</v>
      </c>
      <c r="AP97" s="154">
        <f t="shared" si="286"/>
        <v>0</v>
      </c>
      <c r="AQ97" s="158">
        <f t="shared" si="287"/>
        <v>0</v>
      </c>
      <c r="AR97" s="156">
        <f t="shared" si="356"/>
        <v>0</v>
      </c>
      <c r="AS97" s="154">
        <f t="shared" si="362"/>
        <v>0</v>
      </c>
      <c r="AT97" s="154">
        <f t="shared" si="288"/>
        <v>0</v>
      </c>
      <c r="AU97" s="154">
        <f t="shared" si="363"/>
        <v>0</v>
      </c>
      <c r="AV97" s="154">
        <f t="shared" si="289"/>
        <v>0</v>
      </c>
      <c r="AW97" s="154">
        <f t="shared" si="364"/>
        <v>0</v>
      </c>
      <c r="AX97" s="154">
        <f t="shared" si="290"/>
        <v>0</v>
      </c>
      <c r="AY97" s="154">
        <f t="shared" si="365"/>
        <v>0</v>
      </c>
      <c r="AZ97" s="154">
        <f t="shared" si="291"/>
        <v>0</v>
      </c>
      <c r="BA97" s="154">
        <f t="shared" si="366"/>
        <v>0</v>
      </c>
      <c r="BB97" s="157">
        <f t="shared" si="292"/>
        <v>0</v>
      </c>
      <c r="BC97" s="154">
        <f t="shared" si="293"/>
        <v>0</v>
      </c>
      <c r="BD97" s="158">
        <f t="shared" si="294"/>
        <v>0</v>
      </c>
      <c r="BE97" s="156">
        <f t="shared" si="356"/>
        <v>0</v>
      </c>
      <c r="BF97" s="154">
        <f t="shared" si="367"/>
        <v>0</v>
      </c>
      <c r="BG97" s="154">
        <f t="shared" si="295"/>
        <v>0</v>
      </c>
      <c r="BH97" s="154">
        <f t="shared" si="368"/>
        <v>0</v>
      </c>
      <c r="BI97" s="154">
        <f t="shared" si="296"/>
        <v>0</v>
      </c>
      <c r="BJ97" s="154">
        <f t="shared" si="369"/>
        <v>0</v>
      </c>
      <c r="BK97" s="154">
        <f t="shared" si="297"/>
        <v>0</v>
      </c>
      <c r="BL97" s="154">
        <f t="shared" si="370"/>
        <v>0</v>
      </c>
      <c r="BM97" s="154">
        <f t="shared" si="298"/>
        <v>0</v>
      </c>
      <c r="BN97" s="154">
        <f t="shared" si="371"/>
        <v>0</v>
      </c>
      <c r="BO97" s="157">
        <f t="shared" si="299"/>
        <v>0</v>
      </c>
      <c r="BP97" s="154">
        <f t="shared" si="300"/>
        <v>0</v>
      </c>
      <c r="BQ97" s="158">
        <f t="shared" si="301"/>
        <v>0</v>
      </c>
      <c r="BR97" s="156">
        <f t="shared" si="356"/>
        <v>0</v>
      </c>
      <c r="BS97" s="154">
        <f t="shared" si="372"/>
        <v>0</v>
      </c>
      <c r="BT97" s="154">
        <f t="shared" si="302"/>
        <v>0</v>
      </c>
      <c r="BU97" s="154">
        <f t="shared" si="373"/>
        <v>0</v>
      </c>
      <c r="BV97" s="154">
        <f t="shared" si="303"/>
        <v>0</v>
      </c>
      <c r="BW97" s="154">
        <f t="shared" si="374"/>
        <v>0</v>
      </c>
      <c r="BX97" s="154">
        <f t="shared" si="304"/>
        <v>0</v>
      </c>
      <c r="BY97" s="154">
        <f t="shared" si="375"/>
        <v>0</v>
      </c>
      <c r="BZ97" s="154">
        <f t="shared" si="305"/>
        <v>0</v>
      </c>
      <c r="CA97" s="154">
        <f t="shared" si="376"/>
        <v>0</v>
      </c>
      <c r="CB97" s="157">
        <f t="shared" si="306"/>
        <v>0</v>
      </c>
      <c r="CC97" s="154">
        <f t="shared" si="307"/>
        <v>0</v>
      </c>
      <c r="CD97" s="158">
        <f t="shared" si="308"/>
        <v>0</v>
      </c>
      <c r="CE97" s="156">
        <f t="shared" si="356"/>
        <v>0</v>
      </c>
      <c r="CF97" s="154">
        <f t="shared" si="377"/>
        <v>0</v>
      </c>
      <c r="CG97" s="154">
        <f t="shared" si="309"/>
        <v>0</v>
      </c>
      <c r="CH97" s="154">
        <f t="shared" si="378"/>
        <v>0</v>
      </c>
      <c r="CI97" s="154">
        <f t="shared" si="310"/>
        <v>0</v>
      </c>
      <c r="CJ97" s="154">
        <f t="shared" si="379"/>
        <v>0</v>
      </c>
      <c r="CK97" s="154">
        <f t="shared" si="311"/>
        <v>0</v>
      </c>
      <c r="CL97" s="154">
        <f t="shared" si="380"/>
        <v>0</v>
      </c>
      <c r="CM97" s="154">
        <f t="shared" si="312"/>
        <v>0</v>
      </c>
      <c r="CN97" s="154">
        <f t="shared" si="381"/>
        <v>0</v>
      </c>
      <c r="CO97" s="157">
        <f t="shared" si="313"/>
        <v>0</v>
      </c>
      <c r="CP97" s="154">
        <f t="shared" si="314"/>
        <v>0</v>
      </c>
      <c r="CQ97" s="158">
        <f t="shared" si="315"/>
        <v>0</v>
      </c>
      <c r="CR97" s="156">
        <f t="shared" si="382"/>
        <v>0</v>
      </c>
      <c r="CS97" s="154">
        <f t="shared" si="383"/>
        <v>0</v>
      </c>
      <c r="CT97" s="154">
        <f t="shared" si="317"/>
        <v>0</v>
      </c>
      <c r="CU97" s="154">
        <f t="shared" si="384"/>
        <v>0</v>
      </c>
      <c r="CV97" s="154">
        <f t="shared" si="318"/>
        <v>0</v>
      </c>
      <c r="CW97" s="154">
        <f t="shared" si="385"/>
        <v>0</v>
      </c>
      <c r="CX97" s="154">
        <f t="shared" si="319"/>
        <v>0</v>
      </c>
      <c r="CY97" s="154">
        <f t="shared" si="386"/>
        <v>0</v>
      </c>
      <c r="CZ97" s="154">
        <f t="shared" si="320"/>
        <v>0</v>
      </c>
      <c r="DA97" s="154">
        <f t="shared" si="387"/>
        <v>0</v>
      </c>
      <c r="DB97" s="157">
        <f t="shared" si="321"/>
        <v>0</v>
      </c>
      <c r="DC97" s="154">
        <f t="shared" si="322"/>
        <v>0</v>
      </c>
      <c r="DD97" s="158">
        <f t="shared" si="323"/>
        <v>0</v>
      </c>
      <c r="DE97" s="156">
        <f t="shared" si="382"/>
        <v>0</v>
      </c>
      <c r="DF97" s="154">
        <f t="shared" si="388"/>
        <v>0</v>
      </c>
      <c r="DG97" s="154">
        <f t="shared" si="324"/>
        <v>0</v>
      </c>
      <c r="DH97" s="154">
        <f t="shared" si="389"/>
        <v>0</v>
      </c>
      <c r="DI97" s="154">
        <f t="shared" si="325"/>
        <v>0</v>
      </c>
      <c r="DJ97" s="154">
        <f t="shared" si="390"/>
        <v>0</v>
      </c>
      <c r="DK97" s="154">
        <f t="shared" si="326"/>
        <v>0</v>
      </c>
      <c r="DL97" s="154">
        <f t="shared" si="391"/>
        <v>0</v>
      </c>
      <c r="DM97" s="154">
        <f t="shared" si="327"/>
        <v>0</v>
      </c>
      <c r="DN97" s="154">
        <f t="shared" si="392"/>
        <v>0</v>
      </c>
      <c r="DO97" s="157">
        <f t="shared" si="328"/>
        <v>0</v>
      </c>
      <c r="DP97" s="154">
        <f t="shared" si="329"/>
        <v>0</v>
      </c>
      <c r="DQ97" s="158">
        <f t="shared" si="330"/>
        <v>0</v>
      </c>
      <c r="DR97" s="156">
        <f t="shared" si="382"/>
        <v>0</v>
      </c>
      <c r="DS97" s="154">
        <f t="shared" si="393"/>
        <v>0</v>
      </c>
      <c r="DT97" s="154">
        <f t="shared" si="331"/>
        <v>0</v>
      </c>
      <c r="DU97" s="154">
        <f t="shared" si="394"/>
        <v>0</v>
      </c>
      <c r="DV97" s="154">
        <f t="shared" si="332"/>
        <v>0</v>
      </c>
      <c r="DW97" s="154">
        <f t="shared" si="395"/>
        <v>0</v>
      </c>
      <c r="DX97" s="154">
        <f t="shared" si="333"/>
        <v>0</v>
      </c>
      <c r="DY97" s="154">
        <f t="shared" si="396"/>
        <v>0</v>
      </c>
      <c r="DZ97" s="154">
        <f t="shared" si="334"/>
        <v>0</v>
      </c>
      <c r="EA97" s="154">
        <f t="shared" si="397"/>
        <v>0</v>
      </c>
      <c r="EB97" s="157">
        <f t="shared" si="335"/>
        <v>0</v>
      </c>
      <c r="EC97" s="154">
        <f t="shared" si="336"/>
        <v>0</v>
      </c>
      <c r="ED97" s="158">
        <f t="shared" si="337"/>
        <v>0</v>
      </c>
    </row>
    <row r="98" spans="1:134" x14ac:dyDescent="0.35">
      <c r="A98" s="172"/>
      <c r="B98" s="173"/>
      <c r="C98" s="174"/>
      <c r="D98" s="175"/>
      <c r="E98" s="176"/>
      <c r="F98" s="177"/>
      <c r="G98" s="178"/>
      <c r="H98" s="179"/>
      <c r="I98" s="180"/>
      <c r="J98" s="181"/>
      <c r="K98" s="152">
        <f t="shared" si="338"/>
        <v>0</v>
      </c>
      <c r="L98" s="153">
        <f t="shared" si="339"/>
        <v>0</v>
      </c>
      <c r="M98" s="154">
        <f t="shared" si="340"/>
        <v>0</v>
      </c>
      <c r="N98" s="154"/>
      <c r="O98" s="154">
        <f t="shared" si="341"/>
        <v>0</v>
      </c>
      <c r="P98" s="155"/>
      <c r="Q98" s="154">
        <f t="shared" si="342"/>
        <v>0</v>
      </c>
      <c r="R98" s="156">
        <f t="shared" si="343"/>
        <v>0</v>
      </c>
      <c r="S98" s="154">
        <f t="shared" si="344"/>
        <v>0</v>
      </c>
      <c r="T98" s="154">
        <f t="shared" si="345"/>
        <v>0</v>
      </c>
      <c r="U98" s="154">
        <f t="shared" si="346"/>
        <v>0</v>
      </c>
      <c r="V98" s="154">
        <f t="shared" si="347"/>
        <v>0</v>
      </c>
      <c r="W98" s="154">
        <f t="shared" si="348"/>
        <v>0</v>
      </c>
      <c r="X98" s="154">
        <f t="shared" si="349"/>
        <v>0</v>
      </c>
      <c r="Y98" s="154">
        <f t="shared" si="350"/>
        <v>0</v>
      </c>
      <c r="Z98" s="154">
        <f t="shared" si="351"/>
        <v>0</v>
      </c>
      <c r="AA98" s="154">
        <f t="shared" si="352"/>
        <v>0</v>
      </c>
      <c r="AB98" s="157">
        <f t="shared" si="353"/>
        <v>0</v>
      </c>
      <c r="AC98" s="154">
        <f t="shared" si="354"/>
        <v>0</v>
      </c>
      <c r="AD98" s="158">
        <f t="shared" si="355"/>
        <v>0</v>
      </c>
      <c r="AE98" s="156">
        <f t="shared" si="356"/>
        <v>0</v>
      </c>
      <c r="AF98" s="154">
        <f t="shared" si="357"/>
        <v>0</v>
      </c>
      <c r="AG98" s="154">
        <f t="shared" si="281"/>
        <v>0</v>
      </c>
      <c r="AH98" s="154">
        <f t="shared" si="358"/>
        <v>0</v>
      </c>
      <c r="AI98" s="154">
        <f t="shared" si="282"/>
        <v>0</v>
      </c>
      <c r="AJ98" s="154">
        <f t="shared" si="359"/>
        <v>0</v>
      </c>
      <c r="AK98" s="154">
        <f t="shared" si="283"/>
        <v>0</v>
      </c>
      <c r="AL98" s="154">
        <f t="shared" si="360"/>
        <v>0</v>
      </c>
      <c r="AM98" s="154">
        <f t="shared" si="284"/>
        <v>0</v>
      </c>
      <c r="AN98" s="154">
        <f t="shared" si="361"/>
        <v>0</v>
      </c>
      <c r="AO98" s="157">
        <f t="shared" si="285"/>
        <v>0</v>
      </c>
      <c r="AP98" s="154">
        <f t="shared" si="286"/>
        <v>0</v>
      </c>
      <c r="AQ98" s="158">
        <f t="shared" si="287"/>
        <v>0</v>
      </c>
      <c r="AR98" s="156">
        <f t="shared" si="356"/>
        <v>0</v>
      </c>
      <c r="AS98" s="154">
        <f t="shared" si="362"/>
        <v>0</v>
      </c>
      <c r="AT98" s="154">
        <f t="shared" si="288"/>
        <v>0</v>
      </c>
      <c r="AU98" s="154">
        <f t="shared" si="363"/>
        <v>0</v>
      </c>
      <c r="AV98" s="154">
        <f t="shared" si="289"/>
        <v>0</v>
      </c>
      <c r="AW98" s="154">
        <f t="shared" si="364"/>
        <v>0</v>
      </c>
      <c r="AX98" s="154">
        <f t="shared" si="290"/>
        <v>0</v>
      </c>
      <c r="AY98" s="154">
        <f t="shared" si="365"/>
        <v>0</v>
      </c>
      <c r="AZ98" s="154">
        <f t="shared" si="291"/>
        <v>0</v>
      </c>
      <c r="BA98" s="154">
        <f t="shared" si="366"/>
        <v>0</v>
      </c>
      <c r="BB98" s="157">
        <f t="shared" si="292"/>
        <v>0</v>
      </c>
      <c r="BC98" s="154">
        <f t="shared" si="293"/>
        <v>0</v>
      </c>
      <c r="BD98" s="158">
        <f t="shared" si="294"/>
        <v>0</v>
      </c>
      <c r="BE98" s="156">
        <f t="shared" si="356"/>
        <v>0</v>
      </c>
      <c r="BF98" s="154">
        <f t="shared" si="367"/>
        <v>0</v>
      </c>
      <c r="BG98" s="154">
        <f t="shared" si="295"/>
        <v>0</v>
      </c>
      <c r="BH98" s="154">
        <f t="shared" si="368"/>
        <v>0</v>
      </c>
      <c r="BI98" s="154">
        <f t="shared" si="296"/>
        <v>0</v>
      </c>
      <c r="BJ98" s="154">
        <f t="shared" si="369"/>
        <v>0</v>
      </c>
      <c r="BK98" s="154">
        <f t="shared" si="297"/>
        <v>0</v>
      </c>
      <c r="BL98" s="154">
        <f t="shared" si="370"/>
        <v>0</v>
      </c>
      <c r="BM98" s="154">
        <f t="shared" si="298"/>
        <v>0</v>
      </c>
      <c r="BN98" s="154">
        <f t="shared" si="371"/>
        <v>0</v>
      </c>
      <c r="BO98" s="157">
        <f t="shared" si="299"/>
        <v>0</v>
      </c>
      <c r="BP98" s="154">
        <f t="shared" si="300"/>
        <v>0</v>
      </c>
      <c r="BQ98" s="158">
        <f t="shared" si="301"/>
        <v>0</v>
      </c>
      <c r="BR98" s="156">
        <f t="shared" si="356"/>
        <v>0</v>
      </c>
      <c r="BS98" s="154">
        <f t="shared" si="372"/>
        <v>0</v>
      </c>
      <c r="BT98" s="154">
        <f t="shared" si="302"/>
        <v>0</v>
      </c>
      <c r="BU98" s="154">
        <f t="shared" si="373"/>
        <v>0</v>
      </c>
      <c r="BV98" s="154">
        <f t="shared" si="303"/>
        <v>0</v>
      </c>
      <c r="BW98" s="154">
        <f t="shared" si="374"/>
        <v>0</v>
      </c>
      <c r="BX98" s="154">
        <f t="shared" si="304"/>
        <v>0</v>
      </c>
      <c r="BY98" s="154">
        <f t="shared" si="375"/>
        <v>0</v>
      </c>
      <c r="BZ98" s="154">
        <f t="shared" si="305"/>
        <v>0</v>
      </c>
      <c r="CA98" s="154">
        <f t="shared" si="376"/>
        <v>0</v>
      </c>
      <c r="CB98" s="157">
        <f t="shared" si="306"/>
        <v>0</v>
      </c>
      <c r="CC98" s="154">
        <f t="shared" si="307"/>
        <v>0</v>
      </c>
      <c r="CD98" s="158">
        <f t="shared" si="308"/>
        <v>0</v>
      </c>
      <c r="CE98" s="156">
        <f t="shared" si="356"/>
        <v>0</v>
      </c>
      <c r="CF98" s="154">
        <f t="shared" si="377"/>
        <v>0</v>
      </c>
      <c r="CG98" s="154">
        <f t="shared" si="309"/>
        <v>0</v>
      </c>
      <c r="CH98" s="154">
        <f t="shared" si="378"/>
        <v>0</v>
      </c>
      <c r="CI98" s="154">
        <f t="shared" si="310"/>
        <v>0</v>
      </c>
      <c r="CJ98" s="154">
        <f t="shared" si="379"/>
        <v>0</v>
      </c>
      <c r="CK98" s="154">
        <f t="shared" si="311"/>
        <v>0</v>
      </c>
      <c r="CL98" s="154">
        <f t="shared" si="380"/>
        <v>0</v>
      </c>
      <c r="CM98" s="154">
        <f t="shared" si="312"/>
        <v>0</v>
      </c>
      <c r="CN98" s="154">
        <f t="shared" si="381"/>
        <v>0</v>
      </c>
      <c r="CO98" s="157">
        <f t="shared" si="313"/>
        <v>0</v>
      </c>
      <c r="CP98" s="154">
        <f t="shared" si="314"/>
        <v>0</v>
      </c>
      <c r="CQ98" s="158">
        <f t="shared" si="315"/>
        <v>0</v>
      </c>
      <c r="CR98" s="156">
        <f t="shared" si="382"/>
        <v>0</v>
      </c>
      <c r="CS98" s="154">
        <f t="shared" si="383"/>
        <v>0</v>
      </c>
      <c r="CT98" s="154">
        <f t="shared" si="317"/>
        <v>0</v>
      </c>
      <c r="CU98" s="154">
        <f t="shared" si="384"/>
        <v>0</v>
      </c>
      <c r="CV98" s="154">
        <f t="shared" si="318"/>
        <v>0</v>
      </c>
      <c r="CW98" s="154">
        <f t="shared" si="385"/>
        <v>0</v>
      </c>
      <c r="CX98" s="154">
        <f t="shared" si="319"/>
        <v>0</v>
      </c>
      <c r="CY98" s="154">
        <f t="shared" si="386"/>
        <v>0</v>
      </c>
      <c r="CZ98" s="154">
        <f t="shared" si="320"/>
        <v>0</v>
      </c>
      <c r="DA98" s="154">
        <f t="shared" si="387"/>
        <v>0</v>
      </c>
      <c r="DB98" s="157">
        <f t="shared" si="321"/>
        <v>0</v>
      </c>
      <c r="DC98" s="154">
        <f t="shared" si="322"/>
        <v>0</v>
      </c>
      <c r="DD98" s="158">
        <f t="shared" si="323"/>
        <v>0</v>
      </c>
      <c r="DE98" s="156">
        <f t="shared" si="382"/>
        <v>0</v>
      </c>
      <c r="DF98" s="154">
        <f t="shared" si="388"/>
        <v>0</v>
      </c>
      <c r="DG98" s="154">
        <f t="shared" si="324"/>
        <v>0</v>
      </c>
      <c r="DH98" s="154">
        <f t="shared" si="389"/>
        <v>0</v>
      </c>
      <c r="DI98" s="154">
        <f t="shared" si="325"/>
        <v>0</v>
      </c>
      <c r="DJ98" s="154">
        <f t="shared" si="390"/>
        <v>0</v>
      </c>
      <c r="DK98" s="154">
        <f t="shared" si="326"/>
        <v>0</v>
      </c>
      <c r="DL98" s="154">
        <f t="shared" si="391"/>
        <v>0</v>
      </c>
      <c r="DM98" s="154">
        <f t="shared" si="327"/>
        <v>0</v>
      </c>
      <c r="DN98" s="154">
        <f t="shared" si="392"/>
        <v>0</v>
      </c>
      <c r="DO98" s="157">
        <f t="shared" si="328"/>
        <v>0</v>
      </c>
      <c r="DP98" s="154">
        <f t="shared" si="329"/>
        <v>0</v>
      </c>
      <c r="DQ98" s="158">
        <f t="shared" si="330"/>
        <v>0</v>
      </c>
      <c r="DR98" s="156">
        <f t="shared" si="382"/>
        <v>0</v>
      </c>
      <c r="DS98" s="154">
        <f t="shared" si="393"/>
        <v>0</v>
      </c>
      <c r="DT98" s="154">
        <f t="shared" si="331"/>
        <v>0</v>
      </c>
      <c r="DU98" s="154">
        <f t="shared" si="394"/>
        <v>0</v>
      </c>
      <c r="DV98" s="154">
        <f t="shared" si="332"/>
        <v>0</v>
      </c>
      <c r="DW98" s="154">
        <f t="shared" si="395"/>
        <v>0</v>
      </c>
      <c r="DX98" s="154">
        <f t="shared" si="333"/>
        <v>0</v>
      </c>
      <c r="DY98" s="154">
        <f t="shared" si="396"/>
        <v>0</v>
      </c>
      <c r="DZ98" s="154">
        <f t="shared" si="334"/>
        <v>0</v>
      </c>
      <c r="EA98" s="154">
        <f t="shared" si="397"/>
        <v>0</v>
      </c>
      <c r="EB98" s="157">
        <f t="shared" si="335"/>
        <v>0</v>
      </c>
      <c r="EC98" s="154">
        <f t="shared" si="336"/>
        <v>0</v>
      </c>
      <c r="ED98" s="158">
        <f t="shared" si="337"/>
        <v>0</v>
      </c>
    </row>
    <row r="99" spans="1:134" x14ac:dyDescent="0.35">
      <c r="A99" s="172"/>
      <c r="B99" s="173"/>
      <c r="C99" s="174"/>
      <c r="D99" s="175"/>
      <c r="E99" s="176"/>
      <c r="F99" s="177"/>
      <c r="G99" s="178"/>
      <c r="H99" s="179"/>
      <c r="I99" s="180"/>
      <c r="J99" s="181"/>
      <c r="K99" s="152">
        <f t="shared" si="338"/>
        <v>0</v>
      </c>
      <c r="L99" s="153">
        <f t="shared" si="339"/>
        <v>0</v>
      </c>
      <c r="M99" s="154">
        <f t="shared" si="340"/>
        <v>0</v>
      </c>
      <c r="N99" s="154"/>
      <c r="O99" s="154">
        <f t="shared" si="341"/>
        <v>0</v>
      </c>
      <c r="P99" s="155"/>
      <c r="Q99" s="154">
        <f t="shared" si="342"/>
        <v>0</v>
      </c>
      <c r="R99" s="156">
        <f t="shared" si="343"/>
        <v>0</v>
      </c>
      <c r="S99" s="154">
        <f t="shared" si="344"/>
        <v>0</v>
      </c>
      <c r="T99" s="154">
        <f t="shared" si="345"/>
        <v>0</v>
      </c>
      <c r="U99" s="154">
        <f t="shared" si="346"/>
        <v>0</v>
      </c>
      <c r="V99" s="154">
        <f t="shared" si="347"/>
        <v>0</v>
      </c>
      <c r="W99" s="154">
        <f t="shared" si="348"/>
        <v>0</v>
      </c>
      <c r="X99" s="154">
        <f t="shared" si="349"/>
        <v>0</v>
      </c>
      <c r="Y99" s="154">
        <f t="shared" si="350"/>
        <v>0</v>
      </c>
      <c r="Z99" s="154">
        <f t="shared" si="351"/>
        <v>0</v>
      </c>
      <c r="AA99" s="154">
        <f t="shared" si="352"/>
        <v>0</v>
      </c>
      <c r="AB99" s="157">
        <f t="shared" si="353"/>
        <v>0</v>
      </c>
      <c r="AC99" s="154">
        <f t="shared" si="354"/>
        <v>0</v>
      </c>
      <c r="AD99" s="158">
        <f t="shared" si="355"/>
        <v>0</v>
      </c>
      <c r="AE99" s="156">
        <f t="shared" si="356"/>
        <v>0</v>
      </c>
      <c r="AF99" s="154">
        <f t="shared" si="357"/>
        <v>0</v>
      </c>
      <c r="AG99" s="154">
        <f t="shared" si="281"/>
        <v>0</v>
      </c>
      <c r="AH99" s="154">
        <f t="shared" si="358"/>
        <v>0</v>
      </c>
      <c r="AI99" s="154">
        <f t="shared" si="282"/>
        <v>0</v>
      </c>
      <c r="AJ99" s="154">
        <f t="shared" si="359"/>
        <v>0</v>
      </c>
      <c r="AK99" s="154">
        <f t="shared" si="283"/>
        <v>0</v>
      </c>
      <c r="AL99" s="154">
        <f t="shared" si="360"/>
        <v>0</v>
      </c>
      <c r="AM99" s="154">
        <f t="shared" si="284"/>
        <v>0</v>
      </c>
      <c r="AN99" s="154">
        <f t="shared" si="361"/>
        <v>0</v>
      </c>
      <c r="AO99" s="157">
        <f t="shared" si="285"/>
        <v>0</v>
      </c>
      <c r="AP99" s="154">
        <f t="shared" si="286"/>
        <v>0</v>
      </c>
      <c r="AQ99" s="158">
        <f t="shared" si="287"/>
        <v>0</v>
      </c>
      <c r="AR99" s="156">
        <f t="shared" si="356"/>
        <v>0</v>
      </c>
      <c r="AS99" s="154">
        <f t="shared" si="362"/>
        <v>0</v>
      </c>
      <c r="AT99" s="154">
        <f t="shared" si="288"/>
        <v>0</v>
      </c>
      <c r="AU99" s="154">
        <f t="shared" si="363"/>
        <v>0</v>
      </c>
      <c r="AV99" s="154">
        <f t="shared" si="289"/>
        <v>0</v>
      </c>
      <c r="AW99" s="154">
        <f t="shared" si="364"/>
        <v>0</v>
      </c>
      <c r="AX99" s="154">
        <f t="shared" si="290"/>
        <v>0</v>
      </c>
      <c r="AY99" s="154">
        <f t="shared" si="365"/>
        <v>0</v>
      </c>
      <c r="AZ99" s="154">
        <f t="shared" si="291"/>
        <v>0</v>
      </c>
      <c r="BA99" s="154">
        <f t="shared" si="366"/>
        <v>0</v>
      </c>
      <c r="BB99" s="157">
        <f t="shared" si="292"/>
        <v>0</v>
      </c>
      <c r="BC99" s="154">
        <f t="shared" si="293"/>
        <v>0</v>
      </c>
      <c r="BD99" s="158">
        <f t="shared" si="294"/>
        <v>0</v>
      </c>
      <c r="BE99" s="156">
        <f t="shared" si="356"/>
        <v>0</v>
      </c>
      <c r="BF99" s="154">
        <f t="shared" si="367"/>
        <v>0</v>
      </c>
      <c r="BG99" s="154">
        <f t="shared" si="295"/>
        <v>0</v>
      </c>
      <c r="BH99" s="154">
        <f t="shared" si="368"/>
        <v>0</v>
      </c>
      <c r="BI99" s="154">
        <f t="shared" si="296"/>
        <v>0</v>
      </c>
      <c r="BJ99" s="154">
        <f t="shared" si="369"/>
        <v>0</v>
      </c>
      <c r="BK99" s="154">
        <f t="shared" si="297"/>
        <v>0</v>
      </c>
      <c r="BL99" s="154">
        <f t="shared" si="370"/>
        <v>0</v>
      </c>
      <c r="BM99" s="154">
        <f t="shared" si="298"/>
        <v>0</v>
      </c>
      <c r="BN99" s="154">
        <f t="shared" si="371"/>
        <v>0</v>
      </c>
      <c r="BO99" s="157">
        <f t="shared" si="299"/>
        <v>0</v>
      </c>
      <c r="BP99" s="154">
        <f t="shared" si="300"/>
        <v>0</v>
      </c>
      <c r="BQ99" s="158">
        <f t="shared" si="301"/>
        <v>0</v>
      </c>
      <c r="BR99" s="156">
        <f t="shared" si="356"/>
        <v>0</v>
      </c>
      <c r="BS99" s="154">
        <f t="shared" si="372"/>
        <v>0</v>
      </c>
      <c r="BT99" s="154">
        <f t="shared" si="302"/>
        <v>0</v>
      </c>
      <c r="BU99" s="154">
        <f t="shared" si="373"/>
        <v>0</v>
      </c>
      <c r="BV99" s="154">
        <f t="shared" si="303"/>
        <v>0</v>
      </c>
      <c r="BW99" s="154">
        <f t="shared" si="374"/>
        <v>0</v>
      </c>
      <c r="BX99" s="154">
        <f t="shared" si="304"/>
        <v>0</v>
      </c>
      <c r="BY99" s="154">
        <f t="shared" si="375"/>
        <v>0</v>
      </c>
      <c r="BZ99" s="154">
        <f t="shared" si="305"/>
        <v>0</v>
      </c>
      <c r="CA99" s="154">
        <f t="shared" si="376"/>
        <v>0</v>
      </c>
      <c r="CB99" s="157">
        <f t="shared" si="306"/>
        <v>0</v>
      </c>
      <c r="CC99" s="154">
        <f t="shared" si="307"/>
        <v>0</v>
      </c>
      <c r="CD99" s="158">
        <f t="shared" si="308"/>
        <v>0</v>
      </c>
      <c r="CE99" s="156">
        <f t="shared" si="356"/>
        <v>0</v>
      </c>
      <c r="CF99" s="154">
        <f t="shared" si="377"/>
        <v>0</v>
      </c>
      <c r="CG99" s="154">
        <f t="shared" si="309"/>
        <v>0</v>
      </c>
      <c r="CH99" s="154">
        <f t="shared" si="378"/>
        <v>0</v>
      </c>
      <c r="CI99" s="154">
        <f t="shared" si="310"/>
        <v>0</v>
      </c>
      <c r="CJ99" s="154">
        <f t="shared" si="379"/>
        <v>0</v>
      </c>
      <c r="CK99" s="154">
        <f t="shared" si="311"/>
        <v>0</v>
      </c>
      <c r="CL99" s="154">
        <f t="shared" si="380"/>
        <v>0</v>
      </c>
      <c r="CM99" s="154">
        <f t="shared" si="312"/>
        <v>0</v>
      </c>
      <c r="CN99" s="154">
        <f t="shared" si="381"/>
        <v>0</v>
      </c>
      <c r="CO99" s="157">
        <f t="shared" si="313"/>
        <v>0</v>
      </c>
      <c r="CP99" s="154">
        <f t="shared" si="314"/>
        <v>0</v>
      </c>
      <c r="CQ99" s="158">
        <f t="shared" si="315"/>
        <v>0</v>
      </c>
      <c r="CR99" s="156">
        <f t="shared" si="382"/>
        <v>0</v>
      </c>
      <c r="CS99" s="154">
        <f t="shared" si="383"/>
        <v>0</v>
      </c>
      <c r="CT99" s="154">
        <f t="shared" si="317"/>
        <v>0</v>
      </c>
      <c r="CU99" s="154">
        <f t="shared" si="384"/>
        <v>0</v>
      </c>
      <c r="CV99" s="154">
        <f t="shared" si="318"/>
        <v>0</v>
      </c>
      <c r="CW99" s="154">
        <f t="shared" si="385"/>
        <v>0</v>
      </c>
      <c r="CX99" s="154">
        <f t="shared" si="319"/>
        <v>0</v>
      </c>
      <c r="CY99" s="154">
        <f t="shared" si="386"/>
        <v>0</v>
      </c>
      <c r="CZ99" s="154">
        <f t="shared" si="320"/>
        <v>0</v>
      </c>
      <c r="DA99" s="154">
        <f t="shared" si="387"/>
        <v>0</v>
      </c>
      <c r="DB99" s="157">
        <f t="shared" si="321"/>
        <v>0</v>
      </c>
      <c r="DC99" s="154">
        <f t="shared" si="322"/>
        <v>0</v>
      </c>
      <c r="DD99" s="158">
        <f t="shared" si="323"/>
        <v>0</v>
      </c>
      <c r="DE99" s="156">
        <f t="shared" si="382"/>
        <v>0</v>
      </c>
      <c r="DF99" s="154">
        <f t="shared" si="388"/>
        <v>0</v>
      </c>
      <c r="DG99" s="154">
        <f t="shared" si="324"/>
        <v>0</v>
      </c>
      <c r="DH99" s="154">
        <f t="shared" si="389"/>
        <v>0</v>
      </c>
      <c r="DI99" s="154">
        <f t="shared" si="325"/>
        <v>0</v>
      </c>
      <c r="DJ99" s="154">
        <f t="shared" si="390"/>
        <v>0</v>
      </c>
      <c r="DK99" s="154">
        <f t="shared" si="326"/>
        <v>0</v>
      </c>
      <c r="DL99" s="154">
        <f t="shared" si="391"/>
        <v>0</v>
      </c>
      <c r="DM99" s="154">
        <f t="shared" si="327"/>
        <v>0</v>
      </c>
      <c r="DN99" s="154">
        <f t="shared" si="392"/>
        <v>0</v>
      </c>
      <c r="DO99" s="157">
        <f t="shared" si="328"/>
        <v>0</v>
      </c>
      <c r="DP99" s="154">
        <f t="shared" si="329"/>
        <v>0</v>
      </c>
      <c r="DQ99" s="158">
        <f t="shared" si="330"/>
        <v>0</v>
      </c>
      <c r="DR99" s="156">
        <f t="shared" si="382"/>
        <v>0</v>
      </c>
      <c r="DS99" s="154">
        <f t="shared" si="393"/>
        <v>0</v>
      </c>
      <c r="DT99" s="154">
        <f t="shared" si="331"/>
        <v>0</v>
      </c>
      <c r="DU99" s="154">
        <f t="shared" si="394"/>
        <v>0</v>
      </c>
      <c r="DV99" s="154">
        <f t="shared" si="332"/>
        <v>0</v>
      </c>
      <c r="DW99" s="154">
        <f t="shared" si="395"/>
        <v>0</v>
      </c>
      <c r="DX99" s="154">
        <f t="shared" si="333"/>
        <v>0</v>
      </c>
      <c r="DY99" s="154">
        <f t="shared" si="396"/>
        <v>0</v>
      </c>
      <c r="DZ99" s="154">
        <f t="shared" si="334"/>
        <v>0</v>
      </c>
      <c r="EA99" s="154">
        <f t="shared" si="397"/>
        <v>0</v>
      </c>
      <c r="EB99" s="157">
        <f t="shared" si="335"/>
        <v>0</v>
      </c>
      <c r="EC99" s="154">
        <f t="shared" si="336"/>
        <v>0</v>
      </c>
      <c r="ED99" s="158">
        <f t="shared" si="337"/>
        <v>0</v>
      </c>
    </row>
    <row r="100" spans="1:134" x14ac:dyDescent="0.35">
      <c r="A100" s="172"/>
      <c r="B100" s="173"/>
      <c r="C100" s="174"/>
      <c r="D100" s="175"/>
      <c r="E100" s="176"/>
      <c r="F100" s="177"/>
      <c r="G100" s="178"/>
      <c r="H100" s="179"/>
      <c r="I100" s="180"/>
      <c r="J100" s="181"/>
      <c r="K100" s="152">
        <f t="shared" si="338"/>
        <v>0</v>
      </c>
      <c r="L100" s="153">
        <f t="shared" si="339"/>
        <v>0</v>
      </c>
      <c r="M100" s="154">
        <f t="shared" si="340"/>
        <v>0</v>
      </c>
      <c r="N100" s="154"/>
      <c r="O100" s="154">
        <f t="shared" si="341"/>
        <v>0</v>
      </c>
      <c r="P100" s="155"/>
      <c r="Q100" s="154">
        <f t="shared" si="342"/>
        <v>0</v>
      </c>
      <c r="R100" s="156">
        <f t="shared" si="343"/>
        <v>0</v>
      </c>
      <c r="S100" s="154">
        <f t="shared" si="344"/>
        <v>0</v>
      </c>
      <c r="T100" s="154">
        <f t="shared" si="345"/>
        <v>0</v>
      </c>
      <c r="U100" s="154">
        <f t="shared" si="346"/>
        <v>0</v>
      </c>
      <c r="V100" s="154">
        <f t="shared" si="347"/>
        <v>0</v>
      </c>
      <c r="W100" s="154">
        <f t="shared" si="348"/>
        <v>0</v>
      </c>
      <c r="X100" s="154">
        <f t="shared" si="349"/>
        <v>0</v>
      </c>
      <c r="Y100" s="154">
        <f t="shared" si="350"/>
        <v>0</v>
      </c>
      <c r="Z100" s="154">
        <f t="shared" si="351"/>
        <v>0</v>
      </c>
      <c r="AA100" s="154">
        <f t="shared" si="352"/>
        <v>0</v>
      </c>
      <c r="AB100" s="157">
        <f t="shared" si="353"/>
        <v>0</v>
      </c>
      <c r="AC100" s="154">
        <f t="shared" si="354"/>
        <v>0</v>
      </c>
      <c r="AD100" s="158">
        <f t="shared" si="355"/>
        <v>0</v>
      </c>
      <c r="AE100" s="156">
        <f t="shared" si="356"/>
        <v>0</v>
      </c>
      <c r="AF100" s="154">
        <f t="shared" si="357"/>
        <v>0</v>
      </c>
      <c r="AG100" s="154">
        <f t="shared" si="281"/>
        <v>0</v>
      </c>
      <c r="AH100" s="154">
        <f t="shared" si="358"/>
        <v>0</v>
      </c>
      <c r="AI100" s="154">
        <f t="shared" si="282"/>
        <v>0</v>
      </c>
      <c r="AJ100" s="154">
        <f t="shared" si="359"/>
        <v>0</v>
      </c>
      <c r="AK100" s="154">
        <f t="shared" si="283"/>
        <v>0</v>
      </c>
      <c r="AL100" s="154">
        <f t="shared" si="360"/>
        <v>0</v>
      </c>
      <c r="AM100" s="154">
        <f t="shared" si="284"/>
        <v>0</v>
      </c>
      <c r="AN100" s="154">
        <f t="shared" si="361"/>
        <v>0</v>
      </c>
      <c r="AO100" s="157">
        <f t="shared" si="285"/>
        <v>0</v>
      </c>
      <c r="AP100" s="154">
        <f t="shared" si="286"/>
        <v>0</v>
      </c>
      <c r="AQ100" s="158">
        <f t="shared" si="287"/>
        <v>0</v>
      </c>
      <c r="AR100" s="156">
        <f t="shared" si="356"/>
        <v>0</v>
      </c>
      <c r="AS100" s="154">
        <f t="shared" si="362"/>
        <v>0</v>
      </c>
      <c r="AT100" s="154">
        <f t="shared" si="288"/>
        <v>0</v>
      </c>
      <c r="AU100" s="154">
        <f t="shared" si="363"/>
        <v>0</v>
      </c>
      <c r="AV100" s="154">
        <f t="shared" si="289"/>
        <v>0</v>
      </c>
      <c r="AW100" s="154">
        <f t="shared" si="364"/>
        <v>0</v>
      </c>
      <c r="AX100" s="154">
        <f t="shared" si="290"/>
        <v>0</v>
      </c>
      <c r="AY100" s="154">
        <f t="shared" si="365"/>
        <v>0</v>
      </c>
      <c r="AZ100" s="154">
        <f t="shared" si="291"/>
        <v>0</v>
      </c>
      <c r="BA100" s="154">
        <f t="shared" si="366"/>
        <v>0</v>
      </c>
      <c r="BB100" s="157">
        <f t="shared" si="292"/>
        <v>0</v>
      </c>
      <c r="BC100" s="154">
        <f t="shared" si="293"/>
        <v>0</v>
      </c>
      <c r="BD100" s="158">
        <f t="shared" si="294"/>
        <v>0</v>
      </c>
      <c r="BE100" s="156">
        <f t="shared" si="356"/>
        <v>0</v>
      </c>
      <c r="BF100" s="154">
        <f t="shared" si="367"/>
        <v>0</v>
      </c>
      <c r="BG100" s="154">
        <f t="shared" si="295"/>
        <v>0</v>
      </c>
      <c r="BH100" s="154">
        <f t="shared" si="368"/>
        <v>0</v>
      </c>
      <c r="BI100" s="154">
        <f t="shared" si="296"/>
        <v>0</v>
      </c>
      <c r="BJ100" s="154">
        <f t="shared" si="369"/>
        <v>0</v>
      </c>
      <c r="BK100" s="154">
        <f t="shared" si="297"/>
        <v>0</v>
      </c>
      <c r="BL100" s="154">
        <f t="shared" si="370"/>
        <v>0</v>
      </c>
      <c r="BM100" s="154">
        <f t="shared" si="298"/>
        <v>0</v>
      </c>
      <c r="BN100" s="154">
        <f t="shared" si="371"/>
        <v>0</v>
      </c>
      <c r="BO100" s="157">
        <f t="shared" si="299"/>
        <v>0</v>
      </c>
      <c r="BP100" s="154">
        <f t="shared" si="300"/>
        <v>0</v>
      </c>
      <c r="BQ100" s="158">
        <f t="shared" si="301"/>
        <v>0</v>
      </c>
      <c r="BR100" s="156">
        <f t="shared" si="356"/>
        <v>0</v>
      </c>
      <c r="BS100" s="154">
        <f t="shared" si="372"/>
        <v>0</v>
      </c>
      <c r="BT100" s="154">
        <f t="shared" si="302"/>
        <v>0</v>
      </c>
      <c r="BU100" s="154">
        <f t="shared" si="373"/>
        <v>0</v>
      </c>
      <c r="BV100" s="154">
        <f t="shared" si="303"/>
        <v>0</v>
      </c>
      <c r="BW100" s="154">
        <f t="shared" si="374"/>
        <v>0</v>
      </c>
      <c r="BX100" s="154">
        <f t="shared" si="304"/>
        <v>0</v>
      </c>
      <c r="BY100" s="154">
        <f t="shared" si="375"/>
        <v>0</v>
      </c>
      <c r="BZ100" s="154">
        <f t="shared" si="305"/>
        <v>0</v>
      </c>
      <c r="CA100" s="154">
        <f t="shared" si="376"/>
        <v>0</v>
      </c>
      <c r="CB100" s="157">
        <f t="shared" si="306"/>
        <v>0</v>
      </c>
      <c r="CC100" s="154">
        <f t="shared" si="307"/>
        <v>0</v>
      </c>
      <c r="CD100" s="158">
        <f t="shared" si="308"/>
        <v>0</v>
      </c>
      <c r="CE100" s="156">
        <f t="shared" si="356"/>
        <v>0</v>
      </c>
      <c r="CF100" s="154">
        <f t="shared" si="377"/>
        <v>0</v>
      </c>
      <c r="CG100" s="154">
        <f t="shared" si="309"/>
        <v>0</v>
      </c>
      <c r="CH100" s="154">
        <f t="shared" si="378"/>
        <v>0</v>
      </c>
      <c r="CI100" s="154">
        <f t="shared" si="310"/>
        <v>0</v>
      </c>
      <c r="CJ100" s="154">
        <f t="shared" si="379"/>
        <v>0</v>
      </c>
      <c r="CK100" s="154">
        <f t="shared" si="311"/>
        <v>0</v>
      </c>
      <c r="CL100" s="154">
        <f t="shared" si="380"/>
        <v>0</v>
      </c>
      <c r="CM100" s="154">
        <f t="shared" si="312"/>
        <v>0</v>
      </c>
      <c r="CN100" s="154">
        <f t="shared" si="381"/>
        <v>0</v>
      </c>
      <c r="CO100" s="157">
        <f t="shared" si="313"/>
        <v>0</v>
      </c>
      <c r="CP100" s="154">
        <f t="shared" si="314"/>
        <v>0</v>
      </c>
      <c r="CQ100" s="158">
        <f t="shared" si="315"/>
        <v>0</v>
      </c>
      <c r="CR100" s="156">
        <f t="shared" si="382"/>
        <v>0</v>
      </c>
      <c r="CS100" s="154">
        <f t="shared" si="383"/>
        <v>0</v>
      </c>
      <c r="CT100" s="154">
        <f t="shared" si="317"/>
        <v>0</v>
      </c>
      <c r="CU100" s="154">
        <f t="shared" si="384"/>
        <v>0</v>
      </c>
      <c r="CV100" s="154">
        <f t="shared" si="318"/>
        <v>0</v>
      </c>
      <c r="CW100" s="154">
        <f t="shared" si="385"/>
        <v>0</v>
      </c>
      <c r="CX100" s="154">
        <f t="shared" si="319"/>
        <v>0</v>
      </c>
      <c r="CY100" s="154">
        <f t="shared" si="386"/>
        <v>0</v>
      </c>
      <c r="CZ100" s="154">
        <f t="shared" si="320"/>
        <v>0</v>
      </c>
      <c r="DA100" s="154">
        <f t="shared" si="387"/>
        <v>0</v>
      </c>
      <c r="DB100" s="157">
        <f t="shared" si="321"/>
        <v>0</v>
      </c>
      <c r="DC100" s="154">
        <f t="shared" si="322"/>
        <v>0</v>
      </c>
      <c r="DD100" s="158">
        <f t="shared" si="323"/>
        <v>0</v>
      </c>
      <c r="DE100" s="156">
        <f t="shared" si="382"/>
        <v>0</v>
      </c>
      <c r="DF100" s="154">
        <f t="shared" si="388"/>
        <v>0</v>
      </c>
      <c r="DG100" s="154">
        <f t="shared" si="324"/>
        <v>0</v>
      </c>
      <c r="DH100" s="154">
        <f t="shared" si="389"/>
        <v>0</v>
      </c>
      <c r="DI100" s="154">
        <f t="shared" si="325"/>
        <v>0</v>
      </c>
      <c r="DJ100" s="154">
        <f t="shared" si="390"/>
        <v>0</v>
      </c>
      <c r="DK100" s="154">
        <f t="shared" si="326"/>
        <v>0</v>
      </c>
      <c r="DL100" s="154">
        <f t="shared" si="391"/>
        <v>0</v>
      </c>
      <c r="DM100" s="154">
        <f t="shared" si="327"/>
        <v>0</v>
      </c>
      <c r="DN100" s="154">
        <f t="shared" si="392"/>
        <v>0</v>
      </c>
      <c r="DO100" s="157">
        <f t="shared" si="328"/>
        <v>0</v>
      </c>
      <c r="DP100" s="154">
        <f t="shared" si="329"/>
        <v>0</v>
      </c>
      <c r="DQ100" s="158">
        <f t="shared" si="330"/>
        <v>0</v>
      </c>
      <c r="DR100" s="156">
        <f t="shared" si="382"/>
        <v>0</v>
      </c>
      <c r="DS100" s="154">
        <f t="shared" si="393"/>
        <v>0</v>
      </c>
      <c r="DT100" s="154">
        <f t="shared" si="331"/>
        <v>0</v>
      </c>
      <c r="DU100" s="154">
        <f t="shared" si="394"/>
        <v>0</v>
      </c>
      <c r="DV100" s="154">
        <f t="shared" si="332"/>
        <v>0</v>
      </c>
      <c r="DW100" s="154">
        <f t="shared" si="395"/>
        <v>0</v>
      </c>
      <c r="DX100" s="154">
        <f t="shared" si="333"/>
        <v>0</v>
      </c>
      <c r="DY100" s="154">
        <f t="shared" si="396"/>
        <v>0</v>
      </c>
      <c r="DZ100" s="154">
        <f t="shared" si="334"/>
        <v>0</v>
      </c>
      <c r="EA100" s="154">
        <f t="shared" si="397"/>
        <v>0</v>
      </c>
      <c r="EB100" s="157">
        <f t="shared" si="335"/>
        <v>0</v>
      </c>
      <c r="EC100" s="154">
        <f t="shared" si="336"/>
        <v>0</v>
      </c>
      <c r="ED100" s="158">
        <f t="shared" si="337"/>
        <v>0</v>
      </c>
    </row>
    <row r="101" spans="1:134" x14ac:dyDescent="0.35">
      <c r="A101" s="172"/>
      <c r="B101" s="173"/>
      <c r="C101" s="174"/>
      <c r="D101" s="175"/>
      <c r="E101" s="176"/>
      <c r="F101" s="177"/>
      <c r="G101" s="178"/>
      <c r="H101" s="179"/>
      <c r="I101" s="180"/>
      <c r="J101" s="181"/>
      <c r="K101" s="152">
        <f t="shared" si="338"/>
        <v>0</v>
      </c>
      <c r="L101" s="153">
        <f t="shared" si="339"/>
        <v>0</v>
      </c>
      <c r="M101" s="154">
        <f t="shared" si="340"/>
        <v>0</v>
      </c>
      <c r="N101" s="154"/>
      <c r="O101" s="154">
        <f t="shared" si="341"/>
        <v>0</v>
      </c>
      <c r="P101" s="155"/>
      <c r="Q101" s="154">
        <f t="shared" si="342"/>
        <v>0</v>
      </c>
      <c r="R101" s="156">
        <f t="shared" si="343"/>
        <v>0</v>
      </c>
      <c r="S101" s="154">
        <f t="shared" si="344"/>
        <v>0</v>
      </c>
      <c r="T101" s="154">
        <f t="shared" si="345"/>
        <v>0</v>
      </c>
      <c r="U101" s="154">
        <f t="shared" si="346"/>
        <v>0</v>
      </c>
      <c r="V101" s="154">
        <f t="shared" si="347"/>
        <v>0</v>
      </c>
      <c r="W101" s="154">
        <f t="shared" si="348"/>
        <v>0</v>
      </c>
      <c r="X101" s="154">
        <f t="shared" si="349"/>
        <v>0</v>
      </c>
      <c r="Y101" s="154">
        <f t="shared" si="350"/>
        <v>0</v>
      </c>
      <c r="Z101" s="154">
        <f t="shared" si="351"/>
        <v>0</v>
      </c>
      <c r="AA101" s="154">
        <f t="shared" si="352"/>
        <v>0</v>
      </c>
      <c r="AB101" s="157">
        <f t="shared" si="353"/>
        <v>0</v>
      </c>
      <c r="AC101" s="154">
        <f t="shared" si="354"/>
        <v>0</v>
      </c>
      <c r="AD101" s="158">
        <f t="shared" si="355"/>
        <v>0</v>
      </c>
      <c r="AE101" s="156">
        <f t="shared" ref="AE101:CE116" si="398">IF(YEAR($F101)=AE$4,$E101,0)</f>
        <v>0</v>
      </c>
      <c r="AF101" s="154">
        <f t="shared" si="357"/>
        <v>0</v>
      </c>
      <c r="AG101" s="154">
        <f t="shared" si="281"/>
        <v>0</v>
      </c>
      <c r="AH101" s="154">
        <f t="shared" si="358"/>
        <v>0</v>
      </c>
      <c r="AI101" s="154">
        <f t="shared" si="282"/>
        <v>0</v>
      </c>
      <c r="AJ101" s="154">
        <f t="shared" si="359"/>
        <v>0</v>
      </c>
      <c r="AK101" s="154">
        <f t="shared" si="283"/>
        <v>0</v>
      </c>
      <c r="AL101" s="154">
        <f t="shared" si="360"/>
        <v>0</v>
      </c>
      <c r="AM101" s="154">
        <f t="shared" si="284"/>
        <v>0</v>
      </c>
      <c r="AN101" s="154">
        <f t="shared" si="361"/>
        <v>0</v>
      </c>
      <c r="AO101" s="157">
        <f t="shared" si="285"/>
        <v>0</v>
      </c>
      <c r="AP101" s="154">
        <f t="shared" si="286"/>
        <v>0</v>
      </c>
      <c r="AQ101" s="158">
        <f t="shared" si="287"/>
        <v>0</v>
      </c>
      <c r="AR101" s="156">
        <f t="shared" si="398"/>
        <v>0</v>
      </c>
      <c r="AS101" s="154">
        <f t="shared" si="362"/>
        <v>0</v>
      </c>
      <c r="AT101" s="154">
        <f t="shared" si="288"/>
        <v>0</v>
      </c>
      <c r="AU101" s="154">
        <f t="shared" si="363"/>
        <v>0</v>
      </c>
      <c r="AV101" s="154">
        <f t="shared" si="289"/>
        <v>0</v>
      </c>
      <c r="AW101" s="154">
        <f t="shared" si="364"/>
        <v>0</v>
      </c>
      <c r="AX101" s="154">
        <f t="shared" si="290"/>
        <v>0</v>
      </c>
      <c r="AY101" s="154">
        <f t="shared" si="365"/>
        <v>0</v>
      </c>
      <c r="AZ101" s="154">
        <f t="shared" si="291"/>
        <v>0</v>
      </c>
      <c r="BA101" s="154">
        <f t="shared" si="366"/>
        <v>0</v>
      </c>
      <c r="BB101" s="157">
        <f t="shared" si="292"/>
        <v>0</v>
      </c>
      <c r="BC101" s="154">
        <f t="shared" si="293"/>
        <v>0</v>
      </c>
      <c r="BD101" s="158">
        <f t="shared" si="294"/>
        <v>0</v>
      </c>
      <c r="BE101" s="156">
        <f t="shared" si="398"/>
        <v>0</v>
      </c>
      <c r="BF101" s="154">
        <f t="shared" si="367"/>
        <v>0</v>
      </c>
      <c r="BG101" s="154">
        <f t="shared" si="295"/>
        <v>0</v>
      </c>
      <c r="BH101" s="154">
        <f t="shared" si="368"/>
        <v>0</v>
      </c>
      <c r="BI101" s="154">
        <f t="shared" si="296"/>
        <v>0</v>
      </c>
      <c r="BJ101" s="154">
        <f t="shared" si="369"/>
        <v>0</v>
      </c>
      <c r="BK101" s="154">
        <f t="shared" si="297"/>
        <v>0</v>
      </c>
      <c r="BL101" s="154">
        <f t="shared" si="370"/>
        <v>0</v>
      </c>
      <c r="BM101" s="154">
        <f t="shared" si="298"/>
        <v>0</v>
      </c>
      <c r="BN101" s="154">
        <f t="shared" si="371"/>
        <v>0</v>
      </c>
      <c r="BO101" s="157">
        <f t="shared" si="299"/>
        <v>0</v>
      </c>
      <c r="BP101" s="154">
        <f t="shared" si="300"/>
        <v>0</v>
      </c>
      <c r="BQ101" s="158">
        <f t="shared" si="301"/>
        <v>0</v>
      </c>
      <c r="BR101" s="156">
        <f t="shared" si="398"/>
        <v>0</v>
      </c>
      <c r="BS101" s="154">
        <f t="shared" si="372"/>
        <v>0</v>
      </c>
      <c r="BT101" s="154">
        <f t="shared" si="302"/>
        <v>0</v>
      </c>
      <c r="BU101" s="154">
        <f t="shared" si="373"/>
        <v>0</v>
      </c>
      <c r="BV101" s="154">
        <f t="shared" si="303"/>
        <v>0</v>
      </c>
      <c r="BW101" s="154">
        <f t="shared" si="374"/>
        <v>0</v>
      </c>
      <c r="BX101" s="154">
        <f t="shared" si="304"/>
        <v>0</v>
      </c>
      <c r="BY101" s="154">
        <f t="shared" si="375"/>
        <v>0</v>
      </c>
      <c r="BZ101" s="154">
        <f t="shared" si="305"/>
        <v>0</v>
      </c>
      <c r="CA101" s="154">
        <f t="shared" si="376"/>
        <v>0</v>
      </c>
      <c r="CB101" s="157">
        <f t="shared" si="306"/>
        <v>0</v>
      </c>
      <c r="CC101" s="154">
        <f t="shared" si="307"/>
        <v>0</v>
      </c>
      <c r="CD101" s="158">
        <f t="shared" si="308"/>
        <v>0</v>
      </c>
      <c r="CE101" s="156">
        <f t="shared" si="398"/>
        <v>0</v>
      </c>
      <c r="CF101" s="154">
        <f t="shared" si="377"/>
        <v>0</v>
      </c>
      <c r="CG101" s="154">
        <f t="shared" si="309"/>
        <v>0</v>
      </c>
      <c r="CH101" s="154">
        <f t="shared" si="378"/>
        <v>0</v>
      </c>
      <c r="CI101" s="154">
        <f t="shared" si="310"/>
        <v>0</v>
      </c>
      <c r="CJ101" s="154">
        <f t="shared" si="379"/>
        <v>0</v>
      </c>
      <c r="CK101" s="154">
        <f t="shared" si="311"/>
        <v>0</v>
      </c>
      <c r="CL101" s="154">
        <f t="shared" si="380"/>
        <v>0</v>
      </c>
      <c r="CM101" s="154">
        <f t="shared" si="312"/>
        <v>0</v>
      </c>
      <c r="CN101" s="154">
        <f t="shared" si="381"/>
        <v>0</v>
      </c>
      <c r="CO101" s="157">
        <f t="shared" si="313"/>
        <v>0</v>
      </c>
      <c r="CP101" s="154">
        <f t="shared" si="314"/>
        <v>0</v>
      </c>
      <c r="CQ101" s="158">
        <f t="shared" si="315"/>
        <v>0</v>
      </c>
      <c r="CR101" s="156">
        <f t="shared" ref="CR101:DR116" si="399">IF(YEAR($F101)=CR$4,$E101,0)</f>
        <v>0</v>
      </c>
      <c r="CS101" s="154">
        <f t="shared" si="383"/>
        <v>0</v>
      </c>
      <c r="CT101" s="154">
        <f t="shared" si="317"/>
        <v>0</v>
      </c>
      <c r="CU101" s="154">
        <f t="shared" si="384"/>
        <v>0</v>
      </c>
      <c r="CV101" s="154">
        <f t="shared" si="318"/>
        <v>0</v>
      </c>
      <c r="CW101" s="154">
        <f t="shared" si="385"/>
        <v>0</v>
      </c>
      <c r="CX101" s="154">
        <f t="shared" si="319"/>
        <v>0</v>
      </c>
      <c r="CY101" s="154">
        <f t="shared" si="386"/>
        <v>0</v>
      </c>
      <c r="CZ101" s="154">
        <f t="shared" si="320"/>
        <v>0</v>
      </c>
      <c r="DA101" s="154">
        <f t="shared" si="387"/>
        <v>0</v>
      </c>
      <c r="DB101" s="157">
        <f t="shared" si="321"/>
        <v>0</v>
      </c>
      <c r="DC101" s="154">
        <f t="shared" si="322"/>
        <v>0</v>
      </c>
      <c r="DD101" s="158">
        <f t="shared" si="323"/>
        <v>0</v>
      </c>
      <c r="DE101" s="156">
        <f t="shared" si="399"/>
        <v>0</v>
      </c>
      <c r="DF101" s="154">
        <f t="shared" si="388"/>
        <v>0</v>
      </c>
      <c r="DG101" s="154">
        <f t="shared" si="324"/>
        <v>0</v>
      </c>
      <c r="DH101" s="154">
        <f t="shared" si="389"/>
        <v>0</v>
      </c>
      <c r="DI101" s="154">
        <f t="shared" si="325"/>
        <v>0</v>
      </c>
      <c r="DJ101" s="154">
        <f t="shared" si="390"/>
        <v>0</v>
      </c>
      <c r="DK101" s="154">
        <f t="shared" si="326"/>
        <v>0</v>
      </c>
      <c r="DL101" s="154">
        <f t="shared" si="391"/>
        <v>0</v>
      </c>
      <c r="DM101" s="154">
        <f t="shared" si="327"/>
        <v>0</v>
      </c>
      <c r="DN101" s="154">
        <f t="shared" si="392"/>
        <v>0</v>
      </c>
      <c r="DO101" s="157">
        <f t="shared" si="328"/>
        <v>0</v>
      </c>
      <c r="DP101" s="154">
        <f t="shared" si="329"/>
        <v>0</v>
      </c>
      <c r="DQ101" s="158">
        <f t="shared" si="330"/>
        <v>0</v>
      </c>
      <c r="DR101" s="156">
        <f t="shared" si="399"/>
        <v>0</v>
      </c>
      <c r="DS101" s="154">
        <f t="shared" si="393"/>
        <v>0</v>
      </c>
      <c r="DT101" s="154">
        <f t="shared" si="331"/>
        <v>0</v>
      </c>
      <c r="DU101" s="154">
        <f t="shared" si="394"/>
        <v>0</v>
      </c>
      <c r="DV101" s="154">
        <f t="shared" si="332"/>
        <v>0</v>
      </c>
      <c r="DW101" s="154">
        <f t="shared" si="395"/>
        <v>0</v>
      </c>
      <c r="DX101" s="154">
        <f t="shared" si="333"/>
        <v>0</v>
      </c>
      <c r="DY101" s="154">
        <f t="shared" si="396"/>
        <v>0</v>
      </c>
      <c r="DZ101" s="154">
        <f t="shared" si="334"/>
        <v>0</v>
      </c>
      <c r="EA101" s="154">
        <f t="shared" si="397"/>
        <v>0</v>
      </c>
      <c r="EB101" s="157">
        <f t="shared" si="335"/>
        <v>0</v>
      </c>
      <c r="EC101" s="154">
        <f t="shared" si="336"/>
        <v>0</v>
      </c>
      <c r="ED101" s="158">
        <f t="shared" si="337"/>
        <v>0</v>
      </c>
    </row>
    <row r="102" spans="1:134" x14ac:dyDescent="0.35">
      <c r="A102" s="172"/>
      <c r="B102" s="173"/>
      <c r="C102" s="174"/>
      <c r="D102" s="175"/>
      <c r="E102" s="176"/>
      <c r="F102" s="177"/>
      <c r="G102" s="178"/>
      <c r="H102" s="179"/>
      <c r="I102" s="180"/>
      <c r="J102" s="181"/>
      <c r="K102" s="152">
        <f t="shared" si="338"/>
        <v>0</v>
      </c>
      <c r="L102" s="153">
        <f t="shared" si="339"/>
        <v>0</v>
      </c>
      <c r="M102" s="154">
        <f t="shared" si="340"/>
        <v>0</v>
      </c>
      <c r="N102" s="154"/>
      <c r="O102" s="154">
        <f t="shared" si="341"/>
        <v>0</v>
      </c>
      <c r="P102" s="155"/>
      <c r="Q102" s="154">
        <f t="shared" si="342"/>
        <v>0</v>
      </c>
      <c r="R102" s="156">
        <f t="shared" si="343"/>
        <v>0</v>
      </c>
      <c r="S102" s="154">
        <f t="shared" si="344"/>
        <v>0</v>
      </c>
      <c r="T102" s="154">
        <f t="shared" si="345"/>
        <v>0</v>
      </c>
      <c r="U102" s="154">
        <f t="shared" si="346"/>
        <v>0</v>
      </c>
      <c r="V102" s="154">
        <f t="shared" si="347"/>
        <v>0</v>
      </c>
      <c r="W102" s="154">
        <f t="shared" si="348"/>
        <v>0</v>
      </c>
      <c r="X102" s="154">
        <f t="shared" si="349"/>
        <v>0</v>
      </c>
      <c r="Y102" s="154">
        <f t="shared" si="350"/>
        <v>0</v>
      </c>
      <c r="Z102" s="154">
        <f t="shared" si="351"/>
        <v>0</v>
      </c>
      <c r="AA102" s="154">
        <f t="shared" si="352"/>
        <v>0</v>
      </c>
      <c r="AB102" s="157">
        <f t="shared" si="353"/>
        <v>0</v>
      </c>
      <c r="AC102" s="154">
        <f t="shared" si="354"/>
        <v>0</v>
      </c>
      <c r="AD102" s="158">
        <f t="shared" si="355"/>
        <v>0</v>
      </c>
      <c r="AE102" s="156">
        <f t="shared" si="398"/>
        <v>0</v>
      </c>
      <c r="AF102" s="154">
        <f t="shared" si="357"/>
        <v>0</v>
      </c>
      <c r="AG102" s="154">
        <f t="shared" si="281"/>
        <v>0</v>
      </c>
      <c r="AH102" s="154">
        <f t="shared" si="358"/>
        <v>0</v>
      </c>
      <c r="AI102" s="154">
        <f t="shared" si="282"/>
        <v>0</v>
      </c>
      <c r="AJ102" s="154">
        <f t="shared" si="359"/>
        <v>0</v>
      </c>
      <c r="AK102" s="154">
        <f t="shared" si="283"/>
        <v>0</v>
      </c>
      <c r="AL102" s="154">
        <f t="shared" si="360"/>
        <v>0</v>
      </c>
      <c r="AM102" s="154">
        <f t="shared" si="284"/>
        <v>0</v>
      </c>
      <c r="AN102" s="154">
        <f t="shared" si="361"/>
        <v>0</v>
      </c>
      <c r="AO102" s="157">
        <f t="shared" si="285"/>
        <v>0</v>
      </c>
      <c r="AP102" s="154">
        <f t="shared" si="286"/>
        <v>0</v>
      </c>
      <c r="AQ102" s="158">
        <f t="shared" si="287"/>
        <v>0</v>
      </c>
      <c r="AR102" s="156">
        <f t="shared" si="398"/>
        <v>0</v>
      </c>
      <c r="AS102" s="154">
        <f t="shared" si="362"/>
        <v>0</v>
      </c>
      <c r="AT102" s="154">
        <f t="shared" si="288"/>
        <v>0</v>
      </c>
      <c r="AU102" s="154">
        <f t="shared" si="363"/>
        <v>0</v>
      </c>
      <c r="AV102" s="154">
        <f t="shared" si="289"/>
        <v>0</v>
      </c>
      <c r="AW102" s="154">
        <f t="shared" si="364"/>
        <v>0</v>
      </c>
      <c r="AX102" s="154">
        <f t="shared" si="290"/>
        <v>0</v>
      </c>
      <c r="AY102" s="154">
        <f t="shared" si="365"/>
        <v>0</v>
      </c>
      <c r="AZ102" s="154">
        <f t="shared" si="291"/>
        <v>0</v>
      </c>
      <c r="BA102" s="154">
        <f t="shared" si="366"/>
        <v>0</v>
      </c>
      <c r="BB102" s="157">
        <f t="shared" si="292"/>
        <v>0</v>
      </c>
      <c r="BC102" s="154">
        <f t="shared" si="293"/>
        <v>0</v>
      </c>
      <c r="BD102" s="158">
        <f t="shared" si="294"/>
        <v>0</v>
      </c>
      <c r="BE102" s="156">
        <f t="shared" si="398"/>
        <v>0</v>
      </c>
      <c r="BF102" s="154">
        <f t="shared" si="367"/>
        <v>0</v>
      </c>
      <c r="BG102" s="154">
        <f t="shared" si="295"/>
        <v>0</v>
      </c>
      <c r="BH102" s="154">
        <f t="shared" si="368"/>
        <v>0</v>
      </c>
      <c r="BI102" s="154">
        <f t="shared" si="296"/>
        <v>0</v>
      </c>
      <c r="BJ102" s="154">
        <f t="shared" si="369"/>
        <v>0</v>
      </c>
      <c r="BK102" s="154">
        <f t="shared" si="297"/>
        <v>0</v>
      </c>
      <c r="BL102" s="154">
        <f t="shared" si="370"/>
        <v>0</v>
      </c>
      <c r="BM102" s="154">
        <f t="shared" si="298"/>
        <v>0</v>
      </c>
      <c r="BN102" s="154">
        <f t="shared" si="371"/>
        <v>0</v>
      </c>
      <c r="BO102" s="157">
        <f t="shared" si="299"/>
        <v>0</v>
      </c>
      <c r="BP102" s="154">
        <f t="shared" si="300"/>
        <v>0</v>
      </c>
      <c r="BQ102" s="158">
        <f t="shared" si="301"/>
        <v>0</v>
      </c>
      <c r="BR102" s="156">
        <f t="shared" si="398"/>
        <v>0</v>
      </c>
      <c r="BS102" s="154">
        <f t="shared" si="372"/>
        <v>0</v>
      </c>
      <c r="BT102" s="154">
        <f t="shared" si="302"/>
        <v>0</v>
      </c>
      <c r="BU102" s="154">
        <f t="shared" si="373"/>
        <v>0</v>
      </c>
      <c r="BV102" s="154">
        <f t="shared" si="303"/>
        <v>0</v>
      </c>
      <c r="BW102" s="154">
        <f t="shared" si="374"/>
        <v>0</v>
      </c>
      <c r="BX102" s="154">
        <f t="shared" si="304"/>
        <v>0</v>
      </c>
      <c r="BY102" s="154">
        <f t="shared" si="375"/>
        <v>0</v>
      </c>
      <c r="BZ102" s="154">
        <f t="shared" si="305"/>
        <v>0</v>
      </c>
      <c r="CA102" s="154">
        <f t="shared" si="376"/>
        <v>0</v>
      </c>
      <c r="CB102" s="157">
        <f t="shared" si="306"/>
        <v>0</v>
      </c>
      <c r="CC102" s="154">
        <f t="shared" si="307"/>
        <v>0</v>
      </c>
      <c r="CD102" s="158">
        <f t="shared" si="308"/>
        <v>0</v>
      </c>
      <c r="CE102" s="156">
        <f t="shared" si="398"/>
        <v>0</v>
      </c>
      <c r="CF102" s="154">
        <f t="shared" si="377"/>
        <v>0</v>
      </c>
      <c r="CG102" s="154">
        <f t="shared" si="309"/>
        <v>0</v>
      </c>
      <c r="CH102" s="154">
        <f t="shared" si="378"/>
        <v>0</v>
      </c>
      <c r="CI102" s="154">
        <f t="shared" si="310"/>
        <v>0</v>
      </c>
      <c r="CJ102" s="154">
        <f t="shared" si="379"/>
        <v>0</v>
      </c>
      <c r="CK102" s="154">
        <f t="shared" si="311"/>
        <v>0</v>
      </c>
      <c r="CL102" s="154">
        <f t="shared" si="380"/>
        <v>0</v>
      </c>
      <c r="CM102" s="154">
        <f t="shared" si="312"/>
        <v>0</v>
      </c>
      <c r="CN102" s="154">
        <f t="shared" si="381"/>
        <v>0</v>
      </c>
      <c r="CO102" s="157">
        <f t="shared" si="313"/>
        <v>0</v>
      </c>
      <c r="CP102" s="154">
        <f t="shared" si="314"/>
        <v>0</v>
      </c>
      <c r="CQ102" s="158">
        <f t="shared" si="315"/>
        <v>0</v>
      </c>
      <c r="CR102" s="156">
        <f t="shared" si="399"/>
        <v>0</v>
      </c>
      <c r="CS102" s="154">
        <f t="shared" si="383"/>
        <v>0</v>
      </c>
      <c r="CT102" s="154">
        <f t="shared" si="317"/>
        <v>0</v>
      </c>
      <c r="CU102" s="154">
        <f t="shared" si="384"/>
        <v>0</v>
      </c>
      <c r="CV102" s="154">
        <f t="shared" si="318"/>
        <v>0</v>
      </c>
      <c r="CW102" s="154">
        <f t="shared" si="385"/>
        <v>0</v>
      </c>
      <c r="CX102" s="154">
        <f t="shared" si="319"/>
        <v>0</v>
      </c>
      <c r="CY102" s="154">
        <f t="shared" si="386"/>
        <v>0</v>
      </c>
      <c r="CZ102" s="154">
        <f t="shared" si="320"/>
        <v>0</v>
      </c>
      <c r="DA102" s="154">
        <f t="shared" si="387"/>
        <v>0</v>
      </c>
      <c r="DB102" s="157">
        <f t="shared" si="321"/>
        <v>0</v>
      </c>
      <c r="DC102" s="154">
        <f t="shared" si="322"/>
        <v>0</v>
      </c>
      <c r="DD102" s="158">
        <f t="shared" si="323"/>
        <v>0</v>
      </c>
      <c r="DE102" s="156">
        <f t="shared" si="399"/>
        <v>0</v>
      </c>
      <c r="DF102" s="154">
        <f t="shared" si="388"/>
        <v>0</v>
      </c>
      <c r="DG102" s="154">
        <f t="shared" si="324"/>
        <v>0</v>
      </c>
      <c r="DH102" s="154">
        <f t="shared" si="389"/>
        <v>0</v>
      </c>
      <c r="DI102" s="154">
        <f t="shared" si="325"/>
        <v>0</v>
      </c>
      <c r="DJ102" s="154">
        <f t="shared" si="390"/>
        <v>0</v>
      </c>
      <c r="DK102" s="154">
        <f t="shared" si="326"/>
        <v>0</v>
      </c>
      <c r="DL102" s="154">
        <f t="shared" si="391"/>
        <v>0</v>
      </c>
      <c r="DM102" s="154">
        <f t="shared" si="327"/>
        <v>0</v>
      </c>
      <c r="DN102" s="154">
        <f t="shared" si="392"/>
        <v>0</v>
      </c>
      <c r="DO102" s="157">
        <f t="shared" si="328"/>
        <v>0</v>
      </c>
      <c r="DP102" s="154">
        <f t="shared" si="329"/>
        <v>0</v>
      </c>
      <c r="DQ102" s="158">
        <f t="shared" si="330"/>
        <v>0</v>
      </c>
      <c r="DR102" s="156">
        <f t="shared" si="399"/>
        <v>0</v>
      </c>
      <c r="DS102" s="154">
        <f t="shared" si="393"/>
        <v>0</v>
      </c>
      <c r="DT102" s="154">
        <f t="shared" si="331"/>
        <v>0</v>
      </c>
      <c r="DU102" s="154">
        <f t="shared" si="394"/>
        <v>0</v>
      </c>
      <c r="DV102" s="154">
        <f t="shared" si="332"/>
        <v>0</v>
      </c>
      <c r="DW102" s="154">
        <f t="shared" si="395"/>
        <v>0</v>
      </c>
      <c r="DX102" s="154">
        <f t="shared" si="333"/>
        <v>0</v>
      </c>
      <c r="DY102" s="154">
        <f t="shared" si="396"/>
        <v>0</v>
      </c>
      <c r="DZ102" s="154">
        <f t="shared" si="334"/>
        <v>0</v>
      </c>
      <c r="EA102" s="154">
        <f t="shared" si="397"/>
        <v>0</v>
      </c>
      <c r="EB102" s="157">
        <f t="shared" si="335"/>
        <v>0</v>
      </c>
      <c r="EC102" s="154">
        <f t="shared" si="336"/>
        <v>0</v>
      </c>
      <c r="ED102" s="158">
        <f t="shared" si="337"/>
        <v>0</v>
      </c>
    </row>
    <row r="103" spans="1:134" x14ac:dyDescent="0.35">
      <c r="A103" s="172"/>
      <c r="B103" s="173"/>
      <c r="C103" s="174"/>
      <c r="D103" s="175"/>
      <c r="E103" s="176"/>
      <c r="F103" s="177"/>
      <c r="G103" s="178"/>
      <c r="H103" s="179"/>
      <c r="I103" s="180"/>
      <c r="J103" s="181"/>
      <c r="K103" s="152">
        <f t="shared" si="338"/>
        <v>0</v>
      </c>
      <c r="L103" s="153">
        <f t="shared" si="339"/>
        <v>0</v>
      </c>
      <c r="M103" s="154">
        <f t="shared" si="340"/>
        <v>0</v>
      </c>
      <c r="N103" s="154"/>
      <c r="O103" s="154">
        <f t="shared" si="341"/>
        <v>0</v>
      </c>
      <c r="P103" s="155"/>
      <c r="Q103" s="154">
        <f t="shared" si="342"/>
        <v>0</v>
      </c>
      <c r="R103" s="156">
        <f t="shared" si="343"/>
        <v>0</v>
      </c>
      <c r="S103" s="154">
        <f t="shared" si="344"/>
        <v>0</v>
      </c>
      <c r="T103" s="154">
        <f t="shared" si="345"/>
        <v>0</v>
      </c>
      <c r="U103" s="154">
        <f t="shared" si="346"/>
        <v>0</v>
      </c>
      <c r="V103" s="154">
        <f t="shared" si="347"/>
        <v>0</v>
      </c>
      <c r="W103" s="154">
        <f t="shared" si="348"/>
        <v>0</v>
      </c>
      <c r="X103" s="154">
        <f t="shared" si="349"/>
        <v>0</v>
      </c>
      <c r="Y103" s="154">
        <f t="shared" si="350"/>
        <v>0</v>
      </c>
      <c r="Z103" s="154">
        <f t="shared" si="351"/>
        <v>0</v>
      </c>
      <c r="AA103" s="154">
        <f t="shared" si="352"/>
        <v>0</v>
      </c>
      <c r="AB103" s="157">
        <f t="shared" si="353"/>
        <v>0</v>
      </c>
      <c r="AC103" s="154">
        <f t="shared" si="354"/>
        <v>0</v>
      </c>
      <c r="AD103" s="158">
        <f t="shared" si="355"/>
        <v>0</v>
      </c>
      <c r="AE103" s="156">
        <f t="shared" si="398"/>
        <v>0</v>
      </c>
      <c r="AF103" s="154">
        <f t="shared" si="357"/>
        <v>0</v>
      </c>
      <c r="AG103" s="154">
        <f t="shared" si="281"/>
        <v>0</v>
      </c>
      <c r="AH103" s="154">
        <f t="shared" si="358"/>
        <v>0</v>
      </c>
      <c r="AI103" s="154">
        <f t="shared" si="282"/>
        <v>0</v>
      </c>
      <c r="AJ103" s="154">
        <f t="shared" si="359"/>
        <v>0</v>
      </c>
      <c r="AK103" s="154">
        <f t="shared" si="283"/>
        <v>0</v>
      </c>
      <c r="AL103" s="154">
        <f t="shared" si="360"/>
        <v>0</v>
      </c>
      <c r="AM103" s="154">
        <f t="shared" si="284"/>
        <v>0</v>
      </c>
      <c r="AN103" s="154">
        <f t="shared" si="361"/>
        <v>0</v>
      </c>
      <c r="AO103" s="157">
        <f t="shared" si="285"/>
        <v>0</v>
      </c>
      <c r="AP103" s="154">
        <f t="shared" si="286"/>
        <v>0</v>
      </c>
      <c r="AQ103" s="158">
        <f t="shared" si="287"/>
        <v>0</v>
      </c>
      <c r="AR103" s="156">
        <f t="shared" si="398"/>
        <v>0</v>
      </c>
      <c r="AS103" s="154">
        <f t="shared" si="362"/>
        <v>0</v>
      </c>
      <c r="AT103" s="154">
        <f t="shared" si="288"/>
        <v>0</v>
      </c>
      <c r="AU103" s="154">
        <f t="shared" si="363"/>
        <v>0</v>
      </c>
      <c r="AV103" s="154">
        <f t="shared" si="289"/>
        <v>0</v>
      </c>
      <c r="AW103" s="154">
        <f t="shared" si="364"/>
        <v>0</v>
      </c>
      <c r="AX103" s="154">
        <f t="shared" si="290"/>
        <v>0</v>
      </c>
      <c r="AY103" s="154">
        <f t="shared" si="365"/>
        <v>0</v>
      </c>
      <c r="AZ103" s="154">
        <f t="shared" si="291"/>
        <v>0</v>
      </c>
      <c r="BA103" s="154">
        <f t="shared" si="366"/>
        <v>0</v>
      </c>
      <c r="BB103" s="157">
        <f t="shared" si="292"/>
        <v>0</v>
      </c>
      <c r="BC103" s="154">
        <f t="shared" si="293"/>
        <v>0</v>
      </c>
      <c r="BD103" s="158">
        <f t="shared" si="294"/>
        <v>0</v>
      </c>
      <c r="BE103" s="156">
        <f t="shared" si="398"/>
        <v>0</v>
      </c>
      <c r="BF103" s="154">
        <f t="shared" si="367"/>
        <v>0</v>
      </c>
      <c r="BG103" s="154">
        <f t="shared" si="295"/>
        <v>0</v>
      </c>
      <c r="BH103" s="154">
        <f t="shared" si="368"/>
        <v>0</v>
      </c>
      <c r="BI103" s="154">
        <f t="shared" si="296"/>
        <v>0</v>
      </c>
      <c r="BJ103" s="154">
        <f t="shared" si="369"/>
        <v>0</v>
      </c>
      <c r="BK103" s="154">
        <f t="shared" si="297"/>
        <v>0</v>
      </c>
      <c r="BL103" s="154">
        <f t="shared" si="370"/>
        <v>0</v>
      </c>
      <c r="BM103" s="154">
        <f t="shared" si="298"/>
        <v>0</v>
      </c>
      <c r="BN103" s="154">
        <f t="shared" si="371"/>
        <v>0</v>
      </c>
      <c r="BO103" s="157">
        <f t="shared" si="299"/>
        <v>0</v>
      </c>
      <c r="BP103" s="154">
        <f t="shared" si="300"/>
        <v>0</v>
      </c>
      <c r="BQ103" s="158">
        <f t="shared" si="301"/>
        <v>0</v>
      </c>
      <c r="BR103" s="156">
        <f t="shared" si="398"/>
        <v>0</v>
      </c>
      <c r="BS103" s="154">
        <f t="shared" si="372"/>
        <v>0</v>
      </c>
      <c r="BT103" s="154">
        <f t="shared" si="302"/>
        <v>0</v>
      </c>
      <c r="BU103" s="154">
        <f t="shared" si="373"/>
        <v>0</v>
      </c>
      <c r="BV103" s="154">
        <f t="shared" si="303"/>
        <v>0</v>
      </c>
      <c r="BW103" s="154">
        <f t="shared" si="374"/>
        <v>0</v>
      </c>
      <c r="BX103" s="154">
        <f t="shared" si="304"/>
        <v>0</v>
      </c>
      <c r="BY103" s="154">
        <f t="shared" si="375"/>
        <v>0</v>
      </c>
      <c r="BZ103" s="154">
        <f t="shared" si="305"/>
        <v>0</v>
      </c>
      <c r="CA103" s="154">
        <f t="shared" si="376"/>
        <v>0</v>
      </c>
      <c r="CB103" s="157">
        <f t="shared" si="306"/>
        <v>0</v>
      </c>
      <c r="CC103" s="154">
        <f t="shared" si="307"/>
        <v>0</v>
      </c>
      <c r="CD103" s="158">
        <f t="shared" si="308"/>
        <v>0</v>
      </c>
      <c r="CE103" s="156">
        <f t="shared" si="398"/>
        <v>0</v>
      </c>
      <c r="CF103" s="154">
        <f t="shared" si="377"/>
        <v>0</v>
      </c>
      <c r="CG103" s="154">
        <f t="shared" si="309"/>
        <v>0</v>
      </c>
      <c r="CH103" s="154">
        <f t="shared" si="378"/>
        <v>0</v>
      </c>
      <c r="CI103" s="154">
        <f t="shared" si="310"/>
        <v>0</v>
      </c>
      <c r="CJ103" s="154">
        <f t="shared" si="379"/>
        <v>0</v>
      </c>
      <c r="CK103" s="154">
        <f t="shared" si="311"/>
        <v>0</v>
      </c>
      <c r="CL103" s="154">
        <f t="shared" si="380"/>
        <v>0</v>
      </c>
      <c r="CM103" s="154">
        <f t="shared" si="312"/>
        <v>0</v>
      </c>
      <c r="CN103" s="154">
        <f t="shared" si="381"/>
        <v>0</v>
      </c>
      <c r="CO103" s="157">
        <f t="shared" si="313"/>
        <v>0</v>
      </c>
      <c r="CP103" s="154">
        <f t="shared" si="314"/>
        <v>0</v>
      </c>
      <c r="CQ103" s="158">
        <f t="shared" si="315"/>
        <v>0</v>
      </c>
      <c r="CR103" s="156">
        <f t="shared" si="399"/>
        <v>0</v>
      </c>
      <c r="CS103" s="154">
        <f t="shared" si="383"/>
        <v>0</v>
      </c>
      <c r="CT103" s="154">
        <f t="shared" si="317"/>
        <v>0</v>
      </c>
      <c r="CU103" s="154">
        <f t="shared" si="384"/>
        <v>0</v>
      </c>
      <c r="CV103" s="154">
        <f t="shared" si="318"/>
        <v>0</v>
      </c>
      <c r="CW103" s="154">
        <f t="shared" si="385"/>
        <v>0</v>
      </c>
      <c r="CX103" s="154">
        <f t="shared" si="319"/>
        <v>0</v>
      </c>
      <c r="CY103" s="154">
        <f t="shared" si="386"/>
        <v>0</v>
      </c>
      <c r="CZ103" s="154">
        <f t="shared" si="320"/>
        <v>0</v>
      </c>
      <c r="DA103" s="154">
        <f t="shared" si="387"/>
        <v>0</v>
      </c>
      <c r="DB103" s="157">
        <f t="shared" si="321"/>
        <v>0</v>
      </c>
      <c r="DC103" s="154">
        <f t="shared" si="322"/>
        <v>0</v>
      </c>
      <c r="DD103" s="158">
        <f t="shared" si="323"/>
        <v>0</v>
      </c>
      <c r="DE103" s="156">
        <f t="shared" si="399"/>
        <v>0</v>
      </c>
      <c r="DF103" s="154">
        <f t="shared" si="388"/>
        <v>0</v>
      </c>
      <c r="DG103" s="154">
        <f t="shared" si="324"/>
        <v>0</v>
      </c>
      <c r="DH103" s="154">
        <f t="shared" si="389"/>
        <v>0</v>
      </c>
      <c r="DI103" s="154">
        <f t="shared" si="325"/>
        <v>0</v>
      </c>
      <c r="DJ103" s="154">
        <f t="shared" si="390"/>
        <v>0</v>
      </c>
      <c r="DK103" s="154">
        <f t="shared" si="326"/>
        <v>0</v>
      </c>
      <c r="DL103" s="154">
        <f t="shared" si="391"/>
        <v>0</v>
      </c>
      <c r="DM103" s="154">
        <f t="shared" si="327"/>
        <v>0</v>
      </c>
      <c r="DN103" s="154">
        <f t="shared" si="392"/>
        <v>0</v>
      </c>
      <c r="DO103" s="157">
        <f t="shared" si="328"/>
        <v>0</v>
      </c>
      <c r="DP103" s="154">
        <f t="shared" si="329"/>
        <v>0</v>
      </c>
      <c r="DQ103" s="158">
        <f t="shared" si="330"/>
        <v>0</v>
      </c>
      <c r="DR103" s="156">
        <f t="shared" si="399"/>
        <v>0</v>
      </c>
      <c r="DS103" s="154">
        <f t="shared" si="393"/>
        <v>0</v>
      </c>
      <c r="DT103" s="154">
        <f t="shared" si="331"/>
        <v>0</v>
      </c>
      <c r="DU103" s="154">
        <f t="shared" si="394"/>
        <v>0</v>
      </c>
      <c r="DV103" s="154">
        <f t="shared" si="332"/>
        <v>0</v>
      </c>
      <c r="DW103" s="154">
        <f t="shared" si="395"/>
        <v>0</v>
      </c>
      <c r="DX103" s="154">
        <f t="shared" si="333"/>
        <v>0</v>
      </c>
      <c r="DY103" s="154">
        <f t="shared" si="396"/>
        <v>0</v>
      </c>
      <c r="DZ103" s="154">
        <f t="shared" si="334"/>
        <v>0</v>
      </c>
      <c r="EA103" s="154">
        <f t="shared" si="397"/>
        <v>0</v>
      </c>
      <c r="EB103" s="157">
        <f t="shared" si="335"/>
        <v>0</v>
      </c>
      <c r="EC103" s="154">
        <f t="shared" si="336"/>
        <v>0</v>
      </c>
      <c r="ED103" s="158">
        <f t="shared" si="337"/>
        <v>0</v>
      </c>
    </row>
    <row r="104" spans="1:134" x14ac:dyDescent="0.35">
      <c r="A104" s="172"/>
      <c r="B104" s="173"/>
      <c r="C104" s="174"/>
      <c r="D104" s="175"/>
      <c r="E104" s="176"/>
      <c r="F104" s="177"/>
      <c r="G104" s="178"/>
      <c r="H104" s="179"/>
      <c r="I104" s="180"/>
      <c r="J104" s="181"/>
      <c r="K104" s="152">
        <f t="shared" si="338"/>
        <v>0</v>
      </c>
      <c r="L104" s="153">
        <f t="shared" si="339"/>
        <v>0</v>
      </c>
      <c r="M104" s="154">
        <f t="shared" si="340"/>
        <v>0</v>
      </c>
      <c r="N104" s="154"/>
      <c r="O104" s="154">
        <f t="shared" si="341"/>
        <v>0</v>
      </c>
      <c r="P104" s="155"/>
      <c r="Q104" s="154">
        <f t="shared" si="342"/>
        <v>0</v>
      </c>
      <c r="R104" s="156">
        <f t="shared" si="343"/>
        <v>0</v>
      </c>
      <c r="S104" s="154">
        <f t="shared" si="344"/>
        <v>0</v>
      </c>
      <c r="T104" s="154">
        <f t="shared" si="345"/>
        <v>0</v>
      </c>
      <c r="U104" s="154">
        <f t="shared" si="346"/>
        <v>0</v>
      </c>
      <c r="V104" s="154">
        <f t="shared" si="347"/>
        <v>0</v>
      </c>
      <c r="W104" s="154">
        <f t="shared" si="348"/>
        <v>0</v>
      </c>
      <c r="X104" s="154">
        <f t="shared" si="349"/>
        <v>0</v>
      </c>
      <c r="Y104" s="154">
        <f t="shared" si="350"/>
        <v>0</v>
      </c>
      <c r="Z104" s="154">
        <f t="shared" si="351"/>
        <v>0</v>
      </c>
      <c r="AA104" s="154">
        <f t="shared" si="352"/>
        <v>0</v>
      </c>
      <c r="AB104" s="157">
        <f t="shared" si="353"/>
        <v>0</v>
      </c>
      <c r="AC104" s="154">
        <f t="shared" si="354"/>
        <v>0</v>
      </c>
      <c r="AD104" s="158">
        <f t="shared" si="355"/>
        <v>0</v>
      </c>
      <c r="AE104" s="156">
        <f t="shared" si="398"/>
        <v>0</v>
      </c>
      <c r="AF104" s="154">
        <f t="shared" si="357"/>
        <v>0</v>
      </c>
      <c r="AG104" s="154">
        <f t="shared" si="281"/>
        <v>0</v>
      </c>
      <c r="AH104" s="154">
        <f t="shared" si="358"/>
        <v>0</v>
      </c>
      <c r="AI104" s="154">
        <f t="shared" si="282"/>
        <v>0</v>
      </c>
      <c r="AJ104" s="154">
        <f t="shared" si="359"/>
        <v>0</v>
      </c>
      <c r="AK104" s="154">
        <f t="shared" si="283"/>
        <v>0</v>
      </c>
      <c r="AL104" s="154">
        <f t="shared" si="360"/>
        <v>0</v>
      </c>
      <c r="AM104" s="154">
        <f t="shared" si="284"/>
        <v>0</v>
      </c>
      <c r="AN104" s="154">
        <f t="shared" si="361"/>
        <v>0</v>
      </c>
      <c r="AO104" s="157">
        <f t="shared" si="285"/>
        <v>0</v>
      </c>
      <c r="AP104" s="154">
        <f t="shared" si="286"/>
        <v>0</v>
      </c>
      <c r="AQ104" s="158">
        <f t="shared" si="287"/>
        <v>0</v>
      </c>
      <c r="AR104" s="156">
        <f t="shared" si="398"/>
        <v>0</v>
      </c>
      <c r="AS104" s="154">
        <f t="shared" si="362"/>
        <v>0</v>
      </c>
      <c r="AT104" s="154">
        <f t="shared" si="288"/>
        <v>0</v>
      </c>
      <c r="AU104" s="154">
        <f t="shared" si="363"/>
        <v>0</v>
      </c>
      <c r="AV104" s="154">
        <f t="shared" si="289"/>
        <v>0</v>
      </c>
      <c r="AW104" s="154">
        <f t="shared" si="364"/>
        <v>0</v>
      </c>
      <c r="AX104" s="154">
        <f t="shared" si="290"/>
        <v>0</v>
      </c>
      <c r="AY104" s="154">
        <f t="shared" si="365"/>
        <v>0</v>
      </c>
      <c r="AZ104" s="154">
        <f t="shared" si="291"/>
        <v>0</v>
      </c>
      <c r="BA104" s="154">
        <f t="shared" si="366"/>
        <v>0</v>
      </c>
      <c r="BB104" s="157">
        <f t="shared" si="292"/>
        <v>0</v>
      </c>
      <c r="BC104" s="154">
        <f t="shared" si="293"/>
        <v>0</v>
      </c>
      <c r="BD104" s="158">
        <f t="shared" si="294"/>
        <v>0</v>
      </c>
      <c r="BE104" s="156">
        <f t="shared" si="398"/>
        <v>0</v>
      </c>
      <c r="BF104" s="154">
        <f t="shared" si="367"/>
        <v>0</v>
      </c>
      <c r="BG104" s="154">
        <f t="shared" si="295"/>
        <v>0</v>
      </c>
      <c r="BH104" s="154">
        <f t="shared" si="368"/>
        <v>0</v>
      </c>
      <c r="BI104" s="154">
        <f t="shared" si="296"/>
        <v>0</v>
      </c>
      <c r="BJ104" s="154">
        <f t="shared" si="369"/>
        <v>0</v>
      </c>
      <c r="BK104" s="154">
        <f t="shared" si="297"/>
        <v>0</v>
      </c>
      <c r="BL104" s="154">
        <f t="shared" si="370"/>
        <v>0</v>
      </c>
      <c r="BM104" s="154">
        <f t="shared" si="298"/>
        <v>0</v>
      </c>
      <c r="BN104" s="154">
        <f t="shared" si="371"/>
        <v>0</v>
      </c>
      <c r="BO104" s="157">
        <f t="shared" si="299"/>
        <v>0</v>
      </c>
      <c r="BP104" s="154">
        <f t="shared" si="300"/>
        <v>0</v>
      </c>
      <c r="BQ104" s="158">
        <f t="shared" si="301"/>
        <v>0</v>
      </c>
      <c r="BR104" s="156">
        <f t="shared" si="398"/>
        <v>0</v>
      </c>
      <c r="BS104" s="154">
        <f t="shared" si="372"/>
        <v>0</v>
      </c>
      <c r="BT104" s="154">
        <f t="shared" si="302"/>
        <v>0</v>
      </c>
      <c r="BU104" s="154">
        <f t="shared" si="373"/>
        <v>0</v>
      </c>
      <c r="BV104" s="154">
        <f t="shared" si="303"/>
        <v>0</v>
      </c>
      <c r="BW104" s="154">
        <f t="shared" si="374"/>
        <v>0</v>
      </c>
      <c r="BX104" s="154">
        <f t="shared" si="304"/>
        <v>0</v>
      </c>
      <c r="BY104" s="154">
        <f t="shared" si="375"/>
        <v>0</v>
      </c>
      <c r="BZ104" s="154">
        <f t="shared" si="305"/>
        <v>0</v>
      </c>
      <c r="CA104" s="154">
        <f t="shared" si="376"/>
        <v>0</v>
      </c>
      <c r="CB104" s="157">
        <f t="shared" si="306"/>
        <v>0</v>
      </c>
      <c r="CC104" s="154">
        <f t="shared" si="307"/>
        <v>0</v>
      </c>
      <c r="CD104" s="158">
        <f t="shared" si="308"/>
        <v>0</v>
      </c>
      <c r="CE104" s="156">
        <f t="shared" si="398"/>
        <v>0</v>
      </c>
      <c r="CF104" s="154">
        <f t="shared" si="377"/>
        <v>0</v>
      </c>
      <c r="CG104" s="154">
        <f t="shared" si="309"/>
        <v>0</v>
      </c>
      <c r="CH104" s="154">
        <f t="shared" si="378"/>
        <v>0</v>
      </c>
      <c r="CI104" s="154">
        <f t="shared" si="310"/>
        <v>0</v>
      </c>
      <c r="CJ104" s="154">
        <f t="shared" si="379"/>
        <v>0</v>
      </c>
      <c r="CK104" s="154">
        <f t="shared" si="311"/>
        <v>0</v>
      </c>
      <c r="CL104" s="154">
        <f t="shared" si="380"/>
        <v>0</v>
      </c>
      <c r="CM104" s="154">
        <f t="shared" si="312"/>
        <v>0</v>
      </c>
      <c r="CN104" s="154">
        <f t="shared" si="381"/>
        <v>0</v>
      </c>
      <c r="CO104" s="157">
        <f t="shared" si="313"/>
        <v>0</v>
      </c>
      <c r="CP104" s="154">
        <f t="shared" si="314"/>
        <v>0</v>
      </c>
      <c r="CQ104" s="158">
        <f t="shared" si="315"/>
        <v>0</v>
      </c>
      <c r="CR104" s="156">
        <f t="shared" si="399"/>
        <v>0</v>
      </c>
      <c r="CS104" s="154">
        <f t="shared" si="383"/>
        <v>0</v>
      </c>
      <c r="CT104" s="154">
        <f t="shared" si="317"/>
        <v>0</v>
      </c>
      <c r="CU104" s="154">
        <f t="shared" si="384"/>
        <v>0</v>
      </c>
      <c r="CV104" s="154">
        <f t="shared" si="318"/>
        <v>0</v>
      </c>
      <c r="CW104" s="154">
        <f t="shared" si="385"/>
        <v>0</v>
      </c>
      <c r="CX104" s="154">
        <f t="shared" si="319"/>
        <v>0</v>
      </c>
      <c r="CY104" s="154">
        <f t="shared" si="386"/>
        <v>0</v>
      </c>
      <c r="CZ104" s="154">
        <f t="shared" si="320"/>
        <v>0</v>
      </c>
      <c r="DA104" s="154">
        <f t="shared" si="387"/>
        <v>0</v>
      </c>
      <c r="DB104" s="157">
        <f t="shared" si="321"/>
        <v>0</v>
      </c>
      <c r="DC104" s="154">
        <f t="shared" si="322"/>
        <v>0</v>
      </c>
      <c r="DD104" s="158">
        <f t="shared" si="323"/>
        <v>0</v>
      </c>
      <c r="DE104" s="156">
        <f t="shared" si="399"/>
        <v>0</v>
      </c>
      <c r="DF104" s="154">
        <f t="shared" si="388"/>
        <v>0</v>
      </c>
      <c r="DG104" s="154">
        <f t="shared" si="324"/>
        <v>0</v>
      </c>
      <c r="DH104" s="154">
        <f t="shared" si="389"/>
        <v>0</v>
      </c>
      <c r="DI104" s="154">
        <f t="shared" si="325"/>
        <v>0</v>
      </c>
      <c r="DJ104" s="154">
        <f t="shared" si="390"/>
        <v>0</v>
      </c>
      <c r="DK104" s="154">
        <f t="shared" si="326"/>
        <v>0</v>
      </c>
      <c r="DL104" s="154">
        <f t="shared" si="391"/>
        <v>0</v>
      </c>
      <c r="DM104" s="154">
        <f t="shared" si="327"/>
        <v>0</v>
      </c>
      <c r="DN104" s="154">
        <f t="shared" si="392"/>
        <v>0</v>
      </c>
      <c r="DO104" s="157">
        <f t="shared" si="328"/>
        <v>0</v>
      </c>
      <c r="DP104" s="154">
        <f t="shared" si="329"/>
        <v>0</v>
      </c>
      <c r="DQ104" s="158">
        <f t="shared" si="330"/>
        <v>0</v>
      </c>
      <c r="DR104" s="156">
        <f t="shared" si="399"/>
        <v>0</v>
      </c>
      <c r="DS104" s="154">
        <f t="shared" si="393"/>
        <v>0</v>
      </c>
      <c r="DT104" s="154">
        <f t="shared" si="331"/>
        <v>0</v>
      </c>
      <c r="DU104" s="154">
        <f t="shared" si="394"/>
        <v>0</v>
      </c>
      <c r="DV104" s="154">
        <f t="shared" si="332"/>
        <v>0</v>
      </c>
      <c r="DW104" s="154">
        <f t="shared" si="395"/>
        <v>0</v>
      </c>
      <c r="DX104" s="154">
        <f t="shared" si="333"/>
        <v>0</v>
      </c>
      <c r="DY104" s="154">
        <f t="shared" si="396"/>
        <v>0</v>
      </c>
      <c r="DZ104" s="154">
        <f t="shared" si="334"/>
        <v>0</v>
      </c>
      <c r="EA104" s="154">
        <f t="shared" si="397"/>
        <v>0</v>
      </c>
      <c r="EB104" s="157">
        <f t="shared" si="335"/>
        <v>0</v>
      </c>
      <c r="EC104" s="154">
        <f t="shared" si="336"/>
        <v>0</v>
      </c>
      <c r="ED104" s="158">
        <f t="shared" si="337"/>
        <v>0</v>
      </c>
    </row>
    <row r="105" spans="1:134" x14ac:dyDescent="0.35">
      <c r="A105" s="172"/>
      <c r="B105" s="173"/>
      <c r="C105" s="174"/>
      <c r="D105" s="175"/>
      <c r="E105" s="176"/>
      <c r="F105" s="177"/>
      <c r="G105" s="178"/>
      <c r="H105" s="179"/>
      <c r="I105" s="180"/>
      <c r="J105" s="181"/>
      <c r="K105" s="152">
        <f t="shared" si="338"/>
        <v>0</v>
      </c>
      <c r="L105" s="153">
        <f t="shared" si="339"/>
        <v>0</v>
      </c>
      <c r="M105" s="154">
        <f t="shared" si="340"/>
        <v>0</v>
      </c>
      <c r="N105" s="154"/>
      <c r="O105" s="154">
        <f t="shared" si="341"/>
        <v>0</v>
      </c>
      <c r="P105" s="155"/>
      <c r="Q105" s="154">
        <f t="shared" si="342"/>
        <v>0</v>
      </c>
      <c r="R105" s="156">
        <f t="shared" si="343"/>
        <v>0</v>
      </c>
      <c r="S105" s="154">
        <f t="shared" si="344"/>
        <v>0</v>
      </c>
      <c r="T105" s="154">
        <f t="shared" si="345"/>
        <v>0</v>
      </c>
      <c r="U105" s="154">
        <f t="shared" si="346"/>
        <v>0</v>
      </c>
      <c r="V105" s="154">
        <f t="shared" si="347"/>
        <v>0</v>
      </c>
      <c r="W105" s="154">
        <f t="shared" si="348"/>
        <v>0</v>
      </c>
      <c r="X105" s="154">
        <f t="shared" si="349"/>
        <v>0</v>
      </c>
      <c r="Y105" s="154">
        <f t="shared" si="350"/>
        <v>0</v>
      </c>
      <c r="Z105" s="154">
        <f t="shared" si="351"/>
        <v>0</v>
      </c>
      <c r="AA105" s="154">
        <f t="shared" si="352"/>
        <v>0</v>
      </c>
      <c r="AB105" s="157">
        <f t="shared" si="353"/>
        <v>0</v>
      </c>
      <c r="AC105" s="154">
        <f t="shared" si="354"/>
        <v>0</v>
      </c>
      <c r="AD105" s="158">
        <f t="shared" si="355"/>
        <v>0</v>
      </c>
      <c r="AE105" s="156">
        <f t="shared" si="398"/>
        <v>0</v>
      </c>
      <c r="AF105" s="154">
        <f t="shared" si="357"/>
        <v>0</v>
      </c>
      <c r="AG105" s="154">
        <f t="shared" si="281"/>
        <v>0</v>
      </c>
      <c r="AH105" s="154">
        <f t="shared" si="358"/>
        <v>0</v>
      </c>
      <c r="AI105" s="154">
        <f t="shared" si="282"/>
        <v>0</v>
      </c>
      <c r="AJ105" s="154">
        <f t="shared" si="359"/>
        <v>0</v>
      </c>
      <c r="AK105" s="154">
        <f t="shared" si="283"/>
        <v>0</v>
      </c>
      <c r="AL105" s="154">
        <f t="shared" si="360"/>
        <v>0</v>
      </c>
      <c r="AM105" s="154">
        <f t="shared" si="284"/>
        <v>0</v>
      </c>
      <c r="AN105" s="154">
        <f t="shared" si="361"/>
        <v>0</v>
      </c>
      <c r="AO105" s="157">
        <f t="shared" si="285"/>
        <v>0</v>
      </c>
      <c r="AP105" s="154">
        <f t="shared" si="286"/>
        <v>0</v>
      </c>
      <c r="AQ105" s="158">
        <f t="shared" si="287"/>
        <v>0</v>
      </c>
      <c r="AR105" s="156">
        <f t="shared" si="398"/>
        <v>0</v>
      </c>
      <c r="AS105" s="154">
        <f t="shared" si="362"/>
        <v>0</v>
      </c>
      <c r="AT105" s="154">
        <f t="shared" si="288"/>
        <v>0</v>
      </c>
      <c r="AU105" s="154">
        <f t="shared" si="363"/>
        <v>0</v>
      </c>
      <c r="AV105" s="154">
        <f t="shared" si="289"/>
        <v>0</v>
      </c>
      <c r="AW105" s="154">
        <f t="shared" si="364"/>
        <v>0</v>
      </c>
      <c r="AX105" s="154">
        <f t="shared" si="290"/>
        <v>0</v>
      </c>
      <c r="AY105" s="154">
        <f t="shared" si="365"/>
        <v>0</v>
      </c>
      <c r="AZ105" s="154">
        <f t="shared" si="291"/>
        <v>0</v>
      </c>
      <c r="BA105" s="154">
        <f t="shared" si="366"/>
        <v>0</v>
      </c>
      <c r="BB105" s="157">
        <f t="shared" si="292"/>
        <v>0</v>
      </c>
      <c r="BC105" s="154">
        <f t="shared" si="293"/>
        <v>0</v>
      </c>
      <c r="BD105" s="158">
        <f t="shared" si="294"/>
        <v>0</v>
      </c>
      <c r="BE105" s="156">
        <f t="shared" si="398"/>
        <v>0</v>
      </c>
      <c r="BF105" s="154">
        <f t="shared" si="367"/>
        <v>0</v>
      </c>
      <c r="BG105" s="154">
        <f t="shared" si="295"/>
        <v>0</v>
      </c>
      <c r="BH105" s="154">
        <f t="shared" si="368"/>
        <v>0</v>
      </c>
      <c r="BI105" s="154">
        <f t="shared" si="296"/>
        <v>0</v>
      </c>
      <c r="BJ105" s="154">
        <f t="shared" si="369"/>
        <v>0</v>
      </c>
      <c r="BK105" s="154">
        <f t="shared" si="297"/>
        <v>0</v>
      </c>
      <c r="BL105" s="154">
        <f t="shared" si="370"/>
        <v>0</v>
      </c>
      <c r="BM105" s="154">
        <f t="shared" si="298"/>
        <v>0</v>
      </c>
      <c r="BN105" s="154">
        <f t="shared" si="371"/>
        <v>0</v>
      </c>
      <c r="BO105" s="157">
        <f t="shared" si="299"/>
        <v>0</v>
      </c>
      <c r="BP105" s="154">
        <f t="shared" si="300"/>
        <v>0</v>
      </c>
      <c r="BQ105" s="158">
        <f t="shared" si="301"/>
        <v>0</v>
      </c>
      <c r="BR105" s="156">
        <f t="shared" si="398"/>
        <v>0</v>
      </c>
      <c r="BS105" s="154">
        <f t="shared" si="372"/>
        <v>0</v>
      </c>
      <c r="BT105" s="154">
        <f t="shared" si="302"/>
        <v>0</v>
      </c>
      <c r="BU105" s="154">
        <f t="shared" si="373"/>
        <v>0</v>
      </c>
      <c r="BV105" s="154">
        <f t="shared" si="303"/>
        <v>0</v>
      </c>
      <c r="BW105" s="154">
        <f t="shared" si="374"/>
        <v>0</v>
      </c>
      <c r="BX105" s="154">
        <f t="shared" si="304"/>
        <v>0</v>
      </c>
      <c r="BY105" s="154">
        <f t="shared" si="375"/>
        <v>0</v>
      </c>
      <c r="BZ105" s="154">
        <f t="shared" si="305"/>
        <v>0</v>
      </c>
      <c r="CA105" s="154">
        <f t="shared" si="376"/>
        <v>0</v>
      </c>
      <c r="CB105" s="157">
        <f t="shared" si="306"/>
        <v>0</v>
      </c>
      <c r="CC105" s="154">
        <f t="shared" si="307"/>
        <v>0</v>
      </c>
      <c r="CD105" s="158">
        <f t="shared" si="308"/>
        <v>0</v>
      </c>
      <c r="CE105" s="156">
        <f t="shared" si="398"/>
        <v>0</v>
      </c>
      <c r="CF105" s="154">
        <f t="shared" si="377"/>
        <v>0</v>
      </c>
      <c r="CG105" s="154">
        <f t="shared" si="309"/>
        <v>0</v>
      </c>
      <c r="CH105" s="154">
        <f t="shared" si="378"/>
        <v>0</v>
      </c>
      <c r="CI105" s="154">
        <f t="shared" si="310"/>
        <v>0</v>
      </c>
      <c r="CJ105" s="154">
        <f t="shared" si="379"/>
        <v>0</v>
      </c>
      <c r="CK105" s="154">
        <f t="shared" si="311"/>
        <v>0</v>
      </c>
      <c r="CL105" s="154">
        <f t="shared" si="380"/>
        <v>0</v>
      </c>
      <c r="CM105" s="154">
        <f t="shared" si="312"/>
        <v>0</v>
      </c>
      <c r="CN105" s="154">
        <f t="shared" si="381"/>
        <v>0</v>
      </c>
      <c r="CO105" s="157">
        <f t="shared" si="313"/>
        <v>0</v>
      </c>
      <c r="CP105" s="154">
        <f t="shared" si="314"/>
        <v>0</v>
      </c>
      <c r="CQ105" s="158">
        <f t="shared" si="315"/>
        <v>0</v>
      </c>
      <c r="CR105" s="156">
        <f t="shared" si="399"/>
        <v>0</v>
      </c>
      <c r="CS105" s="154">
        <f t="shared" si="383"/>
        <v>0</v>
      </c>
      <c r="CT105" s="154">
        <f t="shared" si="317"/>
        <v>0</v>
      </c>
      <c r="CU105" s="154">
        <f t="shared" si="384"/>
        <v>0</v>
      </c>
      <c r="CV105" s="154">
        <f t="shared" si="318"/>
        <v>0</v>
      </c>
      <c r="CW105" s="154">
        <f t="shared" si="385"/>
        <v>0</v>
      </c>
      <c r="CX105" s="154">
        <f t="shared" si="319"/>
        <v>0</v>
      </c>
      <c r="CY105" s="154">
        <f t="shared" si="386"/>
        <v>0</v>
      </c>
      <c r="CZ105" s="154">
        <f t="shared" si="320"/>
        <v>0</v>
      </c>
      <c r="DA105" s="154">
        <f t="shared" si="387"/>
        <v>0</v>
      </c>
      <c r="DB105" s="157">
        <f t="shared" si="321"/>
        <v>0</v>
      </c>
      <c r="DC105" s="154">
        <f t="shared" si="322"/>
        <v>0</v>
      </c>
      <c r="DD105" s="158">
        <f t="shared" si="323"/>
        <v>0</v>
      </c>
      <c r="DE105" s="156">
        <f t="shared" si="399"/>
        <v>0</v>
      </c>
      <c r="DF105" s="154">
        <f t="shared" si="388"/>
        <v>0</v>
      </c>
      <c r="DG105" s="154">
        <f t="shared" si="324"/>
        <v>0</v>
      </c>
      <c r="DH105" s="154">
        <f t="shared" si="389"/>
        <v>0</v>
      </c>
      <c r="DI105" s="154">
        <f t="shared" si="325"/>
        <v>0</v>
      </c>
      <c r="DJ105" s="154">
        <f t="shared" si="390"/>
        <v>0</v>
      </c>
      <c r="DK105" s="154">
        <f t="shared" si="326"/>
        <v>0</v>
      </c>
      <c r="DL105" s="154">
        <f t="shared" si="391"/>
        <v>0</v>
      </c>
      <c r="DM105" s="154">
        <f t="shared" si="327"/>
        <v>0</v>
      </c>
      <c r="DN105" s="154">
        <f t="shared" si="392"/>
        <v>0</v>
      </c>
      <c r="DO105" s="157">
        <f t="shared" si="328"/>
        <v>0</v>
      </c>
      <c r="DP105" s="154">
        <f t="shared" si="329"/>
        <v>0</v>
      </c>
      <c r="DQ105" s="158">
        <f t="shared" si="330"/>
        <v>0</v>
      </c>
      <c r="DR105" s="156">
        <f t="shared" si="399"/>
        <v>0</v>
      </c>
      <c r="DS105" s="154">
        <f t="shared" si="393"/>
        <v>0</v>
      </c>
      <c r="DT105" s="154">
        <f t="shared" si="331"/>
        <v>0</v>
      </c>
      <c r="DU105" s="154">
        <f t="shared" si="394"/>
        <v>0</v>
      </c>
      <c r="DV105" s="154">
        <f t="shared" si="332"/>
        <v>0</v>
      </c>
      <c r="DW105" s="154">
        <f t="shared" si="395"/>
        <v>0</v>
      </c>
      <c r="DX105" s="154">
        <f t="shared" si="333"/>
        <v>0</v>
      </c>
      <c r="DY105" s="154">
        <f t="shared" si="396"/>
        <v>0</v>
      </c>
      <c r="DZ105" s="154">
        <f t="shared" si="334"/>
        <v>0</v>
      </c>
      <c r="EA105" s="154">
        <f t="shared" si="397"/>
        <v>0</v>
      </c>
      <c r="EB105" s="157">
        <f t="shared" si="335"/>
        <v>0</v>
      </c>
      <c r="EC105" s="154">
        <f t="shared" si="336"/>
        <v>0</v>
      </c>
      <c r="ED105" s="158">
        <f t="shared" si="337"/>
        <v>0</v>
      </c>
    </row>
    <row r="106" spans="1:134" x14ac:dyDescent="0.35">
      <c r="A106" s="172"/>
      <c r="B106" s="173"/>
      <c r="C106" s="174"/>
      <c r="D106" s="175"/>
      <c r="E106" s="176"/>
      <c r="F106" s="177"/>
      <c r="G106" s="178"/>
      <c r="H106" s="179"/>
      <c r="I106" s="180"/>
      <c r="J106" s="181"/>
      <c r="K106" s="152">
        <f t="shared" si="338"/>
        <v>0</v>
      </c>
      <c r="L106" s="153">
        <f t="shared" si="339"/>
        <v>0</v>
      </c>
      <c r="M106" s="154">
        <f t="shared" si="340"/>
        <v>0</v>
      </c>
      <c r="N106" s="154"/>
      <c r="O106" s="154">
        <f t="shared" si="341"/>
        <v>0</v>
      </c>
      <c r="P106" s="155"/>
      <c r="Q106" s="154">
        <f t="shared" si="342"/>
        <v>0</v>
      </c>
      <c r="R106" s="156">
        <f t="shared" si="343"/>
        <v>0</v>
      </c>
      <c r="S106" s="154">
        <f t="shared" si="344"/>
        <v>0</v>
      </c>
      <c r="T106" s="154">
        <f t="shared" si="345"/>
        <v>0</v>
      </c>
      <c r="U106" s="154">
        <f t="shared" si="346"/>
        <v>0</v>
      </c>
      <c r="V106" s="154">
        <f t="shared" si="347"/>
        <v>0</v>
      </c>
      <c r="W106" s="154">
        <f t="shared" si="348"/>
        <v>0</v>
      </c>
      <c r="X106" s="154">
        <f t="shared" si="349"/>
        <v>0</v>
      </c>
      <c r="Y106" s="154">
        <f t="shared" si="350"/>
        <v>0</v>
      </c>
      <c r="Z106" s="154">
        <f t="shared" si="351"/>
        <v>0</v>
      </c>
      <c r="AA106" s="154">
        <f t="shared" si="352"/>
        <v>0</v>
      </c>
      <c r="AB106" s="157">
        <f t="shared" si="353"/>
        <v>0</v>
      </c>
      <c r="AC106" s="154">
        <f t="shared" si="354"/>
        <v>0</v>
      </c>
      <c r="AD106" s="158">
        <f t="shared" si="355"/>
        <v>0</v>
      </c>
      <c r="AE106" s="156">
        <f t="shared" si="398"/>
        <v>0</v>
      </c>
      <c r="AF106" s="154">
        <f t="shared" si="357"/>
        <v>0</v>
      </c>
      <c r="AG106" s="154">
        <f t="shared" si="281"/>
        <v>0</v>
      </c>
      <c r="AH106" s="154">
        <f t="shared" si="358"/>
        <v>0</v>
      </c>
      <c r="AI106" s="154">
        <f t="shared" si="282"/>
        <v>0</v>
      </c>
      <c r="AJ106" s="154">
        <f t="shared" si="359"/>
        <v>0</v>
      </c>
      <c r="AK106" s="154">
        <f t="shared" si="283"/>
        <v>0</v>
      </c>
      <c r="AL106" s="154">
        <f t="shared" si="360"/>
        <v>0</v>
      </c>
      <c r="AM106" s="154">
        <f t="shared" si="284"/>
        <v>0</v>
      </c>
      <c r="AN106" s="154">
        <f t="shared" si="361"/>
        <v>0</v>
      </c>
      <c r="AO106" s="157">
        <f t="shared" si="285"/>
        <v>0</v>
      </c>
      <c r="AP106" s="154">
        <f t="shared" si="286"/>
        <v>0</v>
      </c>
      <c r="AQ106" s="158">
        <f t="shared" si="287"/>
        <v>0</v>
      </c>
      <c r="AR106" s="156">
        <f t="shared" si="398"/>
        <v>0</v>
      </c>
      <c r="AS106" s="154">
        <f t="shared" si="362"/>
        <v>0</v>
      </c>
      <c r="AT106" s="154">
        <f t="shared" si="288"/>
        <v>0</v>
      </c>
      <c r="AU106" s="154">
        <f t="shared" si="363"/>
        <v>0</v>
      </c>
      <c r="AV106" s="154">
        <f t="shared" si="289"/>
        <v>0</v>
      </c>
      <c r="AW106" s="154">
        <f t="shared" si="364"/>
        <v>0</v>
      </c>
      <c r="AX106" s="154">
        <f t="shared" si="290"/>
        <v>0</v>
      </c>
      <c r="AY106" s="154">
        <f t="shared" si="365"/>
        <v>0</v>
      </c>
      <c r="AZ106" s="154">
        <f t="shared" si="291"/>
        <v>0</v>
      </c>
      <c r="BA106" s="154">
        <f t="shared" si="366"/>
        <v>0</v>
      </c>
      <c r="BB106" s="157">
        <f t="shared" si="292"/>
        <v>0</v>
      </c>
      <c r="BC106" s="154">
        <f t="shared" si="293"/>
        <v>0</v>
      </c>
      <c r="BD106" s="158">
        <f t="shared" si="294"/>
        <v>0</v>
      </c>
      <c r="BE106" s="156">
        <f t="shared" si="398"/>
        <v>0</v>
      </c>
      <c r="BF106" s="154">
        <f t="shared" si="367"/>
        <v>0</v>
      </c>
      <c r="BG106" s="154">
        <f t="shared" si="295"/>
        <v>0</v>
      </c>
      <c r="BH106" s="154">
        <f t="shared" si="368"/>
        <v>0</v>
      </c>
      <c r="BI106" s="154">
        <f t="shared" si="296"/>
        <v>0</v>
      </c>
      <c r="BJ106" s="154">
        <f t="shared" si="369"/>
        <v>0</v>
      </c>
      <c r="BK106" s="154">
        <f t="shared" si="297"/>
        <v>0</v>
      </c>
      <c r="BL106" s="154">
        <f t="shared" si="370"/>
        <v>0</v>
      </c>
      <c r="BM106" s="154">
        <f t="shared" si="298"/>
        <v>0</v>
      </c>
      <c r="BN106" s="154">
        <f t="shared" si="371"/>
        <v>0</v>
      </c>
      <c r="BO106" s="157">
        <f t="shared" si="299"/>
        <v>0</v>
      </c>
      <c r="BP106" s="154">
        <f t="shared" si="300"/>
        <v>0</v>
      </c>
      <c r="BQ106" s="158">
        <f t="shared" si="301"/>
        <v>0</v>
      </c>
      <c r="BR106" s="156">
        <f t="shared" si="398"/>
        <v>0</v>
      </c>
      <c r="BS106" s="154">
        <f t="shared" si="372"/>
        <v>0</v>
      </c>
      <c r="BT106" s="154">
        <f t="shared" si="302"/>
        <v>0</v>
      </c>
      <c r="BU106" s="154">
        <f t="shared" si="373"/>
        <v>0</v>
      </c>
      <c r="BV106" s="154">
        <f t="shared" si="303"/>
        <v>0</v>
      </c>
      <c r="BW106" s="154">
        <f t="shared" si="374"/>
        <v>0</v>
      </c>
      <c r="BX106" s="154">
        <f t="shared" si="304"/>
        <v>0</v>
      </c>
      <c r="BY106" s="154">
        <f t="shared" si="375"/>
        <v>0</v>
      </c>
      <c r="BZ106" s="154">
        <f t="shared" si="305"/>
        <v>0</v>
      </c>
      <c r="CA106" s="154">
        <f t="shared" si="376"/>
        <v>0</v>
      </c>
      <c r="CB106" s="157">
        <f t="shared" si="306"/>
        <v>0</v>
      </c>
      <c r="CC106" s="154">
        <f t="shared" si="307"/>
        <v>0</v>
      </c>
      <c r="CD106" s="158">
        <f t="shared" si="308"/>
        <v>0</v>
      </c>
      <c r="CE106" s="156">
        <f t="shared" si="398"/>
        <v>0</v>
      </c>
      <c r="CF106" s="154">
        <f t="shared" si="377"/>
        <v>0</v>
      </c>
      <c r="CG106" s="154">
        <f t="shared" si="309"/>
        <v>0</v>
      </c>
      <c r="CH106" s="154">
        <f t="shared" si="378"/>
        <v>0</v>
      </c>
      <c r="CI106" s="154">
        <f t="shared" si="310"/>
        <v>0</v>
      </c>
      <c r="CJ106" s="154">
        <f t="shared" si="379"/>
        <v>0</v>
      </c>
      <c r="CK106" s="154">
        <f t="shared" si="311"/>
        <v>0</v>
      </c>
      <c r="CL106" s="154">
        <f t="shared" si="380"/>
        <v>0</v>
      </c>
      <c r="CM106" s="154">
        <f t="shared" si="312"/>
        <v>0</v>
      </c>
      <c r="CN106" s="154">
        <f t="shared" si="381"/>
        <v>0</v>
      </c>
      <c r="CO106" s="157">
        <f t="shared" si="313"/>
        <v>0</v>
      </c>
      <c r="CP106" s="154">
        <f t="shared" si="314"/>
        <v>0</v>
      </c>
      <c r="CQ106" s="158">
        <f t="shared" si="315"/>
        <v>0</v>
      </c>
      <c r="CR106" s="156">
        <f t="shared" si="399"/>
        <v>0</v>
      </c>
      <c r="CS106" s="154">
        <f t="shared" si="383"/>
        <v>0</v>
      </c>
      <c r="CT106" s="154">
        <f t="shared" si="317"/>
        <v>0</v>
      </c>
      <c r="CU106" s="154">
        <f t="shared" si="384"/>
        <v>0</v>
      </c>
      <c r="CV106" s="154">
        <f t="shared" si="318"/>
        <v>0</v>
      </c>
      <c r="CW106" s="154">
        <f t="shared" si="385"/>
        <v>0</v>
      </c>
      <c r="CX106" s="154">
        <f t="shared" si="319"/>
        <v>0</v>
      </c>
      <c r="CY106" s="154">
        <f t="shared" si="386"/>
        <v>0</v>
      </c>
      <c r="CZ106" s="154">
        <f t="shared" si="320"/>
        <v>0</v>
      </c>
      <c r="DA106" s="154">
        <f t="shared" si="387"/>
        <v>0</v>
      </c>
      <c r="DB106" s="157">
        <f t="shared" si="321"/>
        <v>0</v>
      </c>
      <c r="DC106" s="154">
        <f t="shared" si="322"/>
        <v>0</v>
      </c>
      <c r="DD106" s="158">
        <f t="shared" si="323"/>
        <v>0</v>
      </c>
      <c r="DE106" s="156">
        <f t="shared" si="399"/>
        <v>0</v>
      </c>
      <c r="DF106" s="154">
        <f t="shared" si="388"/>
        <v>0</v>
      </c>
      <c r="DG106" s="154">
        <f t="shared" si="324"/>
        <v>0</v>
      </c>
      <c r="DH106" s="154">
        <f t="shared" si="389"/>
        <v>0</v>
      </c>
      <c r="DI106" s="154">
        <f t="shared" si="325"/>
        <v>0</v>
      </c>
      <c r="DJ106" s="154">
        <f t="shared" si="390"/>
        <v>0</v>
      </c>
      <c r="DK106" s="154">
        <f t="shared" si="326"/>
        <v>0</v>
      </c>
      <c r="DL106" s="154">
        <f t="shared" si="391"/>
        <v>0</v>
      </c>
      <c r="DM106" s="154">
        <f t="shared" si="327"/>
        <v>0</v>
      </c>
      <c r="DN106" s="154">
        <f t="shared" si="392"/>
        <v>0</v>
      </c>
      <c r="DO106" s="157">
        <f t="shared" si="328"/>
        <v>0</v>
      </c>
      <c r="DP106" s="154">
        <f t="shared" si="329"/>
        <v>0</v>
      </c>
      <c r="DQ106" s="158">
        <f t="shared" si="330"/>
        <v>0</v>
      </c>
      <c r="DR106" s="156">
        <f t="shared" si="399"/>
        <v>0</v>
      </c>
      <c r="DS106" s="154">
        <f t="shared" si="393"/>
        <v>0</v>
      </c>
      <c r="DT106" s="154">
        <f t="shared" si="331"/>
        <v>0</v>
      </c>
      <c r="DU106" s="154">
        <f t="shared" si="394"/>
        <v>0</v>
      </c>
      <c r="DV106" s="154">
        <f t="shared" si="332"/>
        <v>0</v>
      </c>
      <c r="DW106" s="154">
        <f t="shared" si="395"/>
        <v>0</v>
      </c>
      <c r="DX106" s="154">
        <f t="shared" si="333"/>
        <v>0</v>
      </c>
      <c r="DY106" s="154">
        <f t="shared" si="396"/>
        <v>0</v>
      </c>
      <c r="DZ106" s="154">
        <f t="shared" si="334"/>
        <v>0</v>
      </c>
      <c r="EA106" s="154">
        <f t="shared" si="397"/>
        <v>0</v>
      </c>
      <c r="EB106" s="157">
        <f t="shared" si="335"/>
        <v>0</v>
      </c>
      <c r="EC106" s="154">
        <f t="shared" si="336"/>
        <v>0</v>
      </c>
      <c r="ED106" s="158">
        <f t="shared" si="337"/>
        <v>0</v>
      </c>
    </row>
    <row r="107" spans="1:134" x14ac:dyDescent="0.35">
      <c r="A107" s="172"/>
      <c r="B107" s="173"/>
      <c r="C107" s="174"/>
      <c r="D107" s="175"/>
      <c r="E107" s="176"/>
      <c r="F107" s="177"/>
      <c r="G107" s="178"/>
      <c r="H107" s="179"/>
      <c r="I107" s="180"/>
      <c r="J107" s="181"/>
      <c r="K107" s="152">
        <f t="shared" si="338"/>
        <v>0</v>
      </c>
      <c r="L107" s="153">
        <f t="shared" si="339"/>
        <v>0</v>
      </c>
      <c r="M107" s="154">
        <f t="shared" si="340"/>
        <v>0</v>
      </c>
      <c r="N107" s="154"/>
      <c r="O107" s="154">
        <f t="shared" si="341"/>
        <v>0</v>
      </c>
      <c r="P107" s="155"/>
      <c r="Q107" s="154">
        <f t="shared" si="342"/>
        <v>0</v>
      </c>
      <c r="R107" s="156">
        <f t="shared" si="343"/>
        <v>0</v>
      </c>
      <c r="S107" s="154">
        <f t="shared" si="344"/>
        <v>0</v>
      </c>
      <c r="T107" s="154">
        <f t="shared" si="345"/>
        <v>0</v>
      </c>
      <c r="U107" s="154">
        <f t="shared" si="346"/>
        <v>0</v>
      </c>
      <c r="V107" s="154">
        <f t="shared" si="347"/>
        <v>0</v>
      </c>
      <c r="W107" s="154">
        <f t="shared" si="348"/>
        <v>0</v>
      </c>
      <c r="X107" s="154">
        <f t="shared" si="349"/>
        <v>0</v>
      </c>
      <c r="Y107" s="154">
        <f t="shared" si="350"/>
        <v>0</v>
      </c>
      <c r="Z107" s="154">
        <f t="shared" si="351"/>
        <v>0</v>
      </c>
      <c r="AA107" s="154">
        <f t="shared" si="352"/>
        <v>0</v>
      </c>
      <c r="AB107" s="157">
        <f t="shared" si="353"/>
        <v>0</v>
      </c>
      <c r="AC107" s="154">
        <f t="shared" si="354"/>
        <v>0</v>
      </c>
      <c r="AD107" s="158">
        <f t="shared" si="355"/>
        <v>0</v>
      </c>
      <c r="AE107" s="156">
        <f t="shared" si="398"/>
        <v>0</v>
      </c>
      <c r="AF107" s="154">
        <f t="shared" si="357"/>
        <v>0</v>
      </c>
      <c r="AG107" s="154">
        <f t="shared" si="281"/>
        <v>0</v>
      </c>
      <c r="AH107" s="154">
        <f t="shared" si="358"/>
        <v>0</v>
      </c>
      <c r="AI107" s="154">
        <f t="shared" si="282"/>
        <v>0</v>
      </c>
      <c r="AJ107" s="154">
        <f t="shared" si="359"/>
        <v>0</v>
      </c>
      <c r="AK107" s="154">
        <f t="shared" si="283"/>
        <v>0</v>
      </c>
      <c r="AL107" s="154">
        <f t="shared" si="360"/>
        <v>0</v>
      </c>
      <c r="AM107" s="154">
        <f t="shared" si="284"/>
        <v>0</v>
      </c>
      <c r="AN107" s="154">
        <f t="shared" si="361"/>
        <v>0</v>
      </c>
      <c r="AO107" s="157">
        <f t="shared" si="285"/>
        <v>0</v>
      </c>
      <c r="AP107" s="154">
        <f t="shared" si="286"/>
        <v>0</v>
      </c>
      <c r="AQ107" s="158">
        <f t="shared" si="287"/>
        <v>0</v>
      </c>
      <c r="AR107" s="156">
        <f t="shared" si="398"/>
        <v>0</v>
      </c>
      <c r="AS107" s="154">
        <f t="shared" si="362"/>
        <v>0</v>
      </c>
      <c r="AT107" s="154">
        <f t="shared" si="288"/>
        <v>0</v>
      </c>
      <c r="AU107" s="154">
        <f t="shared" si="363"/>
        <v>0</v>
      </c>
      <c r="AV107" s="154">
        <f t="shared" si="289"/>
        <v>0</v>
      </c>
      <c r="AW107" s="154">
        <f t="shared" si="364"/>
        <v>0</v>
      </c>
      <c r="AX107" s="154">
        <f t="shared" si="290"/>
        <v>0</v>
      </c>
      <c r="AY107" s="154">
        <f t="shared" si="365"/>
        <v>0</v>
      </c>
      <c r="AZ107" s="154">
        <f t="shared" si="291"/>
        <v>0</v>
      </c>
      <c r="BA107" s="154">
        <f t="shared" si="366"/>
        <v>0</v>
      </c>
      <c r="BB107" s="157">
        <f t="shared" si="292"/>
        <v>0</v>
      </c>
      <c r="BC107" s="154">
        <f t="shared" si="293"/>
        <v>0</v>
      </c>
      <c r="BD107" s="158">
        <f t="shared" si="294"/>
        <v>0</v>
      </c>
      <c r="BE107" s="156">
        <f t="shared" si="398"/>
        <v>0</v>
      </c>
      <c r="BF107" s="154">
        <f t="shared" si="367"/>
        <v>0</v>
      </c>
      <c r="BG107" s="154">
        <f t="shared" si="295"/>
        <v>0</v>
      </c>
      <c r="BH107" s="154">
        <f t="shared" si="368"/>
        <v>0</v>
      </c>
      <c r="BI107" s="154">
        <f t="shared" si="296"/>
        <v>0</v>
      </c>
      <c r="BJ107" s="154">
        <f t="shared" si="369"/>
        <v>0</v>
      </c>
      <c r="BK107" s="154">
        <f t="shared" si="297"/>
        <v>0</v>
      </c>
      <c r="BL107" s="154">
        <f t="shared" si="370"/>
        <v>0</v>
      </c>
      <c r="BM107" s="154">
        <f t="shared" si="298"/>
        <v>0</v>
      </c>
      <c r="BN107" s="154">
        <f t="shared" si="371"/>
        <v>0</v>
      </c>
      <c r="BO107" s="157">
        <f t="shared" si="299"/>
        <v>0</v>
      </c>
      <c r="BP107" s="154">
        <f t="shared" si="300"/>
        <v>0</v>
      </c>
      <c r="BQ107" s="158">
        <f t="shared" si="301"/>
        <v>0</v>
      </c>
      <c r="BR107" s="156">
        <f t="shared" si="398"/>
        <v>0</v>
      </c>
      <c r="BS107" s="154">
        <f t="shared" si="372"/>
        <v>0</v>
      </c>
      <c r="BT107" s="154">
        <f t="shared" si="302"/>
        <v>0</v>
      </c>
      <c r="BU107" s="154">
        <f t="shared" si="373"/>
        <v>0</v>
      </c>
      <c r="BV107" s="154">
        <f t="shared" si="303"/>
        <v>0</v>
      </c>
      <c r="BW107" s="154">
        <f t="shared" si="374"/>
        <v>0</v>
      </c>
      <c r="BX107" s="154">
        <f t="shared" si="304"/>
        <v>0</v>
      </c>
      <c r="BY107" s="154">
        <f t="shared" si="375"/>
        <v>0</v>
      </c>
      <c r="BZ107" s="154">
        <f t="shared" si="305"/>
        <v>0</v>
      </c>
      <c r="CA107" s="154">
        <f t="shared" si="376"/>
        <v>0</v>
      </c>
      <c r="CB107" s="157">
        <f t="shared" si="306"/>
        <v>0</v>
      </c>
      <c r="CC107" s="154">
        <f t="shared" si="307"/>
        <v>0</v>
      </c>
      <c r="CD107" s="158">
        <f t="shared" si="308"/>
        <v>0</v>
      </c>
      <c r="CE107" s="156">
        <f t="shared" si="398"/>
        <v>0</v>
      </c>
      <c r="CF107" s="154">
        <f t="shared" si="377"/>
        <v>0</v>
      </c>
      <c r="CG107" s="154">
        <f t="shared" si="309"/>
        <v>0</v>
      </c>
      <c r="CH107" s="154">
        <f t="shared" si="378"/>
        <v>0</v>
      </c>
      <c r="CI107" s="154">
        <f t="shared" si="310"/>
        <v>0</v>
      </c>
      <c r="CJ107" s="154">
        <f t="shared" si="379"/>
        <v>0</v>
      </c>
      <c r="CK107" s="154">
        <f t="shared" si="311"/>
        <v>0</v>
      </c>
      <c r="CL107" s="154">
        <f t="shared" si="380"/>
        <v>0</v>
      </c>
      <c r="CM107" s="154">
        <f t="shared" si="312"/>
        <v>0</v>
      </c>
      <c r="CN107" s="154">
        <f t="shared" si="381"/>
        <v>0</v>
      </c>
      <c r="CO107" s="157">
        <f t="shared" si="313"/>
        <v>0</v>
      </c>
      <c r="CP107" s="154">
        <f t="shared" si="314"/>
        <v>0</v>
      </c>
      <c r="CQ107" s="158">
        <f t="shared" si="315"/>
        <v>0</v>
      </c>
      <c r="CR107" s="156">
        <f t="shared" si="399"/>
        <v>0</v>
      </c>
      <c r="CS107" s="154">
        <f t="shared" si="383"/>
        <v>0</v>
      </c>
      <c r="CT107" s="154">
        <f t="shared" si="317"/>
        <v>0</v>
      </c>
      <c r="CU107" s="154">
        <f t="shared" si="384"/>
        <v>0</v>
      </c>
      <c r="CV107" s="154">
        <f t="shared" si="318"/>
        <v>0</v>
      </c>
      <c r="CW107" s="154">
        <f t="shared" si="385"/>
        <v>0</v>
      </c>
      <c r="CX107" s="154">
        <f t="shared" si="319"/>
        <v>0</v>
      </c>
      <c r="CY107" s="154">
        <f t="shared" si="386"/>
        <v>0</v>
      </c>
      <c r="CZ107" s="154">
        <f t="shared" si="320"/>
        <v>0</v>
      </c>
      <c r="DA107" s="154">
        <f t="shared" si="387"/>
        <v>0</v>
      </c>
      <c r="DB107" s="157">
        <f t="shared" si="321"/>
        <v>0</v>
      </c>
      <c r="DC107" s="154">
        <f t="shared" si="322"/>
        <v>0</v>
      </c>
      <c r="DD107" s="158">
        <f t="shared" si="323"/>
        <v>0</v>
      </c>
      <c r="DE107" s="156">
        <f t="shared" si="399"/>
        <v>0</v>
      </c>
      <c r="DF107" s="154">
        <f t="shared" si="388"/>
        <v>0</v>
      </c>
      <c r="DG107" s="154">
        <f t="shared" si="324"/>
        <v>0</v>
      </c>
      <c r="DH107" s="154">
        <f t="shared" si="389"/>
        <v>0</v>
      </c>
      <c r="DI107" s="154">
        <f t="shared" si="325"/>
        <v>0</v>
      </c>
      <c r="DJ107" s="154">
        <f t="shared" si="390"/>
        <v>0</v>
      </c>
      <c r="DK107" s="154">
        <f t="shared" si="326"/>
        <v>0</v>
      </c>
      <c r="DL107" s="154">
        <f t="shared" si="391"/>
        <v>0</v>
      </c>
      <c r="DM107" s="154">
        <f t="shared" si="327"/>
        <v>0</v>
      </c>
      <c r="DN107" s="154">
        <f t="shared" si="392"/>
        <v>0</v>
      </c>
      <c r="DO107" s="157">
        <f t="shared" si="328"/>
        <v>0</v>
      </c>
      <c r="DP107" s="154">
        <f t="shared" si="329"/>
        <v>0</v>
      </c>
      <c r="DQ107" s="158">
        <f t="shared" si="330"/>
        <v>0</v>
      </c>
      <c r="DR107" s="156">
        <f t="shared" si="399"/>
        <v>0</v>
      </c>
      <c r="DS107" s="154">
        <f t="shared" si="393"/>
        <v>0</v>
      </c>
      <c r="DT107" s="154">
        <f t="shared" si="331"/>
        <v>0</v>
      </c>
      <c r="DU107" s="154">
        <f t="shared" si="394"/>
        <v>0</v>
      </c>
      <c r="DV107" s="154">
        <f t="shared" si="332"/>
        <v>0</v>
      </c>
      <c r="DW107" s="154">
        <f t="shared" si="395"/>
        <v>0</v>
      </c>
      <c r="DX107" s="154">
        <f t="shared" si="333"/>
        <v>0</v>
      </c>
      <c r="DY107" s="154">
        <f t="shared" si="396"/>
        <v>0</v>
      </c>
      <c r="DZ107" s="154">
        <f t="shared" si="334"/>
        <v>0</v>
      </c>
      <c r="EA107" s="154">
        <f t="shared" si="397"/>
        <v>0</v>
      </c>
      <c r="EB107" s="157">
        <f t="shared" si="335"/>
        <v>0</v>
      </c>
      <c r="EC107" s="154">
        <f t="shared" si="336"/>
        <v>0</v>
      </c>
      <c r="ED107" s="158">
        <f t="shared" si="337"/>
        <v>0</v>
      </c>
    </row>
    <row r="108" spans="1:134" x14ac:dyDescent="0.35">
      <c r="A108" s="172"/>
      <c r="B108" s="173"/>
      <c r="C108" s="174"/>
      <c r="D108" s="175"/>
      <c r="E108" s="176"/>
      <c r="F108" s="177"/>
      <c r="G108" s="178"/>
      <c r="H108" s="179"/>
      <c r="I108" s="180"/>
      <c r="J108" s="181"/>
      <c r="K108" s="152">
        <f t="shared" si="338"/>
        <v>0</v>
      </c>
      <c r="L108" s="153">
        <f t="shared" si="339"/>
        <v>0</v>
      </c>
      <c r="M108" s="154">
        <f t="shared" si="340"/>
        <v>0</v>
      </c>
      <c r="N108" s="154"/>
      <c r="O108" s="154">
        <f t="shared" si="341"/>
        <v>0</v>
      </c>
      <c r="P108" s="155"/>
      <c r="Q108" s="154">
        <f t="shared" si="342"/>
        <v>0</v>
      </c>
      <c r="R108" s="156">
        <f t="shared" si="343"/>
        <v>0</v>
      </c>
      <c r="S108" s="154">
        <f t="shared" si="344"/>
        <v>0</v>
      </c>
      <c r="T108" s="154">
        <f t="shared" si="345"/>
        <v>0</v>
      </c>
      <c r="U108" s="154">
        <f t="shared" si="346"/>
        <v>0</v>
      </c>
      <c r="V108" s="154">
        <f t="shared" si="347"/>
        <v>0</v>
      </c>
      <c r="W108" s="154">
        <f t="shared" si="348"/>
        <v>0</v>
      </c>
      <c r="X108" s="154">
        <f t="shared" si="349"/>
        <v>0</v>
      </c>
      <c r="Y108" s="154">
        <f t="shared" si="350"/>
        <v>0</v>
      </c>
      <c r="Z108" s="154">
        <f t="shared" si="351"/>
        <v>0</v>
      </c>
      <c r="AA108" s="154">
        <f t="shared" si="352"/>
        <v>0</v>
      </c>
      <c r="AB108" s="157">
        <f t="shared" si="353"/>
        <v>0</v>
      </c>
      <c r="AC108" s="154">
        <f t="shared" si="354"/>
        <v>0</v>
      </c>
      <c r="AD108" s="158">
        <f t="shared" si="355"/>
        <v>0</v>
      </c>
      <c r="AE108" s="156">
        <f t="shared" si="398"/>
        <v>0</v>
      </c>
      <c r="AF108" s="154">
        <f t="shared" si="357"/>
        <v>0</v>
      </c>
      <c r="AG108" s="154">
        <f t="shared" si="281"/>
        <v>0</v>
      </c>
      <c r="AH108" s="154">
        <f t="shared" si="358"/>
        <v>0</v>
      </c>
      <c r="AI108" s="154">
        <f t="shared" si="282"/>
        <v>0</v>
      </c>
      <c r="AJ108" s="154">
        <f t="shared" si="359"/>
        <v>0</v>
      </c>
      <c r="AK108" s="154">
        <f t="shared" si="283"/>
        <v>0</v>
      </c>
      <c r="AL108" s="154">
        <f t="shared" si="360"/>
        <v>0</v>
      </c>
      <c r="AM108" s="154">
        <f t="shared" si="284"/>
        <v>0</v>
      </c>
      <c r="AN108" s="154">
        <f t="shared" si="361"/>
        <v>0</v>
      </c>
      <c r="AO108" s="157">
        <f t="shared" si="285"/>
        <v>0</v>
      </c>
      <c r="AP108" s="154">
        <f t="shared" si="286"/>
        <v>0</v>
      </c>
      <c r="AQ108" s="158">
        <f t="shared" si="287"/>
        <v>0</v>
      </c>
      <c r="AR108" s="156">
        <f t="shared" si="398"/>
        <v>0</v>
      </c>
      <c r="AS108" s="154">
        <f t="shared" si="362"/>
        <v>0</v>
      </c>
      <c r="AT108" s="154">
        <f t="shared" si="288"/>
        <v>0</v>
      </c>
      <c r="AU108" s="154">
        <f t="shared" si="363"/>
        <v>0</v>
      </c>
      <c r="AV108" s="154">
        <f t="shared" si="289"/>
        <v>0</v>
      </c>
      <c r="AW108" s="154">
        <f t="shared" si="364"/>
        <v>0</v>
      </c>
      <c r="AX108" s="154">
        <f t="shared" si="290"/>
        <v>0</v>
      </c>
      <c r="AY108" s="154">
        <f t="shared" si="365"/>
        <v>0</v>
      </c>
      <c r="AZ108" s="154">
        <f t="shared" si="291"/>
        <v>0</v>
      </c>
      <c r="BA108" s="154">
        <f t="shared" si="366"/>
        <v>0</v>
      </c>
      <c r="BB108" s="157">
        <f t="shared" si="292"/>
        <v>0</v>
      </c>
      <c r="BC108" s="154">
        <f t="shared" si="293"/>
        <v>0</v>
      </c>
      <c r="BD108" s="158">
        <f t="shared" si="294"/>
        <v>0</v>
      </c>
      <c r="BE108" s="156">
        <f t="shared" si="398"/>
        <v>0</v>
      </c>
      <c r="BF108" s="154">
        <f t="shared" si="367"/>
        <v>0</v>
      </c>
      <c r="BG108" s="154">
        <f t="shared" si="295"/>
        <v>0</v>
      </c>
      <c r="BH108" s="154">
        <f t="shared" si="368"/>
        <v>0</v>
      </c>
      <c r="BI108" s="154">
        <f t="shared" si="296"/>
        <v>0</v>
      </c>
      <c r="BJ108" s="154">
        <f t="shared" si="369"/>
        <v>0</v>
      </c>
      <c r="BK108" s="154">
        <f t="shared" si="297"/>
        <v>0</v>
      </c>
      <c r="BL108" s="154">
        <f t="shared" si="370"/>
        <v>0</v>
      </c>
      <c r="BM108" s="154">
        <f t="shared" si="298"/>
        <v>0</v>
      </c>
      <c r="BN108" s="154">
        <f t="shared" si="371"/>
        <v>0</v>
      </c>
      <c r="BO108" s="157">
        <f t="shared" si="299"/>
        <v>0</v>
      </c>
      <c r="BP108" s="154">
        <f t="shared" si="300"/>
        <v>0</v>
      </c>
      <c r="BQ108" s="158">
        <f t="shared" si="301"/>
        <v>0</v>
      </c>
      <c r="BR108" s="156">
        <f t="shared" si="398"/>
        <v>0</v>
      </c>
      <c r="BS108" s="154">
        <f t="shared" si="372"/>
        <v>0</v>
      </c>
      <c r="BT108" s="154">
        <f t="shared" si="302"/>
        <v>0</v>
      </c>
      <c r="BU108" s="154">
        <f t="shared" si="373"/>
        <v>0</v>
      </c>
      <c r="BV108" s="154">
        <f t="shared" si="303"/>
        <v>0</v>
      </c>
      <c r="BW108" s="154">
        <f t="shared" si="374"/>
        <v>0</v>
      </c>
      <c r="BX108" s="154">
        <f t="shared" si="304"/>
        <v>0</v>
      </c>
      <c r="BY108" s="154">
        <f t="shared" si="375"/>
        <v>0</v>
      </c>
      <c r="BZ108" s="154">
        <f t="shared" si="305"/>
        <v>0</v>
      </c>
      <c r="CA108" s="154">
        <f t="shared" si="376"/>
        <v>0</v>
      </c>
      <c r="CB108" s="157">
        <f t="shared" si="306"/>
        <v>0</v>
      </c>
      <c r="CC108" s="154">
        <f t="shared" si="307"/>
        <v>0</v>
      </c>
      <c r="CD108" s="158">
        <f t="shared" si="308"/>
        <v>0</v>
      </c>
      <c r="CE108" s="156">
        <f t="shared" si="398"/>
        <v>0</v>
      </c>
      <c r="CF108" s="154">
        <f t="shared" si="377"/>
        <v>0</v>
      </c>
      <c r="CG108" s="154">
        <f t="shared" si="309"/>
        <v>0</v>
      </c>
      <c r="CH108" s="154">
        <f t="shared" si="378"/>
        <v>0</v>
      </c>
      <c r="CI108" s="154">
        <f t="shared" si="310"/>
        <v>0</v>
      </c>
      <c r="CJ108" s="154">
        <f t="shared" si="379"/>
        <v>0</v>
      </c>
      <c r="CK108" s="154">
        <f t="shared" si="311"/>
        <v>0</v>
      </c>
      <c r="CL108" s="154">
        <f t="shared" si="380"/>
        <v>0</v>
      </c>
      <c r="CM108" s="154">
        <f t="shared" si="312"/>
        <v>0</v>
      </c>
      <c r="CN108" s="154">
        <f t="shared" si="381"/>
        <v>0</v>
      </c>
      <c r="CO108" s="157">
        <f t="shared" si="313"/>
        <v>0</v>
      </c>
      <c r="CP108" s="154">
        <f t="shared" si="314"/>
        <v>0</v>
      </c>
      <c r="CQ108" s="158">
        <f t="shared" si="315"/>
        <v>0</v>
      </c>
      <c r="CR108" s="156">
        <f t="shared" si="399"/>
        <v>0</v>
      </c>
      <c r="CS108" s="154">
        <f t="shared" si="383"/>
        <v>0</v>
      </c>
      <c r="CT108" s="154">
        <f t="shared" si="317"/>
        <v>0</v>
      </c>
      <c r="CU108" s="154">
        <f t="shared" si="384"/>
        <v>0</v>
      </c>
      <c r="CV108" s="154">
        <f t="shared" si="318"/>
        <v>0</v>
      </c>
      <c r="CW108" s="154">
        <f t="shared" si="385"/>
        <v>0</v>
      </c>
      <c r="CX108" s="154">
        <f t="shared" si="319"/>
        <v>0</v>
      </c>
      <c r="CY108" s="154">
        <f t="shared" si="386"/>
        <v>0</v>
      </c>
      <c r="CZ108" s="154">
        <f t="shared" si="320"/>
        <v>0</v>
      </c>
      <c r="DA108" s="154">
        <f t="shared" si="387"/>
        <v>0</v>
      </c>
      <c r="DB108" s="157">
        <f t="shared" si="321"/>
        <v>0</v>
      </c>
      <c r="DC108" s="154">
        <f t="shared" si="322"/>
        <v>0</v>
      </c>
      <c r="DD108" s="158">
        <f t="shared" si="323"/>
        <v>0</v>
      </c>
      <c r="DE108" s="156">
        <f t="shared" si="399"/>
        <v>0</v>
      </c>
      <c r="DF108" s="154">
        <f t="shared" si="388"/>
        <v>0</v>
      </c>
      <c r="DG108" s="154">
        <f t="shared" si="324"/>
        <v>0</v>
      </c>
      <c r="DH108" s="154">
        <f t="shared" si="389"/>
        <v>0</v>
      </c>
      <c r="DI108" s="154">
        <f t="shared" si="325"/>
        <v>0</v>
      </c>
      <c r="DJ108" s="154">
        <f t="shared" si="390"/>
        <v>0</v>
      </c>
      <c r="DK108" s="154">
        <f t="shared" si="326"/>
        <v>0</v>
      </c>
      <c r="DL108" s="154">
        <f t="shared" si="391"/>
        <v>0</v>
      </c>
      <c r="DM108" s="154">
        <f t="shared" si="327"/>
        <v>0</v>
      </c>
      <c r="DN108" s="154">
        <f t="shared" si="392"/>
        <v>0</v>
      </c>
      <c r="DO108" s="157">
        <f t="shared" si="328"/>
        <v>0</v>
      </c>
      <c r="DP108" s="154">
        <f t="shared" si="329"/>
        <v>0</v>
      </c>
      <c r="DQ108" s="158">
        <f t="shared" si="330"/>
        <v>0</v>
      </c>
      <c r="DR108" s="156">
        <f t="shared" si="399"/>
        <v>0</v>
      </c>
      <c r="DS108" s="154">
        <f t="shared" si="393"/>
        <v>0</v>
      </c>
      <c r="DT108" s="154">
        <f t="shared" si="331"/>
        <v>0</v>
      </c>
      <c r="DU108" s="154">
        <f t="shared" si="394"/>
        <v>0</v>
      </c>
      <c r="DV108" s="154">
        <f t="shared" si="332"/>
        <v>0</v>
      </c>
      <c r="DW108" s="154">
        <f t="shared" si="395"/>
        <v>0</v>
      </c>
      <c r="DX108" s="154">
        <f t="shared" si="333"/>
        <v>0</v>
      </c>
      <c r="DY108" s="154">
        <f t="shared" si="396"/>
        <v>0</v>
      </c>
      <c r="DZ108" s="154">
        <f t="shared" si="334"/>
        <v>0</v>
      </c>
      <c r="EA108" s="154">
        <f t="shared" si="397"/>
        <v>0</v>
      </c>
      <c r="EB108" s="157">
        <f t="shared" si="335"/>
        <v>0</v>
      </c>
      <c r="EC108" s="154">
        <f t="shared" si="336"/>
        <v>0</v>
      </c>
      <c r="ED108" s="158">
        <f t="shared" si="337"/>
        <v>0</v>
      </c>
    </row>
    <row r="109" spans="1:134" x14ac:dyDescent="0.35">
      <c r="A109" s="172"/>
      <c r="B109" s="173"/>
      <c r="C109" s="174"/>
      <c r="D109" s="175"/>
      <c r="E109" s="176"/>
      <c r="F109" s="177"/>
      <c r="G109" s="178"/>
      <c r="H109" s="179"/>
      <c r="I109" s="180"/>
      <c r="J109" s="181"/>
      <c r="K109" s="152">
        <f t="shared" si="338"/>
        <v>0</v>
      </c>
      <c r="L109" s="153">
        <f t="shared" si="339"/>
        <v>0</v>
      </c>
      <c r="M109" s="154">
        <f t="shared" si="340"/>
        <v>0</v>
      </c>
      <c r="N109" s="154"/>
      <c r="O109" s="154">
        <f t="shared" si="341"/>
        <v>0</v>
      </c>
      <c r="P109" s="155"/>
      <c r="Q109" s="154">
        <f t="shared" si="342"/>
        <v>0</v>
      </c>
      <c r="R109" s="156">
        <f t="shared" si="343"/>
        <v>0</v>
      </c>
      <c r="S109" s="154">
        <f t="shared" si="344"/>
        <v>0</v>
      </c>
      <c r="T109" s="154">
        <f t="shared" si="345"/>
        <v>0</v>
      </c>
      <c r="U109" s="154">
        <f t="shared" si="346"/>
        <v>0</v>
      </c>
      <c r="V109" s="154">
        <f t="shared" si="347"/>
        <v>0</v>
      </c>
      <c r="W109" s="154">
        <f t="shared" si="348"/>
        <v>0</v>
      </c>
      <c r="X109" s="154">
        <f t="shared" si="349"/>
        <v>0</v>
      </c>
      <c r="Y109" s="154">
        <f t="shared" si="350"/>
        <v>0</v>
      </c>
      <c r="Z109" s="154">
        <f t="shared" si="351"/>
        <v>0</v>
      </c>
      <c r="AA109" s="154">
        <f t="shared" si="352"/>
        <v>0</v>
      </c>
      <c r="AB109" s="157">
        <f t="shared" si="353"/>
        <v>0</v>
      </c>
      <c r="AC109" s="154">
        <f t="shared" si="354"/>
        <v>0</v>
      </c>
      <c r="AD109" s="158">
        <f t="shared" si="355"/>
        <v>0</v>
      </c>
      <c r="AE109" s="156">
        <f t="shared" si="398"/>
        <v>0</v>
      </c>
      <c r="AF109" s="154">
        <f t="shared" si="357"/>
        <v>0</v>
      </c>
      <c r="AG109" s="154">
        <f t="shared" si="281"/>
        <v>0</v>
      </c>
      <c r="AH109" s="154">
        <f t="shared" si="358"/>
        <v>0</v>
      </c>
      <c r="AI109" s="154">
        <f t="shared" si="282"/>
        <v>0</v>
      </c>
      <c r="AJ109" s="154">
        <f t="shared" si="359"/>
        <v>0</v>
      </c>
      <c r="AK109" s="154">
        <f t="shared" si="283"/>
        <v>0</v>
      </c>
      <c r="AL109" s="154">
        <f t="shared" si="360"/>
        <v>0</v>
      </c>
      <c r="AM109" s="154">
        <f t="shared" si="284"/>
        <v>0</v>
      </c>
      <c r="AN109" s="154">
        <f t="shared" si="361"/>
        <v>0</v>
      </c>
      <c r="AO109" s="157">
        <f t="shared" si="285"/>
        <v>0</v>
      </c>
      <c r="AP109" s="154">
        <f t="shared" si="286"/>
        <v>0</v>
      </c>
      <c r="AQ109" s="158">
        <f t="shared" si="287"/>
        <v>0</v>
      </c>
      <c r="AR109" s="156">
        <f t="shared" si="398"/>
        <v>0</v>
      </c>
      <c r="AS109" s="154">
        <f t="shared" si="362"/>
        <v>0</v>
      </c>
      <c r="AT109" s="154">
        <f t="shared" si="288"/>
        <v>0</v>
      </c>
      <c r="AU109" s="154">
        <f t="shared" si="363"/>
        <v>0</v>
      </c>
      <c r="AV109" s="154">
        <f t="shared" si="289"/>
        <v>0</v>
      </c>
      <c r="AW109" s="154">
        <f t="shared" si="364"/>
        <v>0</v>
      </c>
      <c r="AX109" s="154">
        <f t="shared" si="290"/>
        <v>0</v>
      </c>
      <c r="AY109" s="154">
        <f t="shared" si="365"/>
        <v>0</v>
      </c>
      <c r="AZ109" s="154">
        <f t="shared" si="291"/>
        <v>0</v>
      </c>
      <c r="BA109" s="154">
        <f t="shared" si="366"/>
        <v>0</v>
      </c>
      <c r="BB109" s="157">
        <f t="shared" si="292"/>
        <v>0</v>
      </c>
      <c r="BC109" s="154">
        <f t="shared" si="293"/>
        <v>0</v>
      </c>
      <c r="BD109" s="158">
        <f t="shared" si="294"/>
        <v>0</v>
      </c>
      <c r="BE109" s="156">
        <f t="shared" si="398"/>
        <v>0</v>
      </c>
      <c r="BF109" s="154">
        <f t="shared" si="367"/>
        <v>0</v>
      </c>
      <c r="BG109" s="154">
        <f t="shared" si="295"/>
        <v>0</v>
      </c>
      <c r="BH109" s="154">
        <f t="shared" si="368"/>
        <v>0</v>
      </c>
      <c r="BI109" s="154">
        <f t="shared" si="296"/>
        <v>0</v>
      </c>
      <c r="BJ109" s="154">
        <f t="shared" si="369"/>
        <v>0</v>
      </c>
      <c r="BK109" s="154">
        <f t="shared" si="297"/>
        <v>0</v>
      </c>
      <c r="BL109" s="154">
        <f t="shared" si="370"/>
        <v>0</v>
      </c>
      <c r="BM109" s="154">
        <f t="shared" si="298"/>
        <v>0</v>
      </c>
      <c r="BN109" s="154">
        <f t="shared" si="371"/>
        <v>0</v>
      </c>
      <c r="BO109" s="157">
        <f t="shared" si="299"/>
        <v>0</v>
      </c>
      <c r="BP109" s="154">
        <f t="shared" si="300"/>
        <v>0</v>
      </c>
      <c r="BQ109" s="158">
        <f t="shared" si="301"/>
        <v>0</v>
      </c>
      <c r="BR109" s="156">
        <f t="shared" si="398"/>
        <v>0</v>
      </c>
      <c r="BS109" s="154">
        <f t="shared" si="372"/>
        <v>0</v>
      </c>
      <c r="BT109" s="154">
        <f t="shared" si="302"/>
        <v>0</v>
      </c>
      <c r="BU109" s="154">
        <f t="shared" si="373"/>
        <v>0</v>
      </c>
      <c r="BV109" s="154">
        <f t="shared" si="303"/>
        <v>0</v>
      </c>
      <c r="BW109" s="154">
        <f t="shared" si="374"/>
        <v>0</v>
      </c>
      <c r="BX109" s="154">
        <f t="shared" si="304"/>
        <v>0</v>
      </c>
      <c r="BY109" s="154">
        <f t="shared" si="375"/>
        <v>0</v>
      </c>
      <c r="BZ109" s="154">
        <f t="shared" si="305"/>
        <v>0</v>
      </c>
      <c r="CA109" s="154">
        <f t="shared" si="376"/>
        <v>0</v>
      </c>
      <c r="CB109" s="157">
        <f t="shared" si="306"/>
        <v>0</v>
      </c>
      <c r="CC109" s="154">
        <f t="shared" si="307"/>
        <v>0</v>
      </c>
      <c r="CD109" s="158">
        <f t="shared" si="308"/>
        <v>0</v>
      </c>
      <c r="CE109" s="156">
        <f t="shared" si="398"/>
        <v>0</v>
      </c>
      <c r="CF109" s="154">
        <f t="shared" si="377"/>
        <v>0</v>
      </c>
      <c r="CG109" s="154">
        <f t="shared" si="309"/>
        <v>0</v>
      </c>
      <c r="CH109" s="154">
        <f t="shared" si="378"/>
        <v>0</v>
      </c>
      <c r="CI109" s="154">
        <f t="shared" si="310"/>
        <v>0</v>
      </c>
      <c r="CJ109" s="154">
        <f t="shared" si="379"/>
        <v>0</v>
      </c>
      <c r="CK109" s="154">
        <f t="shared" si="311"/>
        <v>0</v>
      </c>
      <c r="CL109" s="154">
        <f t="shared" si="380"/>
        <v>0</v>
      </c>
      <c r="CM109" s="154">
        <f t="shared" si="312"/>
        <v>0</v>
      </c>
      <c r="CN109" s="154">
        <f t="shared" si="381"/>
        <v>0</v>
      </c>
      <c r="CO109" s="157">
        <f t="shared" si="313"/>
        <v>0</v>
      </c>
      <c r="CP109" s="154">
        <f t="shared" si="314"/>
        <v>0</v>
      </c>
      <c r="CQ109" s="158">
        <f t="shared" si="315"/>
        <v>0</v>
      </c>
      <c r="CR109" s="156">
        <f t="shared" si="399"/>
        <v>0</v>
      </c>
      <c r="CS109" s="154">
        <f t="shared" si="383"/>
        <v>0</v>
      </c>
      <c r="CT109" s="154">
        <f t="shared" si="317"/>
        <v>0</v>
      </c>
      <c r="CU109" s="154">
        <f t="shared" si="384"/>
        <v>0</v>
      </c>
      <c r="CV109" s="154">
        <f t="shared" si="318"/>
        <v>0</v>
      </c>
      <c r="CW109" s="154">
        <f t="shared" si="385"/>
        <v>0</v>
      </c>
      <c r="CX109" s="154">
        <f t="shared" si="319"/>
        <v>0</v>
      </c>
      <c r="CY109" s="154">
        <f t="shared" si="386"/>
        <v>0</v>
      </c>
      <c r="CZ109" s="154">
        <f t="shared" si="320"/>
        <v>0</v>
      </c>
      <c r="DA109" s="154">
        <f t="shared" si="387"/>
        <v>0</v>
      </c>
      <c r="DB109" s="157">
        <f t="shared" si="321"/>
        <v>0</v>
      </c>
      <c r="DC109" s="154">
        <f t="shared" si="322"/>
        <v>0</v>
      </c>
      <c r="DD109" s="158">
        <f t="shared" si="323"/>
        <v>0</v>
      </c>
      <c r="DE109" s="156">
        <f t="shared" si="399"/>
        <v>0</v>
      </c>
      <c r="DF109" s="154">
        <f t="shared" si="388"/>
        <v>0</v>
      </c>
      <c r="DG109" s="154">
        <f t="shared" si="324"/>
        <v>0</v>
      </c>
      <c r="DH109" s="154">
        <f t="shared" si="389"/>
        <v>0</v>
      </c>
      <c r="DI109" s="154">
        <f t="shared" si="325"/>
        <v>0</v>
      </c>
      <c r="DJ109" s="154">
        <f t="shared" si="390"/>
        <v>0</v>
      </c>
      <c r="DK109" s="154">
        <f t="shared" si="326"/>
        <v>0</v>
      </c>
      <c r="DL109" s="154">
        <f t="shared" si="391"/>
        <v>0</v>
      </c>
      <c r="DM109" s="154">
        <f t="shared" si="327"/>
        <v>0</v>
      </c>
      <c r="DN109" s="154">
        <f t="shared" si="392"/>
        <v>0</v>
      </c>
      <c r="DO109" s="157">
        <f t="shared" si="328"/>
        <v>0</v>
      </c>
      <c r="DP109" s="154">
        <f t="shared" si="329"/>
        <v>0</v>
      </c>
      <c r="DQ109" s="158">
        <f t="shared" si="330"/>
        <v>0</v>
      </c>
      <c r="DR109" s="156">
        <f t="shared" si="399"/>
        <v>0</v>
      </c>
      <c r="DS109" s="154">
        <f t="shared" si="393"/>
        <v>0</v>
      </c>
      <c r="DT109" s="154">
        <f t="shared" si="331"/>
        <v>0</v>
      </c>
      <c r="DU109" s="154">
        <f t="shared" si="394"/>
        <v>0</v>
      </c>
      <c r="DV109" s="154">
        <f t="shared" si="332"/>
        <v>0</v>
      </c>
      <c r="DW109" s="154">
        <f t="shared" si="395"/>
        <v>0</v>
      </c>
      <c r="DX109" s="154">
        <f t="shared" si="333"/>
        <v>0</v>
      </c>
      <c r="DY109" s="154">
        <f t="shared" si="396"/>
        <v>0</v>
      </c>
      <c r="DZ109" s="154">
        <f t="shared" si="334"/>
        <v>0</v>
      </c>
      <c r="EA109" s="154">
        <f t="shared" si="397"/>
        <v>0</v>
      </c>
      <c r="EB109" s="157">
        <f t="shared" si="335"/>
        <v>0</v>
      </c>
      <c r="EC109" s="154">
        <f t="shared" si="336"/>
        <v>0</v>
      </c>
      <c r="ED109" s="158">
        <f t="shared" si="337"/>
        <v>0</v>
      </c>
    </row>
    <row r="110" spans="1:134" x14ac:dyDescent="0.35">
      <c r="A110" s="172"/>
      <c r="B110" s="173"/>
      <c r="C110" s="174"/>
      <c r="D110" s="175"/>
      <c r="E110" s="176"/>
      <c r="F110" s="177"/>
      <c r="G110" s="178"/>
      <c r="H110" s="179"/>
      <c r="I110" s="180"/>
      <c r="J110" s="181"/>
      <c r="K110" s="152">
        <f t="shared" si="338"/>
        <v>0</v>
      </c>
      <c r="L110" s="153">
        <f t="shared" si="339"/>
        <v>0</v>
      </c>
      <c r="M110" s="154">
        <f t="shared" si="340"/>
        <v>0</v>
      </c>
      <c r="N110" s="154"/>
      <c r="O110" s="154">
        <f t="shared" si="341"/>
        <v>0</v>
      </c>
      <c r="P110" s="155"/>
      <c r="Q110" s="154">
        <f t="shared" si="342"/>
        <v>0</v>
      </c>
      <c r="R110" s="156">
        <f t="shared" si="343"/>
        <v>0</v>
      </c>
      <c r="S110" s="154">
        <f t="shared" si="344"/>
        <v>0</v>
      </c>
      <c r="T110" s="154">
        <f t="shared" si="345"/>
        <v>0</v>
      </c>
      <c r="U110" s="154">
        <f t="shared" si="346"/>
        <v>0</v>
      </c>
      <c r="V110" s="154">
        <f t="shared" si="347"/>
        <v>0</v>
      </c>
      <c r="W110" s="154">
        <f t="shared" si="348"/>
        <v>0</v>
      </c>
      <c r="X110" s="154">
        <f t="shared" si="349"/>
        <v>0</v>
      </c>
      <c r="Y110" s="154">
        <f t="shared" si="350"/>
        <v>0</v>
      </c>
      <c r="Z110" s="154">
        <f t="shared" si="351"/>
        <v>0</v>
      </c>
      <c r="AA110" s="154">
        <f t="shared" si="352"/>
        <v>0</v>
      </c>
      <c r="AB110" s="157">
        <f t="shared" si="353"/>
        <v>0</v>
      </c>
      <c r="AC110" s="154">
        <f t="shared" si="354"/>
        <v>0</v>
      </c>
      <c r="AD110" s="158">
        <f t="shared" si="355"/>
        <v>0</v>
      </c>
      <c r="AE110" s="156">
        <f t="shared" si="398"/>
        <v>0</v>
      </c>
      <c r="AF110" s="154">
        <f t="shared" si="357"/>
        <v>0</v>
      </c>
      <c r="AG110" s="154">
        <f t="shared" si="281"/>
        <v>0</v>
      </c>
      <c r="AH110" s="154">
        <f t="shared" si="358"/>
        <v>0</v>
      </c>
      <c r="AI110" s="154">
        <f t="shared" si="282"/>
        <v>0</v>
      </c>
      <c r="AJ110" s="154">
        <f t="shared" si="359"/>
        <v>0</v>
      </c>
      <c r="AK110" s="154">
        <f t="shared" si="283"/>
        <v>0</v>
      </c>
      <c r="AL110" s="154">
        <f t="shared" si="360"/>
        <v>0</v>
      </c>
      <c r="AM110" s="154">
        <f t="shared" si="284"/>
        <v>0</v>
      </c>
      <c r="AN110" s="154">
        <f t="shared" si="361"/>
        <v>0</v>
      </c>
      <c r="AO110" s="157">
        <f t="shared" si="285"/>
        <v>0</v>
      </c>
      <c r="AP110" s="154">
        <f t="shared" si="286"/>
        <v>0</v>
      </c>
      <c r="AQ110" s="158">
        <f t="shared" si="287"/>
        <v>0</v>
      </c>
      <c r="AR110" s="156">
        <f t="shared" si="398"/>
        <v>0</v>
      </c>
      <c r="AS110" s="154">
        <f t="shared" si="362"/>
        <v>0</v>
      </c>
      <c r="AT110" s="154">
        <f t="shared" si="288"/>
        <v>0</v>
      </c>
      <c r="AU110" s="154">
        <f t="shared" si="363"/>
        <v>0</v>
      </c>
      <c r="AV110" s="154">
        <f t="shared" si="289"/>
        <v>0</v>
      </c>
      <c r="AW110" s="154">
        <f t="shared" si="364"/>
        <v>0</v>
      </c>
      <c r="AX110" s="154">
        <f t="shared" si="290"/>
        <v>0</v>
      </c>
      <c r="AY110" s="154">
        <f t="shared" si="365"/>
        <v>0</v>
      </c>
      <c r="AZ110" s="154">
        <f t="shared" si="291"/>
        <v>0</v>
      </c>
      <c r="BA110" s="154">
        <f t="shared" si="366"/>
        <v>0</v>
      </c>
      <c r="BB110" s="157">
        <f t="shared" si="292"/>
        <v>0</v>
      </c>
      <c r="BC110" s="154">
        <f t="shared" si="293"/>
        <v>0</v>
      </c>
      <c r="BD110" s="158">
        <f t="shared" si="294"/>
        <v>0</v>
      </c>
      <c r="BE110" s="156">
        <f t="shared" si="398"/>
        <v>0</v>
      </c>
      <c r="BF110" s="154">
        <f t="shared" si="367"/>
        <v>0</v>
      </c>
      <c r="BG110" s="154">
        <f t="shared" si="295"/>
        <v>0</v>
      </c>
      <c r="BH110" s="154">
        <f t="shared" si="368"/>
        <v>0</v>
      </c>
      <c r="BI110" s="154">
        <f t="shared" si="296"/>
        <v>0</v>
      </c>
      <c r="BJ110" s="154">
        <f t="shared" si="369"/>
        <v>0</v>
      </c>
      <c r="BK110" s="154">
        <f t="shared" si="297"/>
        <v>0</v>
      </c>
      <c r="BL110" s="154">
        <f t="shared" si="370"/>
        <v>0</v>
      </c>
      <c r="BM110" s="154">
        <f t="shared" si="298"/>
        <v>0</v>
      </c>
      <c r="BN110" s="154">
        <f t="shared" si="371"/>
        <v>0</v>
      </c>
      <c r="BO110" s="157">
        <f t="shared" si="299"/>
        <v>0</v>
      </c>
      <c r="BP110" s="154">
        <f t="shared" si="300"/>
        <v>0</v>
      </c>
      <c r="BQ110" s="158">
        <f t="shared" si="301"/>
        <v>0</v>
      </c>
      <c r="BR110" s="156">
        <f t="shared" si="398"/>
        <v>0</v>
      </c>
      <c r="BS110" s="154">
        <f t="shared" si="372"/>
        <v>0</v>
      </c>
      <c r="BT110" s="154">
        <f t="shared" si="302"/>
        <v>0</v>
      </c>
      <c r="BU110" s="154">
        <f t="shared" si="373"/>
        <v>0</v>
      </c>
      <c r="BV110" s="154">
        <f t="shared" si="303"/>
        <v>0</v>
      </c>
      <c r="BW110" s="154">
        <f t="shared" si="374"/>
        <v>0</v>
      </c>
      <c r="BX110" s="154">
        <f t="shared" si="304"/>
        <v>0</v>
      </c>
      <c r="BY110" s="154">
        <f t="shared" si="375"/>
        <v>0</v>
      </c>
      <c r="BZ110" s="154">
        <f t="shared" si="305"/>
        <v>0</v>
      </c>
      <c r="CA110" s="154">
        <f t="shared" si="376"/>
        <v>0</v>
      </c>
      <c r="CB110" s="157">
        <f t="shared" si="306"/>
        <v>0</v>
      </c>
      <c r="CC110" s="154">
        <f t="shared" si="307"/>
        <v>0</v>
      </c>
      <c r="CD110" s="158">
        <f t="shared" si="308"/>
        <v>0</v>
      </c>
      <c r="CE110" s="156">
        <f t="shared" si="398"/>
        <v>0</v>
      </c>
      <c r="CF110" s="154">
        <f t="shared" si="377"/>
        <v>0</v>
      </c>
      <c r="CG110" s="154">
        <f t="shared" si="309"/>
        <v>0</v>
      </c>
      <c r="CH110" s="154">
        <f t="shared" si="378"/>
        <v>0</v>
      </c>
      <c r="CI110" s="154">
        <f t="shared" si="310"/>
        <v>0</v>
      </c>
      <c r="CJ110" s="154">
        <f t="shared" si="379"/>
        <v>0</v>
      </c>
      <c r="CK110" s="154">
        <f t="shared" si="311"/>
        <v>0</v>
      </c>
      <c r="CL110" s="154">
        <f t="shared" si="380"/>
        <v>0</v>
      </c>
      <c r="CM110" s="154">
        <f t="shared" si="312"/>
        <v>0</v>
      </c>
      <c r="CN110" s="154">
        <f t="shared" si="381"/>
        <v>0</v>
      </c>
      <c r="CO110" s="157">
        <f t="shared" si="313"/>
        <v>0</v>
      </c>
      <c r="CP110" s="154">
        <f t="shared" si="314"/>
        <v>0</v>
      </c>
      <c r="CQ110" s="158">
        <f t="shared" si="315"/>
        <v>0</v>
      </c>
      <c r="CR110" s="156">
        <f t="shared" si="399"/>
        <v>0</v>
      </c>
      <c r="CS110" s="154">
        <f t="shared" si="383"/>
        <v>0</v>
      </c>
      <c r="CT110" s="154">
        <f t="shared" si="317"/>
        <v>0</v>
      </c>
      <c r="CU110" s="154">
        <f t="shared" si="384"/>
        <v>0</v>
      </c>
      <c r="CV110" s="154">
        <f t="shared" si="318"/>
        <v>0</v>
      </c>
      <c r="CW110" s="154">
        <f t="shared" si="385"/>
        <v>0</v>
      </c>
      <c r="CX110" s="154">
        <f t="shared" si="319"/>
        <v>0</v>
      </c>
      <c r="CY110" s="154">
        <f t="shared" si="386"/>
        <v>0</v>
      </c>
      <c r="CZ110" s="154">
        <f t="shared" si="320"/>
        <v>0</v>
      </c>
      <c r="DA110" s="154">
        <f t="shared" si="387"/>
        <v>0</v>
      </c>
      <c r="DB110" s="157">
        <f t="shared" si="321"/>
        <v>0</v>
      </c>
      <c r="DC110" s="154">
        <f t="shared" si="322"/>
        <v>0</v>
      </c>
      <c r="DD110" s="158">
        <f t="shared" si="323"/>
        <v>0</v>
      </c>
      <c r="DE110" s="156">
        <f t="shared" si="399"/>
        <v>0</v>
      </c>
      <c r="DF110" s="154">
        <f t="shared" si="388"/>
        <v>0</v>
      </c>
      <c r="DG110" s="154">
        <f t="shared" si="324"/>
        <v>0</v>
      </c>
      <c r="DH110" s="154">
        <f t="shared" si="389"/>
        <v>0</v>
      </c>
      <c r="DI110" s="154">
        <f t="shared" si="325"/>
        <v>0</v>
      </c>
      <c r="DJ110" s="154">
        <f t="shared" si="390"/>
        <v>0</v>
      </c>
      <c r="DK110" s="154">
        <f t="shared" si="326"/>
        <v>0</v>
      </c>
      <c r="DL110" s="154">
        <f t="shared" si="391"/>
        <v>0</v>
      </c>
      <c r="DM110" s="154">
        <f t="shared" si="327"/>
        <v>0</v>
      </c>
      <c r="DN110" s="154">
        <f t="shared" si="392"/>
        <v>0</v>
      </c>
      <c r="DO110" s="157">
        <f t="shared" si="328"/>
        <v>0</v>
      </c>
      <c r="DP110" s="154">
        <f t="shared" si="329"/>
        <v>0</v>
      </c>
      <c r="DQ110" s="158">
        <f t="shared" si="330"/>
        <v>0</v>
      </c>
      <c r="DR110" s="156">
        <f t="shared" si="399"/>
        <v>0</v>
      </c>
      <c r="DS110" s="154">
        <f t="shared" si="393"/>
        <v>0</v>
      </c>
      <c r="DT110" s="154">
        <f t="shared" si="331"/>
        <v>0</v>
      </c>
      <c r="DU110" s="154">
        <f t="shared" si="394"/>
        <v>0</v>
      </c>
      <c r="DV110" s="154">
        <f t="shared" si="332"/>
        <v>0</v>
      </c>
      <c r="DW110" s="154">
        <f t="shared" si="395"/>
        <v>0</v>
      </c>
      <c r="DX110" s="154">
        <f t="shared" si="333"/>
        <v>0</v>
      </c>
      <c r="DY110" s="154">
        <f t="shared" si="396"/>
        <v>0</v>
      </c>
      <c r="DZ110" s="154">
        <f t="shared" si="334"/>
        <v>0</v>
      </c>
      <c r="EA110" s="154">
        <f t="shared" si="397"/>
        <v>0</v>
      </c>
      <c r="EB110" s="157">
        <f t="shared" si="335"/>
        <v>0</v>
      </c>
      <c r="EC110" s="154">
        <f t="shared" si="336"/>
        <v>0</v>
      </c>
      <c r="ED110" s="158">
        <f t="shared" si="337"/>
        <v>0</v>
      </c>
    </row>
    <row r="111" spans="1:134" x14ac:dyDescent="0.35">
      <c r="A111" s="172"/>
      <c r="B111" s="173"/>
      <c r="C111" s="174"/>
      <c r="D111" s="175"/>
      <c r="E111" s="176"/>
      <c r="F111" s="177"/>
      <c r="G111" s="178"/>
      <c r="H111" s="179"/>
      <c r="I111" s="180"/>
      <c r="J111" s="181"/>
      <c r="K111" s="152">
        <f t="shared" si="338"/>
        <v>0</v>
      </c>
      <c r="L111" s="153">
        <f t="shared" si="339"/>
        <v>0</v>
      </c>
      <c r="M111" s="154">
        <f t="shared" si="340"/>
        <v>0</v>
      </c>
      <c r="N111" s="154"/>
      <c r="O111" s="154">
        <f t="shared" si="341"/>
        <v>0</v>
      </c>
      <c r="P111" s="155"/>
      <c r="Q111" s="154">
        <f t="shared" si="342"/>
        <v>0</v>
      </c>
      <c r="R111" s="156">
        <f t="shared" si="343"/>
        <v>0</v>
      </c>
      <c r="S111" s="154">
        <f t="shared" si="344"/>
        <v>0</v>
      </c>
      <c r="T111" s="154">
        <f t="shared" si="345"/>
        <v>0</v>
      </c>
      <c r="U111" s="154">
        <f t="shared" si="346"/>
        <v>0</v>
      </c>
      <c r="V111" s="154">
        <f t="shared" si="347"/>
        <v>0</v>
      </c>
      <c r="W111" s="154">
        <f t="shared" si="348"/>
        <v>0</v>
      </c>
      <c r="X111" s="154">
        <f t="shared" si="349"/>
        <v>0</v>
      </c>
      <c r="Y111" s="154">
        <f t="shared" si="350"/>
        <v>0</v>
      </c>
      <c r="Z111" s="154">
        <f t="shared" si="351"/>
        <v>0</v>
      </c>
      <c r="AA111" s="154">
        <f t="shared" si="352"/>
        <v>0</v>
      </c>
      <c r="AB111" s="157">
        <f t="shared" si="353"/>
        <v>0</v>
      </c>
      <c r="AC111" s="154">
        <f t="shared" si="354"/>
        <v>0</v>
      </c>
      <c r="AD111" s="158">
        <f t="shared" si="355"/>
        <v>0</v>
      </c>
      <c r="AE111" s="156">
        <f t="shared" si="398"/>
        <v>0</v>
      </c>
      <c r="AF111" s="154">
        <f t="shared" si="357"/>
        <v>0</v>
      </c>
      <c r="AG111" s="154">
        <f t="shared" si="281"/>
        <v>0</v>
      </c>
      <c r="AH111" s="154">
        <f t="shared" si="358"/>
        <v>0</v>
      </c>
      <c r="AI111" s="154">
        <f t="shared" si="282"/>
        <v>0</v>
      </c>
      <c r="AJ111" s="154">
        <f t="shared" si="359"/>
        <v>0</v>
      </c>
      <c r="AK111" s="154">
        <f t="shared" si="283"/>
        <v>0</v>
      </c>
      <c r="AL111" s="154">
        <f t="shared" si="360"/>
        <v>0</v>
      </c>
      <c r="AM111" s="154">
        <f t="shared" si="284"/>
        <v>0</v>
      </c>
      <c r="AN111" s="154">
        <f t="shared" si="361"/>
        <v>0</v>
      </c>
      <c r="AO111" s="157">
        <f t="shared" si="285"/>
        <v>0</v>
      </c>
      <c r="AP111" s="154">
        <f t="shared" si="286"/>
        <v>0</v>
      </c>
      <c r="AQ111" s="158">
        <f t="shared" si="287"/>
        <v>0</v>
      </c>
      <c r="AR111" s="156">
        <f t="shared" si="398"/>
        <v>0</v>
      </c>
      <c r="AS111" s="154">
        <f t="shared" si="362"/>
        <v>0</v>
      </c>
      <c r="AT111" s="154">
        <f t="shared" si="288"/>
        <v>0</v>
      </c>
      <c r="AU111" s="154">
        <f t="shared" si="363"/>
        <v>0</v>
      </c>
      <c r="AV111" s="154">
        <f t="shared" si="289"/>
        <v>0</v>
      </c>
      <c r="AW111" s="154">
        <f t="shared" si="364"/>
        <v>0</v>
      </c>
      <c r="AX111" s="154">
        <f t="shared" si="290"/>
        <v>0</v>
      </c>
      <c r="AY111" s="154">
        <f t="shared" si="365"/>
        <v>0</v>
      </c>
      <c r="AZ111" s="154">
        <f t="shared" si="291"/>
        <v>0</v>
      </c>
      <c r="BA111" s="154">
        <f t="shared" si="366"/>
        <v>0</v>
      </c>
      <c r="BB111" s="157">
        <f t="shared" si="292"/>
        <v>0</v>
      </c>
      <c r="BC111" s="154">
        <f t="shared" si="293"/>
        <v>0</v>
      </c>
      <c r="BD111" s="158">
        <f t="shared" si="294"/>
        <v>0</v>
      </c>
      <c r="BE111" s="156">
        <f t="shared" si="398"/>
        <v>0</v>
      </c>
      <c r="BF111" s="154">
        <f t="shared" si="367"/>
        <v>0</v>
      </c>
      <c r="BG111" s="154">
        <f t="shared" si="295"/>
        <v>0</v>
      </c>
      <c r="BH111" s="154">
        <f t="shared" si="368"/>
        <v>0</v>
      </c>
      <c r="BI111" s="154">
        <f t="shared" si="296"/>
        <v>0</v>
      </c>
      <c r="BJ111" s="154">
        <f t="shared" si="369"/>
        <v>0</v>
      </c>
      <c r="BK111" s="154">
        <f t="shared" si="297"/>
        <v>0</v>
      </c>
      <c r="BL111" s="154">
        <f t="shared" si="370"/>
        <v>0</v>
      </c>
      <c r="BM111" s="154">
        <f t="shared" si="298"/>
        <v>0</v>
      </c>
      <c r="BN111" s="154">
        <f t="shared" si="371"/>
        <v>0</v>
      </c>
      <c r="BO111" s="157">
        <f t="shared" si="299"/>
        <v>0</v>
      </c>
      <c r="BP111" s="154">
        <f t="shared" si="300"/>
        <v>0</v>
      </c>
      <c r="BQ111" s="158">
        <f t="shared" si="301"/>
        <v>0</v>
      </c>
      <c r="BR111" s="156">
        <f t="shared" si="398"/>
        <v>0</v>
      </c>
      <c r="BS111" s="154">
        <f t="shared" si="372"/>
        <v>0</v>
      </c>
      <c r="BT111" s="154">
        <f t="shared" si="302"/>
        <v>0</v>
      </c>
      <c r="BU111" s="154">
        <f t="shared" si="373"/>
        <v>0</v>
      </c>
      <c r="BV111" s="154">
        <f t="shared" si="303"/>
        <v>0</v>
      </c>
      <c r="BW111" s="154">
        <f t="shared" si="374"/>
        <v>0</v>
      </c>
      <c r="BX111" s="154">
        <f t="shared" si="304"/>
        <v>0</v>
      </c>
      <c r="BY111" s="154">
        <f t="shared" si="375"/>
        <v>0</v>
      </c>
      <c r="BZ111" s="154">
        <f t="shared" si="305"/>
        <v>0</v>
      </c>
      <c r="CA111" s="154">
        <f t="shared" si="376"/>
        <v>0</v>
      </c>
      <c r="CB111" s="157">
        <f t="shared" si="306"/>
        <v>0</v>
      </c>
      <c r="CC111" s="154">
        <f t="shared" si="307"/>
        <v>0</v>
      </c>
      <c r="CD111" s="158">
        <f t="shared" si="308"/>
        <v>0</v>
      </c>
      <c r="CE111" s="156">
        <f t="shared" si="398"/>
        <v>0</v>
      </c>
      <c r="CF111" s="154">
        <f t="shared" si="377"/>
        <v>0</v>
      </c>
      <c r="CG111" s="154">
        <f t="shared" si="309"/>
        <v>0</v>
      </c>
      <c r="CH111" s="154">
        <f t="shared" si="378"/>
        <v>0</v>
      </c>
      <c r="CI111" s="154">
        <f t="shared" si="310"/>
        <v>0</v>
      </c>
      <c r="CJ111" s="154">
        <f t="shared" si="379"/>
        <v>0</v>
      </c>
      <c r="CK111" s="154">
        <f t="shared" si="311"/>
        <v>0</v>
      </c>
      <c r="CL111" s="154">
        <f t="shared" si="380"/>
        <v>0</v>
      </c>
      <c r="CM111" s="154">
        <f t="shared" si="312"/>
        <v>0</v>
      </c>
      <c r="CN111" s="154">
        <f t="shared" si="381"/>
        <v>0</v>
      </c>
      <c r="CO111" s="157">
        <f t="shared" si="313"/>
        <v>0</v>
      </c>
      <c r="CP111" s="154">
        <f t="shared" si="314"/>
        <v>0</v>
      </c>
      <c r="CQ111" s="158">
        <f t="shared" si="315"/>
        <v>0</v>
      </c>
      <c r="CR111" s="156">
        <f t="shared" si="399"/>
        <v>0</v>
      </c>
      <c r="CS111" s="154">
        <f t="shared" si="383"/>
        <v>0</v>
      </c>
      <c r="CT111" s="154">
        <f t="shared" si="317"/>
        <v>0</v>
      </c>
      <c r="CU111" s="154">
        <f t="shared" si="384"/>
        <v>0</v>
      </c>
      <c r="CV111" s="154">
        <f t="shared" si="318"/>
        <v>0</v>
      </c>
      <c r="CW111" s="154">
        <f t="shared" si="385"/>
        <v>0</v>
      </c>
      <c r="CX111" s="154">
        <f t="shared" si="319"/>
        <v>0</v>
      </c>
      <c r="CY111" s="154">
        <f t="shared" si="386"/>
        <v>0</v>
      </c>
      <c r="CZ111" s="154">
        <f t="shared" si="320"/>
        <v>0</v>
      </c>
      <c r="DA111" s="154">
        <f t="shared" si="387"/>
        <v>0</v>
      </c>
      <c r="DB111" s="157">
        <f t="shared" si="321"/>
        <v>0</v>
      </c>
      <c r="DC111" s="154">
        <f t="shared" si="322"/>
        <v>0</v>
      </c>
      <c r="DD111" s="158">
        <f t="shared" si="323"/>
        <v>0</v>
      </c>
      <c r="DE111" s="156">
        <f t="shared" si="399"/>
        <v>0</v>
      </c>
      <c r="DF111" s="154">
        <f t="shared" si="388"/>
        <v>0</v>
      </c>
      <c r="DG111" s="154">
        <f t="shared" si="324"/>
        <v>0</v>
      </c>
      <c r="DH111" s="154">
        <f t="shared" si="389"/>
        <v>0</v>
      </c>
      <c r="DI111" s="154">
        <f t="shared" si="325"/>
        <v>0</v>
      </c>
      <c r="DJ111" s="154">
        <f t="shared" si="390"/>
        <v>0</v>
      </c>
      <c r="DK111" s="154">
        <f t="shared" si="326"/>
        <v>0</v>
      </c>
      <c r="DL111" s="154">
        <f t="shared" si="391"/>
        <v>0</v>
      </c>
      <c r="DM111" s="154">
        <f t="shared" si="327"/>
        <v>0</v>
      </c>
      <c r="DN111" s="154">
        <f t="shared" si="392"/>
        <v>0</v>
      </c>
      <c r="DO111" s="157">
        <f t="shared" si="328"/>
        <v>0</v>
      </c>
      <c r="DP111" s="154">
        <f t="shared" si="329"/>
        <v>0</v>
      </c>
      <c r="DQ111" s="158">
        <f t="shared" si="330"/>
        <v>0</v>
      </c>
      <c r="DR111" s="156">
        <f t="shared" si="399"/>
        <v>0</v>
      </c>
      <c r="DS111" s="154">
        <f t="shared" si="393"/>
        <v>0</v>
      </c>
      <c r="DT111" s="154">
        <f t="shared" si="331"/>
        <v>0</v>
      </c>
      <c r="DU111" s="154">
        <f t="shared" si="394"/>
        <v>0</v>
      </c>
      <c r="DV111" s="154">
        <f t="shared" si="332"/>
        <v>0</v>
      </c>
      <c r="DW111" s="154">
        <f t="shared" si="395"/>
        <v>0</v>
      </c>
      <c r="DX111" s="154">
        <f t="shared" si="333"/>
        <v>0</v>
      </c>
      <c r="DY111" s="154">
        <f t="shared" si="396"/>
        <v>0</v>
      </c>
      <c r="DZ111" s="154">
        <f t="shared" si="334"/>
        <v>0</v>
      </c>
      <c r="EA111" s="154">
        <f t="shared" si="397"/>
        <v>0</v>
      </c>
      <c r="EB111" s="157">
        <f t="shared" si="335"/>
        <v>0</v>
      </c>
      <c r="EC111" s="154">
        <f t="shared" si="336"/>
        <v>0</v>
      </c>
      <c r="ED111" s="158">
        <f t="shared" si="337"/>
        <v>0</v>
      </c>
    </row>
    <row r="112" spans="1:134" x14ac:dyDescent="0.35">
      <c r="A112" s="172"/>
      <c r="B112" s="173"/>
      <c r="C112" s="174"/>
      <c r="D112" s="175"/>
      <c r="E112" s="176"/>
      <c r="F112" s="177"/>
      <c r="G112" s="178"/>
      <c r="H112" s="179"/>
      <c r="I112" s="180"/>
      <c r="J112" s="181"/>
      <c r="K112" s="152">
        <f t="shared" si="338"/>
        <v>0</v>
      </c>
      <c r="L112" s="153">
        <f t="shared" si="339"/>
        <v>0</v>
      </c>
      <c r="M112" s="154">
        <f t="shared" si="340"/>
        <v>0</v>
      </c>
      <c r="N112" s="154"/>
      <c r="O112" s="154">
        <f t="shared" si="341"/>
        <v>0</v>
      </c>
      <c r="P112" s="155"/>
      <c r="Q112" s="154">
        <f t="shared" si="342"/>
        <v>0</v>
      </c>
      <c r="R112" s="156">
        <f t="shared" si="343"/>
        <v>0</v>
      </c>
      <c r="S112" s="154">
        <f t="shared" si="344"/>
        <v>0</v>
      </c>
      <c r="T112" s="154">
        <f t="shared" si="345"/>
        <v>0</v>
      </c>
      <c r="U112" s="154">
        <f t="shared" si="346"/>
        <v>0</v>
      </c>
      <c r="V112" s="154">
        <f t="shared" si="347"/>
        <v>0</v>
      </c>
      <c r="W112" s="154">
        <f t="shared" si="348"/>
        <v>0</v>
      </c>
      <c r="X112" s="154">
        <f t="shared" si="349"/>
        <v>0</v>
      </c>
      <c r="Y112" s="154">
        <f t="shared" si="350"/>
        <v>0</v>
      </c>
      <c r="Z112" s="154">
        <f t="shared" si="351"/>
        <v>0</v>
      </c>
      <c r="AA112" s="154">
        <f t="shared" si="352"/>
        <v>0</v>
      </c>
      <c r="AB112" s="157">
        <f t="shared" si="353"/>
        <v>0</v>
      </c>
      <c r="AC112" s="154">
        <f t="shared" si="354"/>
        <v>0</v>
      </c>
      <c r="AD112" s="158">
        <f t="shared" si="355"/>
        <v>0</v>
      </c>
      <c r="AE112" s="156">
        <f t="shared" si="398"/>
        <v>0</v>
      </c>
      <c r="AF112" s="154">
        <f t="shared" si="357"/>
        <v>0</v>
      </c>
      <c r="AG112" s="154">
        <f t="shared" si="281"/>
        <v>0</v>
      </c>
      <c r="AH112" s="154">
        <f t="shared" si="358"/>
        <v>0</v>
      </c>
      <c r="AI112" s="154">
        <f t="shared" si="282"/>
        <v>0</v>
      </c>
      <c r="AJ112" s="154">
        <f t="shared" si="359"/>
        <v>0</v>
      </c>
      <c r="AK112" s="154">
        <f t="shared" si="283"/>
        <v>0</v>
      </c>
      <c r="AL112" s="154">
        <f t="shared" si="360"/>
        <v>0</v>
      </c>
      <c r="AM112" s="154">
        <f t="shared" si="284"/>
        <v>0</v>
      </c>
      <c r="AN112" s="154">
        <f t="shared" si="361"/>
        <v>0</v>
      </c>
      <c r="AO112" s="157">
        <f t="shared" si="285"/>
        <v>0</v>
      </c>
      <c r="AP112" s="154">
        <f t="shared" si="286"/>
        <v>0</v>
      </c>
      <c r="AQ112" s="158">
        <f t="shared" si="287"/>
        <v>0</v>
      </c>
      <c r="AR112" s="156">
        <f t="shared" si="398"/>
        <v>0</v>
      </c>
      <c r="AS112" s="154">
        <f t="shared" si="362"/>
        <v>0</v>
      </c>
      <c r="AT112" s="154">
        <f t="shared" si="288"/>
        <v>0</v>
      </c>
      <c r="AU112" s="154">
        <f t="shared" si="363"/>
        <v>0</v>
      </c>
      <c r="AV112" s="154">
        <f t="shared" si="289"/>
        <v>0</v>
      </c>
      <c r="AW112" s="154">
        <f t="shared" si="364"/>
        <v>0</v>
      </c>
      <c r="AX112" s="154">
        <f t="shared" si="290"/>
        <v>0</v>
      </c>
      <c r="AY112" s="154">
        <f t="shared" si="365"/>
        <v>0</v>
      </c>
      <c r="AZ112" s="154">
        <f t="shared" si="291"/>
        <v>0</v>
      </c>
      <c r="BA112" s="154">
        <f t="shared" si="366"/>
        <v>0</v>
      </c>
      <c r="BB112" s="157">
        <f t="shared" si="292"/>
        <v>0</v>
      </c>
      <c r="BC112" s="154">
        <f t="shared" si="293"/>
        <v>0</v>
      </c>
      <c r="BD112" s="158">
        <f t="shared" si="294"/>
        <v>0</v>
      </c>
      <c r="BE112" s="156">
        <f t="shared" si="398"/>
        <v>0</v>
      </c>
      <c r="BF112" s="154">
        <f t="shared" si="367"/>
        <v>0</v>
      </c>
      <c r="BG112" s="154">
        <f t="shared" si="295"/>
        <v>0</v>
      </c>
      <c r="BH112" s="154">
        <f t="shared" si="368"/>
        <v>0</v>
      </c>
      <c r="BI112" s="154">
        <f t="shared" si="296"/>
        <v>0</v>
      </c>
      <c r="BJ112" s="154">
        <f t="shared" si="369"/>
        <v>0</v>
      </c>
      <c r="BK112" s="154">
        <f t="shared" si="297"/>
        <v>0</v>
      </c>
      <c r="BL112" s="154">
        <f t="shared" si="370"/>
        <v>0</v>
      </c>
      <c r="BM112" s="154">
        <f t="shared" si="298"/>
        <v>0</v>
      </c>
      <c r="BN112" s="154">
        <f t="shared" si="371"/>
        <v>0</v>
      </c>
      <c r="BO112" s="157">
        <f t="shared" si="299"/>
        <v>0</v>
      </c>
      <c r="BP112" s="154">
        <f t="shared" si="300"/>
        <v>0</v>
      </c>
      <c r="BQ112" s="158">
        <f t="shared" si="301"/>
        <v>0</v>
      </c>
      <c r="BR112" s="156">
        <f t="shared" si="398"/>
        <v>0</v>
      </c>
      <c r="BS112" s="154">
        <f t="shared" si="372"/>
        <v>0</v>
      </c>
      <c r="BT112" s="154">
        <f t="shared" si="302"/>
        <v>0</v>
      </c>
      <c r="BU112" s="154">
        <f t="shared" si="373"/>
        <v>0</v>
      </c>
      <c r="BV112" s="154">
        <f t="shared" si="303"/>
        <v>0</v>
      </c>
      <c r="BW112" s="154">
        <f t="shared" si="374"/>
        <v>0</v>
      </c>
      <c r="BX112" s="154">
        <f t="shared" si="304"/>
        <v>0</v>
      </c>
      <c r="BY112" s="154">
        <f t="shared" si="375"/>
        <v>0</v>
      </c>
      <c r="BZ112" s="154">
        <f t="shared" si="305"/>
        <v>0</v>
      </c>
      <c r="CA112" s="154">
        <f t="shared" si="376"/>
        <v>0</v>
      </c>
      <c r="CB112" s="157">
        <f t="shared" si="306"/>
        <v>0</v>
      </c>
      <c r="CC112" s="154">
        <f t="shared" si="307"/>
        <v>0</v>
      </c>
      <c r="CD112" s="158">
        <f t="shared" si="308"/>
        <v>0</v>
      </c>
      <c r="CE112" s="156">
        <f t="shared" si="398"/>
        <v>0</v>
      </c>
      <c r="CF112" s="154">
        <f t="shared" si="377"/>
        <v>0</v>
      </c>
      <c r="CG112" s="154">
        <f t="shared" si="309"/>
        <v>0</v>
      </c>
      <c r="CH112" s="154">
        <f t="shared" si="378"/>
        <v>0</v>
      </c>
      <c r="CI112" s="154">
        <f t="shared" si="310"/>
        <v>0</v>
      </c>
      <c r="CJ112" s="154">
        <f t="shared" si="379"/>
        <v>0</v>
      </c>
      <c r="CK112" s="154">
        <f t="shared" si="311"/>
        <v>0</v>
      </c>
      <c r="CL112" s="154">
        <f t="shared" si="380"/>
        <v>0</v>
      </c>
      <c r="CM112" s="154">
        <f t="shared" si="312"/>
        <v>0</v>
      </c>
      <c r="CN112" s="154">
        <f t="shared" si="381"/>
        <v>0</v>
      </c>
      <c r="CO112" s="157">
        <f t="shared" si="313"/>
        <v>0</v>
      </c>
      <c r="CP112" s="154">
        <f t="shared" si="314"/>
        <v>0</v>
      </c>
      <c r="CQ112" s="158">
        <f t="shared" si="315"/>
        <v>0</v>
      </c>
      <c r="CR112" s="156">
        <f t="shared" si="399"/>
        <v>0</v>
      </c>
      <c r="CS112" s="154">
        <f t="shared" si="383"/>
        <v>0</v>
      </c>
      <c r="CT112" s="154">
        <f t="shared" si="317"/>
        <v>0</v>
      </c>
      <c r="CU112" s="154">
        <f t="shared" si="384"/>
        <v>0</v>
      </c>
      <c r="CV112" s="154">
        <f t="shared" si="318"/>
        <v>0</v>
      </c>
      <c r="CW112" s="154">
        <f t="shared" si="385"/>
        <v>0</v>
      </c>
      <c r="CX112" s="154">
        <f t="shared" si="319"/>
        <v>0</v>
      </c>
      <c r="CY112" s="154">
        <f t="shared" si="386"/>
        <v>0</v>
      </c>
      <c r="CZ112" s="154">
        <f t="shared" si="320"/>
        <v>0</v>
      </c>
      <c r="DA112" s="154">
        <f t="shared" si="387"/>
        <v>0</v>
      </c>
      <c r="DB112" s="157">
        <f t="shared" si="321"/>
        <v>0</v>
      </c>
      <c r="DC112" s="154">
        <f t="shared" si="322"/>
        <v>0</v>
      </c>
      <c r="DD112" s="158">
        <f t="shared" si="323"/>
        <v>0</v>
      </c>
      <c r="DE112" s="156">
        <f t="shared" si="399"/>
        <v>0</v>
      </c>
      <c r="DF112" s="154">
        <f t="shared" si="388"/>
        <v>0</v>
      </c>
      <c r="DG112" s="154">
        <f t="shared" si="324"/>
        <v>0</v>
      </c>
      <c r="DH112" s="154">
        <f t="shared" si="389"/>
        <v>0</v>
      </c>
      <c r="DI112" s="154">
        <f t="shared" si="325"/>
        <v>0</v>
      </c>
      <c r="DJ112" s="154">
        <f t="shared" si="390"/>
        <v>0</v>
      </c>
      <c r="DK112" s="154">
        <f t="shared" si="326"/>
        <v>0</v>
      </c>
      <c r="DL112" s="154">
        <f t="shared" si="391"/>
        <v>0</v>
      </c>
      <c r="DM112" s="154">
        <f t="shared" si="327"/>
        <v>0</v>
      </c>
      <c r="DN112" s="154">
        <f t="shared" si="392"/>
        <v>0</v>
      </c>
      <c r="DO112" s="157">
        <f t="shared" si="328"/>
        <v>0</v>
      </c>
      <c r="DP112" s="154">
        <f t="shared" si="329"/>
        <v>0</v>
      </c>
      <c r="DQ112" s="158">
        <f t="shared" si="330"/>
        <v>0</v>
      </c>
      <c r="DR112" s="156">
        <f t="shared" si="399"/>
        <v>0</v>
      </c>
      <c r="DS112" s="154">
        <f t="shared" si="393"/>
        <v>0</v>
      </c>
      <c r="DT112" s="154">
        <f t="shared" si="331"/>
        <v>0</v>
      </c>
      <c r="DU112" s="154">
        <f t="shared" si="394"/>
        <v>0</v>
      </c>
      <c r="DV112" s="154">
        <f t="shared" si="332"/>
        <v>0</v>
      </c>
      <c r="DW112" s="154">
        <f t="shared" si="395"/>
        <v>0</v>
      </c>
      <c r="DX112" s="154">
        <f t="shared" si="333"/>
        <v>0</v>
      </c>
      <c r="DY112" s="154">
        <f t="shared" si="396"/>
        <v>0</v>
      </c>
      <c r="DZ112" s="154">
        <f t="shared" si="334"/>
        <v>0</v>
      </c>
      <c r="EA112" s="154">
        <f t="shared" si="397"/>
        <v>0</v>
      </c>
      <c r="EB112" s="157">
        <f t="shared" si="335"/>
        <v>0</v>
      </c>
      <c r="EC112" s="154">
        <f t="shared" si="336"/>
        <v>0</v>
      </c>
      <c r="ED112" s="158">
        <f t="shared" si="337"/>
        <v>0</v>
      </c>
    </row>
    <row r="113" spans="1:134" x14ac:dyDescent="0.35">
      <c r="A113" s="172"/>
      <c r="B113" s="173"/>
      <c r="C113" s="174"/>
      <c r="D113" s="175"/>
      <c r="E113" s="176"/>
      <c r="F113" s="177"/>
      <c r="G113" s="178"/>
      <c r="H113" s="179"/>
      <c r="I113" s="180"/>
      <c r="J113" s="181"/>
      <c r="K113" s="152">
        <f t="shared" si="338"/>
        <v>0</v>
      </c>
      <c r="L113" s="153">
        <f t="shared" si="339"/>
        <v>0</v>
      </c>
      <c r="M113" s="154">
        <f t="shared" si="340"/>
        <v>0</v>
      </c>
      <c r="N113" s="154"/>
      <c r="O113" s="154">
        <f t="shared" si="341"/>
        <v>0</v>
      </c>
      <c r="P113" s="155"/>
      <c r="Q113" s="154">
        <f t="shared" si="342"/>
        <v>0</v>
      </c>
      <c r="R113" s="156">
        <f t="shared" si="343"/>
        <v>0</v>
      </c>
      <c r="S113" s="154">
        <f t="shared" si="344"/>
        <v>0</v>
      </c>
      <c r="T113" s="154">
        <f t="shared" si="345"/>
        <v>0</v>
      </c>
      <c r="U113" s="154">
        <f t="shared" si="346"/>
        <v>0</v>
      </c>
      <c r="V113" s="154">
        <f t="shared" si="347"/>
        <v>0</v>
      </c>
      <c r="W113" s="154">
        <f t="shared" si="348"/>
        <v>0</v>
      </c>
      <c r="X113" s="154">
        <f t="shared" si="349"/>
        <v>0</v>
      </c>
      <c r="Y113" s="154">
        <f t="shared" si="350"/>
        <v>0</v>
      </c>
      <c r="Z113" s="154">
        <f t="shared" si="351"/>
        <v>0</v>
      </c>
      <c r="AA113" s="154">
        <f t="shared" si="352"/>
        <v>0</v>
      </c>
      <c r="AB113" s="157">
        <f t="shared" si="353"/>
        <v>0</v>
      </c>
      <c r="AC113" s="154">
        <f t="shared" si="354"/>
        <v>0</v>
      </c>
      <c r="AD113" s="158">
        <f t="shared" si="355"/>
        <v>0</v>
      </c>
      <c r="AE113" s="156">
        <f t="shared" si="398"/>
        <v>0</v>
      </c>
      <c r="AF113" s="154">
        <f t="shared" si="357"/>
        <v>0</v>
      </c>
      <c r="AG113" s="154">
        <f t="shared" si="281"/>
        <v>0</v>
      </c>
      <c r="AH113" s="154">
        <f t="shared" si="358"/>
        <v>0</v>
      </c>
      <c r="AI113" s="154">
        <f t="shared" si="282"/>
        <v>0</v>
      </c>
      <c r="AJ113" s="154">
        <f t="shared" si="359"/>
        <v>0</v>
      </c>
      <c r="AK113" s="154">
        <f t="shared" si="283"/>
        <v>0</v>
      </c>
      <c r="AL113" s="154">
        <f t="shared" si="360"/>
        <v>0</v>
      </c>
      <c r="AM113" s="154">
        <f t="shared" si="284"/>
        <v>0</v>
      </c>
      <c r="AN113" s="154">
        <f t="shared" si="361"/>
        <v>0</v>
      </c>
      <c r="AO113" s="157">
        <f t="shared" si="285"/>
        <v>0</v>
      </c>
      <c r="AP113" s="154">
        <f t="shared" si="286"/>
        <v>0</v>
      </c>
      <c r="AQ113" s="158">
        <f t="shared" si="287"/>
        <v>0</v>
      </c>
      <c r="AR113" s="156">
        <f t="shared" si="398"/>
        <v>0</v>
      </c>
      <c r="AS113" s="154">
        <f t="shared" si="362"/>
        <v>0</v>
      </c>
      <c r="AT113" s="154">
        <f t="shared" si="288"/>
        <v>0</v>
      </c>
      <c r="AU113" s="154">
        <f t="shared" si="363"/>
        <v>0</v>
      </c>
      <c r="AV113" s="154">
        <f t="shared" si="289"/>
        <v>0</v>
      </c>
      <c r="AW113" s="154">
        <f t="shared" si="364"/>
        <v>0</v>
      </c>
      <c r="AX113" s="154">
        <f t="shared" si="290"/>
        <v>0</v>
      </c>
      <c r="AY113" s="154">
        <f t="shared" si="365"/>
        <v>0</v>
      </c>
      <c r="AZ113" s="154">
        <f t="shared" si="291"/>
        <v>0</v>
      </c>
      <c r="BA113" s="154">
        <f t="shared" si="366"/>
        <v>0</v>
      </c>
      <c r="BB113" s="157">
        <f t="shared" si="292"/>
        <v>0</v>
      </c>
      <c r="BC113" s="154">
        <f t="shared" si="293"/>
        <v>0</v>
      </c>
      <c r="BD113" s="158">
        <f t="shared" si="294"/>
        <v>0</v>
      </c>
      <c r="BE113" s="156">
        <f t="shared" si="398"/>
        <v>0</v>
      </c>
      <c r="BF113" s="154">
        <f t="shared" si="367"/>
        <v>0</v>
      </c>
      <c r="BG113" s="154">
        <f t="shared" si="295"/>
        <v>0</v>
      </c>
      <c r="BH113" s="154">
        <f t="shared" si="368"/>
        <v>0</v>
      </c>
      <c r="BI113" s="154">
        <f t="shared" si="296"/>
        <v>0</v>
      </c>
      <c r="BJ113" s="154">
        <f t="shared" si="369"/>
        <v>0</v>
      </c>
      <c r="BK113" s="154">
        <f t="shared" si="297"/>
        <v>0</v>
      </c>
      <c r="BL113" s="154">
        <f t="shared" si="370"/>
        <v>0</v>
      </c>
      <c r="BM113" s="154">
        <f t="shared" si="298"/>
        <v>0</v>
      </c>
      <c r="BN113" s="154">
        <f t="shared" si="371"/>
        <v>0</v>
      </c>
      <c r="BO113" s="157">
        <f t="shared" si="299"/>
        <v>0</v>
      </c>
      <c r="BP113" s="154">
        <f t="shared" si="300"/>
        <v>0</v>
      </c>
      <c r="BQ113" s="158">
        <f t="shared" si="301"/>
        <v>0</v>
      </c>
      <c r="BR113" s="156">
        <f t="shared" si="398"/>
        <v>0</v>
      </c>
      <c r="BS113" s="154">
        <f t="shared" si="372"/>
        <v>0</v>
      </c>
      <c r="BT113" s="154">
        <f t="shared" si="302"/>
        <v>0</v>
      </c>
      <c r="BU113" s="154">
        <f t="shared" si="373"/>
        <v>0</v>
      </c>
      <c r="BV113" s="154">
        <f t="shared" si="303"/>
        <v>0</v>
      </c>
      <c r="BW113" s="154">
        <f t="shared" si="374"/>
        <v>0</v>
      </c>
      <c r="BX113" s="154">
        <f t="shared" si="304"/>
        <v>0</v>
      </c>
      <c r="BY113" s="154">
        <f t="shared" si="375"/>
        <v>0</v>
      </c>
      <c r="BZ113" s="154">
        <f t="shared" si="305"/>
        <v>0</v>
      </c>
      <c r="CA113" s="154">
        <f t="shared" si="376"/>
        <v>0</v>
      </c>
      <c r="CB113" s="157">
        <f t="shared" si="306"/>
        <v>0</v>
      </c>
      <c r="CC113" s="154">
        <f t="shared" si="307"/>
        <v>0</v>
      </c>
      <c r="CD113" s="158">
        <f t="shared" si="308"/>
        <v>0</v>
      </c>
      <c r="CE113" s="156">
        <f t="shared" si="398"/>
        <v>0</v>
      </c>
      <c r="CF113" s="154">
        <f t="shared" si="377"/>
        <v>0</v>
      </c>
      <c r="CG113" s="154">
        <f t="shared" si="309"/>
        <v>0</v>
      </c>
      <c r="CH113" s="154">
        <f t="shared" si="378"/>
        <v>0</v>
      </c>
      <c r="CI113" s="154">
        <f t="shared" si="310"/>
        <v>0</v>
      </c>
      <c r="CJ113" s="154">
        <f t="shared" si="379"/>
        <v>0</v>
      </c>
      <c r="CK113" s="154">
        <f t="shared" si="311"/>
        <v>0</v>
      </c>
      <c r="CL113" s="154">
        <f t="shared" si="380"/>
        <v>0</v>
      </c>
      <c r="CM113" s="154">
        <f t="shared" si="312"/>
        <v>0</v>
      </c>
      <c r="CN113" s="154">
        <f t="shared" si="381"/>
        <v>0</v>
      </c>
      <c r="CO113" s="157">
        <f t="shared" si="313"/>
        <v>0</v>
      </c>
      <c r="CP113" s="154">
        <f t="shared" si="314"/>
        <v>0</v>
      </c>
      <c r="CQ113" s="158">
        <f t="shared" si="315"/>
        <v>0</v>
      </c>
      <c r="CR113" s="156">
        <f t="shared" si="399"/>
        <v>0</v>
      </c>
      <c r="CS113" s="154">
        <f t="shared" si="383"/>
        <v>0</v>
      </c>
      <c r="CT113" s="154">
        <f t="shared" si="317"/>
        <v>0</v>
      </c>
      <c r="CU113" s="154">
        <f t="shared" si="384"/>
        <v>0</v>
      </c>
      <c r="CV113" s="154">
        <f t="shared" si="318"/>
        <v>0</v>
      </c>
      <c r="CW113" s="154">
        <f t="shared" si="385"/>
        <v>0</v>
      </c>
      <c r="CX113" s="154">
        <f t="shared" si="319"/>
        <v>0</v>
      </c>
      <c r="CY113" s="154">
        <f t="shared" si="386"/>
        <v>0</v>
      </c>
      <c r="CZ113" s="154">
        <f t="shared" si="320"/>
        <v>0</v>
      </c>
      <c r="DA113" s="154">
        <f t="shared" si="387"/>
        <v>0</v>
      </c>
      <c r="DB113" s="157">
        <f t="shared" si="321"/>
        <v>0</v>
      </c>
      <c r="DC113" s="154">
        <f t="shared" si="322"/>
        <v>0</v>
      </c>
      <c r="DD113" s="158">
        <f t="shared" si="323"/>
        <v>0</v>
      </c>
      <c r="DE113" s="156">
        <f t="shared" si="399"/>
        <v>0</v>
      </c>
      <c r="DF113" s="154">
        <f t="shared" si="388"/>
        <v>0</v>
      </c>
      <c r="DG113" s="154">
        <f t="shared" si="324"/>
        <v>0</v>
      </c>
      <c r="DH113" s="154">
        <f t="shared" si="389"/>
        <v>0</v>
      </c>
      <c r="DI113" s="154">
        <f t="shared" si="325"/>
        <v>0</v>
      </c>
      <c r="DJ113" s="154">
        <f t="shared" si="390"/>
        <v>0</v>
      </c>
      <c r="DK113" s="154">
        <f t="shared" si="326"/>
        <v>0</v>
      </c>
      <c r="DL113" s="154">
        <f t="shared" si="391"/>
        <v>0</v>
      </c>
      <c r="DM113" s="154">
        <f t="shared" si="327"/>
        <v>0</v>
      </c>
      <c r="DN113" s="154">
        <f t="shared" si="392"/>
        <v>0</v>
      </c>
      <c r="DO113" s="157">
        <f t="shared" si="328"/>
        <v>0</v>
      </c>
      <c r="DP113" s="154">
        <f t="shared" si="329"/>
        <v>0</v>
      </c>
      <c r="DQ113" s="158">
        <f t="shared" si="330"/>
        <v>0</v>
      </c>
      <c r="DR113" s="156">
        <f t="shared" si="399"/>
        <v>0</v>
      </c>
      <c r="DS113" s="154">
        <f t="shared" si="393"/>
        <v>0</v>
      </c>
      <c r="DT113" s="154">
        <f t="shared" si="331"/>
        <v>0</v>
      </c>
      <c r="DU113" s="154">
        <f t="shared" si="394"/>
        <v>0</v>
      </c>
      <c r="DV113" s="154">
        <f t="shared" si="332"/>
        <v>0</v>
      </c>
      <c r="DW113" s="154">
        <f t="shared" si="395"/>
        <v>0</v>
      </c>
      <c r="DX113" s="154">
        <f t="shared" si="333"/>
        <v>0</v>
      </c>
      <c r="DY113" s="154">
        <f t="shared" si="396"/>
        <v>0</v>
      </c>
      <c r="DZ113" s="154">
        <f t="shared" si="334"/>
        <v>0</v>
      </c>
      <c r="EA113" s="154">
        <f t="shared" si="397"/>
        <v>0</v>
      </c>
      <c r="EB113" s="157">
        <f t="shared" si="335"/>
        <v>0</v>
      </c>
      <c r="EC113" s="154">
        <f t="shared" si="336"/>
        <v>0</v>
      </c>
      <c r="ED113" s="158">
        <f t="shared" si="337"/>
        <v>0</v>
      </c>
    </row>
    <row r="114" spans="1:134" x14ac:dyDescent="0.35">
      <c r="A114" s="172"/>
      <c r="B114" s="173"/>
      <c r="C114" s="174"/>
      <c r="D114" s="175"/>
      <c r="E114" s="176"/>
      <c r="F114" s="177"/>
      <c r="G114" s="178"/>
      <c r="H114" s="179"/>
      <c r="I114" s="180"/>
      <c r="J114" s="181"/>
      <c r="K114" s="152">
        <f t="shared" si="338"/>
        <v>0</v>
      </c>
      <c r="L114" s="153">
        <f t="shared" si="339"/>
        <v>0</v>
      </c>
      <c r="M114" s="154">
        <f t="shared" si="340"/>
        <v>0</v>
      </c>
      <c r="N114" s="154"/>
      <c r="O114" s="154">
        <f t="shared" si="341"/>
        <v>0</v>
      </c>
      <c r="P114" s="155"/>
      <c r="Q114" s="154">
        <f t="shared" si="342"/>
        <v>0</v>
      </c>
      <c r="R114" s="156">
        <f t="shared" si="343"/>
        <v>0</v>
      </c>
      <c r="S114" s="154">
        <f t="shared" si="344"/>
        <v>0</v>
      </c>
      <c r="T114" s="154">
        <f t="shared" si="345"/>
        <v>0</v>
      </c>
      <c r="U114" s="154">
        <f t="shared" si="346"/>
        <v>0</v>
      </c>
      <c r="V114" s="154">
        <f t="shared" si="347"/>
        <v>0</v>
      </c>
      <c r="W114" s="154">
        <f t="shared" si="348"/>
        <v>0</v>
      </c>
      <c r="X114" s="154">
        <f t="shared" si="349"/>
        <v>0</v>
      </c>
      <c r="Y114" s="154">
        <f t="shared" si="350"/>
        <v>0</v>
      </c>
      <c r="Z114" s="154">
        <f t="shared" si="351"/>
        <v>0</v>
      </c>
      <c r="AA114" s="154">
        <f t="shared" si="352"/>
        <v>0</v>
      </c>
      <c r="AB114" s="157">
        <f t="shared" si="353"/>
        <v>0</v>
      </c>
      <c r="AC114" s="154">
        <f t="shared" si="354"/>
        <v>0</v>
      </c>
      <c r="AD114" s="158">
        <f t="shared" si="355"/>
        <v>0</v>
      </c>
      <c r="AE114" s="156">
        <f t="shared" si="398"/>
        <v>0</v>
      </c>
      <c r="AF114" s="154">
        <f t="shared" si="357"/>
        <v>0</v>
      </c>
      <c r="AG114" s="154">
        <f t="shared" si="281"/>
        <v>0</v>
      </c>
      <c r="AH114" s="154">
        <f t="shared" si="358"/>
        <v>0</v>
      </c>
      <c r="AI114" s="154">
        <f t="shared" si="282"/>
        <v>0</v>
      </c>
      <c r="AJ114" s="154">
        <f t="shared" si="359"/>
        <v>0</v>
      </c>
      <c r="AK114" s="154">
        <f t="shared" si="283"/>
        <v>0</v>
      </c>
      <c r="AL114" s="154">
        <f t="shared" si="360"/>
        <v>0</v>
      </c>
      <c r="AM114" s="154">
        <f t="shared" si="284"/>
        <v>0</v>
      </c>
      <c r="AN114" s="154">
        <f t="shared" si="361"/>
        <v>0</v>
      </c>
      <c r="AO114" s="157">
        <f t="shared" si="285"/>
        <v>0</v>
      </c>
      <c r="AP114" s="154">
        <f t="shared" si="286"/>
        <v>0</v>
      </c>
      <c r="AQ114" s="158">
        <f t="shared" si="287"/>
        <v>0</v>
      </c>
      <c r="AR114" s="156">
        <f t="shared" si="398"/>
        <v>0</v>
      </c>
      <c r="AS114" s="154">
        <f t="shared" si="362"/>
        <v>0</v>
      </c>
      <c r="AT114" s="154">
        <f t="shared" si="288"/>
        <v>0</v>
      </c>
      <c r="AU114" s="154">
        <f t="shared" si="363"/>
        <v>0</v>
      </c>
      <c r="AV114" s="154">
        <f t="shared" si="289"/>
        <v>0</v>
      </c>
      <c r="AW114" s="154">
        <f t="shared" si="364"/>
        <v>0</v>
      </c>
      <c r="AX114" s="154">
        <f t="shared" si="290"/>
        <v>0</v>
      </c>
      <c r="AY114" s="154">
        <f t="shared" si="365"/>
        <v>0</v>
      </c>
      <c r="AZ114" s="154">
        <f t="shared" si="291"/>
        <v>0</v>
      </c>
      <c r="BA114" s="154">
        <f t="shared" si="366"/>
        <v>0</v>
      </c>
      <c r="BB114" s="157">
        <f t="shared" si="292"/>
        <v>0</v>
      </c>
      <c r="BC114" s="154">
        <f t="shared" si="293"/>
        <v>0</v>
      </c>
      <c r="BD114" s="158">
        <f t="shared" si="294"/>
        <v>0</v>
      </c>
      <c r="BE114" s="156">
        <f t="shared" si="398"/>
        <v>0</v>
      </c>
      <c r="BF114" s="154">
        <f t="shared" si="367"/>
        <v>0</v>
      </c>
      <c r="BG114" s="154">
        <f t="shared" si="295"/>
        <v>0</v>
      </c>
      <c r="BH114" s="154">
        <f t="shared" si="368"/>
        <v>0</v>
      </c>
      <c r="BI114" s="154">
        <f t="shared" si="296"/>
        <v>0</v>
      </c>
      <c r="BJ114" s="154">
        <f t="shared" si="369"/>
        <v>0</v>
      </c>
      <c r="BK114" s="154">
        <f t="shared" si="297"/>
        <v>0</v>
      </c>
      <c r="BL114" s="154">
        <f t="shared" si="370"/>
        <v>0</v>
      </c>
      <c r="BM114" s="154">
        <f t="shared" si="298"/>
        <v>0</v>
      </c>
      <c r="BN114" s="154">
        <f t="shared" si="371"/>
        <v>0</v>
      </c>
      <c r="BO114" s="157">
        <f t="shared" si="299"/>
        <v>0</v>
      </c>
      <c r="BP114" s="154">
        <f t="shared" si="300"/>
        <v>0</v>
      </c>
      <c r="BQ114" s="158">
        <f t="shared" si="301"/>
        <v>0</v>
      </c>
      <c r="BR114" s="156">
        <f t="shared" si="398"/>
        <v>0</v>
      </c>
      <c r="BS114" s="154">
        <f t="shared" si="372"/>
        <v>0</v>
      </c>
      <c r="BT114" s="154">
        <f t="shared" si="302"/>
        <v>0</v>
      </c>
      <c r="BU114" s="154">
        <f t="shared" si="373"/>
        <v>0</v>
      </c>
      <c r="BV114" s="154">
        <f t="shared" si="303"/>
        <v>0</v>
      </c>
      <c r="BW114" s="154">
        <f t="shared" si="374"/>
        <v>0</v>
      </c>
      <c r="BX114" s="154">
        <f t="shared" si="304"/>
        <v>0</v>
      </c>
      <c r="BY114" s="154">
        <f t="shared" si="375"/>
        <v>0</v>
      </c>
      <c r="BZ114" s="154">
        <f t="shared" si="305"/>
        <v>0</v>
      </c>
      <c r="CA114" s="154">
        <f t="shared" si="376"/>
        <v>0</v>
      </c>
      <c r="CB114" s="157">
        <f t="shared" si="306"/>
        <v>0</v>
      </c>
      <c r="CC114" s="154">
        <f t="shared" si="307"/>
        <v>0</v>
      </c>
      <c r="CD114" s="158">
        <f t="shared" si="308"/>
        <v>0</v>
      </c>
      <c r="CE114" s="156">
        <f t="shared" si="398"/>
        <v>0</v>
      </c>
      <c r="CF114" s="154">
        <f t="shared" si="377"/>
        <v>0</v>
      </c>
      <c r="CG114" s="154">
        <f t="shared" si="309"/>
        <v>0</v>
      </c>
      <c r="CH114" s="154">
        <f t="shared" si="378"/>
        <v>0</v>
      </c>
      <c r="CI114" s="154">
        <f t="shared" si="310"/>
        <v>0</v>
      </c>
      <c r="CJ114" s="154">
        <f t="shared" si="379"/>
        <v>0</v>
      </c>
      <c r="CK114" s="154">
        <f t="shared" si="311"/>
        <v>0</v>
      </c>
      <c r="CL114" s="154">
        <f t="shared" si="380"/>
        <v>0</v>
      </c>
      <c r="CM114" s="154">
        <f t="shared" si="312"/>
        <v>0</v>
      </c>
      <c r="CN114" s="154">
        <f t="shared" si="381"/>
        <v>0</v>
      </c>
      <c r="CO114" s="157">
        <f t="shared" si="313"/>
        <v>0</v>
      </c>
      <c r="CP114" s="154">
        <f t="shared" si="314"/>
        <v>0</v>
      </c>
      <c r="CQ114" s="158">
        <f t="shared" si="315"/>
        <v>0</v>
      </c>
      <c r="CR114" s="156">
        <f t="shared" si="399"/>
        <v>0</v>
      </c>
      <c r="CS114" s="154">
        <f t="shared" si="383"/>
        <v>0</v>
      </c>
      <c r="CT114" s="154">
        <f t="shared" si="317"/>
        <v>0</v>
      </c>
      <c r="CU114" s="154">
        <f t="shared" si="384"/>
        <v>0</v>
      </c>
      <c r="CV114" s="154">
        <f t="shared" si="318"/>
        <v>0</v>
      </c>
      <c r="CW114" s="154">
        <f t="shared" si="385"/>
        <v>0</v>
      </c>
      <c r="CX114" s="154">
        <f t="shared" si="319"/>
        <v>0</v>
      </c>
      <c r="CY114" s="154">
        <f t="shared" si="386"/>
        <v>0</v>
      </c>
      <c r="CZ114" s="154">
        <f t="shared" si="320"/>
        <v>0</v>
      </c>
      <c r="DA114" s="154">
        <f t="shared" si="387"/>
        <v>0</v>
      </c>
      <c r="DB114" s="157">
        <f t="shared" si="321"/>
        <v>0</v>
      </c>
      <c r="DC114" s="154">
        <f t="shared" si="322"/>
        <v>0</v>
      </c>
      <c r="DD114" s="158">
        <f t="shared" si="323"/>
        <v>0</v>
      </c>
      <c r="DE114" s="156">
        <f t="shared" si="399"/>
        <v>0</v>
      </c>
      <c r="DF114" s="154">
        <f t="shared" si="388"/>
        <v>0</v>
      </c>
      <c r="DG114" s="154">
        <f t="shared" si="324"/>
        <v>0</v>
      </c>
      <c r="DH114" s="154">
        <f t="shared" si="389"/>
        <v>0</v>
      </c>
      <c r="DI114" s="154">
        <f t="shared" si="325"/>
        <v>0</v>
      </c>
      <c r="DJ114" s="154">
        <f t="shared" si="390"/>
        <v>0</v>
      </c>
      <c r="DK114" s="154">
        <f t="shared" si="326"/>
        <v>0</v>
      </c>
      <c r="DL114" s="154">
        <f t="shared" si="391"/>
        <v>0</v>
      </c>
      <c r="DM114" s="154">
        <f t="shared" si="327"/>
        <v>0</v>
      </c>
      <c r="DN114" s="154">
        <f t="shared" si="392"/>
        <v>0</v>
      </c>
      <c r="DO114" s="157">
        <f t="shared" si="328"/>
        <v>0</v>
      </c>
      <c r="DP114" s="154">
        <f t="shared" si="329"/>
        <v>0</v>
      </c>
      <c r="DQ114" s="158">
        <f t="shared" si="330"/>
        <v>0</v>
      </c>
      <c r="DR114" s="156">
        <f t="shared" si="399"/>
        <v>0</v>
      </c>
      <c r="DS114" s="154">
        <f t="shared" si="393"/>
        <v>0</v>
      </c>
      <c r="DT114" s="154">
        <f t="shared" si="331"/>
        <v>0</v>
      </c>
      <c r="DU114" s="154">
        <f t="shared" si="394"/>
        <v>0</v>
      </c>
      <c r="DV114" s="154">
        <f t="shared" si="332"/>
        <v>0</v>
      </c>
      <c r="DW114" s="154">
        <f t="shared" si="395"/>
        <v>0</v>
      </c>
      <c r="DX114" s="154">
        <f t="shared" si="333"/>
        <v>0</v>
      </c>
      <c r="DY114" s="154">
        <f t="shared" si="396"/>
        <v>0</v>
      </c>
      <c r="DZ114" s="154">
        <f t="shared" si="334"/>
        <v>0</v>
      </c>
      <c r="EA114" s="154">
        <f t="shared" si="397"/>
        <v>0</v>
      </c>
      <c r="EB114" s="157">
        <f t="shared" si="335"/>
        <v>0</v>
      </c>
      <c r="EC114" s="154">
        <f t="shared" si="336"/>
        <v>0</v>
      </c>
      <c r="ED114" s="158">
        <f t="shared" si="337"/>
        <v>0</v>
      </c>
    </row>
    <row r="115" spans="1:134" x14ac:dyDescent="0.35">
      <c r="A115" s="172"/>
      <c r="B115" s="173"/>
      <c r="C115" s="174"/>
      <c r="D115" s="175"/>
      <c r="E115" s="176"/>
      <c r="F115" s="177"/>
      <c r="G115" s="178"/>
      <c r="H115" s="179"/>
      <c r="I115" s="180"/>
      <c r="J115" s="181"/>
      <c r="K115" s="152">
        <f t="shared" si="338"/>
        <v>0</v>
      </c>
      <c r="L115" s="153">
        <f t="shared" si="339"/>
        <v>0</v>
      </c>
      <c r="M115" s="154">
        <f t="shared" si="340"/>
        <v>0</v>
      </c>
      <c r="N115" s="154"/>
      <c r="O115" s="154">
        <f t="shared" si="341"/>
        <v>0</v>
      </c>
      <c r="P115" s="155"/>
      <c r="Q115" s="154">
        <f t="shared" si="342"/>
        <v>0</v>
      </c>
      <c r="R115" s="156">
        <f t="shared" si="343"/>
        <v>0</v>
      </c>
      <c r="S115" s="154">
        <f t="shared" si="344"/>
        <v>0</v>
      </c>
      <c r="T115" s="154">
        <f t="shared" si="345"/>
        <v>0</v>
      </c>
      <c r="U115" s="154">
        <f t="shared" si="346"/>
        <v>0</v>
      </c>
      <c r="V115" s="154">
        <f t="shared" si="347"/>
        <v>0</v>
      </c>
      <c r="W115" s="154">
        <f t="shared" si="348"/>
        <v>0</v>
      </c>
      <c r="X115" s="154">
        <f t="shared" si="349"/>
        <v>0</v>
      </c>
      <c r="Y115" s="154">
        <f t="shared" si="350"/>
        <v>0</v>
      </c>
      <c r="Z115" s="154">
        <f t="shared" si="351"/>
        <v>0</v>
      </c>
      <c r="AA115" s="154">
        <f t="shared" si="352"/>
        <v>0</v>
      </c>
      <c r="AB115" s="157">
        <f t="shared" si="353"/>
        <v>0</v>
      </c>
      <c r="AC115" s="154">
        <f t="shared" si="354"/>
        <v>0</v>
      </c>
      <c r="AD115" s="158">
        <f t="shared" si="355"/>
        <v>0</v>
      </c>
      <c r="AE115" s="156">
        <f t="shared" si="398"/>
        <v>0</v>
      </c>
      <c r="AF115" s="154">
        <f t="shared" si="357"/>
        <v>0</v>
      </c>
      <c r="AG115" s="154">
        <f t="shared" si="281"/>
        <v>0</v>
      </c>
      <c r="AH115" s="154">
        <f t="shared" si="358"/>
        <v>0</v>
      </c>
      <c r="AI115" s="154">
        <f t="shared" si="282"/>
        <v>0</v>
      </c>
      <c r="AJ115" s="154">
        <f t="shared" si="359"/>
        <v>0</v>
      </c>
      <c r="AK115" s="154">
        <f t="shared" si="283"/>
        <v>0</v>
      </c>
      <c r="AL115" s="154">
        <f t="shared" si="360"/>
        <v>0</v>
      </c>
      <c r="AM115" s="154">
        <f t="shared" si="284"/>
        <v>0</v>
      </c>
      <c r="AN115" s="154">
        <f t="shared" si="361"/>
        <v>0</v>
      </c>
      <c r="AO115" s="157">
        <f t="shared" si="285"/>
        <v>0</v>
      </c>
      <c r="AP115" s="154">
        <f t="shared" si="286"/>
        <v>0</v>
      </c>
      <c r="AQ115" s="158">
        <f t="shared" si="287"/>
        <v>0</v>
      </c>
      <c r="AR115" s="156">
        <f t="shared" si="398"/>
        <v>0</v>
      </c>
      <c r="AS115" s="154">
        <f t="shared" si="362"/>
        <v>0</v>
      </c>
      <c r="AT115" s="154">
        <f t="shared" si="288"/>
        <v>0</v>
      </c>
      <c r="AU115" s="154">
        <f t="shared" si="363"/>
        <v>0</v>
      </c>
      <c r="AV115" s="154">
        <f t="shared" si="289"/>
        <v>0</v>
      </c>
      <c r="AW115" s="154">
        <f t="shared" si="364"/>
        <v>0</v>
      </c>
      <c r="AX115" s="154">
        <f t="shared" si="290"/>
        <v>0</v>
      </c>
      <c r="AY115" s="154">
        <f t="shared" si="365"/>
        <v>0</v>
      </c>
      <c r="AZ115" s="154">
        <f t="shared" si="291"/>
        <v>0</v>
      </c>
      <c r="BA115" s="154">
        <f t="shared" si="366"/>
        <v>0</v>
      </c>
      <c r="BB115" s="157">
        <f t="shared" si="292"/>
        <v>0</v>
      </c>
      <c r="BC115" s="154">
        <f t="shared" si="293"/>
        <v>0</v>
      </c>
      <c r="BD115" s="158">
        <f t="shared" si="294"/>
        <v>0</v>
      </c>
      <c r="BE115" s="156">
        <f t="shared" si="398"/>
        <v>0</v>
      </c>
      <c r="BF115" s="154">
        <f t="shared" si="367"/>
        <v>0</v>
      </c>
      <c r="BG115" s="154">
        <f t="shared" si="295"/>
        <v>0</v>
      </c>
      <c r="BH115" s="154">
        <f t="shared" si="368"/>
        <v>0</v>
      </c>
      <c r="BI115" s="154">
        <f t="shared" si="296"/>
        <v>0</v>
      </c>
      <c r="BJ115" s="154">
        <f t="shared" si="369"/>
        <v>0</v>
      </c>
      <c r="BK115" s="154">
        <f t="shared" si="297"/>
        <v>0</v>
      </c>
      <c r="BL115" s="154">
        <f t="shared" si="370"/>
        <v>0</v>
      </c>
      <c r="BM115" s="154">
        <f t="shared" si="298"/>
        <v>0</v>
      </c>
      <c r="BN115" s="154">
        <f t="shared" si="371"/>
        <v>0</v>
      </c>
      <c r="BO115" s="157">
        <f t="shared" si="299"/>
        <v>0</v>
      </c>
      <c r="BP115" s="154">
        <f t="shared" si="300"/>
        <v>0</v>
      </c>
      <c r="BQ115" s="158">
        <f t="shared" si="301"/>
        <v>0</v>
      </c>
      <c r="BR115" s="156">
        <f t="shared" si="398"/>
        <v>0</v>
      </c>
      <c r="BS115" s="154">
        <f t="shared" si="372"/>
        <v>0</v>
      </c>
      <c r="BT115" s="154">
        <f t="shared" si="302"/>
        <v>0</v>
      </c>
      <c r="BU115" s="154">
        <f t="shared" si="373"/>
        <v>0</v>
      </c>
      <c r="BV115" s="154">
        <f t="shared" si="303"/>
        <v>0</v>
      </c>
      <c r="BW115" s="154">
        <f t="shared" si="374"/>
        <v>0</v>
      </c>
      <c r="BX115" s="154">
        <f t="shared" si="304"/>
        <v>0</v>
      </c>
      <c r="BY115" s="154">
        <f t="shared" si="375"/>
        <v>0</v>
      </c>
      <c r="BZ115" s="154">
        <f t="shared" si="305"/>
        <v>0</v>
      </c>
      <c r="CA115" s="154">
        <f t="shared" si="376"/>
        <v>0</v>
      </c>
      <c r="CB115" s="157">
        <f t="shared" si="306"/>
        <v>0</v>
      </c>
      <c r="CC115" s="154">
        <f t="shared" si="307"/>
        <v>0</v>
      </c>
      <c r="CD115" s="158">
        <f t="shared" si="308"/>
        <v>0</v>
      </c>
      <c r="CE115" s="156">
        <f t="shared" si="398"/>
        <v>0</v>
      </c>
      <c r="CF115" s="154">
        <f t="shared" si="377"/>
        <v>0</v>
      </c>
      <c r="CG115" s="154">
        <f t="shared" si="309"/>
        <v>0</v>
      </c>
      <c r="CH115" s="154">
        <f t="shared" si="378"/>
        <v>0</v>
      </c>
      <c r="CI115" s="154">
        <f t="shared" si="310"/>
        <v>0</v>
      </c>
      <c r="CJ115" s="154">
        <f t="shared" si="379"/>
        <v>0</v>
      </c>
      <c r="CK115" s="154">
        <f t="shared" si="311"/>
        <v>0</v>
      </c>
      <c r="CL115" s="154">
        <f t="shared" si="380"/>
        <v>0</v>
      </c>
      <c r="CM115" s="154">
        <f t="shared" si="312"/>
        <v>0</v>
      </c>
      <c r="CN115" s="154">
        <f t="shared" si="381"/>
        <v>0</v>
      </c>
      <c r="CO115" s="157">
        <f t="shared" si="313"/>
        <v>0</v>
      </c>
      <c r="CP115" s="154">
        <f t="shared" si="314"/>
        <v>0</v>
      </c>
      <c r="CQ115" s="158">
        <f t="shared" si="315"/>
        <v>0</v>
      </c>
      <c r="CR115" s="156">
        <f t="shared" si="399"/>
        <v>0</v>
      </c>
      <c r="CS115" s="154">
        <f t="shared" si="383"/>
        <v>0</v>
      </c>
      <c r="CT115" s="154">
        <f t="shared" si="317"/>
        <v>0</v>
      </c>
      <c r="CU115" s="154">
        <f t="shared" si="384"/>
        <v>0</v>
      </c>
      <c r="CV115" s="154">
        <f t="shared" si="318"/>
        <v>0</v>
      </c>
      <c r="CW115" s="154">
        <f t="shared" si="385"/>
        <v>0</v>
      </c>
      <c r="CX115" s="154">
        <f t="shared" si="319"/>
        <v>0</v>
      </c>
      <c r="CY115" s="154">
        <f t="shared" si="386"/>
        <v>0</v>
      </c>
      <c r="CZ115" s="154">
        <f t="shared" si="320"/>
        <v>0</v>
      </c>
      <c r="DA115" s="154">
        <f t="shared" si="387"/>
        <v>0</v>
      </c>
      <c r="DB115" s="157">
        <f t="shared" si="321"/>
        <v>0</v>
      </c>
      <c r="DC115" s="154">
        <f t="shared" si="322"/>
        <v>0</v>
      </c>
      <c r="DD115" s="158">
        <f t="shared" si="323"/>
        <v>0</v>
      </c>
      <c r="DE115" s="156">
        <f t="shared" si="399"/>
        <v>0</v>
      </c>
      <c r="DF115" s="154">
        <f t="shared" si="388"/>
        <v>0</v>
      </c>
      <c r="DG115" s="154">
        <f t="shared" si="324"/>
        <v>0</v>
      </c>
      <c r="DH115" s="154">
        <f t="shared" si="389"/>
        <v>0</v>
      </c>
      <c r="DI115" s="154">
        <f t="shared" si="325"/>
        <v>0</v>
      </c>
      <c r="DJ115" s="154">
        <f t="shared" si="390"/>
        <v>0</v>
      </c>
      <c r="DK115" s="154">
        <f t="shared" si="326"/>
        <v>0</v>
      </c>
      <c r="DL115" s="154">
        <f t="shared" si="391"/>
        <v>0</v>
      </c>
      <c r="DM115" s="154">
        <f t="shared" si="327"/>
        <v>0</v>
      </c>
      <c r="DN115" s="154">
        <f t="shared" si="392"/>
        <v>0</v>
      </c>
      <c r="DO115" s="157">
        <f t="shared" si="328"/>
        <v>0</v>
      </c>
      <c r="DP115" s="154">
        <f t="shared" si="329"/>
        <v>0</v>
      </c>
      <c r="DQ115" s="158">
        <f t="shared" si="330"/>
        <v>0</v>
      </c>
      <c r="DR115" s="156">
        <f t="shared" si="399"/>
        <v>0</v>
      </c>
      <c r="DS115" s="154">
        <f t="shared" si="393"/>
        <v>0</v>
      </c>
      <c r="DT115" s="154">
        <f t="shared" si="331"/>
        <v>0</v>
      </c>
      <c r="DU115" s="154">
        <f t="shared" si="394"/>
        <v>0</v>
      </c>
      <c r="DV115" s="154">
        <f t="shared" si="332"/>
        <v>0</v>
      </c>
      <c r="DW115" s="154">
        <f t="shared" si="395"/>
        <v>0</v>
      </c>
      <c r="DX115" s="154">
        <f t="shared" si="333"/>
        <v>0</v>
      </c>
      <c r="DY115" s="154">
        <f t="shared" si="396"/>
        <v>0</v>
      </c>
      <c r="DZ115" s="154">
        <f t="shared" si="334"/>
        <v>0</v>
      </c>
      <c r="EA115" s="154">
        <f t="shared" si="397"/>
        <v>0</v>
      </c>
      <c r="EB115" s="157">
        <f t="shared" si="335"/>
        <v>0</v>
      </c>
      <c r="EC115" s="154">
        <f t="shared" si="336"/>
        <v>0</v>
      </c>
      <c r="ED115" s="158">
        <f t="shared" si="337"/>
        <v>0</v>
      </c>
    </row>
    <row r="116" spans="1:134" x14ac:dyDescent="0.35">
      <c r="A116" s="172"/>
      <c r="B116" s="173"/>
      <c r="C116" s="174"/>
      <c r="D116" s="175"/>
      <c r="E116" s="176"/>
      <c r="F116" s="177"/>
      <c r="G116" s="178"/>
      <c r="H116" s="179"/>
      <c r="I116" s="180"/>
      <c r="J116" s="181"/>
      <c r="K116" s="152">
        <f t="shared" si="338"/>
        <v>0</v>
      </c>
      <c r="L116" s="153">
        <f t="shared" si="339"/>
        <v>0</v>
      </c>
      <c r="M116" s="154">
        <f t="shared" si="340"/>
        <v>0</v>
      </c>
      <c r="N116" s="154"/>
      <c r="O116" s="154">
        <f t="shared" si="341"/>
        <v>0</v>
      </c>
      <c r="P116" s="155"/>
      <c r="Q116" s="154">
        <f t="shared" si="342"/>
        <v>0</v>
      </c>
      <c r="R116" s="156">
        <f t="shared" si="343"/>
        <v>0</v>
      </c>
      <c r="S116" s="154">
        <f t="shared" si="344"/>
        <v>0</v>
      </c>
      <c r="T116" s="154">
        <f t="shared" si="345"/>
        <v>0</v>
      </c>
      <c r="U116" s="154">
        <f t="shared" si="346"/>
        <v>0</v>
      </c>
      <c r="V116" s="154">
        <f t="shared" si="347"/>
        <v>0</v>
      </c>
      <c r="W116" s="154">
        <f t="shared" si="348"/>
        <v>0</v>
      </c>
      <c r="X116" s="154">
        <f t="shared" si="349"/>
        <v>0</v>
      </c>
      <c r="Y116" s="154">
        <f t="shared" si="350"/>
        <v>0</v>
      </c>
      <c r="Z116" s="154">
        <f t="shared" si="351"/>
        <v>0</v>
      </c>
      <c r="AA116" s="154">
        <f t="shared" si="352"/>
        <v>0</v>
      </c>
      <c r="AB116" s="157">
        <f t="shared" si="353"/>
        <v>0</v>
      </c>
      <c r="AC116" s="154">
        <f t="shared" si="354"/>
        <v>0</v>
      </c>
      <c r="AD116" s="158">
        <f t="shared" si="355"/>
        <v>0</v>
      </c>
      <c r="AE116" s="156">
        <f t="shared" si="398"/>
        <v>0</v>
      </c>
      <c r="AF116" s="154">
        <f t="shared" si="357"/>
        <v>0</v>
      </c>
      <c r="AG116" s="154">
        <f t="shared" si="281"/>
        <v>0</v>
      </c>
      <c r="AH116" s="154">
        <f t="shared" si="358"/>
        <v>0</v>
      </c>
      <c r="AI116" s="154">
        <f t="shared" si="282"/>
        <v>0</v>
      </c>
      <c r="AJ116" s="154">
        <f t="shared" si="359"/>
        <v>0</v>
      </c>
      <c r="AK116" s="154">
        <f t="shared" si="283"/>
        <v>0</v>
      </c>
      <c r="AL116" s="154">
        <f t="shared" si="360"/>
        <v>0</v>
      </c>
      <c r="AM116" s="154">
        <f t="shared" si="284"/>
        <v>0</v>
      </c>
      <c r="AN116" s="154">
        <f t="shared" si="361"/>
        <v>0</v>
      </c>
      <c r="AO116" s="157">
        <f t="shared" si="285"/>
        <v>0</v>
      </c>
      <c r="AP116" s="154">
        <f t="shared" si="286"/>
        <v>0</v>
      </c>
      <c r="AQ116" s="158">
        <f t="shared" si="287"/>
        <v>0</v>
      </c>
      <c r="AR116" s="156">
        <f t="shared" si="398"/>
        <v>0</v>
      </c>
      <c r="AS116" s="154">
        <f t="shared" si="362"/>
        <v>0</v>
      </c>
      <c r="AT116" s="154">
        <f t="shared" si="288"/>
        <v>0</v>
      </c>
      <c r="AU116" s="154">
        <f t="shared" si="363"/>
        <v>0</v>
      </c>
      <c r="AV116" s="154">
        <f t="shared" si="289"/>
        <v>0</v>
      </c>
      <c r="AW116" s="154">
        <f t="shared" si="364"/>
        <v>0</v>
      </c>
      <c r="AX116" s="154">
        <f t="shared" si="290"/>
        <v>0</v>
      </c>
      <c r="AY116" s="154">
        <f t="shared" si="365"/>
        <v>0</v>
      </c>
      <c r="AZ116" s="154">
        <f t="shared" si="291"/>
        <v>0</v>
      </c>
      <c r="BA116" s="154">
        <f t="shared" si="366"/>
        <v>0</v>
      </c>
      <c r="BB116" s="157">
        <f t="shared" si="292"/>
        <v>0</v>
      </c>
      <c r="BC116" s="154">
        <f t="shared" si="293"/>
        <v>0</v>
      </c>
      <c r="BD116" s="158">
        <f t="shared" si="294"/>
        <v>0</v>
      </c>
      <c r="BE116" s="156">
        <f t="shared" si="398"/>
        <v>0</v>
      </c>
      <c r="BF116" s="154">
        <f t="shared" si="367"/>
        <v>0</v>
      </c>
      <c r="BG116" s="154">
        <f t="shared" si="295"/>
        <v>0</v>
      </c>
      <c r="BH116" s="154">
        <f t="shared" si="368"/>
        <v>0</v>
      </c>
      <c r="BI116" s="154">
        <f t="shared" si="296"/>
        <v>0</v>
      </c>
      <c r="BJ116" s="154">
        <f t="shared" si="369"/>
        <v>0</v>
      </c>
      <c r="BK116" s="154">
        <f t="shared" si="297"/>
        <v>0</v>
      </c>
      <c r="BL116" s="154">
        <f t="shared" si="370"/>
        <v>0</v>
      </c>
      <c r="BM116" s="154">
        <f t="shared" si="298"/>
        <v>0</v>
      </c>
      <c r="BN116" s="154">
        <f t="shared" si="371"/>
        <v>0</v>
      </c>
      <c r="BO116" s="157">
        <f t="shared" si="299"/>
        <v>0</v>
      </c>
      <c r="BP116" s="154">
        <f t="shared" si="300"/>
        <v>0</v>
      </c>
      <c r="BQ116" s="158">
        <f t="shared" si="301"/>
        <v>0</v>
      </c>
      <c r="BR116" s="156">
        <f t="shared" si="398"/>
        <v>0</v>
      </c>
      <c r="BS116" s="154">
        <f t="shared" si="372"/>
        <v>0</v>
      </c>
      <c r="BT116" s="154">
        <f t="shared" si="302"/>
        <v>0</v>
      </c>
      <c r="BU116" s="154">
        <f t="shared" si="373"/>
        <v>0</v>
      </c>
      <c r="BV116" s="154">
        <f t="shared" si="303"/>
        <v>0</v>
      </c>
      <c r="BW116" s="154">
        <f t="shared" si="374"/>
        <v>0</v>
      </c>
      <c r="BX116" s="154">
        <f t="shared" si="304"/>
        <v>0</v>
      </c>
      <c r="BY116" s="154">
        <f t="shared" si="375"/>
        <v>0</v>
      </c>
      <c r="BZ116" s="154">
        <f t="shared" si="305"/>
        <v>0</v>
      </c>
      <c r="CA116" s="154">
        <f t="shared" si="376"/>
        <v>0</v>
      </c>
      <c r="CB116" s="157">
        <f t="shared" si="306"/>
        <v>0</v>
      </c>
      <c r="CC116" s="154">
        <f t="shared" si="307"/>
        <v>0</v>
      </c>
      <c r="CD116" s="158">
        <f t="shared" si="308"/>
        <v>0</v>
      </c>
      <c r="CE116" s="156">
        <f t="shared" si="398"/>
        <v>0</v>
      </c>
      <c r="CF116" s="154">
        <f t="shared" si="377"/>
        <v>0</v>
      </c>
      <c r="CG116" s="154">
        <f t="shared" si="309"/>
        <v>0</v>
      </c>
      <c r="CH116" s="154">
        <f t="shared" si="378"/>
        <v>0</v>
      </c>
      <c r="CI116" s="154">
        <f t="shared" si="310"/>
        <v>0</v>
      </c>
      <c r="CJ116" s="154">
        <f t="shared" si="379"/>
        <v>0</v>
      </c>
      <c r="CK116" s="154">
        <f t="shared" si="311"/>
        <v>0</v>
      </c>
      <c r="CL116" s="154">
        <f t="shared" si="380"/>
        <v>0</v>
      </c>
      <c r="CM116" s="154">
        <f t="shared" si="312"/>
        <v>0</v>
      </c>
      <c r="CN116" s="154">
        <f t="shared" si="381"/>
        <v>0</v>
      </c>
      <c r="CO116" s="157">
        <f t="shared" si="313"/>
        <v>0</v>
      </c>
      <c r="CP116" s="154">
        <f t="shared" si="314"/>
        <v>0</v>
      </c>
      <c r="CQ116" s="158">
        <f t="shared" si="315"/>
        <v>0</v>
      </c>
      <c r="CR116" s="156">
        <f t="shared" si="399"/>
        <v>0</v>
      </c>
      <c r="CS116" s="154">
        <f t="shared" si="383"/>
        <v>0</v>
      </c>
      <c r="CT116" s="154">
        <f t="shared" si="317"/>
        <v>0</v>
      </c>
      <c r="CU116" s="154">
        <f t="shared" si="384"/>
        <v>0</v>
      </c>
      <c r="CV116" s="154">
        <f t="shared" si="318"/>
        <v>0</v>
      </c>
      <c r="CW116" s="154">
        <f t="shared" si="385"/>
        <v>0</v>
      </c>
      <c r="CX116" s="154">
        <f t="shared" si="319"/>
        <v>0</v>
      </c>
      <c r="CY116" s="154">
        <f t="shared" si="386"/>
        <v>0</v>
      </c>
      <c r="CZ116" s="154">
        <f t="shared" si="320"/>
        <v>0</v>
      </c>
      <c r="DA116" s="154">
        <f t="shared" si="387"/>
        <v>0</v>
      </c>
      <c r="DB116" s="157">
        <f t="shared" si="321"/>
        <v>0</v>
      </c>
      <c r="DC116" s="154">
        <f t="shared" si="322"/>
        <v>0</v>
      </c>
      <c r="DD116" s="158">
        <f t="shared" si="323"/>
        <v>0</v>
      </c>
      <c r="DE116" s="156">
        <f t="shared" si="399"/>
        <v>0</v>
      </c>
      <c r="DF116" s="154">
        <f t="shared" si="388"/>
        <v>0</v>
      </c>
      <c r="DG116" s="154">
        <f t="shared" si="324"/>
        <v>0</v>
      </c>
      <c r="DH116" s="154">
        <f t="shared" si="389"/>
        <v>0</v>
      </c>
      <c r="DI116" s="154">
        <f t="shared" si="325"/>
        <v>0</v>
      </c>
      <c r="DJ116" s="154">
        <f t="shared" si="390"/>
        <v>0</v>
      </c>
      <c r="DK116" s="154">
        <f t="shared" si="326"/>
        <v>0</v>
      </c>
      <c r="DL116" s="154">
        <f t="shared" si="391"/>
        <v>0</v>
      </c>
      <c r="DM116" s="154">
        <f t="shared" si="327"/>
        <v>0</v>
      </c>
      <c r="DN116" s="154">
        <f t="shared" si="392"/>
        <v>0</v>
      </c>
      <c r="DO116" s="157">
        <f t="shared" si="328"/>
        <v>0</v>
      </c>
      <c r="DP116" s="154">
        <f t="shared" si="329"/>
        <v>0</v>
      </c>
      <c r="DQ116" s="158">
        <f t="shared" si="330"/>
        <v>0</v>
      </c>
      <c r="DR116" s="156">
        <f t="shared" si="399"/>
        <v>0</v>
      </c>
      <c r="DS116" s="154">
        <f t="shared" si="393"/>
        <v>0</v>
      </c>
      <c r="DT116" s="154">
        <f t="shared" si="331"/>
        <v>0</v>
      </c>
      <c r="DU116" s="154">
        <f t="shared" si="394"/>
        <v>0</v>
      </c>
      <c r="DV116" s="154">
        <f t="shared" si="332"/>
        <v>0</v>
      </c>
      <c r="DW116" s="154">
        <f t="shared" si="395"/>
        <v>0</v>
      </c>
      <c r="DX116" s="154">
        <f t="shared" si="333"/>
        <v>0</v>
      </c>
      <c r="DY116" s="154">
        <f t="shared" si="396"/>
        <v>0</v>
      </c>
      <c r="DZ116" s="154">
        <f t="shared" si="334"/>
        <v>0</v>
      </c>
      <c r="EA116" s="154">
        <f t="shared" si="397"/>
        <v>0</v>
      </c>
      <c r="EB116" s="157">
        <f t="shared" si="335"/>
        <v>0</v>
      </c>
      <c r="EC116" s="154">
        <f t="shared" si="336"/>
        <v>0</v>
      </c>
      <c r="ED116" s="158">
        <f t="shared" si="337"/>
        <v>0</v>
      </c>
    </row>
    <row r="117" spans="1:134" x14ac:dyDescent="0.35">
      <c r="A117" s="172"/>
      <c r="B117" s="173"/>
      <c r="C117" s="174"/>
      <c r="D117" s="175"/>
      <c r="E117" s="176"/>
      <c r="F117" s="177"/>
      <c r="G117" s="178"/>
      <c r="H117" s="179"/>
      <c r="I117" s="180"/>
      <c r="J117" s="181"/>
      <c r="K117" s="152">
        <f t="shared" si="338"/>
        <v>0</v>
      </c>
      <c r="L117" s="153">
        <f t="shared" si="339"/>
        <v>0</v>
      </c>
      <c r="M117" s="154">
        <f t="shared" si="340"/>
        <v>0</v>
      </c>
      <c r="N117" s="154"/>
      <c r="O117" s="154">
        <f t="shared" si="341"/>
        <v>0</v>
      </c>
      <c r="P117" s="155"/>
      <c r="Q117" s="154">
        <f t="shared" si="342"/>
        <v>0</v>
      </c>
      <c r="R117" s="156">
        <f t="shared" si="343"/>
        <v>0</v>
      </c>
      <c r="S117" s="154">
        <f t="shared" si="344"/>
        <v>0</v>
      </c>
      <c r="T117" s="154">
        <f t="shared" si="345"/>
        <v>0</v>
      </c>
      <c r="U117" s="154">
        <f t="shared" si="346"/>
        <v>0</v>
      </c>
      <c r="V117" s="154">
        <f t="shared" si="347"/>
        <v>0</v>
      </c>
      <c r="W117" s="154">
        <f t="shared" si="348"/>
        <v>0</v>
      </c>
      <c r="X117" s="154">
        <f t="shared" si="349"/>
        <v>0</v>
      </c>
      <c r="Y117" s="154">
        <f t="shared" si="350"/>
        <v>0</v>
      </c>
      <c r="Z117" s="154">
        <f t="shared" si="351"/>
        <v>0</v>
      </c>
      <c r="AA117" s="154">
        <f t="shared" si="352"/>
        <v>0</v>
      </c>
      <c r="AB117" s="157">
        <f t="shared" si="353"/>
        <v>0</v>
      </c>
      <c r="AC117" s="154">
        <f t="shared" si="354"/>
        <v>0</v>
      </c>
      <c r="AD117" s="158">
        <f t="shared" si="355"/>
        <v>0</v>
      </c>
      <c r="AE117" s="156">
        <f t="shared" ref="AE117:CE125" si="400">IF(YEAR($F117)=AE$4,$E117,0)</f>
        <v>0</v>
      </c>
      <c r="AF117" s="154">
        <f t="shared" si="357"/>
        <v>0</v>
      </c>
      <c r="AG117" s="154">
        <f t="shared" si="281"/>
        <v>0</v>
      </c>
      <c r="AH117" s="154">
        <f t="shared" si="358"/>
        <v>0</v>
      </c>
      <c r="AI117" s="154">
        <f t="shared" si="282"/>
        <v>0</v>
      </c>
      <c r="AJ117" s="154">
        <f t="shared" si="359"/>
        <v>0</v>
      </c>
      <c r="AK117" s="154">
        <f t="shared" si="283"/>
        <v>0</v>
      </c>
      <c r="AL117" s="154">
        <f t="shared" si="360"/>
        <v>0</v>
      </c>
      <c r="AM117" s="154">
        <f t="shared" si="284"/>
        <v>0</v>
      </c>
      <c r="AN117" s="154">
        <f t="shared" si="361"/>
        <v>0</v>
      </c>
      <c r="AO117" s="157">
        <f t="shared" si="285"/>
        <v>0</v>
      </c>
      <c r="AP117" s="154">
        <f t="shared" si="286"/>
        <v>0</v>
      </c>
      <c r="AQ117" s="158">
        <f t="shared" si="287"/>
        <v>0</v>
      </c>
      <c r="AR117" s="156">
        <f t="shared" si="400"/>
        <v>0</v>
      </c>
      <c r="AS117" s="154">
        <f t="shared" si="362"/>
        <v>0</v>
      </c>
      <c r="AT117" s="154">
        <f t="shared" si="288"/>
        <v>0</v>
      </c>
      <c r="AU117" s="154">
        <f t="shared" si="363"/>
        <v>0</v>
      </c>
      <c r="AV117" s="154">
        <f t="shared" si="289"/>
        <v>0</v>
      </c>
      <c r="AW117" s="154">
        <f t="shared" si="364"/>
        <v>0</v>
      </c>
      <c r="AX117" s="154">
        <f t="shared" si="290"/>
        <v>0</v>
      </c>
      <c r="AY117" s="154">
        <f t="shared" si="365"/>
        <v>0</v>
      </c>
      <c r="AZ117" s="154">
        <f t="shared" si="291"/>
        <v>0</v>
      </c>
      <c r="BA117" s="154">
        <f t="shared" si="366"/>
        <v>0</v>
      </c>
      <c r="BB117" s="157">
        <f t="shared" si="292"/>
        <v>0</v>
      </c>
      <c r="BC117" s="154">
        <f t="shared" si="293"/>
        <v>0</v>
      </c>
      <c r="BD117" s="158">
        <f t="shared" si="294"/>
        <v>0</v>
      </c>
      <c r="BE117" s="156">
        <f t="shared" si="400"/>
        <v>0</v>
      </c>
      <c r="BF117" s="154">
        <f t="shared" si="367"/>
        <v>0</v>
      </c>
      <c r="BG117" s="154">
        <f t="shared" si="295"/>
        <v>0</v>
      </c>
      <c r="BH117" s="154">
        <f t="shared" si="368"/>
        <v>0</v>
      </c>
      <c r="BI117" s="154">
        <f t="shared" si="296"/>
        <v>0</v>
      </c>
      <c r="BJ117" s="154">
        <f t="shared" si="369"/>
        <v>0</v>
      </c>
      <c r="BK117" s="154">
        <f t="shared" si="297"/>
        <v>0</v>
      </c>
      <c r="BL117" s="154">
        <f t="shared" si="370"/>
        <v>0</v>
      </c>
      <c r="BM117" s="154">
        <f t="shared" si="298"/>
        <v>0</v>
      </c>
      <c r="BN117" s="154">
        <f t="shared" si="371"/>
        <v>0</v>
      </c>
      <c r="BO117" s="157">
        <f t="shared" si="299"/>
        <v>0</v>
      </c>
      <c r="BP117" s="154">
        <f t="shared" si="300"/>
        <v>0</v>
      </c>
      <c r="BQ117" s="158">
        <f t="shared" si="301"/>
        <v>0</v>
      </c>
      <c r="BR117" s="156">
        <f t="shared" si="400"/>
        <v>0</v>
      </c>
      <c r="BS117" s="154">
        <f t="shared" si="372"/>
        <v>0</v>
      </c>
      <c r="BT117" s="154">
        <f t="shared" si="302"/>
        <v>0</v>
      </c>
      <c r="BU117" s="154">
        <f t="shared" si="373"/>
        <v>0</v>
      </c>
      <c r="BV117" s="154">
        <f t="shared" si="303"/>
        <v>0</v>
      </c>
      <c r="BW117" s="154">
        <f t="shared" si="374"/>
        <v>0</v>
      </c>
      <c r="BX117" s="154">
        <f t="shared" si="304"/>
        <v>0</v>
      </c>
      <c r="BY117" s="154">
        <f t="shared" si="375"/>
        <v>0</v>
      </c>
      <c r="BZ117" s="154">
        <f t="shared" si="305"/>
        <v>0</v>
      </c>
      <c r="CA117" s="154">
        <f t="shared" si="376"/>
        <v>0</v>
      </c>
      <c r="CB117" s="157">
        <f t="shared" si="306"/>
        <v>0</v>
      </c>
      <c r="CC117" s="154">
        <f t="shared" si="307"/>
        <v>0</v>
      </c>
      <c r="CD117" s="158">
        <f t="shared" si="308"/>
        <v>0</v>
      </c>
      <c r="CE117" s="156">
        <f t="shared" si="400"/>
        <v>0</v>
      </c>
      <c r="CF117" s="154">
        <f t="shared" si="377"/>
        <v>0</v>
      </c>
      <c r="CG117" s="154">
        <f t="shared" si="309"/>
        <v>0</v>
      </c>
      <c r="CH117" s="154">
        <f t="shared" si="378"/>
        <v>0</v>
      </c>
      <c r="CI117" s="154">
        <f t="shared" si="310"/>
        <v>0</v>
      </c>
      <c r="CJ117" s="154">
        <f t="shared" si="379"/>
        <v>0</v>
      </c>
      <c r="CK117" s="154">
        <f t="shared" si="311"/>
        <v>0</v>
      </c>
      <c r="CL117" s="154">
        <f t="shared" si="380"/>
        <v>0</v>
      </c>
      <c r="CM117" s="154">
        <f t="shared" si="312"/>
        <v>0</v>
      </c>
      <c r="CN117" s="154">
        <f t="shared" si="381"/>
        <v>0</v>
      </c>
      <c r="CO117" s="157">
        <f t="shared" si="313"/>
        <v>0</v>
      </c>
      <c r="CP117" s="154">
        <f t="shared" si="314"/>
        <v>0</v>
      </c>
      <c r="CQ117" s="158">
        <f t="shared" si="315"/>
        <v>0</v>
      </c>
      <c r="CR117" s="156">
        <f t="shared" ref="CR117:DR125" si="401">IF(YEAR($F117)=CR$4,$E117,0)</f>
        <v>0</v>
      </c>
      <c r="CS117" s="154">
        <f t="shared" si="383"/>
        <v>0</v>
      </c>
      <c r="CT117" s="154">
        <f t="shared" si="317"/>
        <v>0</v>
      </c>
      <c r="CU117" s="154">
        <f t="shared" si="384"/>
        <v>0</v>
      </c>
      <c r="CV117" s="154">
        <f t="shared" si="318"/>
        <v>0</v>
      </c>
      <c r="CW117" s="154">
        <f t="shared" si="385"/>
        <v>0</v>
      </c>
      <c r="CX117" s="154">
        <f t="shared" si="319"/>
        <v>0</v>
      </c>
      <c r="CY117" s="154">
        <f t="shared" si="386"/>
        <v>0</v>
      </c>
      <c r="CZ117" s="154">
        <f t="shared" si="320"/>
        <v>0</v>
      </c>
      <c r="DA117" s="154">
        <f t="shared" si="387"/>
        <v>0</v>
      </c>
      <c r="DB117" s="157">
        <f t="shared" si="321"/>
        <v>0</v>
      </c>
      <c r="DC117" s="154">
        <f t="shared" si="322"/>
        <v>0</v>
      </c>
      <c r="DD117" s="158">
        <f t="shared" si="323"/>
        <v>0</v>
      </c>
      <c r="DE117" s="156">
        <f t="shared" si="401"/>
        <v>0</v>
      </c>
      <c r="DF117" s="154">
        <f t="shared" si="388"/>
        <v>0</v>
      </c>
      <c r="DG117" s="154">
        <f t="shared" si="324"/>
        <v>0</v>
      </c>
      <c r="DH117" s="154">
        <f t="shared" si="389"/>
        <v>0</v>
      </c>
      <c r="DI117" s="154">
        <f t="shared" si="325"/>
        <v>0</v>
      </c>
      <c r="DJ117" s="154">
        <f t="shared" si="390"/>
        <v>0</v>
      </c>
      <c r="DK117" s="154">
        <f t="shared" si="326"/>
        <v>0</v>
      </c>
      <c r="DL117" s="154">
        <f t="shared" si="391"/>
        <v>0</v>
      </c>
      <c r="DM117" s="154">
        <f t="shared" si="327"/>
        <v>0</v>
      </c>
      <c r="DN117" s="154">
        <f t="shared" si="392"/>
        <v>0</v>
      </c>
      <c r="DO117" s="157">
        <f t="shared" si="328"/>
        <v>0</v>
      </c>
      <c r="DP117" s="154">
        <f t="shared" si="329"/>
        <v>0</v>
      </c>
      <c r="DQ117" s="158">
        <f t="shared" si="330"/>
        <v>0</v>
      </c>
      <c r="DR117" s="156">
        <f t="shared" si="401"/>
        <v>0</v>
      </c>
      <c r="DS117" s="154">
        <f t="shared" si="393"/>
        <v>0</v>
      </c>
      <c r="DT117" s="154">
        <f t="shared" si="331"/>
        <v>0</v>
      </c>
      <c r="DU117" s="154">
        <f t="shared" si="394"/>
        <v>0</v>
      </c>
      <c r="DV117" s="154">
        <f t="shared" si="332"/>
        <v>0</v>
      </c>
      <c r="DW117" s="154">
        <f t="shared" si="395"/>
        <v>0</v>
      </c>
      <c r="DX117" s="154">
        <f t="shared" si="333"/>
        <v>0</v>
      </c>
      <c r="DY117" s="154">
        <f t="shared" si="396"/>
        <v>0</v>
      </c>
      <c r="DZ117" s="154">
        <f t="shared" si="334"/>
        <v>0</v>
      </c>
      <c r="EA117" s="154">
        <f t="shared" si="397"/>
        <v>0</v>
      </c>
      <c r="EB117" s="157">
        <f t="shared" si="335"/>
        <v>0</v>
      </c>
      <c r="EC117" s="154">
        <f t="shared" si="336"/>
        <v>0</v>
      </c>
      <c r="ED117" s="158">
        <f t="shared" si="337"/>
        <v>0</v>
      </c>
    </row>
    <row r="118" spans="1:134" x14ac:dyDescent="0.35">
      <c r="A118" s="172"/>
      <c r="B118" s="173"/>
      <c r="C118" s="174"/>
      <c r="D118" s="175"/>
      <c r="E118" s="176"/>
      <c r="F118" s="177"/>
      <c r="G118" s="178"/>
      <c r="H118" s="179"/>
      <c r="I118" s="180"/>
      <c r="J118" s="181"/>
      <c r="K118" s="152">
        <f t="shared" si="338"/>
        <v>0</v>
      </c>
      <c r="L118" s="153">
        <f t="shared" si="339"/>
        <v>0</v>
      </c>
      <c r="M118" s="154">
        <f t="shared" si="340"/>
        <v>0</v>
      </c>
      <c r="N118" s="154"/>
      <c r="O118" s="154">
        <f t="shared" si="341"/>
        <v>0</v>
      </c>
      <c r="P118" s="155"/>
      <c r="Q118" s="154">
        <f t="shared" si="342"/>
        <v>0</v>
      </c>
      <c r="R118" s="156">
        <f t="shared" si="343"/>
        <v>0</v>
      </c>
      <c r="S118" s="154">
        <f t="shared" si="344"/>
        <v>0</v>
      </c>
      <c r="T118" s="154">
        <f t="shared" si="345"/>
        <v>0</v>
      </c>
      <c r="U118" s="154">
        <f t="shared" si="346"/>
        <v>0</v>
      </c>
      <c r="V118" s="154">
        <f t="shared" si="347"/>
        <v>0</v>
      </c>
      <c r="W118" s="154">
        <f t="shared" si="348"/>
        <v>0</v>
      </c>
      <c r="X118" s="154">
        <f t="shared" si="349"/>
        <v>0</v>
      </c>
      <c r="Y118" s="154">
        <f t="shared" si="350"/>
        <v>0</v>
      </c>
      <c r="Z118" s="154">
        <f t="shared" si="351"/>
        <v>0</v>
      </c>
      <c r="AA118" s="154">
        <f t="shared" si="352"/>
        <v>0</v>
      </c>
      <c r="AB118" s="157">
        <f t="shared" si="353"/>
        <v>0</v>
      </c>
      <c r="AC118" s="154">
        <f t="shared" si="354"/>
        <v>0</v>
      </c>
      <c r="AD118" s="158">
        <f t="shared" si="355"/>
        <v>0</v>
      </c>
      <c r="AE118" s="156">
        <f t="shared" si="400"/>
        <v>0</v>
      </c>
      <c r="AF118" s="154">
        <f t="shared" si="357"/>
        <v>0</v>
      </c>
      <c r="AG118" s="154">
        <f t="shared" si="281"/>
        <v>0</v>
      </c>
      <c r="AH118" s="154">
        <f t="shared" si="358"/>
        <v>0</v>
      </c>
      <c r="AI118" s="154">
        <f t="shared" si="282"/>
        <v>0</v>
      </c>
      <c r="AJ118" s="154">
        <f t="shared" si="359"/>
        <v>0</v>
      </c>
      <c r="AK118" s="154">
        <f t="shared" si="283"/>
        <v>0</v>
      </c>
      <c r="AL118" s="154">
        <f t="shared" si="360"/>
        <v>0</v>
      </c>
      <c r="AM118" s="154">
        <f t="shared" si="284"/>
        <v>0</v>
      </c>
      <c r="AN118" s="154">
        <f t="shared" si="361"/>
        <v>0</v>
      </c>
      <c r="AO118" s="157">
        <f t="shared" si="285"/>
        <v>0</v>
      </c>
      <c r="AP118" s="154">
        <f t="shared" si="286"/>
        <v>0</v>
      </c>
      <c r="AQ118" s="158">
        <f t="shared" si="287"/>
        <v>0</v>
      </c>
      <c r="AR118" s="156">
        <f t="shared" si="400"/>
        <v>0</v>
      </c>
      <c r="AS118" s="154">
        <f t="shared" si="362"/>
        <v>0</v>
      </c>
      <c r="AT118" s="154">
        <f t="shared" si="288"/>
        <v>0</v>
      </c>
      <c r="AU118" s="154">
        <f t="shared" si="363"/>
        <v>0</v>
      </c>
      <c r="AV118" s="154">
        <f t="shared" si="289"/>
        <v>0</v>
      </c>
      <c r="AW118" s="154">
        <f t="shared" si="364"/>
        <v>0</v>
      </c>
      <c r="AX118" s="154">
        <f t="shared" si="290"/>
        <v>0</v>
      </c>
      <c r="AY118" s="154">
        <f t="shared" si="365"/>
        <v>0</v>
      </c>
      <c r="AZ118" s="154">
        <f t="shared" si="291"/>
        <v>0</v>
      </c>
      <c r="BA118" s="154">
        <f t="shared" si="366"/>
        <v>0</v>
      </c>
      <c r="BB118" s="157">
        <f t="shared" si="292"/>
        <v>0</v>
      </c>
      <c r="BC118" s="154">
        <f t="shared" si="293"/>
        <v>0</v>
      </c>
      <c r="BD118" s="158">
        <f t="shared" si="294"/>
        <v>0</v>
      </c>
      <c r="BE118" s="156">
        <f t="shared" si="400"/>
        <v>0</v>
      </c>
      <c r="BF118" s="154">
        <f t="shared" si="367"/>
        <v>0</v>
      </c>
      <c r="BG118" s="154">
        <f t="shared" si="295"/>
        <v>0</v>
      </c>
      <c r="BH118" s="154">
        <f t="shared" si="368"/>
        <v>0</v>
      </c>
      <c r="BI118" s="154">
        <f t="shared" si="296"/>
        <v>0</v>
      </c>
      <c r="BJ118" s="154">
        <f t="shared" si="369"/>
        <v>0</v>
      </c>
      <c r="BK118" s="154">
        <f t="shared" si="297"/>
        <v>0</v>
      </c>
      <c r="BL118" s="154">
        <f t="shared" si="370"/>
        <v>0</v>
      </c>
      <c r="BM118" s="154">
        <f t="shared" si="298"/>
        <v>0</v>
      </c>
      <c r="BN118" s="154">
        <f t="shared" si="371"/>
        <v>0</v>
      </c>
      <c r="BO118" s="157">
        <f t="shared" si="299"/>
        <v>0</v>
      </c>
      <c r="BP118" s="154">
        <f t="shared" si="300"/>
        <v>0</v>
      </c>
      <c r="BQ118" s="158">
        <f t="shared" si="301"/>
        <v>0</v>
      </c>
      <c r="BR118" s="156">
        <f t="shared" si="400"/>
        <v>0</v>
      </c>
      <c r="BS118" s="154">
        <f t="shared" si="372"/>
        <v>0</v>
      </c>
      <c r="BT118" s="154">
        <f t="shared" si="302"/>
        <v>0</v>
      </c>
      <c r="BU118" s="154">
        <f t="shared" si="373"/>
        <v>0</v>
      </c>
      <c r="BV118" s="154">
        <f t="shared" si="303"/>
        <v>0</v>
      </c>
      <c r="BW118" s="154">
        <f t="shared" si="374"/>
        <v>0</v>
      </c>
      <c r="BX118" s="154">
        <f t="shared" si="304"/>
        <v>0</v>
      </c>
      <c r="BY118" s="154">
        <f t="shared" si="375"/>
        <v>0</v>
      </c>
      <c r="BZ118" s="154">
        <f t="shared" si="305"/>
        <v>0</v>
      </c>
      <c r="CA118" s="154">
        <f t="shared" si="376"/>
        <v>0</v>
      </c>
      <c r="CB118" s="157">
        <f t="shared" si="306"/>
        <v>0</v>
      </c>
      <c r="CC118" s="154">
        <f t="shared" si="307"/>
        <v>0</v>
      </c>
      <c r="CD118" s="158">
        <f t="shared" si="308"/>
        <v>0</v>
      </c>
      <c r="CE118" s="156">
        <f t="shared" si="400"/>
        <v>0</v>
      </c>
      <c r="CF118" s="154">
        <f t="shared" si="377"/>
        <v>0</v>
      </c>
      <c r="CG118" s="154">
        <f t="shared" si="309"/>
        <v>0</v>
      </c>
      <c r="CH118" s="154">
        <f t="shared" si="378"/>
        <v>0</v>
      </c>
      <c r="CI118" s="154">
        <f t="shared" si="310"/>
        <v>0</v>
      </c>
      <c r="CJ118" s="154">
        <f t="shared" si="379"/>
        <v>0</v>
      </c>
      <c r="CK118" s="154">
        <f t="shared" si="311"/>
        <v>0</v>
      </c>
      <c r="CL118" s="154">
        <f t="shared" si="380"/>
        <v>0</v>
      </c>
      <c r="CM118" s="154">
        <f t="shared" si="312"/>
        <v>0</v>
      </c>
      <c r="CN118" s="154">
        <f t="shared" si="381"/>
        <v>0</v>
      </c>
      <c r="CO118" s="157">
        <f t="shared" si="313"/>
        <v>0</v>
      </c>
      <c r="CP118" s="154">
        <f t="shared" si="314"/>
        <v>0</v>
      </c>
      <c r="CQ118" s="158">
        <f t="shared" si="315"/>
        <v>0</v>
      </c>
      <c r="CR118" s="156">
        <f t="shared" si="401"/>
        <v>0</v>
      </c>
      <c r="CS118" s="154">
        <f t="shared" si="383"/>
        <v>0</v>
      </c>
      <c r="CT118" s="154">
        <f t="shared" si="317"/>
        <v>0</v>
      </c>
      <c r="CU118" s="154">
        <f t="shared" si="384"/>
        <v>0</v>
      </c>
      <c r="CV118" s="154">
        <f t="shared" si="318"/>
        <v>0</v>
      </c>
      <c r="CW118" s="154">
        <f t="shared" si="385"/>
        <v>0</v>
      </c>
      <c r="CX118" s="154">
        <f t="shared" si="319"/>
        <v>0</v>
      </c>
      <c r="CY118" s="154">
        <f t="shared" si="386"/>
        <v>0</v>
      </c>
      <c r="CZ118" s="154">
        <f t="shared" si="320"/>
        <v>0</v>
      </c>
      <c r="DA118" s="154">
        <f t="shared" si="387"/>
        <v>0</v>
      </c>
      <c r="DB118" s="157">
        <f t="shared" si="321"/>
        <v>0</v>
      </c>
      <c r="DC118" s="154">
        <f t="shared" si="322"/>
        <v>0</v>
      </c>
      <c r="DD118" s="158">
        <f t="shared" si="323"/>
        <v>0</v>
      </c>
      <c r="DE118" s="156">
        <f t="shared" si="401"/>
        <v>0</v>
      </c>
      <c r="DF118" s="154">
        <f t="shared" si="388"/>
        <v>0</v>
      </c>
      <c r="DG118" s="154">
        <f t="shared" si="324"/>
        <v>0</v>
      </c>
      <c r="DH118" s="154">
        <f t="shared" si="389"/>
        <v>0</v>
      </c>
      <c r="DI118" s="154">
        <f t="shared" si="325"/>
        <v>0</v>
      </c>
      <c r="DJ118" s="154">
        <f t="shared" si="390"/>
        <v>0</v>
      </c>
      <c r="DK118" s="154">
        <f t="shared" si="326"/>
        <v>0</v>
      </c>
      <c r="DL118" s="154">
        <f t="shared" si="391"/>
        <v>0</v>
      </c>
      <c r="DM118" s="154">
        <f t="shared" si="327"/>
        <v>0</v>
      </c>
      <c r="DN118" s="154">
        <f t="shared" si="392"/>
        <v>0</v>
      </c>
      <c r="DO118" s="157">
        <f t="shared" si="328"/>
        <v>0</v>
      </c>
      <c r="DP118" s="154">
        <f t="shared" si="329"/>
        <v>0</v>
      </c>
      <c r="DQ118" s="158">
        <f t="shared" si="330"/>
        <v>0</v>
      </c>
      <c r="DR118" s="156">
        <f t="shared" si="401"/>
        <v>0</v>
      </c>
      <c r="DS118" s="154">
        <f t="shared" si="393"/>
        <v>0</v>
      </c>
      <c r="DT118" s="154">
        <f t="shared" si="331"/>
        <v>0</v>
      </c>
      <c r="DU118" s="154">
        <f t="shared" si="394"/>
        <v>0</v>
      </c>
      <c r="DV118" s="154">
        <f t="shared" si="332"/>
        <v>0</v>
      </c>
      <c r="DW118" s="154">
        <f t="shared" si="395"/>
        <v>0</v>
      </c>
      <c r="DX118" s="154">
        <f t="shared" si="333"/>
        <v>0</v>
      </c>
      <c r="DY118" s="154">
        <f t="shared" si="396"/>
        <v>0</v>
      </c>
      <c r="DZ118" s="154">
        <f t="shared" si="334"/>
        <v>0</v>
      </c>
      <c r="EA118" s="154">
        <f t="shared" si="397"/>
        <v>0</v>
      </c>
      <c r="EB118" s="157">
        <f t="shared" si="335"/>
        <v>0</v>
      </c>
      <c r="EC118" s="154">
        <f t="shared" si="336"/>
        <v>0</v>
      </c>
      <c r="ED118" s="158">
        <f t="shared" si="337"/>
        <v>0</v>
      </c>
    </row>
    <row r="119" spans="1:134" x14ac:dyDescent="0.35">
      <c r="A119" s="172"/>
      <c r="B119" s="173"/>
      <c r="C119" s="174"/>
      <c r="D119" s="175"/>
      <c r="E119" s="176"/>
      <c r="F119" s="177"/>
      <c r="G119" s="178"/>
      <c r="H119" s="179"/>
      <c r="I119" s="180"/>
      <c r="J119" s="181"/>
      <c r="K119" s="152">
        <f t="shared" si="338"/>
        <v>0</v>
      </c>
      <c r="L119" s="153">
        <f t="shared" si="339"/>
        <v>0</v>
      </c>
      <c r="M119" s="154">
        <f t="shared" si="340"/>
        <v>0</v>
      </c>
      <c r="N119" s="154"/>
      <c r="O119" s="154">
        <f t="shared" si="341"/>
        <v>0</v>
      </c>
      <c r="P119" s="155"/>
      <c r="Q119" s="154">
        <f t="shared" si="342"/>
        <v>0</v>
      </c>
      <c r="R119" s="156">
        <f t="shared" si="343"/>
        <v>0</v>
      </c>
      <c r="S119" s="154">
        <f t="shared" si="344"/>
        <v>0</v>
      </c>
      <c r="T119" s="154">
        <f t="shared" si="345"/>
        <v>0</v>
      </c>
      <c r="U119" s="154">
        <f t="shared" si="346"/>
        <v>0</v>
      </c>
      <c r="V119" s="154">
        <f t="shared" si="347"/>
        <v>0</v>
      </c>
      <c r="W119" s="154">
        <f t="shared" si="348"/>
        <v>0</v>
      </c>
      <c r="X119" s="154">
        <f t="shared" si="349"/>
        <v>0</v>
      </c>
      <c r="Y119" s="154">
        <f t="shared" si="350"/>
        <v>0</v>
      </c>
      <c r="Z119" s="154">
        <f t="shared" si="351"/>
        <v>0</v>
      </c>
      <c r="AA119" s="154">
        <f t="shared" si="352"/>
        <v>0</v>
      </c>
      <c r="AB119" s="157">
        <f t="shared" si="353"/>
        <v>0</v>
      </c>
      <c r="AC119" s="154">
        <f t="shared" si="354"/>
        <v>0</v>
      </c>
      <c r="AD119" s="158">
        <f t="shared" si="355"/>
        <v>0</v>
      </c>
      <c r="AE119" s="156">
        <f t="shared" si="400"/>
        <v>0</v>
      </c>
      <c r="AF119" s="154">
        <f t="shared" si="357"/>
        <v>0</v>
      </c>
      <c r="AG119" s="154">
        <f t="shared" si="281"/>
        <v>0</v>
      </c>
      <c r="AH119" s="154">
        <f t="shared" si="358"/>
        <v>0</v>
      </c>
      <c r="AI119" s="154">
        <f t="shared" si="282"/>
        <v>0</v>
      </c>
      <c r="AJ119" s="154">
        <f t="shared" si="359"/>
        <v>0</v>
      </c>
      <c r="AK119" s="154">
        <f t="shared" si="283"/>
        <v>0</v>
      </c>
      <c r="AL119" s="154">
        <f t="shared" si="360"/>
        <v>0</v>
      </c>
      <c r="AM119" s="154">
        <f t="shared" si="284"/>
        <v>0</v>
      </c>
      <c r="AN119" s="154">
        <f t="shared" si="361"/>
        <v>0</v>
      </c>
      <c r="AO119" s="157">
        <f t="shared" si="285"/>
        <v>0</v>
      </c>
      <c r="AP119" s="154">
        <f t="shared" si="286"/>
        <v>0</v>
      </c>
      <c r="AQ119" s="158">
        <f t="shared" si="287"/>
        <v>0</v>
      </c>
      <c r="AR119" s="156">
        <f t="shared" si="400"/>
        <v>0</v>
      </c>
      <c r="AS119" s="154">
        <f t="shared" si="362"/>
        <v>0</v>
      </c>
      <c r="AT119" s="154">
        <f t="shared" si="288"/>
        <v>0</v>
      </c>
      <c r="AU119" s="154">
        <f t="shared" si="363"/>
        <v>0</v>
      </c>
      <c r="AV119" s="154">
        <f t="shared" si="289"/>
        <v>0</v>
      </c>
      <c r="AW119" s="154">
        <f t="shared" si="364"/>
        <v>0</v>
      </c>
      <c r="AX119" s="154">
        <f t="shared" si="290"/>
        <v>0</v>
      </c>
      <c r="AY119" s="154">
        <f t="shared" si="365"/>
        <v>0</v>
      </c>
      <c r="AZ119" s="154">
        <f t="shared" si="291"/>
        <v>0</v>
      </c>
      <c r="BA119" s="154">
        <f t="shared" si="366"/>
        <v>0</v>
      </c>
      <c r="BB119" s="157">
        <f t="shared" si="292"/>
        <v>0</v>
      </c>
      <c r="BC119" s="154">
        <f t="shared" si="293"/>
        <v>0</v>
      </c>
      <c r="BD119" s="158">
        <f t="shared" si="294"/>
        <v>0</v>
      </c>
      <c r="BE119" s="156">
        <f t="shared" si="400"/>
        <v>0</v>
      </c>
      <c r="BF119" s="154">
        <f t="shared" si="367"/>
        <v>0</v>
      </c>
      <c r="BG119" s="154">
        <f t="shared" si="295"/>
        <v>0</v>
      </c>
      <c r="BH119" s="154">
        <f t="shared" si="368"/>
        <v>0</v>
      </c>
      <c r="BI119" s="154">
        <f t="shared" si="296"/>
        <v>0</v>
      </c>
      <c r="BJ119" s="154">
        <f t="shared" si="369"/>
        <v>0</v>
      </c>
      <c r="BK119" s="154">
        <f t="shared" si="297"/>
        <v>0</v>
      </c>
      <c r="BL119" s="154">
        <f t="shared" si="370"/>
        <v>0</v>
      </c>
      <c r="BM119" s="154">
        <f t="shared" si="298"/>
        <v>0</v>
      </c>
      <c r="BN119" s="154">
        <f t="shared" si="371"/>
        <v>0</v>
      </c>
      <c r="BO119" s="157">
        <f t="shared" si="299"/>
        <v>0</v>
      </c>
      <c r="BP119" s="154">
        <f t="shared" si="300"/>
        <v>0</v>
      </c>
      <c r="BQ119" s="158">
        <f t="shared" si="301"/>
        <v>0</v>
      </c>
      <c r="BR119" s="156">
        <f t="shared" si="400"/>
        <v>0</v>
      </c>
      <c r="BS119" s="154">
        <f t="shared" si="372"/>
        <v>0</v>
      </c>
      <c r="BT119" s="154">
        <f t="shared" si="302"/>
        <v>0</v>
      </c>
      <c r="BU119" s="154">
        <f t="shared" si="373"/>
        <v>0</v>
      </c>
      <c r="BV119" s="154">
        <f t="shared" si="303"/>
        <v>0</v>
      </c>
      <c r="BW119" s="154">
        <f t="shared" si="374"/>
        <v>0</v>
      </c>
      <c r="BX119" s="154">
        <f t="shared" si="304"/>
        <v>0</v>
      </c>
      <c r="BY119" s="154">
        <f t="shared" si="375"/>
        <v>0</v>
      </c>
      <c r="BZ119" s="154">
        <f t="shared" si="305"/>
        <v>0</v>
      </c>
      <c r="CA119" s="154">
        <f t="shared" si="376"/>
        <v>0</v>
      </c>
      <c r="CB119" s="157">
        <f t="shared" si="306"/>
        <v>0</v>
      </c>
      <c r="CC119" s="154">
        <f t="shared" si="307"/>
        <v>0</v>
      </c>
      <c r="CD119" s="158">
        <f t="shared" si="308"/>
        <v>0</v>
      </c>
      <c r="CE119" s="156">
        <f t="shared" si="400"/>
        <v>0</v>
      </c>
      <c r="CF119" s="154">
        <f t="shared" si="377"/>
        <v>0</v>
      </c>
      <c r="CG119" s="154">
        <f t="shared" si="309"/>
        <v>0</v>
      </c>
      <c r="CH119" s="154">
        <f t="shared" si="378"/>
        <v>0</v>
      </c>
      <c r="CI119" s="154">
        <f t="shared" si="310"/>
        <v>0</v>
      </c>
      <c r="CJ119" s="154">
        <f t="shared" si="379"/>
        <v>0</v>
      </c>
      <c r="CK119" s="154">
        <f t="shared" si="311"/>
        <v>0</v>
      </c>
      <c r="CL119" s="154">
        <f t="shared" si="380"/>
        <v>0</v>
      </c>
      <c r="CM119" s="154">
        <f t="shared" si="312"/>
        <v>0</v>
      </c>
      <c r="CN119" s="154">
        <f t="shared" si="381"/>
        <v>0</v>
      </c>
      <c r="CO119" s="157">
        <f t="shared" si="313"/>
        <v>0</v>
      </c>
      <c r="CP119" s="154">
        <f t="shared" si="314"/>
        <v>0</v>
      </c>
      <c r="CQ119" s="158">
        <f t="shared" si="315"/>
        <v>0</v>
      </c>
      <c r="CR119" s="156">
        <f t="shared" si="401"/>
        <v>0</v>
      </c>
      <c r="CS119" s="154">
        <f t="shared" si="383"/>
        <v>0</v>
      </c>
      <c r="CT119" s="154">
        <f t="shared" si="317"/>
        <v>0</v>
      </c>
      <c r="CU119" s="154">
        <f t="shared" si="384"/>
        <v>0</v>
      </c>
      <c r="CV119" s="154">
        <f t="shared" si="318"/>
        <v>0</v>
      </c>
      <c r="CW119" s="154">
        <f t="shared" si="385"/>
        <v>0</v>
      </c>
      <c r="CX119" s="154">
        <f t="shared" si="319"/>
        <v>0</v>
      </c>
      <c r="CY119" s="154">
        <f t="shared" si="386"/>
        <v>0</v>
      </c>
      <c r="CZ119" s="154">
        <f t="shared" si="320"/>
        <v>0</v>
      </c>
      <c r="DA119" s="154">
        <f t="shared" si="387"/>
        <v>0</v>
      </c>
      <c r="DB119" s="157">
        <f t="shared" si="321"/>
        <v>0</v>
      </c>
      <c r="DC119" s="154">
        <f t="shared" si="322"/>
        <v>0</v>
      </c>
      <c r="DD119" s="158">
        <f t="shared" si="323"/>
        <v>0</v>
      </c>
      <c r="DE119" s="156">
        <f t="shared" si="401"/>
        <v>0</v>
      </c>
      <c r="DF119" s="154">
        <f t="shared" si="388"/>
        <v>0</v>
      </c>
      <c r="DG119" s="154">
        <f t="shared" si="324"/>
        <v>0</v>
      </c>
      <c r="DH119" s="154">
        <f t="shared" si="389"/>
        <v>0</v>
      </c>
      <c r="DI119" s="154">
        <f t="shared" si="325"/>
        <v>0</v>
      </c>
      <c r="DJ119" s="154">
        <f t="shared" si="390"/>
        <v>0</v>
      </c>
      <c r="DK119" s="154">
        <f t="shared" si="326"/>
        <v>0</v>
      </c>
      <c r="DL119" s="154">
        <f t="shared" si="391"/>
        <v>0</v>
      </c>
      <c r="DM119" s="154">
        <f t="shared" si="327"/>
        <v>0</v>
      </c>
      <c r="DN119" s="154">
        <f t="shared" si="392"/>
        <v>0</v>
      </c>
      <c r="DO119" s="157">
        <f t="shared" si="328"/>
        <v>0</v>
      </c>
      <c r="DP119" s="154">
        <f t="shared" si="329"/>
        <v>0</v>
      </c>
      <c r="DQ119" s="158">
        <f t="shared" si="330"/>
        <v>0</v>
      </c>
      <c r="DR119" s="156">
        <f t="shared" si="401"/>
        <v>0</v>
      </c>
      <c r="DS119" s="154">
        <f t="shared" si="393"/>
        <v>0</v>
      </c>
      <c r="DT119" s="154">
        <f t="shared" si="331"/>
        <v>0</v>
      </c>
      <c r="DU119" s="154">
        <f t="shared" si="394"/>
        <v>0</v>
      </c>
      <c r="DV119" s="154">
        <f t="shared" si="332"/>
        <v>0</v>
      </c>
      <c r="DW119" s="154">
        <f t="shared" si="395"/>
        <v>0</v>
      </c>
      <c r="DX119" s="154">
        <f t="shared" si="333"/>
        <v>0</v>
      </c>
      <c r="DY119" s="154">
        <f t="shared" si="396"/>
        <v>0</v>
      </c>
      <c r="DZ119" s="154">
        <f t="shared" si="334"/>
        <v>0</v>
      </c>
      <c r="EA119" s="154">
        <f t="shared" si="397"/>
        <v>0</v>
      </c>
      <c r="EB119" s="157">
        <f t="shared" si="335"/>
        <v>0</v>
      </c>
      <c r="EC119" s="154">
        <f t="shared" si="336"/>
        <v>0</v>
      </c>
      <c r="ED119" s="158">
        <f t="shared" si="337"/>
        <v>0</v>
      </c>
    </row>
    <row r="120" spans="1:134" x14ac:dyDescent="0.35">
      <c r="A120" s="172"/>
      <c r="B120" s="173"/>
      <c r="C120" s="174"/>
      <c r="D120" s="175"/>
      <c r="E120" s="176"/>
      <c r="F120" s="177"/>
      <c r="G120" s="178"/>
      <c r="H120" s="179"/>
      <c r="I120" s="180"/>
      <c r="J120" s="181"/>
      <c r="K120" s="152">
        <f t="shared" si="338"/>
        <v>0</v>
      </c>
      <c r="L120" s="153">
        <f t="shared" si="339"/>
        <v>0</v>
      </c>
      <c r="M120" s="154">
        <f t="shared" si="340"/>
        <v>0</v>
      </c>
      <c r="N120" s="154"/>
      <c r="O120" s="154">
        <f t="shared" si="341"/>
        <v>0</v>
      </c>
      <c r="P120" s="155"/>
      <c r="Q120" s="154">
        <f t="shared" si="342"/>
        <v>0</v>
      </c>
      <c r="R120" s="156">
        <f t="shared" si="343"/>
        <v>0</v>
      </c>
      <c r="S120" s="154">
        <f t="shared" si="344"/>
        <v>0</v>
      </c>
      <c r="T120" s="154">
        <f t="shared" si="345"/>
        <v>0</v>
      </c>
      <c r="U120" s="154">
        <f t="shared" si="346"/>
        <v>0</v>
      </c>
      <c r="V120" s="154">
        <f t="shared" si="347"/>
        <v>0</v>
      </c>
      <c r="W120" s="154">
        <f t="shared" si="348"/>
        <v>0</v>
      </c>
      <c r="X120" s="154">
        <f t="shared" si="349"/>
        <v>0</v>
      </c>
      <c r="Y120" s="154">
        <f t="shared" si="350"/>
        <v>0</v>
      </c>
      <c r="Z120" s="154">
        <f t="shared" si="351"/>
        <v>0</v>
      </c>
      <c r="AA120" s="154">
        <f t="shared" si="352"/>
        <v>0</v>
      </c>
      <c r="AB120" s="157">
        <f t="shared" si="353"/>
        <v>0</v>
      </c>
      <c r="AC120" s="154">
        <f t="shared" si="354"/>
        <v>0</v>
      </c>
      <c r="AD120" s="158">
        <f t="shared" si="355"/>
        <v>0</v>
      </c>
      <c r="AE120" s="156">
        <f t="shared" si="400"/>
        <v>0</v>
      </c>
      <c r="AF120" s="154">
        <f t="shared" si="357"/>
        <v>0</v>
      </c>
      <c r="AG120" s="154">
        <f t="shared" si="281"/>
        <v>0</v>
      </c>
      <c r="AH120" s="154">
        <f t="shared" si="358"/>
        <v>0</v>
      </c>
      <c r="AI120" s="154">
        <f t="shared" si="282"/>
        <v>0</v>
      </c>
      <c r="AJ120" s="154">
        <f t="shared" si="359"/>
        <v>0</v>
      </c>
      <c r="AK120" s="154">
        <f t="shared" si="283"/>
        <v>0</v>
      </c>
      <c r="AL120" s="154">
        <f t="shared" si="360"/>
        <v>0</v>
      </c>
      <c r="AM120" s="154">
        <f t="shared" si="284"/>
        <v>0</v>
      </c>
      <c r="AN120" s="154">
        <f t="shared" si="361"/>
        <v>0</v>
      </c>
      <c r="AO120" s="157">
        <f t="shared" si="285"/>
        <v>0</v>
      </c>
      <c r="AP120" s="154">
        <f t="shared" si="286"/>
        <v>0</v>
      </c>
      <c r="AQ120" s="158">
        <f t="shared" si="287"/>
        <v>0</v>
      </c>
      <c r="AR120" s="156">
        <f t="shared" si="400"/>
        <v>0</v>
      </c>
      <c r="AS120" s="154">
        <f t="shared" si="362"/>
        <v>0</v>
      </c>
      <c r="AT120" s="154">
        <f t="shared" si="288"/>
        <v>0</v>
      </c>
      <c r="AU120" s="154">
        <f t="shared" si="363"/>
        <v>0</v>
      </c>
      <c r="AV120" s="154">
        <f t="shared" si="289"/>
        <v>0</v>
      </c>
      <c r="AW120" s="154">
        <f t="shared" si="364"/>
        <v>0</v>
      </c>
      <c r="AX120" s="154">
        <f t="shared" si="290"/>
        <v>0</v>
      </c>
      <c r="AY120" s="154">
        <f t="shared" si="365"/>
        <v>0</v>
      </c>
      <c r="AZ120" s="154">
        <f t="shared" si="291"/>
        <v>0</v>
      </c>
      <c r="BA120" s="154">
        <f t="shared" si="366"/>
        <v>0</v>
      </c>
      <c r="BB120" s="157">
        <f t="shared" si="292"/>
        <v>0</v>
      </c>
      <c r="BC120" s="154">
        <f t="shared" si="293"/>
        <v>0</v>
      </c>
      <c r="BD120" s="158">
        <f t="shared" si="294"/>
        <v>0</v>
      </c>
      <c r="BE120" s="156">
        <f t="shared" si="400"/>
        <v>0</v>
      </c>
      <c r="BF120" s="154">
        <f t="shared" si="367"/>
        <v>0</v>
      </c>
      <c r="BG120" s="154">
        <f t="shared" si="295"/>
        <v>0</v>
      </c>
      <c r="BH120" s="154">
        <f t="shared" si="368"/>
        <v>0</v>
      </c>
      <c r="BI120" s="154">
        <f t="shared" si="296"/>
        <v>0</v>
      </c>
      <c r="BJ120" s="154">
        <f t="shared" si="369"/>
        <v>0</v>
      </c>
      <c r="BK120" s="154">
        <f t="shared" si="297"/>
        <v>0</v>
      </c>
      <c r="BL120" s="154">
        <f t="shared" si="370"/>
        <v>0</v>
      </c>
      <c r="BM120" s="154">
        <f t="shared" si="298"/>
        <v>0</v>
      </c>
      <c r="BN120" s="154">
        <f t="shared" si="371"/>
        <v>0</v>
      </c>
      <c r="BO120" s="157">
        <f t="shared" si="299"/>
        <v>0</v>
      </c>
      <c r="BP120" s="154">
        <f t="shared" si="300"/>
        <v>0</v>
      </c>
      <c r="BQ120" s="158">
        <f t="shared" si="301"/>
        <v>0</v>
      </c>
      <c r="BR120" s="156">
        <f t="shared" si="400"/>
        <v>0</v>
      </c>
      <c r="BS120" s="154">
        <f t="shared" si="372"/>
        <v>0</v>
      </c>
      <c r="BT120" s="154">
        <f t="shared" si="302"/>
        <v>0</v>
      </c>
      <c r="BU120" s="154">
        <f t="shared" si="373"/>
        <v>0</v>
      </c>
      <c r="BV120" s="154">
        <f t="shared" si="303"/>
        <v>0</v>
      </c>
      <c r="BW120" s="154">
        <f t="shared" si="374"/>
        <v>0</v>
      </c>
      <c r="BX120" s="154">
        <f t="shared" si="304"/>
        <v>0</v>
      </c>
      <c r="BY120" s="154">
        <f t="shared" si="375"/>
        <v>0</v>
      </c>
      <c r="BZ120" s="154">
        <f t="shared" si="305"/>
        <v>0</v>
      </c>
      <c r="CA120" s="154">
        <f t="shared" si="376"/>
        <v>0</v>
      </c>
      <c r="CB120" s="157">
        <f t="shared" si="306"/>
        <v>0</v>
      </c>
      <c r="CC120" s="154">
        <f t="shared" si="307"/>
        <v>0</v>
      </c>
      <c r="CD120" s="158">
        <f t="shared" si="308"/>
        <v>0</v>
      </c>
      <c r="CE120" s="156">
        <f t="shared" si="400"/>
        <v>0</v>
      </c>
      <c r="CF120" s="154">
        <f t="shared" si="377"/>
        <v>0</v>
      </c>
      <c r="CG120" s="154">
        <f t="shared" si="309"/>
        <v>0</v>
      </c>
      <c r="CH120" s="154">
        <f t="shared" si="378"/>
        <v>0</v>
      </c>
      <c r="CI120" s="154">
        <f t="shared" si="310"/>
        <v>0</v>
      </c>
      <c r="CJ120" s="154">
        <f t="shared" si="379"/>
        <v>0</v>
      </c>
      <c r="CK120" s="154">
        <f t="shared" si="311"/>
        <v>0</v>
      </c>
      <c r="CL120" s="154">
        <f t="shared" si="380"/>
        <v>0</v>
      </c>
      <c r="CM120" s="154">
        <f t="shared" si="312"/>
        <v>0</v>
      </c>
      <c r="CN120" s="154">
        <f t="shared" si="381"/>
        <v>0</v>
      </c>
      <c r="CO120" s="157">
        <f t="shared" si="313"/>
        <v>0</v>
      </c>
      <c r="CP120" s="154">
        <f t="shared" si="314"/>
        <v>0</v>
      </c>
      <c r="CQ120" s="158">
        <f t="shared" si="315"/>
        <v>0</v>
      </c>
      <c r="CR120" s="156">
        <f t="shared" si="401"/>
        <v>0</v>
      </c>
      <c r="CS120" s="154">
        <f t="shared" si="383"/>
        <v>0</v>
      </c>
      <c r="CT120" s="154">
        <f t="shared" si="317"/>
        <v>0</v>
      </c>
      <c r="CU120" s="154">
        <f t="shared" si="384"/>
        <v>0</v>
      </c>
      <c r="CV120" s="154">
        <f t="shared" si="318"/>
        <v>0</v>
      </c>
      <c r="CW120" s="154">
        <f t="shared" si="385"/>
        <v>0</v>
      </c>
      <c r="CX120" s="154">
        <f t="shared" si="319"/>
        <v>0</v>
      </c>
      <c r="CY120" s="154">
        <f t="shared" si="386"/>
        <v>0</v>
      </c>
      <c r="CZ120" s="154">
        <f t="shared" si="320"/>
        <v>0</v>
      </c>
      <c r="DA120" s="154">
        <f t="shared" si="387"/>
        <v>0</v>
      </c>
      <c r="DB120" s="157">
        <f t="shared" si="321"/>
        <v>0</v>
      </c>
      <c r="DC120" s="154">
        <f t="shared" si="322"/>
        <v>0</v>
      </c>
      <c r="DD120" s="158">
        <f t="shared" si="323"/>
        <v>0</v>
      </c>
      <c r="DE120" s="156">
        <f t="shared" si="401"/>
        <v>0</v>
      </c>
      <c r="DF120" s="154">
        <f t="shared" si="388"/>
        <v>0</v>
      </c>
      <c r="DG120" s="154">
        <f t="shared" si="324"/>
        <v>0</v>
      </c>
      <c r="DH120" s="154">
        <f t="shared" si="389"/>
        <v>0</v>
      </c>
      <c r="DI120" s="154">
        <f t="shared" si="325"/>
        <v>0</v>
      </c>
      <c r="DJ120" s="154">
        <f t="shared" si="390"/>
        <v>0</v>
      </c>
      <c r="DK120" s="154">
        <f t="shared" si="326"/>
        <v>0</v>
      </c>
      <c r="DL120" s="154">
        <f t="shared" si="391"/>
        <v>0</v>
      </c>
      <c r="DM120" s="154">
        <f t="shared" si="327"/>
        <v>0</v>
      </c>
      <c r="DN120" s="154">
        <f t="shared" si="392"/>
        <v>0</v>
      </c>
      <c r="DO120" s="157">
        <f t="shared" si="328"/>
        <v>0</v>
      </c>
      <c r="DP120" s="154">
        <f t="shared" si="329"/>
        <v>0</v>
      </c>
      <c r="DQ120" s="158">
        <f t="shared" si="330"/>
        <v>0</v>
      </c>
      <c r="DR120" s="156">
        <f t="shared" si="401"/>
        <v>0</v>
      </c>
      <c r="DS120" s="154">
        <f t="shared" si="393"/>
        <v>0</v>
      </c>
      <c r="DT120" s="154">
        <f t="shared" si="331"/>
        <v>0</v>
      </c>
      <c r="DU120" s="154">
        <f t="shared" si="394"/>
        <v>0</v>
      </c>
      <c r="DV120" s="154">
        <f t="shared" si="332"/>
        <v>0</v>
      </c>
      <c r="DW120" s="154">
        <f t="shared" si="395"/>
        <v>0</v>
      </c>
      <c r="DX120" s="154">
        <f t="shared" si="333"/>
        <v>0</v>
      </c>
      <c r="DY120" s="154">
        <f t="shared" si="396"/>
        <v>0</v>
      </c>
      <c r="DZ120" s="154">
        <f t="shared" si="334"/>
        <v>0</v>
      </c>
      <c r="EA120" s="154">
        <f t="shared" si="397"/>
        <v>0</v>
      </c>
      <c r="EB120" s="157">
        <f t="shared" si="335"/>
        <v>0</v>
      </c>
      <c r="EC120" s="154">
        <f t="shared" si="336"/>
        <v>0</v>
      </c>
      <c r="ED120" s="158">
        <f t="shared" si="337"/>
        <v>0</v>
      </c>
    </row>
    <row r="121" spans="1:134" x14ac:dyDescent="0.35">
      <c r="A121" s="172"/>
      <c r="B121" s="173"/>
      <c r="C121" s="174"/>
      <c r="D121" s="175"/>
      <c r="E121" s="176"/>
      <c r="F121" s="177"/>
      <c r="G121" s="178"/>
      <c r="H121" s="179"/>
      <c r="I121" s="180"/>
      <c r="J121" s="181"/>
      <c r="K121" s="152">
        <f t="shared" si="338"/>
        <v>0</v>
      </c>
      <c r="L121" s="153">
        <f t="shared" si="339"/>
        <v>0</v>
      </c>
      <c r="M121" s="154">
        <f t="shared" si="340"/>
        <v>0</v>
      </c>
      <c r="N121" s="154"/>
      <c r="O121" s="154">
        <f t="shared" si="341"/>
        <v>0</v>
      </c>
      <c r="P121" s="155"/>
      <c r="Q121" s="154">
        <f t="shared" si="342"/>
        <v>0</v>
      </c>
      <c r="R121" s="156">
        <f t="shared" si="343"/>
        <v>0</v>
      </c>
      <c r="S121" s="154">
        <f t="shared" si="344"/>
        <v>0</v>
      </c>
      <c r="T121" s="154">
        <f t="shared" si="345"/>
        <v>0</v>
      </c>
      <c r="U121" s="154">
        <f t="shared" si="346"/>
        <v>0</v>
      </c>
      <c r="V121" s="154">
        <f t="shared" si="347"/>
        <v>0</v>
      </c>
      <c r="W121" s="154">
        <f t="shared" si="348"/>
        <v>0</v>
      </c>
      <c r="X121" s="154">
        <f t="shared" si="349"/>
        <v>0</v>
      </c>
      <c r="Y121" s="154">
        <f t="shared" si="350"/>
        <v>0</v>
      </c>
      <c r="Z121" s="154">
        <f t="shared" si="351"/>
        <v>0</v>
      </c>
      <c r="AA121" s="154">
        <f t="shared" si="352"/>
        <v>0</v>
      </c>
      <c r="AB121" s="157">
        <f t="shared" si="353"/>
        <v>0</v>
      </c>
      <c r="AC121" s="154">
        <f t="shared" si="354"/>
        <v>0</v>
      </c>
      <c r="AD121" s="158">
        <f t="shared" si="355"/>
        <v>0</v>
      </c>
      <c r="AE121" s="156">
        <f t="shared" si="400"/>
        <v>0</v>
      </c>
      <c r="AF121" s="154">
        <f t="shared" si="357"/>
        <v>0</v>
      </c>
      <c r="AG121" s="154">
        <f t="shared" si="281"/>
        <v>0</v>
      </c>
      <c r="AH121" s="154">
        <f t="shared" si="358"/>
        <v>0</v>
      </c>
      <c r="AI121" s="154">
        <f t="shared" si="282"/>
        <v>0</v>
      </c>
      <c r="AJ121" s="154">
        <f t="shared" si="359"/>
        <v>0</v>
      </c>
      <c r="AK121" s="154">
        <f t="shared" si="283"/>
        <v>0</v>
      </c>
      <c r="AL121" s="154">
        <f t="shared" si="360"/>
        <v>0</v>
      </c>
      <c r="AM121" s="154">
        <f t="shared" si="284"/>
        <v>0</v>
      </c>
      <c r="AN121" s="154">
        <f t="shared" si="361"/>
        <v>0</v>
      </c>
      <c r="AO121" s="157">
        <f t="shared" si="285"/>
        <v>0</v>
      </c>
      <c r="AP121" s="154">
        <f t="shared" si="286"/>
        <v>0</v>
      </c>
      <c r="AQ121" s="158">
        <f t="shared" si="287"/>
        <v>0</v>
      </c>
      <c r="AR121" s="156">
        <f t="shared" si="400"/>
        <v>0</v>
      </c>
      <c r="AS121" s="154">
        <f t="shared" si="362"/>
        <v>0</v>
      </c>
      <c r="AT121" s="154">
        <f t="shared" si="288"/>
        <v>0</v>
      </c>
      <c r="AU121" s="154">
        <f t="shared" si="363"/>
        <v>0</v>
      </c>
      <c r="AV121" s="154">
        <f t="shared" si="289"/>
        <v>0</v>
      </c>
      <c r="AW121" s="154">
        <f t="shared" si="364"/>
        <v>0</v>
      </c>
      <c r="AX121" s="154">
        <f t="shared" si="290"/>
        <v>0</v>
      </c>
      <c r="AY121" s="154">
        <f t="shared" si="365"/>
        <v>0</v>
      </c>
      <c r="AZ121" s="154">
        <f t="shared" si="291"/>
        <v>0</v>
      </c>
      <c r="BA121" s="154">
        <f t="shared" si="366"/>
        <v>0</v>
      </c>
      <c r="BB121" s="157">
        <f t="shared" si="292"/>
        <v>0</v>
      </c>
      <c r="BC121" s="154">
        <f t="shared" si="293"/>
        <v>0</v>
      </c>
      <c r="BD121" s="158">
        <f t="shared" si="294"/>
        <v>0</v>
      </c>
      <c r="BE121" s="156">
        <f t="shared" si="400"/>
        <v>0</v>
      </c>
      <c r="BF121" s="154">
        <f t="shared" si="367"/>
        <v>0</v>
      </c>
      <c r="BG121" s="154">
        <f t="shared" si="295"/>
        <v>0</v>
      </c>
      <c r="BH121" s="154">
        <f t="shared" si="368"/>
        <v>0</v>
      </c>
      <c r="BI121" s="154">
        <f t="shared" si="296"/>
        <v>0</v>
      </c>
      <c r="BJ121" s="154">
        <f t="shared" si="369"/>
        <v>0</v>
      </c>
      <c r="BK121" s="154">
        <f t="shared" si="297"/>
        <v>0</v>
      </c>
      <c r="BL121" s="154">
        <f t="shared" si="370"/>
        <v>0</v>
      </c>
      <c r="BM121" s="154">
        <f t="shared" si="298"/>
        <v>0</v>
      </c>
      <c r="BN121" s="154">
        <f t="shared" si="371"/>
        <v>0</v>
      </c>
      <c r="BO121" s="157">
        <f t="shared" si="299"/>
        <v>0</v>
      </c>
      <c r="BP121" s="154">
        <f t="shared" si="300"/>
        <v>0</v>
      </c>
      <c r="BQ121" s="158">
        <f t="shared" si="301"/>
        <v>0</v>
      </c>
      <c r="BR121" s="156">
        <f t="shared" si="400"/>
        <v>0</v>
      </c>
      <c r="BS121" s="154">
        <f t="shared" si="372"/>
        <v>0</v>
      </c>
      <c r="BT121" s="154">
        <f t="shared" si="302"/>
        <v>0</v>
      </c>
      <c r="BU121" s="154">
        <f t="shared" si="373"/>
        <v>0</v>
      </c>
      <c r="BV121" s="154">
        <f t="shared" si="303"/>
        <v>0</v>
      </c>
      <c r="BW121" s="154">
        <f t="shared" si="374"/>
        <v>0</v>
      </c>
      <c r="BX121" s="154">
        <f t="shared" si="304"/>
        <v>0</v>
      </c>
      <c r="BY121" s="154">
        <f t="shared" si="375"/>
        <v>0</v>
      </c>
      <c r="BZ121" s="154">
        <f t="shared" si="305"/>
        <v>0</v>
      </c>
      <c r="CA121" s="154">
        <f t="shared" si="376"/>
        <v>0</v>
      </c>
      <c r="CB121" s="157">
        <f t="shared" si="306"/>
        <v>0</v>
      </c>
      <c r="CC121" s="154">
        <f t="shared" si="307"/>
        <v>0</v>
      </c>
      <c r="CD121" s="158">
        <f t="shared" si="308"/>
        <v>0</v>
      </c>
      <c r="CE121" s="156">
        <f t="shared" si="400"/>
        <v>0</v>
      </c>
      <c r="CF121" s="154">
        <f t="shared" si="377"/>
        <v>0</v>
      </c>
      <c r="CG121" s="154">
        <f t="shared" si="309"/>
        <v>0</v>
      </c>
      <c r="CH121" s="154">
        <f t="shared" si="378"/>
        <v>0</v>
      </c>
      <c r="CI121" s="154">
        <f t="shared" si="310"/>
        <v>0</v>
      </c>
      <c r="CJ121" s="154">
        <f t="shared" si="379"/>
        <v>0</v>
      </c>
      <c r="CK121" s="154">
        <f t="shared" si="311"/>
        <v>0</v>
      </c>
      <c r="CL121" s="154">
        <f t="shared" si="380"/>
        <v>0</v>
      </c>
      <c r="CM121" s="154">
        <f t="shared" si="312"/>
        <v>0</v>
      </c>
      <c r="CN121" s="154">
        <f t="shared" si="381"/>
        <v>0</v>
      </c>
      <c r="CO121" s="157">
        <f t="shared" si="313"/>
        <v>0</v>
      </c>
      <c r="CP121" s="154">
        <f t="shared" si="314"/>
        <v>0</v>
      </c>
      <c r="CQ121" s="158">
        <f t="shared" si="315"/>
        <v>0</v>
      </c>
      <c r="CR121" s="156">
        <f t="shared" si="401"/>
        <v>0</v>
      </c>
      <c r="CS121" s="154">
        <f t="shared" si="383"/>
        <v>0</v>
      </c>
      <c r="CT121" s="154">
        <f t="shared" si="317"/>
        <v>0</v>
      </c>
      <c r="CU121" s="154">
        <f t="shared" si="384"/>
        <v>0</v>
      </c>
      <c r="CV121" s="154">
        <f t="shared" si="318"/>
        <v>0</v>
      </c>
      <c r="CW121" s="154">
        <f t="shared" si="385"/>
        <v>0</v>
      </c>
      <c r="CX121" s="154">
        <f t="shared" si="319"/>
        <v>0</v>
      </c>
      <c r="CY121" s="154">
        <f t="shared" si="386"/>
        <v>0</v>
      </c>
      <c r="CZ121" s="154">
        <f t="shared" si="320"/>
        <v>0</v>
      </c>
      <c r="DA121" s="154">
        <f t="shared" si="387"/>
        <v>0</v>
      </c>
      <c r="DB121" s="157">
        <f t="shared" si="321"/>
        <v>0</v>
      </c>
      <c r="DC121" s="154">
        <f t="shared" si="322"/>
        <v>0</v>
      </c>
      <c r="DD121" s="158">
        <f t="shared" si="323"/>
        <v>0</v>
      </c>
      <c r="DE121" s="156">
        <f t="shared" si="401"/>
        <v>0</v>
      </c>
      <c r="DF121" s="154">
        <f t="shared" si="388"/>
        <v>0</v>
      </c>
      <c r="DG121" s="154">
        <f t="shared" si="324"/>
        <v>0</v>
      </c>
      <c r="DH121" s="154">
        <f t="shared" si="389"/>
        <v>0</v>
      </c>
      <c r="DI121" s="154">
        <f t="shared" si="325"/>
        <v>0</v>
      </c>
      <c r="DJ121" s="154">
        <f t="shared" si="390"/>
        <v>0</v>
      </c>
      <c r="DK121" s="154">
        <f t="shared" si="326"/>
        <v>0</v>
      </c>
      <c r="DL121" s="154">
        <f t="shared" si="391"/>
        <v>0</v>
      </c>
      <c r="DM121" s="154">
        <f t="shared" si="327"/>
        <v>0</v>
      </c>
      <c r="DN121" s="154">
        <f t="shared" si="392"/>
        <v>0</v>
      </c>
      <c r="DO121" s="157">
        <f t="shared" si="328"/>
        <v>0</v>
      </c>
      <c r="DP121" s="154">
        <f t="shared" si="329"/>
        <v>0</v>
      </c>
      <c r="DQ121" s="158">
        <f t="shared" si="330"/>
        <v>0</v>
      </c>
      <c r="DR121" s="156">
        <f t="shared" si="401"/>
        <v>0</v>
      </c>
      <c r="DS121" s="154">
        <f t="shared" si="393"/>
        <v>0</v>
      </c>
      <c r="DT121" s="154">
        <f t="shared" si="331"/>
        <v>0</v>
      </c>
      <c r="DU121" s="154">
        <f t="shared" si="394"/>
        <v>0</v>
      </c>
      <c r="DV121" s="154">
        <f t="shared" si="332"/>
        <v>0</v>
      </c>
      <c r="DW121" s="154">
        <f t="shared" si="395"/>
        <v>0</v>
      </c>
      <c r="DX121" s="154">
        <f t="shared" si="333"/>
        <v>0</v>
      </c>
      <c r="DY121" s="154">
        <f t="shared" si="396"/>
        <v>0</v>
      </c>
      <c r="DZ121" s="154">
        <f t="shared" si="334"/>
        <v>0</v>
      </c>
      <c r="EA121" s="154">
        <f t="shared" si="397"/>
        <v>0</v>
      </c>
      <c r="EB121" s="157">
        <f t="shared" si="335"/>
        <v>0</v>
      </c>
      <c r="EC121" s="154">
        <f t="shared" si="336"/>
        <v>0</v>
      </c>
      <c r="ED121" s="158">
        <f t="shared" si="337"/>
        <v>0</v>
      </c>
    </row>
    <row r="122" spans="1:134" x14ac:dyDescent="0.35">
      <c r="A122" s="172"/>
      <c r="B122" s="173"/>
      <c r="C122" s="174"/>
      <c r="D122" s="175"/>
      <c r="E122" s="176"/>
      <c r="F122" s="177"/>
      <c r="G122" s="178"/>
      <c r="H122" s="179"/>
      <c r="I122" s="180"/>
      <c r="J122" s="181"/>
      <c r="K122" s="152">
        <f t="shared" si="338"/>
        <v>0</v>
      </c>
      <c r="L122" s="153">
        <f t="shared" si="339"/>
        <v>0</v>
      </c>
      <c r="M122" s="154">
        <f t="shared" si="340"/>
        <v>0</v>
      </c>
      <c r="N122" s="154"/>
      <c r="O122" s="154">
        <f t="shared" si="341"/>
        <v>0</v>
      </c>
      <c r="P122" s="155"/>
      <c r="Q122" s="154">
        <f t="shared" si="342"/>
        <v>0</v>
      </c>
      <c r="R122" s="156">
        <f t="shared" si="343"/>
        <v>0</v>
      </c>
      <c r="S122" s="154">
        <f t="shared" si="344"/>
        <v>0</v>
      </c>
      <c r="T122" s="154">
        <f t="shared" si="345"/>
        <v>0</v>
      </c>
      <c r="U122" s="154">
        <f t="shared" si="346"/>
        <v>0</v>
      </c>
      <c r="V122" s="154">
        <f t="shared" si="347"/>
        <v>0</v>
      </c>
      <c r="W122" s="154">
        <f t="shared" si="348"/>
        <v>0</v>
      </c>
      <c r="X122" s="154">
        <f t="shared" si="349"/>
        <v>0</v>
      </c>
      <c r="Y122" s="154">
        <f t="shared" si="350"/>
        <v>0</v>
      </c>
      <c r="Z122" s="154">
        <f t="shared" si="351"/>
        <v>0</v>
      </c>
      <c r="AA122" s="154">
        <f t="shared" si="352"/>
        <v>0</v>
      </c>
      <c r="AB122" s="157">
        <f t="shared" si="353"/>
        <v>0</v>
      </c>
      <c r="AC122" s="154">
        <f t="shared" si="354"/>
        <v>0</v>
      </c>
      <c r="AD122" s="158">
        <f t="shared" si="355"/>
        <v>0</v>
      </c>
      <c r="AE122" s="156">
        <f t="shared" si="400"/>
        <v>0</v>
      </c>
      <c r="AF122" s="154">
        <f t="shared" si="357"/>
        <v>0</v>
      </c>
      <c r="AG122" s="154">
        <f t="shared" si="281"/>
        <v>0</v>
      </c>
      <c r="AH122" s="154">
        <f t="shared" si="358"/>
        <v>0</v>
      </c>
      <c r="AI122" s="154">
        <f t="shared" si="282"/>
        <v>0</v>
      </c>
      <c r="AJ122" s="154">
        <f t="shared" si="359"/>
        <v>0</v>
      </c>
      <c r="AK122" s="154">
        <f t="shared" si="283"/>
        <v>0</v>
      </c>
      <c r="AL122" s="154">
        <f t="shared" si="360"/>
        <v>0</v>
      </c>
      <c r="AM122" s="154">
        <f t="shared" si="284"/>
        <v>0</v>
      </c>
      <c r="AN122" s="154">
        <f t="shared" si="361"/>
        <v>0</v>
      </c>
      <c r="AO122" s="157">
        <f t="shared" si="285"/>
        <v>0</v>
      </c>
      <c r="AP122" s="154">
        <f t="shared" si="286"/>
        <v>0</v>
      </c>
      <c r="AQ122" s="158">
        <f t="shared" si="287"/>
        <v>0</v>
      </c>
      <c r="AR122" s="156">
        <f t="shared" si="400"/>
        <v>0</v>
      </c>
      <c r="AS122" s="154">
        <f t="shared" si="362"/>
        <v>0</v>
      </c>
      <c r="AT122" s="154">
        <f t="shared" si="288"/>
        <v>0</v>
      </c>
      <c r="AU122" s="154">
        <f t="shared" si="363"/>
        <v>0</v>
      </c>
      <c r="AV122" s="154">
        <f t="shared" si="289"/>
        <v>0</v>
      </c>
      <c r="AW122" s="154">
        <f t="shared" si="364"/>
        <v>0</v>
      </c>
      <c r="AX122" s="154">
        <f t="shared" si="290"/>
        <v>0</v>
      </c>
      <c r="AY122" s="154">
        <f t="shared" si="365"/>
        <v>0</v>
      </c>
      <c r="AZ122" s="154">
        <f t="shared" si="291"/>
        <v>0</v>
      </c>
      <c r="BA122" s="154">
        <f t="shared" si="366"/>
        <v>0</v>
      </c>
      <c r="BB122" s="157">
        <f t="shared" si="292"/>
        <v>0</v>
      </c>
      <c r="BC122" s="154">
        <f t="shared" si="293"/>
        <v>0</v>
      </c>
      <c r="BD122" s="158">
        <f t="shared" si="294"/>
        <v>0</v>
      </c>
      <c r="BE122" s="156">
        <f t="shared" si="400"/>
        <v>0</v>
      </c>
      <c r="BF122" s="154">
        <f t="shared" si="367"/>
        <v>0</v>
      </c>
      <c r="BG122" s="154">
        <f t="shared" si="295"/>
        <v>0</v>
      </c>
      <c r="BH122" s="154">
        <f t="shared" si="368"/>
        <v>0</v>
      </c>
      <c r="BI122" s="154">
        <f t="shared" si="296"/>
        <v>0</v>
      </c>
      <c r="BJ122" s="154">
        <f t="shared" si="369"/>
        <v>0</v>
      </c>
      <c r="BK122" s="154">
        <f t="shared" si="297"/>
        <v>0</v>
      </c>
      <c r="BL122" s="154">
        <f t="shared" si="370"/>
        <v>0</v>
      </c>
      <c r="BM122" s="154">
        <f t="shared" si="298"/>
        <v>0</v>
      </c>
      <c r="BN122" s="154">
        <f t="shared" si="371"/>
        <v>0</v>
      </c>
      <c r="BO122" s="157">
        <f t="shared" si="299"/>
        <v>0</v>
      </c>
      <c r="BP122" s="154">
        <f t="shared" si="300"/>
        <v>0</v>
      </c>
      <c r="BQ122" s="158">
        <f t="shared" si="301"/>
        <v>0</v>
      </c>
      <c r="BR122" s="156">
        <f t="shared" si="400"/>
        <v>0</v>
      </c>
      <c r="BS122" s="154">
        <f t="shared" si="372"/>
        <v>0</v>
      </c>
      <c r="BT122" s="154">
        <f t="shared" si="302"/>
        <v>0</v>
      </c>
      <c r="BU122" s="154">
        <f t="shared" si="373"/>
        <v>0</v>
      </c>
      <c r="BV122" s="154">
        <f t="shared" si="303"/>
        <v>0</v>
      </c>
      <c r="BW122" s="154">
        <f t="shared" si="374"/>
        <v>0</v>
      </c>
      <c r="BX122" s="154">
        <f t="shared" si="304"/>
        <v>0</v>
      </c>
      <c r="BY122" s="154">
        <f t="shared" si="375"/>
        <v>0</v>
      </c>
      <c r="BZ122" s="154">
        <f t="shared" si="305"/>
        <v>0</v>
      </c>
      <c r="CA122" s="154">
        <f t="shared" si="376"/>
        <v>0</v>
      </c>
      <c r="CB122" s="157">
        <f t="shared" si="306"/>
        <v>0</v>
      </c>
      <c r="CC122" s="154">
        <f t="shared" si="307"/>
        <v>0</v>
      </c>
      <c r="CD122" s="158">
        <f t="shared" si="308"/>
        <v>0</v>
      </c>
      <c r="CE122" s="156">
        <f t="shared" si="400"/>
        <v>0</v>
      </c>
      <c r="CF122" s="154">
        <f t="shared" si="377"/>
        <v>0</v>
      </c>
      <c r="CG122" s="154">
        <f t="shared" si="309"/>
        <v>0</v>
      </c>
      <c r="CH122" s="154">
        <f t="shared" si="378"/>
        <v>0</v>
      </c>
      <c r="CI122" s="154">
        <f t="shared" si="310"/>
        <v>0</v>
      </c>
      <c r="CJ122" s="154">
        <f t="shared" si="379"/>
        <v>0</v>
      </c>
      <c r="CK122" s="154">
        <f t="shared" si="311"/>
        <v>0</v>
      </c>
      <c r="CL122" s="154">
        <f t="shared" si="380"/>
        <v>0</v>
      </c>
      <c r="CM122" s="154">
        <f t="shared" si="312"/>
        <v>0</v>
      </c>
      <c r="CN122" s="154">
        <f t="shared" si="381"/>
        <v>0</v>
      </c>
      <c r="CO122" s="157">
        <f t="shared" si="313"/>
        <v>0</v>
      </c>
      <c r="CP122" s="154">
        <f t="shared" si="314"/>
        <v>0</v>
      </c>
      <c r="CQ122" s="158">
        <f t="shared" si="315"/>
        <v>0</v>
      </c>
      <c r="CR122" s="156">
        <f t="shared" si="401"/>
        <v>0</v>
      </c>
      <c r="CS122" s="154">
        <f t="shared" si="383"/>
        <v>0</v>
      </c>
      <c r="CT122" s="154">
        <f t="shared" si="317"/>
        <v>0</v>
      </c>
      <c r="CU122" s="154">
        <f t="shared" si="384"/>
        <v>0</v>
      </c>
      <c r="CV122" s="154">
        <f t="shared" si="318"/>
        <v>0</v>
      </c>
      <c r="CW122" s="154">
        <f t="shared" si="385"/>
        <v>0</v>
      </c>
      <c r="CX122" s="154">
        <f t="shared" si="319"/>
        <v>0</v>
      </c>
      <c r="CY122" s="154">
        <f t="shared" si="386"/>
        <v>0</v>
      </c>
      <c r="CZ122" s="154">
        <f t="shared" si="320"/>
        <v>0</v>
      </c>
      <c r="DA122" s="154">
        <f t="shared" si="387"/>
        <v>0</v>
      </c>
      <c r="DB122" s="157">
        <f t="shared" si="321"/>
        <v>0</v>
      </c>
      <c r="DC122" s="154">
        <f t="shared" si="322"/>
        <v>0</v>
      </c>
      <c r="DD122" s="158">
        <f t="shared" si="323"/>
        <v>0</v>
      </c>
      <c r="DE122" s="156">
        <f t="shared" si="401"/>
        <v>0</v>
      </c>
      <c r="DF122" s="154">
        <f t="shared" si="388"/>
        <v>0</v>
      </c>
      <c r="DG122" s="154">
        <f t="shared" si="324"/>
        <v>0</v>
      </c>
      <c r="DH122" s="154">
        <f t="shared" si="389"/>
        <v>0</v>
      </c>
      <c r="DI122" s="154">
        <f t="shared" si="325"/>
        <v>0</v>
      </c>
      <c r="DJ122" s="154">
        <f t="shared" si="390"/>
        <v>0</v>
      </c>
      <c r="DK122" s="154">
        <f t="shared" si="326"/>
        <v>0</v>
      </c>
      <c r="DL122" s="154">
        <f t="shared" si="391"/>
        <v>0</v>
      </c>
      <c r="DM122" s="154">
        <f t="shared" si="327"/>
        <v>0</v>
      </c>
      <c r="DN122" s="154">
        <f t="shared" si="392"/>
        <v>0</v>
      </c>
      <c r="DO122" s="157">
        <f t="shared" si="328"/>
        <v>0</v>
      </c>
      <c r="DP122" s="154">
        <f t="shared" si="329"/>
        <v>0</v>
      </c>
      <c r="DQ122" s="158">
        <f t="shared" si="330"/>
        <v>0</v>
      </c>
      <c r="DR122" s="156">
        <f t="shared" si="401"/>
        <v>0</v>
      </c>
      <c r="DS122" s="154">
        <f t="shared" si="393"/>
        <v>0</v>
      </c>
      <c r="DT122" s="154">
        <f t="shared" si="331"/>
        <v>0</v>
      </c>
      <c r="DU122" s="154">
        <f t="shared" si="394"/>
        <v>0</v>
      </c>
      <c r="DV122" s="154">
        <f t="shared" si="332"/>
        <v>0</v>
      </c>
      <c r="DW122" s="154">
        <f t="shared" si="395"/>
        <v>0</v>
      </c>
      <c r="DX122" s="154">
        <f t="shared" si="333"/>
        <v>0</v>
      </c>
      <c r="DY122" s="154">
        <f t="shared" si="396"/>
        <v>0</v>
      </c>
      <c r="DZ122" s="154">
        <f t="shared" si="334"/>
        <v>0</v>
      </c>
      <c r="EA122" s="154">
        <f t="shared" si="397"/>
        <v>0</v>
      </c>
      <c r="EB122" s="157">
        <f t="shared" si="335"/>
        <v>0</v>
      </c>
      <c r="EC122" s="154">
        <f t="shared" si="336"/>
        <v>0</v>
      </c>
      <c r="ED122" s="158">
        <f t="shared" si="337"/>
        <v>0</v>
      </c>
    </row>
    <row r="123" spans="1:134" x14ac:dyDescent="0.35">
      <c r="A123" s="172"/>
      <c r="B123" s="173"/>
      <c r="C123" s="174"/>
      <c r="D123" s="175"/>
      <c r="E123" s="176"/>
      <c r="F123" s="177"/>
      <c r="G123" s="178"/>
      <c r="H123" s="179"/>
      <c r="I123" s="180"/>
      <c r="J123" s="181"/>
      <c r="K123" s="152">
        <f t="shared" si="338"/>
        <v>0</v>
      </c>
      <c r="L123" s="153">
        <f t="shared" si="339"/>
        <v>0</v>
      </c>
      <c r="M123" s="154">
        <f t="shared" si="340"/>
        <v>0</v>
      </c>
      <c r="N123" s="154"/>
      <c r="O123" s="154">
        <f t="shared" si="341"/>
        <v>0</v>
      </c>
      <c r="P123" s="155"/>
      <c r="Q123" s="154">
        <f t="shared" si="342"/>
        <v>0</v>
      </c>
      <c r="R123" s="156">
        <f t="shared" si="343"/>
        <v>0</v>
      </c>
      <c r="S123" s="154">
        <f t="shared" si="344"/>
        <v>0</v>
      </c>
      <c r="T123" s="154">
        <f t="shared" si="345"/>
        <v>0</v>
      </c>
      <c r="U123" s="154">
        <f t="shared" si="346"/>
        <v>0</v>
      </c>
      <c r="V123" s="154">
        <f t="shared" si="347"/>
        <v>0</v>
      </c>
      <c r="W123" s="154">
        <f t="shared" si="348"/>
        <v>0</v>
      </c>
      <c r="X123" s="154">
        <f t="shared" si="349"/>
        <v>0</v>
      </c>
      <c r="Y123" s="154">
        <f t="shared" si="350"/>
        <v>0</v>
      </c>
      <c r="Z123" s="154">
        <f t="shared" si="351"/>
        <v>0</v>
      </c>
      <c r="AA123" s="154">
        <f t="shared" si="352"/>
        <v>0</v>
      </c>
      <c r="AB123" s="157">
        <f t="shared" si="353"/>
        <v>0</v>
      </c>
      <c r="AC123" s="154">
        <f t="shared" si="354"/>
        <v>0</v>
      </c>
      <c r="AD123" s="158">
        <f t="shared" si="355"/>
        <v>0</v>
      </c>
      <c r="AE123" s="156">
        <f t="shared" si="400"/>
        <v>0</v>
      </c>
      <c r="AF123" s="154">
        <f t="shared" si="357"/>
        <v>0</v>
      </c>
      <c r="AG123" s="154">
        <f t="shared" si="281"/>
        <v>0</v>
      </c>
      <c r="AH123" s="154">
        <f t="shared" si="358"/>
        <v>0</v>
      </c>
      <c r="AI123" s="154">
        <f t="shared" si="282"/>
        <v>0</v>
      </c>
      <c r="AJ123" s="154">
        <f t="shared" si="359"/>
        <v>0</v>
      </c>
      <c r="AK123" s="154">
        <f t="shared" si="283"/>
        <v>0</v>
      </c>
      <c r="AL123" s="154">
        <f t="shared" si="360"/>
        <v>0</v>
      </c>
      <c r="AM123" s="154">
        <f t="shared" si="284"/>
        <v>0</v>
      </c>
      <c r="AN123" s="154">
        <f t="shared" si="361"/>
        <v>0</v>
      </c>
      <c r="AO123" s="157">
        <f t="shared" si="285"/>
        <v>0</v>
      </c>
      <c r="AP123" s="154">
        <f t="shared" si="286"/>
        <v>0</v>
      </c>
      <c r="AQ123" s="158">
        <f t="shared" si="287"/>
        <v>0</v>
      </c>
      <c r="AR123" s="156">
        <f t="shared" si="400"/>
        <v>0</v>
      </c>
      <c r="AS123" s="154">
        <f t="shared" si="362"/>
        <v>0</v>
      </c>
      <c r="AT123" s="154">
        <f t="shared" si="288"/>
        <v>0</v>
      </c>
      <c r="AU123" s="154">
        <f t="shared" si="363"/>
        <v>0</v>
      </c>
      <c r="AV123" s="154">
        <f t="shared" si="289"/>
        <v>0</v>
      </c>
      <c r="AW123" s="154">
        <f t="shared" si="364"/>
        <v>0</v>
      </c>
      <c r="AX123" s="154">
        <f t="shared" si="290"/>
        <v>0</v>
      </c>
      <c r="AY123" s="154">
        <f t="shared" si="365"/>
        <v>0</v>
      </c>
      <c r="AZ123" s="154">
        <f t="shared" si="291"/>
        <v>0</v>
      </c>
      <c r="BA123" s="154">
        <f t="shared" si="366"/>
        <v>0</v>
      </c>
      <c r="BB123" s="157">
        <f t="shared" si="292"/>
        <v>0</v>
      </c>
      <c r="BC123" s="154">
        <f t="shared" si="293"/>
        <v>0</v>
      </c>
      <c r="BD123" s="158">
        <f t="shared" si="294"/>
        <v>0</v>
      </c>
      <c r="BE123" s="156">
        <f t="shared" si="400"/>
        <v>0</v>
      </c>
      <c r="BF123" s="154">
        <f t="shared" si="367"/>
        <v>0</v>
      </c>
      <c r="BG123" s="154">
        <f t="shared" si="295"/>
        <v>0</v>
      </c>
      <c r="BH123" s="154">
        <f t="shared" si="368"/>
        <v>0</v>
      </c>
      <c r="BI123" s="154">
        <f t="shared" si="296"/>
        <v>0</v>
      </c>
      <c r="BJ123" s="154">
        <f t="shared" si="369"/>
        <v>0</v>
      </c>
      <c r="BK123" s="154">
        <f t="shared" si="297"/>
        <v>0</v>
      </c>
      <c r="BL123" s="154">
        <f t="shared" si="370"/>
        <v>0</v>
      </c>
      <c r="BM123" s="154">
        <f t="shared" si="298"/>
        <v>0</v>
      </c>
      <c r="BN123" s="154">
        <f t="shared" si="371"/>
        <v>0</v>
      </c>
      <c r="BO123" s="157">
        <f t="shared" si="299"/>
        <v>0</v>
      </c>
      <c r="BP123" s="154">
        <f t="shared" si="300"/>
        <v>0</v>
      </c>
      <c r="BQ123" s="158">
        <f t="shared" si="301"/>
        <v>0</v>
      </c>
      <c r="BR123" s="156">
        <f t="shared" si="400"/>
        <v>0</v>
      </c>
      <c r="BS123" s="154">
        <f t="shared" si="372"/>
        <v>0</v>
      </c>
      <c r="BT123" s="154">
        <f t="shared" si="302"/>
        <v>0</v>
      </c>
      <c r="BU123" s="154">
        <f t="shared" si="373"/>
        <v>0</v>
      </c>
      <c r="BV123" s="154">
        <f t="shared" si="303"/>
        <v>0</v>
      </c>
      <c r="BW123" s="154">
        <f t="shared" si="374"/>
        <v>0</v>
      </c>
      <c r="BX123" s="154">
        <f t="shared" si="304"/>
        <v>0</v>
      </c>
      <c r="BY123" s="154">
        <f t="shared" si="375"/>
        <v>0</v>
      </c>
      <c r="BZ123" s="154">
        <f t="shared" si="305"/>
        <v>0</v>
      </c>
      <c r="CA123" s="154">
        <f t="shared" si="376"/>
        <v>0</v>
      </c>
      <c r="CB123" s="157">
        <f t="shared" si="306"/>
        <v>0</v>
      </c>
      <c r="CC123" s="154">
        <f t="shared" si="307"/>
        <v>0</v>
      </c>
      <c r="CD123" s="158">
        <f t="shared" si="308"/>
        <v>0</v>
      </c>
      <c r="CE123" s="156">
        <f t="shared" si="400"/>
        <v>0</v>
      </c>
      <c r="CF123" s="154">
        <f t="shared" si="377"/>
        <v>0</v>
      </c>
      <c r="CG123" s="154">
        <f t="shared" si="309"/>
        <v>0</v>
      </c>
      <c r="CH123" s="154">
        <f t="shared" si="378"/>
        <v>0</v>
      </c>
      <c r="CI123" s="154">
        <f t="shared" si="310"/>
        <v>0</v>
      </c>
      <c r="CJ123" s="154">
        <f t="shared" si="379"/>
        <v>0</v>
      </c>
      <c r="CK123" s="154">
        <f t="shared" si="311"/>
        <v>0</v>
      </c>
      <c r="CL123" s="154">
        <f t="shared" si="380"/>
        <v>0</v>
      </c>
      <c r="CM123" s="154">
        <f t="shared" si="312"/>
        <v>0</v>
      </c>
      <c r="CN123" s="154">
        <f t="shared" si="381"/>
        <v>0</v>
      </c>
      <c r="CO123" s="157">
        <f t="shared" si="313"/>
        <v>0</v>
      </c>
      <c r="CP123" s="154">
        <f t="shared" si="314"/>
        <v>0</v>
      </c>
      <c r="CQ123" s="158">
        <f t="shared" si="315"/>
        <v>0</v>
      </c>
      <c r="CR123" s="156">
        <f t="shared" si="401"/>
        <v>0</v>
      </c>
      <c r="CS123" s="154">
        <f t="shared" si="383"/>
        <v>0</v>
      </c>
      <c r="CT123" s="154">
        <f t="shared" si="317"/>
        <v>0</v>
      </c>
      <c r="CU123" s="154">
        <f t="shared" si="384"/>
        <v>0</v>
      </c>
      <c r="CV123" s="154">
        <f t="shared" si="318"/>
        <v>0</v>
      </c>
      <c r="CW123" s="154">
        <f t="shared" si="385"/>
        <v>0</v>
      </c>
      <c r="CX123" s="154">
        <f t="shared" si="319"/>
        <v>0</v>
      </c>
      <c r="CY123" s="154">
        <f t="shared" si="386"/>
        <v>0</v>
      </c>
      <c r="CZ123" s="154">
        <f t="shared" si="320"/>
        <v>0</v>
      </c>
      <c r="DA123" s="154">
        <f t="shared" si="387"/>
        <v>0</v>
      </c>
      <c r="DB123" s="157">
        <f t="shared" si="321"/>
        <v>0</v>
      </c>
      <c r="DC123" s="154">
        <f t="shared" si="322"/>
        <v>0</v>
      </c>
      <c r="DD123" s="158">
        <f t="shared" si="323"/>
        <v>0</v>
      </c>
      <c r="DE123" s="156">
        <f t="shared" si="401"/>
        <v>0</v>
      </c>
      <c r="DF123" s="154">
        <f t="shared" si="388"/>
        <v>0</v>
      </c>
      <c r="DG123" s="154">
        <f t="shared" si="324"/>
        <v>0</v>
      </c>
      <c r="DH123" s="154">
        <f t="shared" si="389"/>
        <v>0</v>
      </c>
      <c r="DI123" s="154">
        <f t="shared" si="325"/>
        <v>0</v>
      </c>
      <c r="DJ123" s="154">
        <f t="shared" si="390"/>
        <v>0</v>
      </c>
      <c r="DK123" s="154">
        <f t="shared" si="326"/>
        <v>0</v>
      </c>
      <c r="DL123" s="154">
        <f t="shared" si="391"/>
        <v>0</v>
      </c>
      <c r="DM123" s="154">
        <f t="shared" si="327"/>
        <v>0</v>
      </c>
      <c r="DN123" s="154">
        <f t="shared" si="392"/>
        <v>0</v>
      </c>
      <c r="DO123" s="157">
        <f t="shared" si="328"/>
        <v>0</v>
      </c>
      <c r="DP123" s="154">
        <f t="shared" si="329"/>
        <v>0</v>
      </c>
      <c r="DQ123" s="158">
        <f t="shared" si="330"/>
        <v>0</v>
      </c>
      <c r="DR123" s="156">
        <f t="shared" si="401"/>
        <v>0</v>
      </c>
      <c r="DS123" s="154">
        <f t="shared" si="393"/>
        <v>0</v>
      </c>
      <c r="DT123" s="154">
        <f t="shared" si="331"/>
        <v>0</v>
      </c>
      <c r="DU123" s="154">
        <f t="shared" si="394"/>
        <v>0</v>
      </c>
      <c r="DV123" s="154">
        <f t="shared" si="332"/>
        <v>0</v>
      </c>
      <c r="DW123" s="154">
        <f t="shared" si="395"/>
        <v>0</v>
      </c>
      <c r="DX123" s="154">
        <f t="shared" si="333"/>
        <v>0</v>
      </c>
      <c r="DY123" s="154">
        <f t="shared" si="396"/>
        <v>0</v>
      </c>
      <c r="DZ123" s="154">
        <f t="shared" si="334"/>
        <v>0</v>
      </c>
      <c r="EA123" s="154">
        <f t="shared" si="397"/>
        <v>0</v>
      </c>
      <c r="EB123" s="157">
        <f t="shared" si="335"/>
        <v>0</v>
      </c>
      <c r="EC123" s="154">
        <f t="shared" si="336"/>
        <v>0</v>
      </c>
      <c r="ED123" s="158">
        <f t="shared" si="337"/>
        <v>0</v>
      </c>
    </row>
    <row r="124" spans="1:134" x14ac:dyDescent="0.35">
      <c r="A124" s="172"/>
      <c r="B124" s="173"/>
      <c r="C124" s="174"/>
      <c r="D124" s="175"/>
      <c r="E124" s="176"/>
      <c r="F124" s="177"/>
      <c r="G124" s="178"/>
      <c r="H124" s="179"/>
      <c r="I124" s="180"/>
      <c r="J124" s="181"/>
      <c r="K124" s="152">
        <f t="shared" si="338"/>
        <v>0</v>
      </c>
      <c r="L124" s="153">
        <f t="shared" si="339"/>
        <v>0</v>
      </c>
      <c r="M124" s="154">
        <f t="shared" si="340"/>
        <v>0</v>
      </c>
      <c r="N124" s="154"/>
      <c r="O124" s="154">
        <f t="shared" si="341"/>
        <v>0</v>
      </c>
      <c r="P124" s="155"/>
      <c r="Q124" s="154">
        <f t="shared" si="342"/>
        <v>0</v>
      </c>
      <c r="R124" s="156">
        <f t="shared" si="343"/>
        <v>0</v>
      </c>
      <c r="S124" s="154">
        <f t="shared" si="344"/>
        <v>0</v>
      </c>
      <c r="T124" s="154">
        <f t="shared" si="345"/>
        <v>0</v>
      </c>
      <c r="U124" s="154">
        <f t="shared" si="346"/>
        <v>0</v>
      </c>
      <c r="V124" s="154">
        <f t="shared" si="347"/>
        <v>0</v>
      </c>
      <c r="W124" s="154">
        <f t="shared" si="348"/>
        <v>0</v>
      </c>
      <c r="X124" s="154">
        <f t="shared" si="349"/>
        <v>0</v>
      </c>
      <c r="Y124" s="154">
        <f t="shared" si="350"/>
        <v>0</v>
      </c>
      <c r="Z124" s="154">
        <f t="shared" si="351"/>
        <v>0</v>
      </c>
      <c r="AA124" s="154">
        <f t="shared" si="352"/>
        <v>0</v>
      </c>
      <c r="AB124" s="157">
        <f t="shared" si="353"/>
        <v>0</v>
      </c>
      <c r="AC124" s="154">
        <f t="shared" si="354"/>
        <v>0</v>
      </c>
      <c r="AD124" s="158">
        <f t="shared" si="355"/>
        <v>0</v>
      </c>
      <c r="AE124" s="156">
        <f t="shared" si="400"/>
        <v>0</v>
      </c>
      <c r="AF124" s="154">
        <f t="shared" si="357"/>
        <v>0</v>
      </c>
      <c r="AG124" s="154">
        <f t="shared" si="281"/>
        <v>0</v>
      </c>
      <c r="AH124" s="154">
        <f t="shared" si="358"/>
        <v>0</v>
      </c>
      <c r="AI124" s="154">
        <f t="shared" si="282"/>
        <v>0</v>
      </c>
      <c r="AJ124" s="154">
        <f t="shared" si="359"/>
        <v>0</v>
      </c>
      <c r="AK124" s="154">
        <f t="shared" si="283"/>
        <v>0</v>
      </c>
      <c r="AL124" s="154">
        <f t="shared" si="360"/>
        <v>0</v>
      </c>
      <c r="AM124" s="154">
        <f t="shared" si="284"/>
        <v>0</v>
      </c>
      <c r="AN124" s="154">
        <f t="shared" si="361"/>
        <v>0</v>
      </c>
      <c r="AO124" s="157">
        <f t="shared" si="285"/>
        <v>0</v>
      </c>
      <c r="AP124" s="154">
        <f t="shared" si="286"/>
        <v>0</v>
      </c>
      <c r="AQ124" s="158">
        <f t="shared" si="287"/>
        <v>0</v>
      </c>
      <c r="AR124" s="156">
        <f t="shared" si="400"/>
        <v>0</v>
      </c>
      <c r="AS124" s="154">
        <f t="shared" si="362"/>
        <v>0</v>
      </c>
      <c r="AT124" s="154">
        <f t="shared" si="288"/>
        <v>0</v>
      </c>
      <c r="AU124" s="154">
        <f t="shared" si="363"/>
        <v>0</v>
      </c>
      <c r="AV124" s="154">
        <f t="shared" si="289"/>
        <v>0</v>
      </c>
      <c r="AW124" s="154">
        <f t="shared" si="364"/>
        <v>0</v>
      </c>
      <c r="AX124" s="154">
        <f t="shared" si="290"/>
        <v>0</v>
      </c>
      <c r="AY124" s="154">
        <f t="shared" si="365"/>
        <v>0</v>
      </c>
      <c r="AZ124" s="154">
        <f t="shared" si="291"/>
        <v>0</v>
      </c>
      <c r="BA124" s="154">
        <f t="shared" si="366"/>
        <v>0</v>
      </c>
      <c r="BB124" s="157">
        <f t="shared" si="292"/>
        <v>0</v>
      </c>
      <c r="BC124" s="154">
        <f t="shared" si="293"/>
        <v>0</v>
      </c>
      <c r="BD124" s="158">
        <f t="shared" si="294"/>
        <v>0</v>
      </c>
      <c r="BE124" s="156">
        <f t="shared" si="400"/>
        <v>0</v>
      </c>
      <c r="BF124" s="154">
        <f t="shared" si="367"/>
        <v>0</v>
      </c>
      <c r="BG124" s="154">
        <f t="shared" si="295"/>
        <v>0</v>
      </c>
      <c r="BH124" s="154">
        <f t="shared" si="368"/>
        <v>0</v>
      </c>
      <c r="BI124" s="154">
        <f t="shared" si="296"/>
        <v>0</v>
      </c>
      <c r="BJ124" s="154">
        <f t="shared" si="369"/>
        <v>0</v>
      </c>
      <c r="BK124" s="154">
        <f t="shared" si="297"/>
        <v>0</v>
      </c>
      <c r="BL124" s="154">
        <f t="shared" si="370"/>
        <v>0</v>
      </c>
      <c r="BM124" s="154">
        <f t="shared" si="298"/>
        <v>0</v>
      </c>
      <c r="BN124" s="154">
        <f t="shared" si="371"/>
        <v>0</v>
      </c>
      <c r="BO124" s="157">
        <f t="shared" si="299"/>
        <v>0</v>
      </c>
      <c r="BP124" s="154">
        <f t="shared" si="300"/>
        <v>0</v>
      </c>
      <c r="BQ124" s="158">
        <f t="shared" si="301"/>
        <v>0</v>
      </c>
      <c r="BR124" s="156">
        <f t="shared" si="400"/>
        <v>0</v>
      </c>
      <c r="BS124" s="154">
        <f t="shared" si="372"/>
        <v>0</v>
      </c>
      <c r="BT124" s="154">
        <f t="shared" si="302"/>
        <v>0</v>
      </c>
      <c r="BU124" s="154">
        <f t="shared" si="373"/>
        <v>0</v>
      </c>
      <c r="BV124" s="154">
        <f t="shared" si="303"/>
        <v>0</v>
      </c>
      <c r="BW124" s="154">
        <f t="shared" si="374"/>
        <v>0</v>
      </c>
      <c r="BX124" s="154">
        <f t="shared" si="304"/>
        <v>0</v>
      </c>
      <c r="BY124" s="154">
        <f t="shared" si="375"/>
        <v>0</v>
      </c>
      <c r="BZ124" s="154">
        <f t="shared" si="305"/>
        <v>0</v>
      </c>
      <c r="CA124" s="154">
        <f t="shared" si="376"/>
        <v>0</v>
      </c>
      <c r="CB124" s="157">
        <f t="shared" si="306"/>
        <v>0</v>
      </c>
      <c r="CC124" s="154">
        <f t="shared" si="307"/>
        <v>0</v>
      </c>
      <c r="CD124" s="158">
        <f t="shared" si="308"/>
        <v>0</v>
      </c>
      <c r="CE124" s="156">
        <f t="shared" si="400"/>
        <v>0</v>
      </c>
      <c r="CF124" s="154">
        <f t="shared" si="377"/>
        <v>0</v>
      </c>
      <c r="CG124" s="154">
        <f t="shared" si="309"/>
        <v>0</v>
      </c>
      <c r="CH124" s="154">
        <f t="shared" si="378"/>
        <v>0</v>
      </c>
      <c r="CI124" s="154">
        <f t="shared" si="310"/>
        <v>0</v>
      </c>
      <c r="CJ124" s="154">
        <f t="shared" si="379"/>
        <v>0</v>
      </c>
      <c r="CK124" s="154">
        <f t="shared" si="311"/>
        <v>0</v>
      </c>
      <c r="CL124" s="154">
        <f t="shared" si="380"/>
        <v>0</v>
      </c>
      <c r="CM124" s="154">
        <f t="shared" si="312"/>
        <v>0</v>
      </c>
      <c r="CN124" s="154">
        <f t="shared" si="381"/>
        <v>0</v>
      </c>
      <c r="CO124" s="157">
        <f t="shared" si="313"/>
        <v>0</v>
      </c>
      <c r="CP124" s="154">
        <f t="shared" si="314"/>
        <v>0</v>
      </c>
      <c r="CQ124" s="158">
        <f t="shared" si="315"/>
        <v>0</v>
      </c>
      <c r="CR124" s="156">
        <f t="shared" si="401"/>
        <v>0</v>
      </c>
      <c r="CS124" s="154">
        <f t="shared" si="383"/>
        <v>0</v>
      </c>
      <c r="CT124" s="154">
        <f t="shared" si="317"/>
        <v>0</v>
      </c>
      <c r="CU124" s="154">
        <f t="shared" si="384"/>
        <v>0</v>
      </c>
      <c r="CV124" s="154">
        <f t="shared" si="318"/>
        <v>0</v>
      </c>
      <c r="CW124" s="154">
        <f t="shared" si="385"/>
        <v>0</v>
      </c>
      <c r="CX124" s="154">
        <f t="shared" si="319"/>
        <v>0</v>
      </c>
      <c r="CY124" s="154">
        <f t="shared" si="386"/>
        <v>0</v>
      </c>
      <c r="CZ124" s="154">
        <f t="shared" si="320"/>
        <v>0</v>
      </c>
      <c r="DA124" s="154">
        <f t="shared" si="387"/>
        <v>0</v>
      </c>
      <c r="DB124" s="157">
        <f t="shared" si="321"/>
        <v>0</v>
      </c>
      <c r="DC124" s="154">
        <f t="shared" si="322"/>
        <v>0</v>
      </c>
      <c r="DD124" s="158">
        <f t="shared" si="323"/>
        <v>0</v>
      </c>
      <c r="DE124" s="156">
        <f t="shared" si="401"/>
        <v>0</v>
      </c>
      <c r="DF124" s="154">
        <f t="shared" si="388"/>
        <v>0</v>
      </c>
      <c r="DG124" s="154">
        <f t="shared" si="324"/>
        <v>0</v>
      </c>
      <c r="DH124" s="154">
        <f t="shared" si="389"/>
        <v>0</v>
      </c>
      <c r="DI124" s="154">
        <f t="shared" si="325"/>
        <v>0</v>
      </c>
      <c r="DJ124" s="154">
        <f t="shared" si="390"/>
        <v>0</v>
      </c>
      <c r="DK124" s="154">
        <f t="shared" si="326"/>
        <v>0</v>
      </c>
      <c r="DL124" s="154">
        <f t="shared" si="391"/>
        <v>0</v>
      </c>
      <c r="DM124" s="154">
        <f t="shared" si="327"/>
        <v>0</v>
      </c>
      <c r="DN124" s="154">
        <f t="shared" si="392"/>
        <v>0</v>
      </c>
      <c r="DO124" s="157">
        <f t="shared" si="328"/>
        <v>0</v>
      </c>
      <c r="DP124" s="154">
        <f t="shared" si="329"/>
        <v>0</v>
      </c>
      <c r="DQ124" s="158">
        <f t="shared" si="330"/>
        <v>0</v>
      </c>
      <c r="DR124" s="156">
        <f t="shared" si="401"/>
        <v>0</v>
      </c>
      <c r="DS124" s="154">
        <f t="shared" si="393"/>
        <v>0</v>
      </c>
      <c r="DT124" s="154">
        <f t="shared" si="331"/>
        <v>0</v>
      </c>
      <c r="DU124" s="154">
        <f t="shared" si="394"/>
        <v>0</v>
      </c>
      <c r="DV124" s="154">
        <f t="shared" si="332"/>
        <v>0</v>
      </c>
      <c r="DW124" s="154">
        <f t="shared" si="395"/>
        <v>0</v>
      </c>
      <c r="DX124" s="154">
        <f t="shared" si="333"/>
        <v>0</v>
      </c>
      <c r="DY124" s="154">
        <f t="shared" si="396"/>
        <v>0</v>
      </c>
      <c r="DZ124" s="154">
        <f t="shared" si="334"/>
        <v>0</v>
      </c>
      <c r="EA124" s="154">
        <f t="shared" si="397"/>
        <v>0</v>
      </c>
      <c r="EB124" s="157">
        <f t="shared" si="335"/>
        <v>0</v>
      </c>
      <c r="EC124" s="154">
        <f t="shared" si="336"/>
        <v>0</v>
      </c>
      <c r="ED124" s="158">
        <f t="shared" si="337"/>
        <v>0</v>
      </c>
    </row>
    <row r="125" spans="1:134" ht="15" thickBot="1" x14ac:dyDescent="0.4">
      <c r="A125" s="186"/>
      <c r="B125" s="187"/>
      <c r="C125" s="188"/>
      <c r="D125" s="189"/>
      <c r="E125" s="190"/>
      <c r="F125" s="191"/>
      <c r="G125" s="192"/>
      <c r="H125" s="193"/>
      <c r="I125" s="194"/>
      <c r="J125" s="195"/>
      <c r="K125" s="159">
        <f t="shared" si="338"/>
        <v>0</v>
      </c>
      <c r="L125" s="160">
        <f t="shared" si="339"/>
        <v>0</v>
      </c>
      <c r="M125" s="161">
        <f t="shared" si="340"/>
        <v>0</v>
      </c>
      <c r="N125" s="161"/>
      <c r="O125" s="161">
        <f t="shared" si="341"/>
        <v>0</v>
      </c>
      <c r="P125" s="162"/>
      <c r="Q125" s="161">
        <f t="shared" si="342"/>
        <v>0</v>
      </c>
      <c r="R125" s="163">
        <f t="shared" si="343"/>
        <v>0</v>
      </c>
      <c r="S125" s="161">
        <f t="shared" si="344"/>
        <v>0</v>
      </c>
      <c r="T125" s="161">
        <f t="shared" si="345"/>
        <v>0</v>
      </c>
      <c r="U125" s="161">
        <f t="shared" si="346"/>
        <v>0</v>
      </c>
      <c r="V125" s="161">
        <f t="shared" si="347"/>
        <v>0</v>
      </c>
      <c r="W125" s="161">
        <f t="shared" si="348"/>
        <v>0</v>
      </c>
      <c r="X125" s="161">
        <f t="shared" si="349"/>
        <v>0</v>
      </c>
      <c r="Y125" s="161">
        <f t="shared" si="350"/>
        <v>0</v>
      </c>
      <c r="Z125" s="161">
        <f t="shared" si="351"/>
        <v>0</v>
      </c>
      <c r="AA125" s="161">
        <f t="shared" si="352"/>
        <v>0</v>
      </c>
      <c r="AB125" s="164">
        <f t="shared" si="353"/>
        <v>0</v>
      </c>
      <c r="AC125" s="161">
        <f t="shared" si="354"/>
        <v>0</v>
      </c>
      <c r="AD125" s="165">
        <f t="shared" si="355"/>
        <v>0</v>
      </c>
      <c r="AE125" s="163">
        <f t="shared" si="400"/>
        <v>0</v>
      </c>
      <c r="AF125" s="161">
        <f t="shared" si="357"/>
        <v>0</v>
      </c>
      <c r="AG125" s="161">
        <f t="shared" si="281"/>
        <v>0</v>
      </c>
      <c r="AH125" s="161">
        <f t="shared" si="358"/>
        <v>0</v>
      </c>
      <c r="AI125" s="161">
        <f t="shared" si="282"/>
        <v>0</v>
      </c>
      <c r="AJ125" s="161">
        <f t="shared" si="359"/>
        <v>0</v>
      </c>
      <c r="AK125" s="161">
        <f t="shared" si="283"/>
        <v>0</v>
      </c>
      <c r="AL125" s="161">
        <f t="shared" si="360"/>
        <v>0</v>
      </c>
      <c r="AM125" s="161">
        <f t="shared" si="284"/>
        <v>0</v>
      </c>
      <c r="AN125" s="161">
        <f t="shared" si="361"/>
        <v>0</v>
      </c>
      <c r="AO125" s="164">
        <f t="shared" si="285"/>
        <v>0</v>
      </c>
      <c r="AP125" s="161">
        <f t="shared" si="286"/>
        <v>0</v>
      </c>
      <c r="AQ125" s="165">
        <f t="shared" si="287"/>
        <v>0</v>
      </c>
      <c r="AR125" s="163">
        <f t="shared" si="400"/>
        <v>0</v>
      </c>
      <c r="AS125" s="161">
        <f t="shared" si="362"/>
        <v>0</v>
      </c>
      <c r="AT125" s="161">
        <f t="shared" si="288"/>
        <v>0</v>
      </c>
      <c r="AU125" s="161">
        <f t="shared" si="363"/>
        <v>0</v>
      </c>
      <c r="AV125" s="161">
        <f t="shared" si="289"/>
        <v>0</v>
      </c>
      <c r="AW125" s="161">
        <f t="shared" si="364"/>
        <v>0</v>
      </c>
      <c r="AX125" s="161">
        <f t="shared" si="290"/>
        <v>0</v>
      </c>
      <c r="AY125" s="161">
        <f t="shared" si="365"/>
        <v>0</v>
      </c>
      <c r="AZ125" s="161">
        <f t="shared" si="291"/>
        <v>0</v>
      </c>
      <c r="BA125" s="161">
        <f t="shared" si="366"/>
        <v>0</v>
      </c>
      <c r="BB125" s="164">
        <f t="shared" si="292"/>
        <v>0</v>
      </c>
      <c r="BC125" s="161">
        <f t="shared" si="293"/>
        <v>0</v>
      </c>
      <c r="BD125" s="165">
        <f t="shared" si="294"/>
        <v>0</v>
      </c>
      <c r="BE125" s="163">
        <f t="shared" si="400"/>
        <v>0</v>
      </c>
      <c r="BF125" s="161">
        <f t="shared" si="367"/>
        <v>0</v>
      </c>
      <c r="BG125" s="161">
        <f t="shared" si="295"/>
        <v>0</v>
      </c>
      <c r="BH125" s="161">
        <f t="shared" si="368"/>
        <v>0</v>
      </c>
      <c r="BI125" s="161">
        <f t="shared" si="296"/>
        <v>0</v>
      </c>
      <c r="BJ125" s="161">
        <f t="shared" si="369"/>
        <v>0</v>
      </c>
      <c r="BK125" s="161">
        <f t="shared" si="297"/>
        <v>0</v>
      </c>
      <c r="BL125" s="161">
        <f t="shared" si="370"/>
        <v>0</v>
      </c>
      <c r="BM125" s="161">
        <f t="shared" si="298"/>
        <v>0</v>
      </c>
      <c r="BN125" s="161">
        <f t="shared" si="371"/>
        <v>0</v>
      </c>
      <c r="BO125" s="164">
        <f t="shared" si="299"/>
        <v>0</v>
      </c>
      <c r="BP125" s="161">
        <f t="shared" si="300"/>
        <v>0</v>
      </c>
      <c r="BQ125" s="165">
        <f t="shared" si="301"/>
        <v>0</v>
      </c>
      <c r="BR125" s="163">
        <f t="shared" si="400"/>
        <v>0</v>
      </c>
      <c r="BS125" s="161">
        <f t="shared" si="372"/>
        <v>0</v>
      </c>
      <c r="BT125" s="161">
        <f t="shared" si="302"/>
        <v>0</v>
      </c>
      <c r="BU125" s="161">
        <f t="shared" si="373"/>
        <v>0</v>
      </c>
      <c r="BV125" s="161">
        <f t="shared" si="303"/>
        <v>0</v>
      </c>
      <c r="BW125" s="161">
        <f t="shared" si="374"/>
        <v>0</v>
      </c>
      <c r="BX125" s="161">
        <f t="shared" si="304"/>
        <v>0</v>
      </c>
      <c r="BY125" s="161">
        <f t="shared" si="375"/>
        <v>0</v>
      </c>
      <c r="BZ125" s="161">
        <f t="shared" si="305"/>
        <v>0</v>
      </c>
      <c r="CA125" s="161">
        <f t="shared" si="376"/>
        <v>0</v>
      </c>
      <c r="CB125" s="164">
        <f t="shared" si="306"/>
        <v>0</v>
      </c>
      <c r="CC125" s="161">
        <f t="shared" si="307"/>
        <v>0</v>
      </c>
      <c r="CD125" s="165">
        <f t="shared" si="308"/>
        <v>0</v>
      </c>
      <c r="CE125" s="163">
        <f t="shared" si="400"/>
        <v>0</v>
      </c>
      <c r="CF125" s="161">
        <f t="shared" si="377"/>
        <v>0</v>
      </c>
      <c r="CG125" s="161">
        <f t="shared" si="309"/>
        <v>0</v>
      </c>
      <c r="CH125" s="161">
        <f t="shared" si="378"/>
        <v>0</v>
      </c>
      <c r="CI125" s="161">
        <f t="shared" si="310"/>
        <v>0</v>
      </c>
      <c r="CJ125" s="161">
        <f t="shared" si="379"/>
        <v>0</v>
      </c>
      <c r="CK125" s="161">
        <f t="shared" si="311"/>
        <v>0</v>
      </c>
      <c r="CL125" s="161">
        <f t="shared" si="380"/>
        <v>0</v>
      </c>
      <c r="CM125" s="161">
        <f t="shared" si="312"/>
        <v>0</v>
      </c>
      <c r="CN125" s="161">
        <f t="shared" si="381"/>
        <v>0</v>
      </c>
      <c r="CO125" s="164">
        <f t="shared" si="313"/>
        <v>0</v>
      </c>
      <c r="CP125" s="161">
        <f t="shared" si="314"/>
        <v>0</v>
      </c>
      <c r="CQ125" s="165">
        <f t="shared" si="315"/>
        <v>0</v>
      </c>
      <c r="CR125" s="163">
        <f t="shared" si="401"/>
        <v>0</v>
      </c>
      <c r="CS125" s="161">
        <f t="shared" si="383"/>
        <v>0</v>
      </c>
      <c r="CT125" s="161">
        <f t="shared" si="317"/>
        <v>0</v>
      </c>
      <c r="CU125" s="161">
        <f t="shared" si="384"/>
        <v>0</v>
      </c>
      <c r="CV125" s="161">
        <f t="shared" si="318"/>
        <v>0</v>
      </c>
      <c r="CW125" s="161">
        <f t="shared" si="385"/>
        <v>0</v>
      </c>
      <c r="CX125" s="161">
        <f t="shared" si="319"/>
        <v>0</v>
      </c>
      <c r="CY125" s="161">
        <f t="shared" si="386"/>
        <v>0</v>
      </c>
      <c r="CZ125" s="161">
        <f t="shared" si="320"/>
        <v>0</v>
      </c>
      <c r="DA125" s="161">
        <f t="shared" si="387"/>
        <v>0</v>
      </c>
      <c r="DB125" s="164">
        <f t="shared" si="321"/>
        <v>0</v>
      </c>
      <c r="DC125" s="161">
        <f t="shared" si="322"/>
        <v>0</v>
      </c>
      <c r="DD125" s="165">
        <f t="shared" si="323"/>
        <v>0</v>
      </c>
      <c r="DE125" s="163">
        <f t="shared" si="401"/>
        <v>0</v>
      </c>
      <c r="DF125" s="161">
        <f t="shared" si="388"/>
        <v>0</v>
      </c>
      <c r="DG125" s="161">
        <f t="shared" si="324"/>
        <v>0</v>
      </c>
      <c r="DH125" s="161">
        <f t="shared" si="389"/>
        <v>0</v>
      </c>
      <c r="DI125" s="161">
        <f t="shared" si="325"/>
        <v>0</v>
      </c>
      <c r="DJ125" s="161">
        <f t="shared" si="390"/>
        <v>0</v>
      </c>
      <c r="DK125" s="161">
        <f t="shared" si="326"/>
        <v>0</v>
      </c>
      <c r="DL125" s="161">
        <f t="shared" si="391"/>
        <v>0</v>
      </c>
      <c r="DM125" s="161">
        <f t="shared" si="327"/>
        <v>0</v>
      </c>
      <c r="DN125" s="161">
        <f t="shared" si="392"/>
        <v>0</v>
      </c>
      <c r="DO125" s="164">
        <f t="shared" si="328"/>
        <v>0</v>
      </c>
      <c r="DP125" s="161">
        <f t="shared" si="329"/>
        <v>0</v>
      </c>
      <c r="DQ125" s="165">
        <f t="shared" si="330"/>
        <v>0</v>
      </c>
      <c r="DR125" s="163">
        <f t="shared" si="401"/>
        <v>0</v>
      </c>
      <c r="DS125" s="161">
        <f t="shared" si="393"/>
        <v>0</v>
      </c>
      <c r="DT125" s="161">
        <f t="shared" si="331"/>
        <v>0</v>
      </c>
      <c r="DU125" s="161">
        <f t="shared" si="394"/>
        <v>0</v>
      </c>
      <c r="DV125" s="161">
        <f t="shared" si="332"/>
        <v>0</v>
      </c>
      <c r="DW125" s="161">
        <f t="shared" si="395"/>
        <v>0</v>
      </c>
      <c r="DX125" s="161">
        <f t="shared" si="333"/>
        <v>0</v>
      </c>
      <c r="DY125" s="161">
        <f t="shared" si="396"/>
        <v>0</v>
      </c>
      <c r="DZ125" s="161">
        <f t="shared" si="334"/>
        <v>0</v>
      </c>
      <c r="EA125" s="161">
        <f t="shared" si="397"/>
        <v>0</v>
      </c>
      <c r="EB125" s="164">
        <f t="shared" si="335"/>
        <v>0</v>
      </c>
      <c r="EC125" s="161">
        <f t="shared" si="336"/>
        <v>0</v>
      </c>
      <c r="ED125" s="165">
        <f t="shared" si="337"/>
        <v>0</v>
      </c>
    </row>
    <row r="126" spans="1:134" ht="24" customHeight="1" x14ac:dyDescent="0.35">
      <c r="J126" s="10" t="s">
        <v>166</v>
      </c>
      <c r="M126" s="166">
        <f>SUM(M5:M125)</f>
        <v>3189219.5499999993</v>
      </c>
      <c r="N126" s="166">
        <f t="shared" ref="N126:AD126" si="402">SUM(N5:N125)</f>
        <v>0</v>
      </c>
      <c r="O126" s="166">
        <f t="shared" si="402"/>
        <v>3115983.4500000007</v>
      </c>
      <c r="P126" s="166">
        <f t="shared" si="402"/>
        <v>0</v>
      </c>
      <c r="Q126" s="168">
        <f t="shared" si="402"/>
        <v>6305203</v>
      </c>
      <c r="R126" s="166">
        <f t="shared" si="402"/>
        <v>0</v>
      </c>
      <c r="S126" s="166">
        <f t="shared" si="402"/>
        <v>0</v>
      </c>
      <c r="T126" s="166">
        <f t="shared" si="402"/>
        <v>0</v>
      </c>
      <c r="U126" s="166">
        <f t="shared" si="402"/>
        <v>0</v>
      </c>
      <c r="V126" s="166">
        <f t="shared" si="402"/>
        <v>6305203</v>
      </c>
      <c r="W126" s="166">
        <f t="shared" si="402"/>
        <v>6305203</v>
      </c>
      <c r="X126" s="166">
        <f t="shared" si="402"/>
        <v>187264.53</v>
      </c>
      <c r="Y126" s="166">
        <f t="shared" si="402"/>
        <v>187264.53</v>
      </c>
      <c r="Z126" s="166">
        <f t="shared" si="402"/>
        <v>3001955.02</v>
      </c>
      <c r="AA126" s="166">
        <f t="shared" si="402"/>
        <v>3001955.02</v>
      </c>
      <c r="AB126" s="166">
        <f t="shared" si="402"/>
        <v>3303247.98</v>
      </c>
      <c r="AC126" s="166">
        <f t="shared" si="402"/>
        <v>0</v>
      </c>
      <c r="AD126" s="168">
        <f t="shared" si="402"/>
        <v>0</v>
      </c>
      <c r="AE126" s="166">
        <f t="shared" ref="AE126:CP126" si="403">SUM(AE5:AE125)</f>
        <v>0</v>
      </c>
      <c r="AF126" s="166">
        <f t="shared" si="403"/>
        <v>0</v>
      </c>
      <c r="AG126" s="166">
        <f t="shared" si="403"/>
        <v>0</v>
      </c>
      <c r="AH126" s="166">
        <f t="shared" si="403"/>
        <v>0</v>
      </c>
      <c r="AI126" s="166">
        <f t="shared" si="403"/>
        <v>6305203</v>
      </c>
      <c r="AJ126" s="166">
        <f t="shared" si="403"/>
        <v>6305203</v>
      </c>
      <c r="AK126" s="166">
        <f t="shared" si="403"/>
        <v>187264.53</v>
      </c>
      <c r="AL126" s="166">
        <f t="shared" si="403"/>
        <v>187264.53</v>
      </c>
      <c r="AM126" s="166">
        <f t="shared" si="403"/>
        <v>2814690.4899999998</v>
      </c>
      <c r="AN126" s="166">
        <f t="shared" si="403"/>
        <v>2814690.4899999998</v>
      </c>
      <c r="AO126" s="166">
        <f t="shared" si="403"/>
        <v>3490512.5100000002</v>
      </c>
      <c r="AP126" s="166">
        <f t="shared" si="403"/>
        <v>0</v>
      </c>
      <c r="AQ126" s="168">
        <f t="shared" si="403"/>
        <v>0</v>
      </c>
      <c r="AR126" s="166">
        <f t="shared" si="403"/>
        <v>0</v>
      </c>
      <c r="AS126" s="166">
        <f t="shared" si="403"/>
        <v>0</v>
      </c>
      <c r="AT126" s="166">
        <f t="shared" si="403"/>
        <v>0</v>
      </c>
      <c r="AU126" s="166">
        <f t="shared" si="403"/>
        <v>0</v>
      </c>
      <c r="AV126" s="166">
        <f t="shared" si="403"/>
        <v>6305203</v>
      </c>
      <c r="AW126" s="166">
        <f t="shared" si="403"/>
        <v>6305203</v>
      </c>
      <c r="AX126" s="166">
        <f t="shared" si="403"/>
        <v>187264.53</v>
      </c>
      <c r="AY126" s="166">
        <f t="shared" si="403"/>
        <v>187264.53</v>
      </c>
      <c r="AZ126" s="166">
        <f t="shared" si="403"/>
        <v>2627425.9600000004</v>
      </c>
      <c r="BA126" s="166">
        <f t="shared" si="403"/>
        <v>2627425.9600000004</v>
      </c>
      <c r="BB126" s="166">
        <f t="shared" si="403"/>
        <v>3677777.0399999996</v>
      </c>
      <c r="BC126" s="166">
        <f t="shared" si="403"/>
        <v>0</v>
      </c>
      <c r="BD126" s="168">
        <f t="shared" si="403"/>
        <v>0</v>
      </c>
      <c r="BE126" s="166">
        <f t="shared" si="403"/>
        <v>0</v>
      </c>
      <c r="BF126" s="166">
        <f t="shared" si="403"/>
        <v>0</v>
      </c>
      <c r="BG126" s="166">
        <f t="shared" si="403"/>
        <v>0</v>
      </c>
      <c r="BH126" s="166">
        <f t="shared" si="403"/>
        <v>0</v>
      </c>
      <c r="BI126" s="166">
        <f t="shared" si="403"/>
        <v>6305203</v>
      </c>
      <c r="BJ126" s="166">
        <f t="shared" si="403"/>
        <v>6024731.6200000001</v>
      </c>
      <c r="BK126" s="166">
        <f t="shared" si="403"/>
        <v>178934.53</v>
      </c>
      <c r="BL126" s="166">
        <f t="shared" si="403"/>
        <v>178934.53</v>
      </c>
      <c r="BM126" s="166">
        <f t="shared" si="403"/>
        <v>2448491.4299999997</v>
      </c>
      <c r="BN126" s="166">
        <f t="shared" si="403"/>
        <v>2448491.4299999997</v>
      </c>
      <c r="BO126" s="166">
        <f t="shared" si="403"/>
        <v>3856711.5700000003</v>
      </c>
      <c r="BP126" s="166">
        <f t="shared" si="403"/>
        <v>0</v>
      </c>
      <c r="BQ126" s="168">
        <f t="shared" si="403"/>
        <v>0</v>
      </c>
      <c r="BR126" s="166">
        <f t="shared" si="403"/>
        <v>0</v>
      </c>
      <c r="BS126" s="166">
        <f t="shared" si="403"/>
        <v>0</v>
      </c>
      <c r="BT126" s="166">
        <f t="shared" si="403"/>
        <v>0</v>
      </c>
      <c r="BU126" s="166">
        <f t="shared" si="403"/>
        <v>0</v>
      </c>
      <c r="BV126" s="166">
        <f t="shared" si="403"/>
        <v>6305203</v>
      </c>
      <c r="BW126" s="166">
        <f t="shared" si="403"/>
        <v>5455203</v>
      </c>
      <c r="BX126" s="166">
        <f t="shared" si="403"/>
        <v>162019.53</v>
      </c>
      <c r="BY126" s="166">
        <f t="shared" si="403"/>
        <v>162019.53</v>
      </c>
      <c r="BZ126" s="166">
        <f t="shared" si="403"/>
        <v>2286471.9</v>
      </c>
      <c r="CA126" s="166">
        <f t="shared" si="403"/>
        <v>2286471.9</v>
      </c>
      <c r="CB126" s="166">
        <f t="shared" si="403"/>
        <v>4018731.1</v>
      </c>
      <c r="CC126" s="166">
        <f t="shared" si="403"/>
        <v>0</v>
      </c>
      <c r="CD126" s="168">
        <f t="shared" si="403"/>
        <v>0</v>
      </c>
      <c r="CE126" s="166">
        <f t="shared" si="403"/>
        <v>0</v>
      </c>
      <c r="CF126" s="166">
        <f t="shared" si="403"/>
        <v>0</v>
      </c>
      <c r="CG126" s="166">
        <f t="shared" si="403"/>
        <v>0</v>
      </c>
      <c r="CH126" s="166">
        <f t="shared" si="403"/>
        <v>0</v>
      </c>
      <c r="CI126" s="166">
        <f t="shared" si="403"/>
        <v>6305203</v>
      </c>
      <c r="CJ126" s="166">
        <f t="shared" si="403"/>
        <v>5077122.1899999995</v>
      </c>
      <c r="CK126" s="166">
        <f t="shared" si="403"/>
        <v>150790.53</v>
      </c>
      <c r="CL126" s="166">
        <f t="shared" si="403"/>
        <v>150790.53</v>
      </c>
      <c r="CM126" s="166">
        <f t="shared" si="403"/>
        <v>2135681.37</v>
      </c>
      <c r="CN126" s="166">
        <f t="shared" si="403"/>
        <v>2135681.37</v>
      </c>
      <c r="CO126" s="166">
        <f t="shared" si="403"/>
        <v>4169521.63</v>
      </c>
      <c r="CP126" s="166">
        <f t="shared" si="403"/>
        <v>0</v>
      </c>
      <c r="CQ126" s="168">
        <f t="shared" ref="CQ126:ED126" si="404">SUM(CQ5:CQ125)</f>
        <v>0</v>
      </c>
      <c r="CR126" s="166">
        <f t="shared" si="404"/>
        <v>0</v>
      </c>
      <c r="CS126" s="166">
        <f t="shared" si="404"/>
        <v>0</v>
      </c>
      <c r="CT126" s="166">
        <f t="shared" si="404"/>
        <v>0</v>
      </c>
      <c r="CU126" s="166">
        <f t="shared" si="404"/>
        <v>0</v>
      </c>
      <c r="CV126" s="166">
        <f t="shared" si="404"/>
        <v>6305203</v>
      </c>
      <c r="CW126" s="166">
        <f t="shared" si="404"/>
        <v>4885203</v>
      </c>
      <c r="CX126" s="166">
        <f t="shared" si="404"/>
        <v>145090.53</v>
      </c>
      <c r="CY126" s="166">
        <f t="shared" si="404"/>
        <v>145090.53</v>
      </c>
      <c r="CZ126" s="166">
        <f t="shared" si="404"/>
        <v>1990590.8399999999</v>
      </c>
      <c r="DA126" s="166">
        <f t="shared" si="404"/>
        <v>1990590.8399999999</v>
      </c>
      <c r="DB126" s="166">
        <f t="shared" si="404"/>
        <v>4314612.1600000011</v>
      </c>
      <c r="DC126" s="166">
        <f t="shared" si="404"/>
        <v>0</v>
      </c>
      <c r="DD126" s="168">
        <f t="shared" si="404"/>
        <v>0</v>
      </c>
      <c r="DE126" s="166">
        <f t="shared" si="404"/>
        <v>0</v>
      </c>
      <c r="DF126" s="166">
        <f t="shared" si="404"/>
        <v>0</v>
      </c>
      <c r="DG126" s="166">
        <f t="shared" si="404"/>
        <v>0</v>
      </c>
      <c r="DH126" s="166">
        <f t="shared" si="404"/>
        <v>0</v>
      </c>
      <c r="DI126" s="166">
        <f t="shared" si="404"/>
        <v>6305203</v>
      </c>
      <c r="DJ126" s="166">
        <f t="shared" si="404"/>
        <v>4885203</v>
      </c>
      <c r="DK126" s="166">
        <f t="shared" si="404"/>
        <v>145090.53</v>
      </c>
      <c r="DL126" s="166">
        <f t="shared" si="404"/>
        <v>145090.53</v>
      </c>
      <c r="DM126" s="166">
        <f t="shared" si="404"/>
        <v>1845500.31</v>
      </c>
      <c r="DN126" s="166">
        <f t="shared" si="404"/>
        <v>1845500.31</v>
      </c>
      <c r="DO126" s="166">
        <f t="shared" si="404"/>
        <v>4459702.6899999995</v>
      </c>
      <c r="DP126" s="166">
        <f t="shared" si="404"/>
        <v>0</v>
      </c>
      <c r="DQ126" s="168">
        <f t="shared" si="404"/>
        <v>0</v>
      </c>
      <c r="DR126" s="166">
        <f t="shared" si="404"/>
        <v>0</v>
      </c>
      <c r="DS126" s="166">
        <f t="shared" si="404"/>
        <v>0</v>
      </c>
      <c r="DT126" s="166">
        <f t="shared" si="404"/>
        <v>0</v>
      </c>
      <c r="DU126" s="166">
        <f t="shared" si="404"/>
        <v>0</v>
      </c>
      <c r="DV126" s="166">
        <f t="shared" si="404"/>
        <v>6305203</v>
      </c>
      <c r="DW126" s="166">
        <f t="shared" si="404"/>
        <v>4885203</v>
      </c>
      <c r="DX126" s="166">
        <f t="shared" si="404"/>
        <v>145090.53</v>
      </c>
      <c r="DY126" s="166">
        <f t="shared" si="404"/>
        <v>145090.53</v>
      </c>
      <c r="DZ126" s="166">
        <f t="shared" si="404"/>
        <v>1700409.7799999998</v>
      </c>
      <c r="EA126" s="166">
        <f t="shared" si="404"/>
        <v>1700409.7799999998</v>
      </c>
      <c r="EB126" s="166">
        <f t="shared" si="404"/>
        <v>4604793.22</v>
      </c>
      <c r="EC126" s="166">
        <f t="shared" si="404"/>
        <v>0</v>
      </c>
      <c r="ED126" s="168">
        <f t="shared" si="404"/>
        <v>0</v>
      </c>
    </row>
    <row r="127" spans="1:134" ht="11.25" customHeight="1" x14ac:dyDescent="0.35">
      <c r="A127" s="167"/>
      <c r="B127" s="167"/>
      <c r="C127" s="167"/>
      <c r="D127" s="167"/>
      <c r="E127" s="167"/>
      <c r="F127" s="167"/>
      <c r="G127" s="167"/>
      <c r="H127" s="167"/>
      <c r="I127" s="167"/>
      <c r="J127" s="167"/>
      <c r="K127" s="167"/>
      <c r="L127" s="167"/>
      <c r="M127" s="167"/>
      <c r="N127" s="167"/>
      <c r="O127" s="167"/>
      <c r="P127" s="167"/>
      <c r="Q127" s="169"/>
      <c r="R127" s="167"/>
      <c r="S127" s="167"/>
      <c r="T127" s="167"/>
      <c r="U127" s="167"/>
      <c r="V127" s="167"/>
      <c r="W127" s="167"/>
      <c r="X127" s="167"/>
      <c r="Y127" s="167"/>
      <c r="Z127" s="167"/>
      <c r="AA127" s="167"/>
      <c r="AB127" s="167"/>
      <c r="AC127" s="167"/>
      <c r="AD127" s="169"/>
      <c r="AE127" s="167"/>
      <c r="AF127" s="167"/>
      <c r="AG127" s="167"/>
      <c r="AH127" s="167"/>
      <c r="AI127" s="167"/>
      <c r="AJ127" s="167"/>
      <c r="AK127" s="167"/>
      <c r="AL127" s="167"/>
      <c r="AM127" s="167"/>
      <c r="AN127" s="167"/>
      <c r="AO127" s="167"/>
      <c r="AP127" s="167"/>
      <c r="AQ127" s="169"/>
      <c r="AR127" s="167"/>
      <c r="AS127" s="167"/>
      <c r="AT127" s="167"/>
      <c r="AU127" s="167"/>
      <c r="AV127" s="167"/>
      <c r="AW127" s="167"/>
      <c r="AX127" s="167"/>
      <c r="AY127" s="167"/>
      <c r="AZ127" s="167"/>
      <c r="BA127" s="167"/>
      <c r="BB127" s="167"/>
      <c r="BC127" s="167"/>
      <c r="BD127" s="169"/>
      <c r="BE127" s="167"/>
      <c r="BF127" s="167"/>
      <c r="BG127" s="167"/>
      <c r="BH127" s="167"/>
      <c r="BI127" s="167"/>
      <c r="BJ127" s="167"/>
      <c r="BK127" s="167"/>
      <c r="BL127" s="167"/>
      <c r="BM127" s="167"/>
      <c r="BN127" s="167"/>
      <c r="BO127" s="167"/>
      <c r="BP127" s="167"/>
      <c r="BQ127" s="169"/>
      <c r="BR127" s="167"/>
      <c r="BS127" s="167"/>
      <c r="BT127" s="167"/>
      <c r="BU127" s="167"/>
      <c r="BV127" s="167"/>
      <c r="BW127" s="167"/>
      <c r="BX127" s="167"/>
      <c r="BY127" s="167"/>
      <c r="BZ127" s="167"/>
      <c r="CA127" s="167"/>
      <c r="CB127" s="167"/>
      <c r="CC127" s="167"/>
      <c r="CD127" s="169"/>
      <c r="CE127" s="167"/>
      <c r="CF127" s="167"/>
      <c r="CG127" s="167"/>
      <c r="CH127" s="167"/>
      <c r="CI127" s="167"/>
      <c r="CJ127" s="167"/>
      <c r="CK127" s="167"/>
      <c r="CL127" s="167"/>
      <c r="CM127" s="167"/>
      <c r="CN127" s="167"/>
      <c r="CO127" s="167"/>
      <c r="CP127" s="167"/>
      <c r="CQ127" s="169"/>
      <c r="CR127" s="167"/>
      <c r="CS127" s="167"/>
      <c r="CT127" s="167"/>
      <c r="CU127" s="167"/>
      <c r="CV127" s="167"/>
      <c r="CW127" s="167"/>
      <c r="CX127" s="167"/>
      <c r="CY127" s="167"/>
      <c r="CZ127" s="167"/>
      <c r="DA127" s="167"/>
      <c r="DB127" s="167"/>
      <c r="DC127" s="167"/>
      <c r="DD127" s="169"/>
      <c r="DE127" s="167"/>
      <c r="DF127" s="167"/>
      <c r="DG127" s="167"/>
      <c r="DH127" s="167"/>
      <c r="DI127" s="167"/>
      <c r="DJ127" s="167"/>
      <c r="DK127" s="167"/>
      <c r="DL127" s="167"/>
      <c r="DM127" s="167"/>
      <c r="DN127" s="167"/>
      <c r="DO127" s="167"/>
      <c r="DP127" s="167"/>
      <c r="DQ127" s="169"/>
      <c r="DR127" s="167"/>
      <c r="DS127" s="167"/>
      <c r="DT127" s="167"/>
      <c r="DU127" s="167"/>
      <c r="DV127" s="167"/>
      <c r="DW127" s="167"/>
      <c r="DX127" s="167"/>
      <c r="DY127" s="167"/>
      <c r="DZ127" s="167"/>
      <c r="EA127" s="167"/>
      <c r="EB127" s="167"/>
      <c r="EC127" s="167"/>
      <c r="ED127" s="169"/>
    </row>
    <row r="128" spans="1:134" ht="18.5" x14ac:dyDescent="0.45">
      <c r="Q128" s="205"/>
      <c r="X128" s="375">
        <f>X4</f>
        <v>2012</v>
      </c>
      <c r="AD128" s="205"/>
      <c r="AK128" s="375">
        <f t="shared" ref="AK128" si="405">AK4</f>
        <v>2013</v>
      </c>
      <c r="AQ128" s="205"/>
      <c r="AX128" s="375">
        <f t="shared" ref="AX128" si="406">AX4</f>
        <v>2014</v>
      </c>
      <c r="BD128" s="205"/>
      <c r="BK128" s="375">
        <f t="shared" ref="BK128" si="407">BK4</f>
        <v>2015</v>
      </c>
      <c r="BQ128" s="205"/>
      <c r="BX128" s="375">
        <f t="shared" ref="BX128" si="408">BX4</f>
        <v>2016</v>
      </c>
      <c r="CD128" s="205"/>
      <c r="CK128" s="375">
        <f t="shared" ref="CK128" si="409">CK4</f>
        <v>2017</v>
      </c>
      <c r="CQ128" s="205"/>
      <c r="CX128" s="375">
        <f t="shared" ref="CX128" si="410">CX4</f>
        <v>2018</v>
      </c>
      <c r="DD128" s="205"/>
      <c r="DK128" s="375">
        <f t="shared" ref="DK128" si="411">DK4</f>
        <v>2019</v>
      </c>
      <c r="DQ128" s="205"/>
      <c r="DX128" s="375">
        <f t="shared" ref="DX128" si="412">DX4</f>
        <v>2020</v>
      </c>
      <c r="ED128" s="205"/>
    </row>
    <row r="129" spans="1:134" ht="21" x14ac:dyDescent="0.5">
      <c r="A129" s="95" t="s">
        <v>1079</v>
      </c>
      <c r="F129" s="288" t="str">
        <f>"Zwischen Zeile "&amp;ROW(128:128)&amp;" und Zeile "&amp;ROW(192:192)&amp;" weder eine Zeile einfügen noch löschen!!!"</f>
        <v>Zwischen Zeile 128 und Zeile 192 weder eine Zeile einfügen noch löschen!!!</v>
      </c>
      <c r="Q129" s="205">
        <v>2</v>
      </c>
      <c r="R129" s="171" t="s">
        <v>547</v>
      </c>
      <c r="V129" s="80" t="s">
        <v>548</v>
      </c>
      <c r="W129" s="80" t="s">
        <v>549</v>
      </c>
      <c r="X129" s="80" t="s">
        <v>551</v>
      </c>
      <c r="Y129" s="80" t="s">
        <v>550</v>
      </c>
      <c r="Z129" s="79" t="s">
        <v>1080</v>
      </c>
      <c r="AD129" s="205"/>
      <c r="AE129" s="171" t="s">
        <v>547</v>
      </c>
      <c r="AI129" s="80" t="s">
        <v>548</v>
      </c>
      <c r="AJ129" s="80" t="s">
        <v>549</v>
      </c>
      <c r="AK129" s="80" t="s">
        <v>551</v>
      </c>
      <c r="AL129" s="80" t="s">
        <v>550</v>
      </c>
      <c r="AM129" s="79" t="s">
        <v>1080</v>
      </c>
      <c r="AQ129" s="205"/>
      <c r="AR129" s="171" t="s">
        <v>547</v>
      </c>
      <c r="AV129" s="80" t="s">
        <v>548</v>
      </c>
      <c r="AW129" s="80" t="s">
        <v>549</v>
      </c>
      <c r="AX129" s="80" t="s">
        <v>551</v>
      </c>
      <c r="AY129" s="80" t="s">
        <v>550</v>
      </c>
      <c r="AZ129" s="79" t="s">
        <v>1080</v>
      </c>
      <c r="BD129" s="205"/>
      <c r="BE129" s="171" t="s">
        <v>547</v>
      </c>
      <c r="BI129" s="80" t="s">
        <v>548</v>
      </c>
      <c r="BJ129" s="80" t="s">
        <v>549</v>
      </c>
      <c r="BK129" s="80" t="s">
        <v>551</v>
      </c>
      <c r="BL129" s="80" t="s">
        <v>550</v>
      </c>
      <c r="BM129" s="79" t="s">
        <v>1080</v>
      </c>
      <c r="BQ129" s="205"/>
      <c r="BR129" s="171" t="s">
        <v>547</v>
      </c>
      <c r="BV129" s="80" t="s">
        <v>548</v>
      </c>
      <c r="BW129" s="80" t="s">
        <v>549</v>
      </c>
      <c r="BX129" s="80" t="s">
        <v>551</v>
      </c>
      <c r="BY129" s="80" t="s">
        <v>550</v>
      </c>
      <c r="BZ129" s="79" t="s">
        <v>1080</v>
      </c>
      <c r="CD129" s="205"/>
      <c r="CE129" s="171" t="s">
        <v>547</v>
      </c>
      <c r="CI129" s="80" t="s">
        <v>548</v>
      </c>
      <c r="CJ129" s="80" t="s">
        <v>549</v>
      </c>
      <c r="CK129" s="80" t="s">
        <v>551</v>
      </c>
      <c r="CL129" s="80" t="s">
        <v>550</v>
      </c>
      <c r="CM129" s="79" t="s">
        <v>1080</v>
      </c>
      <c r="CQ129" s="205"/>
      <c r="CR129" s="171" t="s">
        <v>547</v>
      </c>
      <c r="CV129" s="80" t="s">
        <v>548</v>
      </c>
      <c r="CW129" s="80" t="s">
        <v>549</v>
      </c>
      <c r="CX129" s="80" t="s">
        <v>551</v>
      </c>
      <c r="CY129" s="80" t="s">
        <v>550</v>
      </c>
      <c r="CZ129" s="79" t="s">
        <v>1080</v>
      </c>
      <c r="DD129" s="205"/>
      <c r="DE129" s="171" t="s">
        <v>547</v>
      </c>
      <c r="DI129" s="80" t="s">
        <v>548</v>
      </c>
      <c r="DJ129" s="80" t="s">
        <v>549</v>
      </c>
      <c r="DK129" s="80" t="s">
        <v>551</v>
      </c>
      <c r="DL129" s="80" t="s">
        <v>550</v>
      </c>
      <c r="DM129" s="79" t="s">
        <v>1080</v>
      </c>
      <c r="DQ129" s="205"/>
      <c r="DR129" s="171" t="s">
        <v>547</v>
      </c>
      <c r="DV129" s="80" t="s">
        <v>548</v>
      </c>
      <c r="DW129" s="80" t="s">
        <v>549</v>
      </c>
      <c r="DX129" s="80" t="s">
        <v>551</v>
      </c>
      <c r="DY129" s="80" t="s">
        <v>550</v>
      </c>
      <c r="DZ129" s="79" t="s">
        <v>1080</v>
      </c>
      <c r="ED129" s="205"/>
    </row>
    <row r="130" spans="1:134" x14ac:dyDescent="0.35">
      <c r="A130" s="289" t="s">
        <v>554</v>
      </c>
      <c r="Q130" s="205">
        <v>3</v>
      </c>
      <c r="R130" s="99"/>
      <c r="V130" s="89">
        <f>SUMIF($D$5:$D$125,"=bes",V5:V125)+SUMIF($D$5:$D$125,"=bem",V5:V125)+SUMIF($D$5:$D$125,"=ber",V5:V125)+SUMIF($D$5:$D$125,"=bek",V5:V125)</f>
        <v>0</v>
      </c>
      <c r="W130" s="90">
        <f>SUM(W131:W133)</f>
        <v>0</v>
      </c>
      <c r="X130" s="89">
        <f>SUMIF($D$5:$D$125,"=bes",X5:X125)+SUMIF($D$5:$D$125,"=bem",X5:X125)+SUMIF($D$5:$D$125,"=ber",X5:X125)+SUMIF($D$5:$D$125,"=bek",X5:X125)</f>
        <v>0</v>
      </c>
      <c r="Y130" s="90">
        <f>SUM(Y131:Y133)</f>
        <v>0</v>
      </c>
      <c r="Z130" s="170" t="s">
        <v>554</v>
      </c>
      <c r="AD130" s="205"/>
      <c r="AE130" s="99"/>
      <c r="AI130" s="89">
        <f t="shared" ref="AI130" si="413">SUMIF($D$5:$D$125,"=bes",AI5:AI125)+SUMIF($D$5:$D$125,"=bem",AI5:AI125)+SUMIF($D$5:$D$125,"=ber",AI5:AI125)+SUMIF($D$5:$D$125,"=bek",AI5:AI125)</f>
        <v>0</v>
      </c>
      <c r="AJ130" s="90">
        <f t="shared" ref="AJ130" si="414">SUM(AJ131:AJ133)</f>
        <v>0</v>
      </c>
      <c r="AK130" s="89">
        <f t="shared" ref="AK130" si="415">SUMIF($D$5:$D$125,"=bes",AK5:AK125)+SUMIF($D$5:$D$125,"=bem",AK5:AK125)+SUMIF($D$5:$D$125,"=ber",AK5:AK125)+SUMIF($D$5:$D$125,"=bek",AK5:AK125)</f>
        <v>0</v>
      </c>
      <c r="AL130" s="90">
        <f t="shared" ref="AL130" si="416">SUM(AL131:AL133)</f>
        <v>0</v>
      </c>
      <c r="AM130" s="289" t="s">
        <v>554</v>
      </c>
      <c r="AQ130" s="205"/>
      <c r="AR130" s="99"/>
      <c r="AV130" s="89">
        <f t="shared" ref="AV130" si="417">SUMIF($D$5:$D$125,"=bes",AV5:AV125)+SUMIF($D$5:$D$125,"=bem",AV5:AV125)+SUMIF($D$5:$D$125,"=ber",AV5:AV125)+SUMIF($D$5:$D$125,"=bek",AV5:AV125)</f>
        <v>0</v>
      </c>
      <c r="AW130" s="90">
        <f t="shared" ref="AW130" si="418">SUM(AW131:AW133)</f>
        <v>0</v>
      </c>
      <c r="AX130" s="89">
        <f t="shared" ref="AX130" si="419">SUMIF($D$5:$D$125,"=bes",AX5:AX125)+SUMIF($D$5:$D$125,"=bem",AX5:AX125)+SUMIF($D$5:$D$125,"=ber",AX5:AX125)+SUMIF($D$5:$D$125,"=bek",AX5:AX125)</f>
        <v>0</v>
      </c>
      <c r="AY130" s="90">
        <f t="shared" ref="AY130" si="420">SUM(AY131:AY133)</f>
        <v>0</v>
      </c>
      <c r="AZ130" s="289" t="s">
        <v>554</v>
      </c>
      <c r="BD130" s="205"/>
      <c r="BE130" s="99"/>
      <c r="BI130" s="89">
        <f t="shared" ref="BI130" si="421">SUMIF($D$5:$D$125,"=bes",BI5:BI125)+SUMIF($D$5:$D$125,"=bem",BI5:BI125)+SUMIF($D$5:$D$125,"=ber",BI5:BI125)+SUMIF($D$5:$D$125,"=bek",BI5:BI125)</f>
        <v>0</v>
      </c>
      <c r="BJ130" s="90">
        <f t="shared" ref="BJ130" si="422">SUM(BJ131:BJ133)</f>
        <v>0</v>
      </c>
      <c r="BK130" s="89">
        <f t="shared" ref="BK130" si="423">SUMIF($D$5:$D$125,"=bes",BK5:BK125)+SUMIF($D$5:$D$125,"=bem",BK5:BK125)+SUMIF($D$5:$D$125,"=ber",BK5:BK125)+SUMIF($D$5:$D$125,"=bek",BK5:BK125)</f>
        <v>0</v>
      </c>
      <c r="BL130" s="90">
        <f t="shared" ref="BL130" si="424">SUM(BL131:BL133)</f>
        <v>0</v>
      </c>
      <c r="BM130" s="289" t="s">
        <v>554</v>
      </c>
      <c r="BQ130" s="205"/>
      <c r="BR130" s="99"/>
      <c r="BV130" s="89">
        <f t="shared" ref="BV130" si="425">SUMIF($D$5:$D$125,"=bes",BV5:BV125)+SUMIF($D$5:$D$125,"=bem",BV5:BV125)+SUMIF($D$5:$D$125,"=ber",BV5:BV125)+SUMIF($D$5:$D$125,"=bek",BV5:BV125)</f>
        <v>0</v>
      </c>
      <c r="BW130" s="90">
        <f t="shared" ref="BW130" si="426">SUM(BW131:BW133)</f>
        <v>0</v>
      </c>
      <c r="BX130" s="89">
        <f t="shared" ref="BX130" si="427">SUMIF($D$5:$D$125,"=bes",BX5:BX125)+SUMIF($D$5:$D$125,"=bem",BX5:BX125)+SUMIF($D$5:$D$125,"=ber",BX5:BX125)+SUMIF($D$5:$D$125,"=bek",BX5:BX125)</f>
        <v>0</v>
      </c>
      <c r="BY130" s="90">
        <f t="shared" ref="BY130" si="428">SUM(BY131:BY133)</f>
        <v>0</v>
      </c>
      <c r="BZ130" s="289" t="s">
        <v>554</v>
      </c>
      <c r="CD130" s="205"/>
      <c r="CE130" s="99"/>
      <c r="CI130" s="89">
        <f t="shared" ref="CI130" si="429">SUMIF($D$5:$D$125,"=bes",CI5:CI125)+SUMIF($D$5:$D$125,"=bem",CI5:CI125)+SUMIF($D$5:$D$125,"=ber",CI5:CI125)+SUMIF($D$5:$D$125,"=bek",CI5:CI125)</f>
        <v>0</v>
      </c>
      <c r="CJ130" s="90">
        <f t="shared" ref="CJ130" si="430">SUM(CJ131:CJ133)</f>
        <v>0</v>
      </c>
      <c r="CK130" s="89">
        <f t="shared" ref="CK130" si="431">SUMIF($D$5:$D$125,"=bes",CK5:CK125)+SUMIF($D$5:$D$125,"=bem",CK5:CK125)+SUMIF($D$5:$D$125,"=ber",CK5:CK125)+SUMIF($D$5:$D$125,"=bek",CK5:CK125)</f>
        <v>0</v>
      </c>
      <c r="CL130" s="90">
        <f t="shared" ref="CL130" si="432">SUM(CL131:CL133)</f>
        <v>0</v>
      </c>
      <c r="CM130" s="289" t="s">
        <v>554</v>
      </c>
      <c r="CQ130" s="205"/>
      <c r="CR130" s="99"/>
      <c r="CV130" s="89">
        <f t="shared" ref="CV130" si="433">SUMIF($D$5:$D$125,"=bes",CV5:CV125)+SUMIF($D$5:$D$125,"=bem",CV5:CV125)+SUMIF($D$5:$D$125,"=ber",CV5:CV125)+SUMIF($D$5:$D$125,"=bek",CV5:CV125)</f>
        <v>0</v>
      </c>
      <c r="CW130" s="90">
        <f t="shared" ref="CW130" si="434">SUM(CW131:CW133)</f>
        <v>0</v>
      </c>
      <c r="CX130" s="89">
        <f t="shared" ref="CX130" si="435">SUMIF($D$5:$D$125,"=bes",CX5:CX125)+SUMIF($D$5:$D$125,"=bem",CX5:CX125)+SUMIF($D$5:$D$125,"=ber",CX5:CX125)+SUMIF($D$5:$D$125,"=bek",CX5:CX125)</f>
        <v>0</v>
      </c>
      <c r="CY130" s="90">
        <f t="shared" ref="CY130" si="436">SUM(CY131:CY133)</f>
        <v>0</v>
      </c>
      <c r="CZ130" s="289" t="s">
        <v>554</v>
      </c>
      <c r="DD130" s="205"/>
      <c r="DE130" s="99"/>
      <c r="DI130" s="89">
        <f t="shared" ref="DI130" si="437">SUMIF($D$5:$D$125,"=bes",DI5:DI125)+SUMIF($D$5:$D$125,"=bem",DI5:DI125)+SUMIF($D$5:$D$125,"=ber",DI5:DI125)+SUMIF($D$5:$D$125,"=bek",DI5:DI125)</f>
        <v>0</v>
      </c>
      <c r="DJ130" s="90">
        <f t="shared" ref="DJ130" si="438">SUM(DJ131:DJ133)</f>
        <v>0</v>
      </c>
      <c r="DK130" s="89">
        <f t="shared" ref="DK130" si="439">SUMIF($D$5:$D$125,"=bes",DK5:DK125)+SUMIF($D$5:$D$125,"=bem",DK5:DK125)+SUMIF($D$5:$D$125,"=ber",DK5:DK125)+SUMIF($D$5:$D$125,"=bek",DK5:DK125)</f>
        <v>0</v>
      </c>
      <c r="DL130" s="90">
        <f t="shared" ref="DL130" si="440">SUM(DL131:DL133)</f>
        <v>0</v>
      </c>
      <c r="DM130" s="289" t="s">
        <v>554</v>
      </c>
      <c r="DQ130" s="205"/>
      <c r="DR130" s="99"/>
      <c r="DV130" s="89">
        <f t="shared" ref="DV130" si="441">SUMIF($D$5:$D$125,"=bes",DV5:DV125)+SUMIF($D$5:$D$125,"=bem",DV5:DV125)+SUMIF($D$5:$D$125,"=ber",DV5:DV125)+SUMIF($D$5:$D$125,"=bek",DV5:DV125)</f>
        <v>0</v>
      </c>
      <c r="DW130" s="90">
        <f t="shared" ref="DW130" si="442">SUM(DW131:DW133)</f>
        <v>0</v>
      </c>
      <c r="DX130" s="89">
        <f t="shared" ref="DX130" si="443">SUMIF($D$5:$D$125,"=bes",DX5:DX125)+SUMIF($D$5:$D$125,"=bem",DX5:DX125)+SUMIF($D$5:$D$125,"=ber",DX5:DX125)+SUMIF($D$5:$D$125,"=bek",DX5:DX125)</f>
        <v>0</v>
      </c>
      <c r="DY130" s="90">
        <f t="shared" ref="DY130" si="444">SUM(DY131:DY133)</f>
        <v>0</v>
      </c>
      <c r="DZ130" s="289" t="s">
        <v>554</v>
      </c>
      <c r="ED130" s="205"/>
    </row>
    <row r="131" spans="1:134" x14ac:dyDescent="0.35">
      <c r="A131" s="73" t="s">
        <v>169</v>
      </c>
      <c r="Q131" s="205">
        <v>4</v>
      </c>
      <c r="V131" s="89">
        <f>SUMIF($D$5:$D$125,"=bes",V5:V125)*HLOOKUP(X128,Verteil_sw,32,FALSE)+SUMIF($D$5:$D$125,"=bem",V5:V125)*HLOOKUP(X128,Verteil_sw,33,FALSE)+SUMIF($D$5:$D$125,"=ber",V5:V125)*HLOOKUP(X128,Verteil_sw,34,FALSE)+SUMIF($D$5:$D$125,"=bek",V5:V125)*HLOOKUP(X128,Verteil_sw,35,FALSE)</f>
        <v>0</v>
      </c>
      <c r="W131" s="90">
        <f>IF(V130&lt;&gt;0,V131/V130,0)</f>
        <v>0</v>
      </c>
      <c r="X131" s="89">
        <f>SUMIF($D$5:$D$125,"=bes",X5:X125)*HLOOKUP(X128,Verteil_sw,32,FALSE)+SUMIF($D$5:$D$125,"=bem",X5:X125)*HLOOKUP(X128,Verteil_sw,33,FALSE)+SUMIF($D$5:$D$125,"=ber",X5:X125)*HLOOKUP(X128,Verteil_sw,34,FALSE)+SUMIF($D$5:$D$125,"=bek",X5:X125)*HLOOKUP(X128,Verteil_sw,35,FALSE)</f>
        <v>0</v>
      </c>
      <c r="Y131" s="90">
        <f>IF(X130&lt;&gt;0,X131/X130,0)</f>
        <v>0</v>
      </c>
      <c r="Z131" s="73" t="s">
        <v>169</v>
      </c>
      <c r="AD131" s="205"/>
      <c r="AI131" s="89">
        <f>SUMIF($D$5:$D$125,"=bes",AI5:AI125)*HLOOKUP(AK128,Verteil_sw,32,FALSE)+SUMIF($D$5:$D$125,"=bem",AI5:AI125)*HLOOKUP(AK128,Verteil_sw,33,FALSE)+SUMIF($D$5:$D$125,"=ber",AI5:AI125)*HLOOKUP(AK128,Verteil_sw,34,FALSE)+SUMIF($D$5:$D$125,"=bek",AI5:AI125)*HLOOKUP(AK128,Verteil_sw,35,FALSE)</f>
        <v>0</v>
      </c>
      <c r="AJ131" s="90">
        <f t="shared" ref="AJ131" si="445">IF(AI130&lt;&gt;0,AI131/AI130,0)</f>
        <v>0</v>
      </c>
      <c r="AK131" s="89">
        <f>SUMIF($D$5:$D$125,"=bes",AK5:AK125)*HLOOKUP(AK128,Verteil_sw,32,FALSE)+SUMIF($D$5:$D$125,"=bem",AK5:AK125)*HLOOKUP(AK128,Verteil_sw,33,FALSE)+SUMIF($D$5:$D$125,"=ber",AK5:AK125)*HLOOKUP(AK128,Verteil_sw,34,FALSE)+SUMIF($D$5:$D$125,"=bek",AK5:AK125)*HLOOKUP(AK128,Verteil_sw,35,FALSE)</f>
        <v>0</v>
      </c>
      <c r="AL131" s="90">
        <f t="shared" ref="AL131" si="446">IF(AK130&lt;&gt;0,AK131/AK130,0)</f>
        <v>0</v>
      </c>
      <c r="AM131" s="571" t="s">
        <v>169</v>
      </c>
      <c r="AQ131" s="205"/>
      <c r="AV131" s="89">
        <f>SUMIF($D$5:$D$125,"=bes",AV5:AV125)*HLOOKUP(AX128,Verteil_sw,32,FALSE)+SUMIF($D$5:$D$125,"=bem",AV5:AV125)*HLOOKUP(AX128,Verteil_sw,33,FALSE)+SUMIF($D$5:$D$125,"=ber",AV5:AV125)*HLOOKUP(AX128,Verteil_sw,34,FALSE)+SUMIF($D$5:$D$125,"=bek",AV5:AV125)*HLOOKUP(AX128,Verteil_sw,35,FALSE)</f>
        <v>0</v>
      </c>
      <c r="AW131" s="90">
        <f t="shared" ref="AW131" si="447">IF(AV130&lt;&gt;0,AV131/AV130,0)</f>
        <v>0</v>
      </c>
      <c r="AX131" s="89">
        <f>SUMIF($D$5:$D$125,"=bes",AX5:AX125)*HLOOKUP(AX128,Verteil_sw,32,FALSE)+SUMIF($D$5:$D$125,"=bem",AX5:AX125)*HLOOKUP(AX128,Verteil_sw,33,FALSE)+SUMIF($D$5:$D$125,"=ber",AX5:AX125)*HLOOKUP(AX128,Verteil_sw,34,FALSE)+SUMIF($D$5:$D$125,"=bek",AX5:AX125)*HLOOKUP(AX128,Verteil_sw,35,FALSE)</f>
        <v>0</v>
      </c>
      <c r="AY131" s="90">
        <f t="shared" ref="AY131" si="448">IF(AX130&lt;&gt;0,AX131/AX130,0)</f>
        <v>0</v>
      </c>
      <c r="AZ131" s="571" t="s">
        <v>169</v>
      </c>
      <c r="BD131" s="205"/>
      <c r="BI131" s="89">
        <f>SUMIF($D$5:$D$125,"=bes",BI5:BI125)*HLOOKUP(BK128,Verteil_sw,32,FALSE)+SUMIF($D$5:$D$125,"=bem",BI5:BI125)*HLOOKUP(BK128,Verteil_sw,33,FALSE)+SUMIF($D$5:$D$125,"=ber",BI5:BI125)*HLOOKUP(BK128,Verteil_sw,34,FALSE)+SUMIF($D$5:$D$125,"=bek",BI5:BI125)*HLOOKUP(BK128,Verteil_sw,35,FALSE)</f>
        <v>0</v>
      </c>
      <c r="BJ131" s="90">
        <f t="shared" ref="BJ131" si="449">IF(BI130&lt;&gt;0,BI131/BI130,0)</f>
        <v>0</v>
      </c>
      <c r="BK131" s="89">
        <f>SUMIF($D$5:$D$125,"=bes",BK5:BK125)*HLOOKUP(BK128,Verteil_sw,32,FALSE)+SUMIF($D$5:$D$125,"=bem",BK5:BK125)*HLOOKUP(BK128,Verteil_sw,33,FALSE)+SUMIF($D$5:$D$125,"=ber",BK5:BK125)*HLOOKUP(BK128,Verteil_sw,34,FALSE)+SUMIF($D$5:$D$125,"=bek",BK5:BK125)*HLOOKUP(BK128,Verteil_sw,35,FALSE)</f>
        <v>0</v>
      </c>
      <c r="BL131" s="90">
        <f t="shared" ref="BL131" si="450">IF(BK130&lt;&gt;0,BK131/BK130,0)</f>
        <v>0</v>
      </c>
      <c r="BM131" s="571" t="s">
        <v>169</v>
      </c>
      <c r="BQ131" s="205"/>
      <c r="BV131" s="89">
        <f>SUMIF($D$5:$D$125,"=bes",BV5:BV125)*HLOOKUP(BX128,Verteil_sw,32,FALSE)+SUMIF($D$5:$D$125,"=bem",BV5:BV125)*HLOOKUP(BX128,Verteil_sw,33,FALSE)+SUMIF($D$5:$D$125,"=ber",BV5:BV125)*HLOOKUP(BX128,Verteil_sw,34,FALSE)+SUMIF($D$5:$D$125,"=bek",BV5:BV125)*HLOOKUP(BX128,Verteil_sw,35,FALSE)</f>
        <v>0</v>
      </c>
      <c r="BW131" s="90">
        <f t="shared" ref="BW131" si="451">IF(BV130&lt;&gt;0,BV131/BV130,0)</f>
        <v>0</v>
      </c>
      <c r="BX131" s="89">
        <f>SUMIF($D$5:$D$125,"=bes",BX5:BX125)*HLOOKUP(BX128,Verteil_sw,32,FALSE)+SUMIF($D$5:$D$125,"=bem",BX5:BX125)*HLOOKUP(BX128,Verteil_sw,33,FALSE)+SUMIF($D$5:$D$125,"=ber",BX5:BX125)*HLOOKUP(BX128,Verteil_sw,34,FALSE)+SUMIF($D$5:$D$125,"=bek",BX5:BX125)*HLOOKUP(BX128,Verteil_sw,35,FALSE)</f>
        <v>0</v>
      </c>
      <c r="BY131" s="90">
        <f t="shared" ref="BY131" si="452">IF(BX130&lt;&gt;0,BX131/BX130,0)</f>
        <v>0</v>
      </c>
      <c r="BZ131" s="571" t="s">
        <v>169</v>
      </c>
      <c r="CD131" s="205"/>
      <c r="CI131" s="89">
        <f>SUMIF($D$5:$D$125,"=bes",CI5:CI125)*HLOOKUP(CK128,Verteil_sw,32,FALSE)+SUMIF($D$5:$D$125,"=bem",CI5:CI125)*HLOOKUP(CK128,Verteil_sw,33,FALSE)+SUMIF($D$5:$D$125,"=ber",CI5:CI125)*HLOOKUP(CK128,Verteil_sw,34,FALSE)+SUMIF($D$5:$D$125,"=bek",CI5:CI125)*HLOOKUP(CK128,Verteil_sw,35,FALSE)</f>
        <v>0</v>
      </c>
      <c r="CJ131" s="90">
        <f t="shared" ref="CJ131" si="453">IF(CI130&lt;&gt;0,CI131/CI130,0)</f>
        <v>0</v>
      </c>
      <c r="CK131" s="89">
        <f>SUMIF($D$5:$D$125,"=bes",CK5:CK125)*HLOOKUP(CK128,Verteil_sw,32,FALSE)+SUMIF($D$5:$D$125,"=bem",CK5:CK125)*HLOOKUP(CK128,Verteil_sw,33,FALSE)+SUMIF($D$5:$D$125,"=ber",CK5:CK125)*HLOOKUP(CK128,Verteil_sw,34,FALSE)+SUMIF($D$5:$D$125,"=bek",CK5:CK125)*HLOOKUP(CK128,Verteil_sw,35,FALSE)</f>
        <v>0</v>
      </c>
      <c r="CL131" s="90">
        <f t="shared" ref="CL131" si="454">IF(CK130&lt;&gt;0,CK131/CK130,0)</f>
        <v>0</v>
      </c>
      <c r="CM131" s="571" t="s">
        <v>169</v>
      </c>
      <c r="CQ131" s="205"/>
      <c r="CV131" s="89">
        <f>SUMIF($D$5:$D$125,"=bes",CV5:CV125)*HLOOKUP(CX128,Verteil_sw,32,FALSE)+SUMIF($D$5:$D$125,"=bem",CV5:CV125)*HLOOKUP(CX128,Verteil_sw,33,FALSE)+SUMIF($D$5:$D$125,"=ber",CV5:CV125)*HLOOKUP(CX128,Verteil_sw,34,FALSE)+SUMIF($D$5:$D$125,"=bek",CV5:CV125)*HLOOKUP(CX128,Verteil_sw,35,FALSE)</f>
        <v>0</v>
      </c>
      <c r="CW131" s="90">
        <f t="shared" ref="CW131" si="455">IF(CV130&lt;&gt;0,CV131/CV130,0)</f>
        <v>0</v>
      </c>
      <c r="CX131" s="89">
        <f>SUMIF($D$5:$D$125,"=bes",CX5:CX125)*HLOOKUP(CX128,Verteil_sw,32,FALSE)+SUMIF($D$5:$D$125,"=bem",CX5:CX125)*HLOOKUP(CX128,Verteil_sw,33,FALSE)+SUMIF($D$5:$D$125,"=ber",CX5:CX125)*HLOOKUP(CX128,Verteil_sw,34,FALSE)+SUMIF($D$5:$D$125,"=bek",CX5:CX125)*HLOOKUP(CX128,Verteil_sw,35,FALSE)</f>
        <v>0</v>
      </c>
      <c r="CY131" s="90">
        <f t="shared" ref="CY131" si="456">IF(CX130&lt;&gt;0,CX131/CX130,0)</f>
        <v>0</v>
      </c>
      <c r="CZ131" s="571" t="s">
        <v>169</v>
      </c>
      <c r="DD131" s="205"/>
      <c r="DI131" s="89">
        <f>SUMIF($D$5:$D$125,"=bes",DI5:DI125)*HLOOKUP(DK128,Verteil_sw,32,FALSE)+SUMIF($D$5:$D$125,"=bem",DI5:DI125)*HLOOKUP(DK128,Verteil_sw,33,FALSE)+SUMIF($D$5:$D$125,"=ber",DI5:DI125)*HLOOKUP(DK128,Verteil_sw,34,FALSE)+SUMIF($D$5:$D$125,"=bek",DI5:DI125)*HLOOKUP(DK128,Verteil_sw,35,FALSE)</f>
        <v>0</v>
      </c>
      <c r="DJ131" s="90">
        <f t="shared" ref="DJ131" si="457">IF(DI130&lt;&gt;0,DI131/DI130,0)</f>
        <v>0</v>
      </c>
      <c r="DK131" s="89">
        <f>SUMIF($D$5:$D$125,"=bes",DK5:DK125)*HLOOKUP(DK128,Verteil_sw,32,FALSE)+SUMIF($D$5:$D$125,"=bem",DK5:DK125)*HLOOKUP(DK128,Verteil_sw,33,FALSE)+SUMIF($D$5:$D$125,"=ber",DK5:DK125)*HLOOKUP(DK128,Verteil_sw,34,FALSE)+SUMIF($D$5:$D$125,"=bek",DK5:DK125)*HLOOKUP(DK128,Verteil_sw,35,FALSE)</f>
        <v>0</v>
      </c>
      <c r="DL131" s="90">
        <f t="shared" ref="DL131" si="458">IF(DK130&lt;&gt;0,DK131/DK130,0)</f>
        <v>0</v>
      </c>
      <c r="DM131" s="571" t="s">
        <v>169</v>
      </c>
      <c r="DQ131" s="205"/>
      <c r="DV131" s="89">
        <f>SUMIF($D$5:$D$125,"=bes",DV5:DV125)*HLOOKUP(DX128,Verteil_sw,32,FALSE)+SUMIF($D$5:$D$125,"=bem",DV5:DV125)*HLOOKUP(DX128,Verteil_sw,33,FALSE)+SUMIF($D$5:$D$125,"=ber",DV5:DV125)*HLOOKUP(DX128,Verteil_sw,34,FALSE)+SUMIF($D$5:$D$125,"=bek",DV5:DV125)*HLOOKUP(DX128,Verteil_sw,35,FALSE)</f>
        <v>0</v>
      </c>
      <c r="DW131" s="90">
        <f t="shared" ref="DW131" si="459">IF(DV130&lt;&gt;0,DV131/DV130,0)</f>
        <v>0</v>
      </c>
      <c r="DX131" s="89">
        <f>SUMIF($D$5:$D$125,"=bes",DX5:DX125)*HLOOKUP(DX128,Verteil_sw,32,FALSE)+SUMIF($D$5:$D$125,"=bem",DX5:DX125)*HLOOKUP(DX128,Verteil_sw,33,FALSE)+SUMIF($D$5:$D$125,"=ber",DX5:DX125)*HLOOKUP(DX128,Verteil_sw,34,FALSE)+SUMIF($D$5:$D$125,"=bek",DX5:DX125)*HLOOKUP(DX128,Verteil_sw,35,FALSE)</f>
        <v>0</v>
      </c>
      <c r="DY131" s="90">
        <f t="shared" ref="DY131" si="460">IF(DX130&lt;&gt;0,DX131/DX130,0)</f>
        <v>0</v>
      </c>
      <c r="DZ131" s="571" t="s">
        <v>169</v>
      </c>
      <c r="ED131" s="205"/>
    </row>
    <row r="132" spans="1:134" x14ac:dyDescent="0.35">
      <c r="A132" s="73" t="s">
        <v>170</v>
      </c>
      <c r="Q132" s="205">
        <v>5</v>
      </c>
      <c r="V132" s="89">
        <f>SUMIF($D$5:$D$125,"=bes",V5:V125)*HLOOKUP(X128,Verteil_rwgr,31,FALSE)+SUMIF($D$5:$D$125,"=bem",V5:V125)*HLOOKUP(X128,Verteil_rwgr,32,FALSE)+SUMIF($D$5:$D$125,"=ber",V5:V125)*HLOOKUP(X128,Verteil_rwgr,33,FALSE)+SUMIF($D$5:$D$125,"=bek",V5:V125)*HLOOKUP(X128,Verteil_rwgr,34,FALSE)</f>
        <v>0</v>
      </c>
      <c r="W132" s="90">
        <f>IF(V130&lt;&gt;0,V132/V130,0)</f>
        <v>0</v>
      </c>
      <c r="X132" s="89">
        <f>SUMIF($D$5:$D$125,"=bes",X5:X125)*HLOOKUP(X128,Verteil_rwgr,31,FALSE)+SUMIF($D$5:$D$125,"=bem",X5:X125)*HLOOKUP(X128,Verteil_rwgr,32,FALSE)+SUMIF($D$5:$D$125,"=ber",X5:X125)*HLOOKUP(X128,Verteil_rwgr,33,FALSE)+SUMIF($D$5:$D$125,"=bek",X5:X125)*HLOOKUP(X128,Verteil_rwgr,34,FALSE)</f>
        <v>0</v>
      </c>
      <c r="Y132" s="90">
        <f>IF(X130&lt;&gt;0,X132/X130,0)</f>
        <v>0</v>
      </c>
      <c r="Z132" s="73" t="s">
        <v>170</v>
      </c>
      <c r="AD132" s="205"/>
      <c r="AI132" s="89">
        <f>SUMIF($D$5:$D$125,"=bes",AI5:AI125)*HLOOKUP(AK128,Verteil_rwgr,31,FALSE)+SUMIF($D$5:$D$125,"=bem",AI5:AI125)*HLOOKUP(AK128,Verteil_rwgr,32,FALSE)+SUMIF($D$5:$D$125,"=ber",AI5:AI125)*HLOOKUP(AK128,Verteil_rwgr,33,FALSE)+SUMIF($D$5:$D$125,"=bek",AI5:AI125)*HLOOKUP(AK128,Verteil_rwgr,34,FALSE)</f>
        <v>0</v>
      </c>
      <c r="AJ132" s="90">
        <f t="shared" ref="AJ132" si="461">IF(AI130&lt;&gt;0,AI132/AI130,0)</f>
        <v>0</v>
      </c>
      <c r="AK132" s="89">
        <f>SUMIF($D$5:$D$125,"=bes",AK5:AK125)*HLOOKUP(AK128,Verteil_rwgr,31,FALSE)+SUMIF($D$5:$D$125,"=bem",AK5:AK125)*HLOOKUP(AK128,Verteil_rwgr,32,FALSE)+SUMIF($D$5:$D$125,"=ber",AK5:AK125)*HLOOKUP(AK128,Verteil_rwgr,33,FALSE)+SUMIF($D$5:$D$125,"=bek",AK5:AK125)*HLOOKUP(AK128,Verteil_rwgr,34,FALSE)</f>
        <v>0</v>
      </c>
      <c r="AL132" s="90">
        <f t="shared" ref="AL132" si="462">IF(AK130&lt;&gt;0,AK132/AK130,0)</f>
        <v>0</v>
      </c>
      <c r="AM132" s="571" t="s">
        <v>170</v>
      </c>
      <c r="AQ132" s="205"/>
      <c r="AV132" s="89">
        <f>SUMIF($D$5:$D$125,"=bes",AV5:AV125)*HLOOKUP(AX128,Verteil_rwgr,31,FALSE)+SUMIF($D$5:$D$125,"=bem",AV5:AV125)*HLOOKUP(AX128,Verteil_rwgr,32,FALSE)+SUMIF($D$5:$D$125,"=ber",AV5:AV125)*HLOOKUP(AX128,Verteil_rwgr,33,FALSE)+SUMIF($D$5:$D$125,"=bek",AV5:AV125)*HLOOKUP(AX128,Verteil_rwgr,34,FALSE)</f>
        <v>0</v>
      </c>
      <c r="AW132" s="90">
        <f t="shared" ref="AW132" si="463">IF(AV130&lt;&gt;0,AV132/AV130,0)</f>
        <v>0</v>
      </c>
      <c r="AX132" s="89">
        <f>SUMIF($D$5:$D$125,"=bes",AX5:AX125)*HLOOKUP(AX128,Verteil_rwgr,31,FALSE)+SUMIF($D$5:$D$125,"=bem",AX5:AX125)*HLOOKUP(AX128,Verteil_rwgr,32,FALSE)+SUMIF($D$5:$D$125,"=ber",AX5:AX125)*HLOOKUP(AX128,Verteil_rwgr,33,FALSE)+SUMIF($D$5:$D$125,"=bek",AX5:AX125)*HLOOKUP(AX128,Verteil_rwgr,34,FALSE)</f>
        <v>0</v>
      </c>
      <c r="AY132" s="90">
        <f t="shared" ref="AY132" si="464">IF(AX130&lt;&gt;0,AX132/AX130,0)</f>
        <v>0</v>
      </c>
      <c r="AZ132" s="571" t="s">
        <v>170</v>
      </c>
      <c r="BD132" s="205"/>
      <c r="BI132" s="89">
        <f>SUMIF($D$5:$D$125,"=bes",BI5:BI125)*HLOOKUP(BK128,Verteil_rwgr,31,FALSE)+SUMIF($D$5:$D$125,"=bem",BI5:BI125)*HLOOKUP(BK128,Verteil_rwgr,32,FALSE)+SUMIF($D$5:$D$125,"=ber",BI5:BI125)*HLOOKUP(BK128,Verteil_rwgr,33,FALSE)+SUMIF($D$5:$D$125,"=bek",BI5:BI125)*HLOOKUP(BK128,Verteil_rwgr,34,FALSE)</f>
        <v>0</v>
      </c>
      <c r="BJ132" s="90">
        <f t="shared" ref="BJ132" si="465">IF(BI130&lt;&gt;0,BI132/BI130,0)</f>
        <v>0</v>
      </c>
      <c r="BK132" s="89">
        <f>SUMIF($D$5:$D$125,"=bes",BK5:BK125)*HLOOKUP(BK128,Verteil_rwgr,31,FALSE)+SUMIF($D$5:$D$125,"=bem",BK5:BK125)*HLOOKUP(BK128,Verteil_rwgr,32,FALSE)+SUMIF($D$5:$D$125,"=ber",BK5:BK125)*HLOOKUP(BK128,Verteil_rwgr,33,FALSE)+SUMIF($D$5:$D$125,"=bek",BK5:BK125)*HLOOKUP(BK128,Verteil_rwgr,34,FALSE)</f>
        <v>0</v>
      </c>
      <c r="BL132" s="90">
        <f t="shared" ref="BL132" si="466">IF(BK130&lt;&gt;0,BK132/BK130,0)</f>
        <v>0</v>
      </c>
      <c r="BM132" s="571" t="s">
        <v>170</v>
      </c>
      <c r="BQ132" s="205"/>
      <c r="BV132" s="89">
        <f>SUMIF($D$5:$D$125,"=bes",BV5:BV125)*HLOOKUP(BX128,Verteil_rwgr,31,FALSE)+SUMIF($D$5:$D$125,"=bem",BV5:BV125)*HLOOKUP(BX128,Verteil_rwgr,32,FALSE)+SUMIF($D$5:$D$125,"=ber",BV5:BV125)*HLOOKUP(BX128,Verteil_rwgr,33,FALSE)+SUMIF($D$5:$D$125,"=bek",BV5:BV125)*HLOOKUP(BX128,Verteil_rwgr,34,FALSE)</f>
        <v>0</v>
      </c>
      <c r="BW132" s="90">
        <f t="shared" ref="BW132" si="467">IF(BV130&lt;&gt;0,BV132/BV130,0)</f>
        <v>0</v>
      </c>
      <c r="BX132" s="89">
        <f>SUMIF($D$5:$D$125,"=bes",BX5:BX125)*HLOOKUP(BX128,Verteil_rwgr,31,FALSE)+SUMIF($D$5:$D$125,"=bem",BX5:BX125)*HLOOKUP(BX128,Verteil_rwgr,32,FALSE)+SUMIF($D$5:$D$125,"=ber",BX5:BX125)*HLOOKUP(BX128,Verteil_rwgr,33,FALSE)+SUMIF($D$5:$D$125,"=bek",BX5:BX125)*HLOOKUP(BX128,Verteil_rwgr,34,FALSE)</f>
        <v>0</v>
      </c>
      <c r="BY132" s="90">
        <f t="shared" ref="BY132" si="468">IF(BX130&lt;&gt;0,BX132/BX130,0)</f>
        <v>0</v>
      </c>
      <c r="BZ132" s="571" t="s">
        <v>170</v>
      </c>
      <c r="CD132" s="205"/>
      <c r="CI132" s="89">
        <f>SUMIF($D$5:$D$125,"=bes",CI5:CI125)*HLOOKUP(CK128,Verteil_rwgr,31,FALSE)+SUMIF($D$5:$D$125,"=bem",CI5:CI125)*HLOOKUP(CK128,Verteil_rwgr,32,FALSE)+SUMIF($D$5:$D$125,"=ber",CI5:CI125)*HLOOKUP(CK128,Verteil_rwgr,33,FALSE)+SUMIF($D$5:$D$125,"=bek",CI5:CI125)*HLOOKUP(CK128,Verteil_rwgr,34,FALSE)</f>
        <v>0</v>
      </c>
      <c r="CJ132" s="90">
        <f t="shared" ref="CJ132" si="469">IF(CI130&lt;&gt;0,CI132/CI130,0)</f>
        <v>0</v>
      </c>
      <c r="CK132" s="89">
        <f>SUMIF($D$5:$D$125,"=bes",CK5:CK125)*HLOOKUP(CK128,Verteil_rwgr,31,FALSE)+SUMIF($D$5:$D$125,"=bem",CK5:CK125)*HLOOKUP(CK128,Verteil_rwgr,32,FALSE)+SUMIF($D$5:$D$125,"=ber",CK5:CK125)*HLOOKUP(CK128,Verteil_rwgr,33,FALSE)+SUMIF($D$5:$D$125,"=bek",CK5:CK125)*HLOOKUP(CK128,Verteil_rwgr,34,FALSE)</f>
        <v>0</v>
      </c>
      <c r="CL132" s="90">
        <f t="shared" ref="CL132" si="470">IF(CK130&lt;&gt;0,CK132/CK130,0)</f>
        <v>0</v>
      </c>
      <c r="CM132" s="571" t="s">
        <v>170</v>
      </c>
      <c r="CQ132" s="205"/>
      <c r="CV132" s="89">
        <f>SUMIF($D$5:$D$125,"=bes",CV5:CV125)*HLOOKUP(CX128,Verteil_rwgr,31,FALSE)+SUMIF($D$5:$D$125,"=bem",CV5:CV125)*HLOOKUP(CX128,Verteil_rwgr,32,FALSE)+SUMIF($D$5:$D$125,"=ber",CV5:CV125)*HLOOKUP(CX128,Verteil_rwgr,33,FALSE)+SUMIF($D$5:$D$125,"=bek",CV5:CV125)*HLOOKUP(CX128,Verteil_rwgr,34,FALSE)</f>
        <v>0</v>
      </c>
      <c r="CW132" s="90">
        <f t="shared" ref="CW132" si="471">IF(CV130&lt;&gt;0,CV132/CV130,0)</f>
        <v>0</v>
      </c>
      <c r="CX132" s="89">
        <f>SUMIF($D$5:$D$125,"=bes",CX5:CX125)*HLOOKUP(CX128,Verteil_rwgr,31,FALSE)+SUMIF($D$5:$D$125,"=bem",CX5:CX125)*HLOOKUP(CX128,Verteil_rwgr,32,FALSE)+SUMIF($D$5:$D$125,"=ber",CX5:CX125)*HLOOKUP(CX128,Verteil_rwgr,33,FALSE)+SUMIF($D$5:$D$125,"=bek",CX5:CX125)*HLOOKUP(CX128,Verteil_rwgr,34,FALSE)</f>
        <v>0</v>
      </c>
      <c r="CY132" s="90">
        <f t="shared" ref="CY132" si="472">IF(CX130&lt;&gt;0,CX132/CX130,0)</f>
        <v>0</v>
      </c>
      <c r="CZ132" s="571" t="s">
        <v>170</v>
      </c>
      <c r="DD132" s="205"/>
      <c r="DI132" s="89">
        <f>SUMIF($D$5:$D$125,"=bes",DI5:DI125)*HLOOKUP(DK128,Verteil_rwgr,31,FALSE)+SUMIF($D$5:$D$125,"=bem",DI5:DI125)*HLOOKUP(DK128,Verteil_rwgr,32,FALSE)+SUMIF($D$5:$D$125,"=ber",DI5:DI125)*HLOOKUP(DK128,Verteil_rwgr,33,FALSE)+SUMIF($D$5:$D$125,"=bek",DI5:DI125)*HLOOKUP(DK128,Verteil_rwgr,34,FALSE)</f>
        <v>0</v>
      </c>
      <c r="DJ132" s="90">
        <f t="shared" ref="DJ132" si="473">IF(DI130&lt;&gt;0,DI132/DI130,0)</f>
        <v>0</v>
      </c>
      <c r="DK132" s="89">
        <f>SUMIF($D$5:$D$125,"=bes",DK5:DK125)*HLOOKUP(DK128,Verteil_rwgr,31,FALSE)+SUMIF($D$5:$D$125,"=bem",DK5:DK125)*HLOOKUP(DK128,Verteil_rwgr,32,FALSE)+SUMIF($D$5:$D$125,"=ber",DK5:DK125)*HLOOKUP(DK128,Verteil_rwgr,33,FALSE)+SUMIF($D$5:$D$125,"=bek",DK5:DK125)*HLOOKUP(DK128,Verteil_rwgr,34,FALSE)</f>
        <v>0</v>
      </c>
      <c r="DL132" s="90">
        <f t="shared" ref="DL132" si="474">IF(DK130&lt;&gt;0,DK132/DK130,0)</f>
        <v>0</v>
      </c>
      <c r="DM132" s="571" t="s">
        <v>170</v>
      </c>
      <c r="DQ132" s="205"/>
      <c r="DV132" s="89">
        <f>SUMIF($D$5:$D$125,"=bes",DV5:DV125)*HLOOKUP(DX128,Verteil_rwgr,31,FALSE)+SUMIF($D$5:$D$125,"=bem",DV5:DV125)*HLOOKUP(DX128,Verteil_rwgr,32,FALSE)+SUMIF($D$5:$D$125,"=ber",DV5:DV125)*HLOOKUP(DX128,Verteil_rwgr,33,FALSE)+SUMIF($D$5:$D$125,"=bek",DV5:DV125)*HLOOKUP(DX128,Verteil_rwgr,34,FALSE)</f>
        <v>0</v>
      </c>
      <c r="DW132" s="90">
        <f t="shared" ref="DW132" si="475">IF(DV130&lt;&gt;0,DV132/DV130,0)</f>
        <v>0</v>
      </c>
      <c r="DX132" s="89">
        <f>SUMIF($D$5:$D$125,"=bes",DX5:DX125)*HLOOKUP(DX128,Verteil_rwgr,31,FALSE)+SUMIF($D$5:$D$125,"=bem",DX5:DX125)*HLOOKUP(DX128,Verteil_rwgr,32,FALSE)+SUMIF($D$5:$D$125,"=ber",DX5:DX125)*HLOOKUP(DX128,Verteil_rwgr,33,FALSE)+SUMIF($D$5:$D$125,"=bek",DX5:DX125)*HLOOKUP(DX128,Verteil_rwgr,34,FALSE)</f>
        <v>0</v>
      </c>
      <c r="DY132" s="90">
        <f t="shared" ref="DY132" si="476">IF(DX130&lt;&gt;0,DX132/DX130,0)</f>
        <v>0</v>
      </c>
      <c r="DZ132" s="571" t="s">
        <v>170</v>
      </c>
      <c r="ED132" s="205"/>
    </row>
    <row r="133" spans="1:134" x14ac:dyDescent="0.35">
      <c r="A133" s="73" t="s">
        <v>175</v>
      </c>
      <c r="Q133" s="205">
        <v>6</v>
      </c>
      <c r="V133" s="89"/>
      <c r="W133" s="90"/>
      <c r="X133" s="89"/>
      <c r="Y133" s="90"/>
      <c r="Z133" s="73" t="s">
        <v>175</v>
      </c>
      <c r="AD133" s="205"/>
      <c r="AI133" s="89"/>
      <c r="AJ133" s="90"/>
      <c r="AK133" s="89"/>
      <c r="AL133" s="90"/>
      <c r="AM133" s="571" t="s">
        <v>175</v>
      </c>
      <c r="AQ133" s="205"/>
      <c r="AV133" s="89"/>
      <c r="AW133" s="90"/>
      <c r="AX133" s="89"/>
      <c r="AY133" s="90"/>
      <c r="AZ133" s="571" t="s">
        <v>175</v>
      </c>
      <c r="BD133" s="205"/>
      <c r="BI133" s="89"/>
      <c r="BJ133" s="90"/>
      <c r="BK133" s="89"/>
      <c r="BL133" s="90"/>
      <c r="BM133" s="571" t="s">
        <v>175</v>
      </c>
      <c r="BQ133" s="205"/>
      <c r="BV133" s="89"/>
      <c r="BW133" s="90"/>
      <c r="BX133" s="89"/>
      <c r="BY133" s="90"/>
      <c r="BZ133" s="571" t="s">
        <v>175</v>
      </c>
      <c r="CD133" s="205"/>
      <c r="CI133" s="89"/>
      <c r="CJ133" s="90"/>
      <c r="CK133" s="89"/>
      <c r="CL133" s="90"/>
      <c r="CM133" s="571" t="s">
        <v>175</v>
      </c>
      <c r="CQ133" s="205"/>
      <c r="CV133" s="89"/>
      <c r="CW133" s="90"/>
      <c r="CX133" s="89"/>
      <c r="CY133" s="90"/>
      <c r="CZ133" s="571" t="s">
        <v>175</v>
      </c>
      <c r="DD133" s="205"/>
      <c r="DI133" s="89"/>
      <c r="DJ133" s="90"/>
      <c r="DK133" s="89"/>
      <c r="DL133" s="90"/>
      <c r="DM133" s="571" t="s">
        <v>175</v>
      </c>
      <c r="DQ133" s="205"/>
      <c r="DV133" s="89"/>
      <c r="DW133" s="90"/>
      <c r="DX133" s="89"/>
      <c r="DY133" s="90"/>
      <c r="DZ133" s="571" t="s">
        <v>175</v>
      </c>
      <c r="ED133" s="205"/>
    </row>
    <row r="134" spans="1:134" x14ac:dyDescent="0.35">
      <c r="A134" s="289" t="s">
        <v>558</v>
      </c>
      <c r="Q134" s="205">
        <v>7</v>
      </c>
      <c r="V134" s="89">
        <f>SUMIF($D$5:$D$125,"=bez",V5:V125)</f>
        <v>6305203</v>
      </c>
      <c r="W134" s="90">
        <f>SUM(W135:W137)</f>
        <v>1</v>
      </c>
      <c r="X134" s="89">
        <f>SUMIF($D$5:$D$125,"=bez",X5:X125)</f>
        <v>187264.53</v>
      </c>
      <c r="Y134" s="90">
        <f>SUM(Y135:Y137)</f>
        <v>1</v>
      </c>
      <c r="Z134" s="197" t="s">
        <v>558</v>
      </c>
      <c r="AD134" s="205"/>
      <c r="AI134" s="89">
        <f t="shared" ref="AI134" si="477">SUMIF($D$5:$D$125,"=bez",AI5:AI125)</f>
        <v>6305203</v>
      </c>
      <c r="AJ134" s="90">
        <f t="shared" ref="AJ134" si="478">SUM(AJ135:AJ137)</f>
        <v>1</v>
      </c>
      <c r="AK134" s="89">
        <f t="shared" ref="AK134" si="479">SUMIF($D$5:$D$125,"=bez",AK5:AK125)</f>
        <v>187264.53</v>
      </c>
      <c r="AL134" s="90">
        <f t="shared" ref="AL134" si="480">SUM(AL135:AL137)</f>
        <v>1</v>
      </c>
      <c r="AM134" s="289" t="s">
        <v>558</v>
      </c>
      <c r="AQ134" s="205"/>
      <c r="AV134" s="89">
        <f t="shared" ref="AV134" si="481">SUMIF($D$5:$D$125,"=bez",AV5:AV125)</f>
        <v>6305203</v>
      </c>
      <c r="AW134" s="90">
        <f t="shared" ref="AW134" si="482">SUM(AW135:AW137)</f>
        <v>1</v>
      </c>
      <c r="AX134" s="89">
        <f t="shared" ref="AX134" si="483">SUMIF($D$5:$D$125,"=bez",AX5:AX125)</f>
        <v>187264.53</v>
      </c>
      <c r="AY134" s="90">
        <f t="shared" ref="AY134" si="484">SUM(AY135:AY137)</f>
        <v>1</v>
      </c>
      <c r="AZ134" s="289" t="s">
        <v>558</v>
      </c>
      <c r="BD134" s="205"/>
      <c r="BI134" s="89">
        <f t="shared" ref="BI134" si="485">SUMIF($D$5:$D$125,"=bez",BI5:BI125)</f>
        <v>6305203</v>
      </c>
      <c r="BJ134" s="90">
        <f t="shared" ref="BJ134" si="486">SUM(BJ135:BJ137)</f>
        <v>1</v>
      </c>
      <c r="BK134" s="89">
        <f t="shared" ref="BK134" si="487">SUMIF($D$5:$D$125,"=bez",BK5:BK125)</f>
        <v>178934.53</v>
      </c>
      <c r="BL134" s="90">
        <f t="shared" ref="BL134" si="488">SUM(BL135:BL137)</f>
        <v>1</v>
      </c>
      <c r="BM134" s="289" t="s">
        <v>558</v>
      </c>
      <c r="BQ134" s="205"/>
      <c r="BV134" s="89">
        <f t="shared" ref="BV134" si="489">SUMIF($D$5:$D$125,"=bez",BV5:BV125)</f>
        <v>6305203</v>
      </c>
      <c r="BW134" s="90">
        <f t="shared" ref="BW134" si="490">SUM(BW135:BW137)</f>
        <v>1</v>
      </c>
      <c r="BX134" s="89">
        <f t="shared" ref="BX134" si="491">SUMIF($D$5:$D$125,"=bez",BX5:BX125)</f>
        <v>162019.53</v>
      </c>
      <c r="BY134" s="90">
        <f t="shared" ref="BY134" si="492">SUM(BY135:BY137)</f>
        <v>1</v>
      </c>
      <c r="BZ134" s="289" t="s">
        <v>558</v>
      </c>
      <c r="CD134" s="205"/>
      <c r="CI134" s="89">
        <f t="shared" ref="CI134" si="493">SUMIF($D$5:$D$125,"=bez",CI5:CI125)</f>
        <v>6305203</v>
      </c>
      <c r="CJ134" s="90">
        <f t="shared" ref="CJ134" si="494">SUM(CJ135:CJ137)</f>
        <v>1</v>
      </c>
      <c r="CK134" s="89">
        <f t="shared" ref="CK134" si="495">SUMIF($D$5:$D$125,"=bez",CK5:CK125)</f>
        <v>150790.53</v>
      </c>
      <c r="CL134" s="90">
        <f t="shared" ref="CL134" si="496">SUM(CL135:CL137)</f>
        <v>1</v>
      </c>
      <c r="CM134" s="289" t="s">
        <v>558</v>
      </c>
      <c r="CQ134" s="205"/>
      <c r="CV134" s="89">
        <f t="shared" ref="CV134" si="497">SUMIF($D$5:$D$125,"=bez",CV5:CV125)</f>
        <v>6305203</v>
      </c>
      <c r="CW134" s="90">
        <f t="shared" ref="CW134" si="498">SUM(CW135:CW137)</f>
        <v>1</v>
      </c>
      <c r="CX134" s="89">
        <f t="shared" ref="CX134" si="499">SUMIF($D$5:$D$125,"=bez",CX5:CX125)</f>
        <v>145090.53</v>
      </c>
      <c r="CY134" s="90">
        <f t="shared" ref="CY134" si="500">SUM(CY135:CY137)</f>
        <v>1</v>
      </c>
      <c r="CZ134" s="289" t="s">
        <v>558</v>
      </c>
      <c r="DD134" s="205"/>
      <c r="DI134" s="89">
        <f t="shared" ref="DI134" si="501">SUMIF($D$5:$D$125,"=bez",DI5:DI125)</f>
        <v>6305203</v>
      </c>
      <c r="DJ134" s="90">
        <f t="shared" ref="DJ134" si="502">SUM(DJ135:DJ137)</f>
        <v>1</v>
      </c>
      <c r="DK134" s="89">
        <f t="shared" ref="DK134" si="503">SUMIF($D$5:$D$125,"=bez",DK5:DK125)</f>
        <v>145090.53</v>
      </c>
      <c r="DL134" s="90">
        <f t="shared" ref="DL134" si="504">SUM(DL135:DL137)</f>
        <v>1</v>
      </c>
      <c r="DM134" s="289" t="s">
        <v>558</v>
      </c>
      <c r="DQ134" s="205"/>
      <c r="DV134" s="89">
        <f t="shared" ref="DV134" si="505">SUMIF($D$5:$D$125,"=bez",DV5:DV125)</f>
        <v>6305203</v>
      </c>
      <c r="DW134" s="90">
        <f t="shared" ref="DW134" si="506">SUM(DW135:DW137)</f>
        <v>1</v>
      </c>
      <c r="DX134" s="89">
        <f t="shared" ref="DX134" si="507">SUMIF($D$5:$D$125,"=bez",DX5:DX125)</f>
        <v>145090.53</v>
      </c>
      <c r="DY134" s="90">
        <f t="shared" ref="DY134" si="508">SUM(DY135:DY137)</f>
        <v>1</v>
      </c>
      <c r="DZ134" s="289" t="s">
        <v>558</v>
      </c>
      <c r="ED134" s="205"/>
    </row>
    <row r="135" spans="1:134" x14ac:dyDescent="0.35">
      <c r="A135" s="73" t="s">
        <v>169</v>
      </c>
      <c r="Q135" s="205">
        <v>8</v>
      </c>
      <c r="V135" s="89">
        <f>SUMIF($D$5:$D$125,"=bez",V5:V125)*HLOOKUP(X128,Verteil_sw,36,FALSE)</f>
        <v>5367177.9496900002</v>
      </c>
      <c r="W135" s="90">
        <f>IF(V134&lt;&gt;0,V135/V134,0)</f>
        <v>0.85123000000000004</v>
      </c>
      <c r="X135" s="89">
        <f>SUMIF($D$5:$D$125,"=bez",X5:X125)*HLOOKUP(X128,Verteil_sw,36,FALSE)</f>
        <v>159405.1858719</v>
      </c>
      <c r="Y135" s="90">
        <f>IF(X134&lt;&gt;0,X135/X134,0)</f>
        <v>0.85123000000000004</v>
      </c>
      <c r="Z135" s="73" t="s">
        <v>169</v>
      </c>
      <c r="AD135" s="205"/>
      <c r="AI135" s="89">
        <f>SUMIF($D$5:$D$125,"=bez",AI5:AI125)*HLOOKUP(AK128,Verteil_sw,36,FALSE)</f>
        <v>5365853.8570600003</v>
      </c>
      <c r="AJ135" s="90">
        <f t="shared" ref="AJ135" si="509">IF(AI134&lt;&gt;0,AI135/AI134,0)</f>
        <v>0.85102</v>
      </c>
      <c r="AK135" s="89">
        <f>SUMIF($D$5:$D$125,"=bez",AK5:AK125)*HLOOKUP(AK128,Verteil_sw,36,FALSE)</f>
        <v>159365.86032060001</v>
      </c>
      <c r="AL135" s="90">
        <f t="shared" ref="AL135" si="510">IF(AK134&lt;&gt;0,AK135/AK134,0)</f>
        <v>0.85102000000000011</v>
      </c>
      <c r="AM135" s="571" t="s">
        <v>169</v>
      </c>
      <c r="AQ135" s="205"/>
      <c r="AV135" s="89">
        <f>SUMIF($D$5:$D$125,"=bez",AV5:AV125)*HLOOKUP(AX128,Verteil_sw,36,FALSE)</f>
        <v>5368060.6781099997</v>
      </c>
      <c r="AW135" s="90">
        <f t="shared" ref="AW135" si="511">IF(AV134&lt;&gt;0,AV135/AV134,0)</f>
        <v>0.85136999999999996</v>
      </c>
      <c r="AX135" s="89">
        <f>SUMIF($D$5:$D$125,"=bez",AX5:AX125)*HLOOKUP(AX128,Verteil_sw,36,FALSE)</f>
        <v>159431.4029061</v>
      </c>
      <c r="AY135" s="90">
        <f t="shared" ref="AY135" si="512">IF(AX134&lt;&gt;0,AX135/AX134,0)</f>
        <v>0.85137000000000007</v>
      </c>
      <c r="AZ135" s="571" t="s">
        <v>169</v>
      </c>
      <c r="BD135" s="205"/>
      <c r="BI135" s="89">
        <f>SUMIF($D$5:$D$125,"=bez",BI5:BI125)*HLOOKUP(BK128,Verteil_sw,36,FALSE)</f>
        <v>5370519.7072799997</v>
      </c>
      <c r="BJ135" s="90">
        <f t="shared" ref="BJ135" si="513">IF(BI134&lt;&gt;0,BI135/BI134,0)</f>
        <v>0.85175999999999996</v>
      </c>
      <c r="BK135" s="89">
        <f>SUMIF($D$5:$D$125,"=bez",BK5:BK125)*HLOOKUP(BK128,Verteil_sw,36,FALSE)</f>
        <v>152409.27527280001</v>
      </c>
      <c r="BL135" s="90">
        <f t="shared" ref="BL135" si="514">IF(BK134&lt;&gt;0,BK135/BK134,0)</f>
        <v>0.85176000000000007</v>
      </c>
      <c r="BM135" s="571" t="s">
        <v>169</v>
      </c>
      <c r="BQ135" s="205"/>
      <c r="BV135" s="89">
        <f>SUMIF($D$5:$D$125,"=bez",BV5:BV125)*HLOOKUP(BX128,Verteil_sw,36,FALSE)</f>
        <v>5362196.8393200003</v>
      </c>
      <c r="BW135" s="90">
        <f t="shared" ref="BW135" si="515">IF(BV134&lt;&gt;0,BV135/BV134,0)</f>
        <v>0.85044000000000008</v>
      </c>
      <c r="BX135" s="89">
        <f>SUMIF($D$5:$D$125,"=bez",BX5:BX125)*HLOOKUP(BX128,Verteil_sw,36,FALSE)</f>
        <v>137787.88909320001</v>
      </c>
      <c r="BY135" s="90">
        <f t="shared" ref="BY135" si="516">IF(BX134&lt;&gt;0,BX135/BX134,0)</f>
        <v>0.85044000000000008</v>
      </c>
      <c r="BZ135" s="571" t="s">
        <v>169</v>
      </c>
      <c r="CD135" s="205"/>
      <c r="CI135" s="89">
        <f>SUMIF($D$5:$D$125,"=bez",CI5:CI125)*HLOOKUP(CK128,Verteil_sw,36,FALSE)</f>
        <v>5355639.4282</v>
      </c>
      <c r="CJ135" s="90">
        <f t="shared" ref="CJ135" si="517">IF(CI134&lt;&gt;0,CI135/CI134,0)</f>
        <v>0.84940000000000004</v>
      </c>
      <c r="CK135" s="89">
        <f>SUMIF($D$5:$D$125,"=bez",CK5:CK125)*HLOOKUP(CK128,Verteil_sw,36,FALSE)</f>
        <v>128081.476182</v>
      </c>
      <c r="CL135" s="90">
        <f t="shared" ref="CL135" si="518">IF(CK134&lt;&gt;0,CK135/CK134,0)</f>
        <v>0.84940000000000004</v>
      </c>
      <c r="CM135" s="571" t="s">
        <v>169</v>
      </c>
      <c r="CQ135" s="205"/>
      <c r="CV135" s="89">
        <f>SUMIF($D$5:$D$125,"=bez",CV5:CV125)*HLOOKUP(CX128,Verteil_sw,36,FALSE)</f>
        <v>5359863.9142100001</v>
      </c>
      <c r="CW135" s="90">
        <f t="shared" ref="CW135" si="519">IF(CV134&lt;&gt;0,CV135/CV134,0)</f>
        <v>0.85006999999999999</v>
      </c>
      <c r="CX135" s="89">
        <f>SUMIF($D$5:$D$125,"=bez",CX5:CX125)*HLOOKUP(CX128,Verteil_sw,36,FALSE)</f>
        <v>123337.1068371</v>
      </c>
      <c r="CY135" s="90">
        <f t="shared" ref="CY135" si="520">IF(CX134&lt;&gt;0,CX135/CX134,0)</f>
        <v>0.85006999999999999</v>
      </c>
      <c r="CZ135" s="571" t="s">
        <v>169</v>
      </c>
      <c r="DD135" s="205"/>
      <c r="DI135" s="89">
        <f>SUMIF($D$5:$D$125,"=bez",DI5:DI125)*HLOOKUP(DK128,Verteil_sw,36,FALSE)</f>
        <v>5021778.9293499999</v>
      </c>
      <c r="DJ135" s="90">
        <f t="shared" ref="DJ135" si="521">IF(DI134&lt;&gt;0,DI135/DI134,0)</f>
        <v>0.79644999999999999</v>
      </c>
      <c r="DK135" s="89">
        <f>SUMIF($D$5:$D$125,"=bez",DK5:DK125)*HLOOKUP(DK128,Verteil_sw,36,FALSE)</f>
        <v>115557.35261849999</v>
      </c>
      <c r="DL135" s="90">
        <f t="shared" ref="DL135" si="522">IF(DK134&lt;&gt;0,DK135/DK134,0)</f>
        <v>0.79644999999999999</v>
      </c>
      <c r="DM135" s="571" t="s">
        <v>169</v>
      </c>
      <c r="DQ135" s="205"/>
      <c r="DV135" s="89">
        <f>SUMIF($D$5:$D$125,"=bez",DV5:DV125)*HLOOKUP(DX128,Verteil_sw,36,FALSE)</f>
        <v>4993090.2557000006</v>
      </c>
      <c r="DW135" s="90">
        <f t="shared" ref="DW135" si="523">IF(DV134&lt;&gt;0,DV135/DV134,0)</f>
        <v>0.79190000000000005</v>
      </c>
      <c r="DX135" s="89">
        <f>SUMIF($D$5:$D$125,"=bez",DX5:DX125)*HLOOKUP(DX128,Verteil_sw,36,FALSE)</f>
        <v>114897.190707</v>
      </c>
      <c r="DY135" s="90">
        <f t="shared" ref="DY135" si="524">IF(DX134&lt;&gt;0,DX135/DX134,0)</f>
        <v>0.79190000000000005</v>
      </c>
      <c r="DZ135" s="571" t="s">
        <v>169</v>
      </c>
      <c r="ED135" s="205"/>
    </row>
    <row r="136" spans="1:134" x14ac:dyDescent="0.35">
      <c r="A136" s="73" t="s">
        <v>170</v>
      </c>
      <c r="Q136" s="205">
        <v>9</v>
      </c>
      <c r="V136" s="89">
        <f>SUMIF($D$5:$D$125,"=bez",V5:V125)*HLOOKUP(X128,Verteil_rwgr,35,FALSE)</f>
        <v>938025.05031000008</v>
      </c>
      <c r="W136" s="90">
        <f>IF(V134&lt;&gt;0,V136/V134,0)</f>
        <v>0.14877000000000001</v>
      </c>
      <c r="X136" s="89">
        <f>SUMIF($D$5:$D$125,"=bez",X5:X125)*HLOOKUP(X128,Verteil_rwgr,35,FALSE)</f>
        <v>27859.344128100001</v>
      </c>
      <c r="Y136" s="90">
        <f>IF(X134&lt;&gt;0,X136/X134,0)</f>
        <v>0.14877000000000001</v>
      </c>
      <c r="Z136" s="73" t="s">
        <v>170</v>
      </c>
      <c r="AD136" s="205"/>
      <c r="AI136" s="89">
        <f>SUMIF($D$5:$D$125,"=bez",AI5:AI125)*HLOOKUP(AK128,Verteil_rwgr,35,FALSE)</f>
        <v>939349.14294000005</v>
      </c>
      <c r="AJ136" s="90">
        <f t="shared" ref="AJ136" si="525">IF(AI134&lt;&gt;0,AI136/AI134,0)</f>
        <v>0.14898</v>
      </c>
      <c r="AK136" s="89">
        <f>SUMIF($D$5:$D$125,"=bez",AK5:AK125)*HLOOKUP(AK128,Verteil_rwgr,35,FALSE)</f>
        <v>27898.669679400002</v>
      </c>
      <c r="AL136" s="90">
        <f t="shared" ref="AL136" si="526">IF(AK134&lt;&gt;0,AK136/AK134,0)</f>
        <v>0.14898</v>
      </c>
      <c r="AM136" s="571" t="s">
        <v>170</v>
      </c>
      <c r="AQ136" s="205"/>
      <c r="AV136" s="89">
        <f>SUMIF($D$5:$D$125,"=bez",AV5:AV125)*HLOOKUP(AX128,Verteil_rwgr,35,FALSE)</f>
        <v>937142.32189000002</v>
      </c>
      <c r="AW136" s="90">
        <f t="shared" ref="AW136" si="527">IF(AV134&lt;&gt;0,AV136/AV134,0)</f>
        <v>0.14863000000000001</v>
      </c>
      <c r="AX136" s="89">
        <f>SUMIF($D$5:$D$125,"=bez",AX5:AX125)*HLOOKUP(AX128,Verteil_rwgr,35,FALSE)</f>
        <v>27833.127093900002</v>
      </c>
      <c r="AY136" s="90">
        <f t="shared" ref="AY136" si="528">IF(AX134&lt;&gt;0,AX136/AX134,0)</f>
        <v>0.14863000000000001</v>
      </c>
      <c r="AZ136" s="571" t="s">
        <v>170</v>
      </c>
      <c r="BD136" s="205"/>
      <c r="BI136" s="89">
        <f>SUMIF($D$5:$D$125,"=bez",BI5:BI125)*HLOOKUP(BK128,Verteil_rwgr,35,FALSE)</f>
        <v>934683.29272000003</v>
      </c>
      <c r="BJ136" s="90">
        <f t="shared" ref="BJ136" si="529">IF(BI134&lt;&gt;0,BI136/BI134,0)</f>
        <v>0.14824000000000001</v>
      </c>
      <c r="BK136" s="89">
        <f>SUMIF($D$5:$D$125,"=bez",BK5:BK125)*HLOOKUP(BK128,Verteil_rwgr,35,FALSE)</f>
        <v>26525.254727200001</v>
      </c>
      <c r="BL136" s="90">
        <f t="shared" ref="BL136" si="530">IF(BK134&lt;&gt;0,BK136/BK134,0)</f>
        <v>0.14824000000000001</v>
      </c>
      <c r="BM136" s="571" t="s">
        <v>170</v>
      </c>
      <c r="BQ136" s="205"/>
      <c r="BV136" s="89">
        <f>SUMIF($D$5:$D$125,"=bez",BV5:BV125)*HLOOKUP(BX128,Verteil_rwgr,35,FALSE)</f>
        <v>943006.16067999997</v>
      </c>
      <c r="BW136" s="90">
        <f t="shared" ref="BW136" si="531">IF(BV134&lt;&gt;0,BV136/BV134,0)</f>
        <v>0.14956</v>
      </c>
      <c r="BX136" s="89">
        <f>SUMIF($D$5:$D$125,"=bez",BX5:BX125)*HLOOKUP(BX128,Verteil_rwgr,35,FALSE)</f>
        <v>24231.640906799999</v>
      </c>
      <c r="BY136" s="90">
        <f t="shared" ref="BY136" si="532">IF(BX134&lt;&gt;0,BX136/BX134,0)</f>
        <v>0.14956</v>
      </c>
      <c r="BZ136" s="571" t="s">
        <v>170</v>
      </c>
      <c r="CD136" s="205"/>
      <c r="CI136" s="89">
        <f>SUMIF($D$5:$D$125,"=bez",CI5:CI125)*HLOOKUP(CK128,Verteil_rwgr,35,FALSE)</f>
        <v>949563.57180000003</v>
      </c>
      <c r="CJ136" s="90">
        <f t="shared" ref="CJ136" si="533">IF(CI134&lt;&gt;0,CI136/CI134,0)</f>
        <v>0.15060000000000001</v>
      </c>
      <c r="CK136" s="89">
        <f>SUMIF($D$5:$D$125,"=bez",CK5:CK125)*HLOOKUP(CK128,Verteil_rwgr,35,FALSE)</f>
        <v>22709.053818</v>
      </c>
      <c r="CL136" s="90">
        <f t="shared" ref="CL136" si="534">IF(CK134&lt;&gt;0,CK136/CK134,0)</f>
        <v>0.15060000000000001</v>
      </c>
      <c r="CM136" s="571" t="s">
        <v>170</v>
      </c>
      <c r="CQ136" s="205"/>
      <c r="CV136" s="89">
        <f>SUMIF($D$5:$D$125,"=bez",CV5:CV125)*HLOOKUP(CX128,Verteil_rwgr,35,FALSE)</f>
        <v>945339.08579000004</v>
      </c>
      <c r="CW136" s="90">
        <f t="shared" ref="CW136" si="535">IF(CV134&lt;&gt;0,CV136/CV134,0)</f>
        <v>0.14993000000000001</v>
      </c>
      <c r="CX136" s="89">
        <f>SUMIF($D$5:$D$125,"=bez",CX5:CX125)*HLOOKUP(CX128,Verteil_rwgr,35,FALSE)</f>
        <v>21753.423162900002</v>
      </c>
      <c r="CY136" s="90">
        <f t="shared" ref="CY136" si="536">IF(CX134&lt;&gt;0,CX136/CX134,0)</f>
        <v>0.14993000000000001</v>
      </c>
      <c r="CZ136" s="571" t="s">
        <v>170</v>
      </c>
      <c r="DD136" s="205"/>
      <c r="DI136" s="89">
        <f>SUMIF($D$5:$D$125,"=bez",DI5:DI125)*HLOOKUP(DK128,Verteil_rwgr,35,FALSE)</f>
        <v>1283424.0706500001</v>
      </c>
      <c r="DJ136" s="90">
        <f t="shared" ref="DJ136" si="537">IF(DI134&lt;&gt;0,DI136/DI134,0)</f>
        <v>0.20355000000000001</v>
      </c>
      <c r="DK136" s="89">
        <f>SUMIF($D$5:$D$125,"=bez",DK5:DK125)*HLOOKUP(DK128,Verteil_rwgr,35,FALSE)</f>
        <v>29533.177381500002</v>
      </c>
      <c r="DL136" s="90">
        <f t="shared" ref="DL136" si="538">IF(DK134&lt;&gt;0,DK136/DK134,0)</f>
        <v>0.20355000000000001</v>
      </c>
      <c r="DM136" s="571" t="s">
        <v>170</v>
      </c>
      <c r="DQ136" s="205"/>
      <c r="DV136" s="89">
        <f>SUMIF($D$5:$D$125,"=bez",DV5:DV125)*HLOOKUP(DX128,Verteil_rwgr,35,FALSE)</f>
        <v>1312112.7443000001</v>
      </c>
      <c r="DW136" s="90">
        <f t="shared" ref="DW136" si="539">IF(DV134&lt;&gt;0,DV136/DV134,0)</f>
        <v>0.20810000000000003</v>
      </c>
      <c r="DX136" s="89">
        <f>SUMIF($D$5:$D$125,"=bez",DX5:DX125)*HLOOKUP(DX128,Verteil_rwgr,35,FALSE)</f>
        <v>30193.339293000001</v>
      </c>
      <c r="DY136" s="90">
        <f t="shared" ref="DY136" si="540">IF(DX134&lt;&gt;0,DX136/DX134,0)</f>
        <v>0.20810000000000001</v>
      </c>
      <c r="DZ136" s="571" t="s">
        <v>170</v>
      </c>
      <c r="ED136" s="205"/>
    </row>
    <row r="137" spans="1:134" x14ac:dyDescent="0.35">
      <c r="A137" s="73" t="s">
        <v>175</v>
      </c>
      <c r="Q137" s="205">
        <v>10</v>
      </c>
      <c r="V137" s="89"/>
      <c r="X137" s="89"/>
      <c r="Z137" s="73" t="s">
        <v>175</v>
      </c>
      <c r="AD137" s="205"/>
      <c r="AI137" s="89"/>
      <c r="AK137" s="89"/>
      <c r="AM137" s="571" t="s">
        <v>175</v>
      </c>
      <c r="AQ137" s="205"/>
      <c r="AV137" s="89"/>
      <c r="AX137" s="89"/>
      <c r="AZ137" s="571" t="s">
        <v>175</v>
      </c>
      <c r="BD137" s="205"/>
      <c r="BI137" s="89"/>
      <c r="BK137" s="89"/>
      <c r="BM137" s="571" t="s">
        <v>175</v>
      </c>
      <c r="BQ137" s="205"/>
      <c r="BV137" s="89"/>
      <c r="BX137" s="89"/>
      <c r="BZ137" s="571" t="s">
        <v>175</v>
      </c>
      <c r="CD137" s="205"/>
      <c r="CI137" s="89"/>
      <c r="CK137" s="89"/>
      <c r="CM137" s="571" t="s">
        <v>175</v>
      </c>
      <c r="CQ137" s="205"/>
      <c r="CV137" s="89"/>
      <c r="CX137" s="89"/>
      <c r="CZ137" s="571" t="s">
        <v>175</v>
      </c>
      <c r="DD137" s="205"/>
      <c r="DI137" s="89"/>
      <c r="DK137" s="89"/>
      <c r="DM137" s="571" t="s">
        <v>175</v>
      </c>
      <c r="DQ137" s="205"/>
      <c r="DV137" s="89"/>
      <c r="DX137" s="89"/>
      <c r="DZ137" s="571" t="s">
        <v>175</v>
      </c>
      <c r="ED137" s="205"/>
    </row>
    <row r="138" spans="1:134" x14ac:dyDescent="0.35">
      <c r="A138" s="289" t="s">
        <v>559</v>
      </c>
      <c r="Q138" s="205">
        <v>11</v>
      </c>
      <c r="V138" s="166">
        <f>SUM(V130,V134)</f>
        <v>6305203</v>
      </c>
      <c r="W138" s="90">
        <f>SUM(W139:W141)</f>
        <v>1</v>
      </c>
      <c r="X138" s="54">
        <f>ROUND(SUM(X130,X134),2)</f>
        <v>187264.53</v>
      </c>
      <c r="Y138" s="90">
        <f>SUM(Y139:Y141)</f>
        <v>1</v>
      </c>
      <c r="Z138" s="197" t="s">
        <v>559</v>
      </c>
      <c r="AD138" s="205"/>
      <c r="AI138" s="166">
        <f t="shared" ref="AI138:BI141" si="541">SUM(AI130,AI134)</f>
        <v>6305203</v>
      </c>
      <c r="AJ138" s="90">
        <f t="shared" ref="AJ138" si="542">SUM(AJ139:AJ141)</f>
        <v>1</v>
      </c>
      <c r="AK138" s="54">
        <f t="shared" ref="AK138:BK141" si="543">ROUND(SUM(AK130,AK134),2)</f>
        <v>187264.53</v>
      </c>
      <c r="AL138" s="90">
        <f t="shared" ref="AL138" si="544">SUM(AL139:AL141)</f>
        <v>0.99999999999999989</v>
      </c>
      <c r="AM138" s="289" t="s">
        <v>559</v>
      </c>
      <c r="AQ138" s="205"/>
      <c r="AV138" s="166">
        <f t="shared" ref="AV138" si="545">SUM(AV130,AV134)</f>
        <v>6305203</v>
      </c>
      <c r="AW138" s="90">
        <f t="shared" ref="AW138" si="546">SUM(AW139:AW141)</f>
        <v>1</v>
      </c>
      <c r="AX138" s="54">
        <f t="shared" ref="AX138" si="547">ROUND(SUM(AX130,AX134),2)</f>
        <v>187264.53</v>
      </c>
      <c r="AY138" s="90">
        <f t="shared" ref="AY138" si="548">SUM(AY139:AY141)</f>
        <v>1</v>
      </c>
      <c r="AZ138" s="289" t="s">
        <v>559</v>
      </c>
      <c r="BD138" s="205"/>
      <c r="BI138" s="166">
        <f t="shared" ref="BI138" si="549">SUM(BI130,BI134)</f>
        <v>6305203</v>
      </c>
      <c r="BJ138" s="90">
        <f t="shared" ref="BJ138" si="550">SUM(BJ139:BJ141)</f>
        <v>1</v>
      </c>
      <c r="BK138" s="54">
        <f t="shared" ref="BK138" si="551">ROUND(SUM(BK130,BK134),2)</f>
        <v>178934.53</v>
      </c>
      <c r="BL138" s="90">
        <f t="shared" ref="BL138" si="552">SUM(BL139:BL141)</f>
        <v>1</v>
      </c>
      <c r="BM138" s="289" t="s">
        <v>559</v>
      </c>
      <c r="BQ138" s="205"/>
      <c r="BV138" s="166">
        <f t="shared" ref="BV138:CV141" si="553">SUM(BV130,BV134)</f>
        <v>6305203</v>
      </c>
      <c r="BW138" s="90">
        <f t="shared" ref="BW138" si="554">SUM(BW139:BW141)</f>
        <v>1</v>
      </c>
      <c r="BX138" s="54">
        <f t="shared" ref="BX138:CX141" si="555">ROUND(SUM(BX130,BX134),2)</f>
        <v>162019.53</v>
      </c>
      <c r="BY138" s="90">
        <f t="shared" ref="BY138" si="556">SUM(BY139:BY141)</f>
        <v>1</v>
      </c>
      <c r="BZ138" s="289" t="s">
        <v>559</v>
      </c>
      <c r="CD138" s="205"/>
      <c r="CI138" s="166">
        <f t="shared" ref="CI138" si="557">SUM(CI130,CI134)</f>
        <v>6305203</v>
      </c>
      <c r="CJ138" s="90">
        <f t="shared" ref="CJ138" si="558">SUM(CJ139:CJ141)</f>
        <v>1</v>
      </c>
      <c r="CK138" s="54">
        <f t="shared" ref="CK138" si="559">ROUND(SUM(CK130,CK134),2)</f>
        <v>150790.53</v>
      </c>
      <c r="CL138" s="90">
        <f t="shared" ref="CL138" si="560">SUM(CL139:CL141)</f>
        <v>1</v>
      </c>
      <c r="CM138" s="289" t="s">
        <v>559</v>
      </c>
      <c r="CQ138" s="205"/>
      <c r="CV138" s="166">
        <f t="shared" ref="CV138" si="561">SUM(CV130,CV134)</f>
        <v>6305203</v>
      </c>
      <c r="CW138" s="90">
        <f t="shared" ref="CW138" si="562">SUM(CW139:CW141)</f>
        <v>1</v>
      </c>
      <c r="CX138" s="54">
        <f t="shared" ref="CX138" si="563">ROUND(SUM(CX130,CX134),2)</f>
        <v>145090.53</v>
      </c>
      <c r="CY138" s="90">
        <f t="shared" ref="CY138" si="564">SUM(CY139:CY141)</f>
        <v>1</v>
      </c>
      <c r="CZ138" s="289" t="s">
        <v>559</v>
      </c>
      <c r="DD138" s="205"/>
      <c r="DI138" s="166">
        <f t="shared" ref="DI138:DV141" si="565">SUM(DI130,DI134)</f>
        <v>6305203</v>
      </c>
      <c r="DJ138" s="90">
        <f t="shared" ref="DJ138" si="566">SUM(DJ139:DJ141)</f>
        <v>1</v>
      </c>
      <c r="DK138" s="54">
        <f t="shared" ref="DK138:DX141" si="567">ROUND(SUM(DK130,DK134),2)</f>
        <v>145090.53</v>
      </c>
      <c r="DL138" s="90">
        <f t="shared" ref="DL138" si="568">SUM(DL139:DL141)</f>
        <v>1</v>
      </c>
      <c r="DM138" s="289" t="s">
        <v>559</v>
      </c>
      <c r="DQ138" s="205"/>
      <c r="DV138" s="166">
        <f t="shared" ref="DV138" si="569">SUM(DV130,DV134)</f>
        <v>6305203</v>
      </c>
      <c r="DW138" s="90">
        <f t="shared" ref="DW138" si="570">SUM(DW139:DW141)</f>
        <v>1</v>
      </c>
      <c r="DX138" s="54">
        <f t="shared" ref="DX138" si="571">ROUND(SUM(DX130,DX134),2)</f>
        <v>145090.53</v>
      </c>
      <c r="DY138" s="90">
        <f t="shared" ref="DY138" si="572">SUM(DY139:DY141)</f>
        <v>1</v>
      </c>
      <c r="DZ138" s="289" t="s">
        <v>559</v>
      </c>
      <c r="ED138" s="205"/>
    </row>
    <row r="139" spans="1:134" x14ac:dyDescent="0.35">
      <c r="A139" s="73" t="s">
        <v>169</v>
      </c>
      <c r="Q139" s="205">
        <v>12</v>
      </c>
      <c r="V139" s="166">
        <f t="shared" ref="V139:V141" si="573">SUM(V131,V135)</f>
        <v>5367177.9496900002</v>
      </c>
      <c r="W139" s="90">
        <f>IF(V138&lt;&gt;0,V139/V138,0)</f>
        <v>0.85123000000000004</v>
      </c>
      <c r="X139" s="54">
        <f t="shared" ref="X139:X141" si="574">ROUND(SUM(X131,X135),2)</f>
        <v>159405.19</v>
      </c>
      <c r="Y139" s="90">
        <f>IF(X138&lt;&gt;0,X139/X138,0)</f>
        <v>0.85123002204421738</v>
      </c>
      <c r="Z139" s="73" t="s">
        <v>169</v>
      </c>
      <c r="AD139" s="205"/>
      <c r="AI139" s="166">
        <f t="shared" si="541"/>
        <v>5365853.8570600003</v>
      </c>
      <c r="AJ139" s="90">
        <f t="shared" ref="AJ139" si="575">IF(AI138&lt;&gt;0,AI139/AI138,0)</f>
        <v>0.85102</v>
      </c>
      <c r="AK139" s="54">
        <f t="shared" si="543"/>
        <v>159365.85999999999</v>
      </c>
      <c r="AL139" s="90">
        <f t="shared" ref="AL139" si="576">IF(AK138&lt;&gt;0,AK139/AK138,0)</f>
        <v>0.85101999828798325</v>
      </c>
      <c r="AM139" s="571" t="s">
        <v>169</v>
      </c>
      <c r="AQ139" s="205"/>
      <c r="AV139" s="166">
        <f t="shared" si="541"/>
        <v>5368060.6781099997</v>
      </c>
      <c r="AW139" s="90">
        <f t="shared" ref="AW139" si="577">IF(AV138&lt;&gt;0,AV139/AV138,0)</f>
        <v>0.85136999999999996</v>
      </c>
      <c r="AX139" s="54">
        <f t="shared" si="543"/>
        <v>159431.4</v>
      </c>
      <c r="AY139" s="90">
        <f t="shared" ref="AY139" si="578">IF(AX138&lt;&gt;0,AX139/AX138,0)</f>
        <v>0.85136998448131096</v>
      </c>
      <c r="AZ139" s="571" t="s">
        <v>169</v>
      </c>
      <c r="BD139" s="205"/>
      <c r="BI139" s="166">
        <f t="shared" si="541"/>
        <v>5370519.7072799997</v>
      </c>
      <c r="BJ139" s="90">
        <f t="shared" ref="BJ139" si="579">IF(BI138&lt;&gt;0,BI139/BI138,0)</f>
        <v>0.85175999999999996</v>
      </c>
      <c r="BK139" s="54">
        <f t="shared" si="543"/>
        <v>152409.28</v>
      </c>
      <c r="BL139" s="90">
        <f t="shared" ref="BL139" si="580">IF(BK138&lt;&gt;0,BK139/BK138,0)</f>
        <v>0.85176002641860127</v>
      </c>
      <c r="BM139" s="571" t="s">
        <v>169</v>
      </c>
      <c r="BQ139" s="205"/>
      <c r="BV139" s="166">
        <f t="shared" si="553"/>
        <v>5362196.8393200003</v>
      </c>
      <c r="BW139" s="90">
        <f t="shared" ref="BW139" si="581">IF(BV138&lt;&gt;0,BV139/BV138,0)</f>
        <v>0.85044000000000008</v>
      </c>
      <c r="BX139" s="54">
        <f t="shared" si="555"/>
        <v>137787.89000000001</v>
      </c>
      <c r="BY139" s="90">
        <f t="shared" ref="BY139" si="582">IF(BX138&lt;&gt;0,BX139/BX138,0)</f>
        <v>0.85044000559685617</v>
      </c>
      <c r="BZ139" s="571" t="s">
        <v>169</v>
      </c>
      <c r="CD139" s="205"/>
      <c r="CI139" s="166">
        <f t="shared" si="553"/>
        <v>5355639.4282</v>
      </c>
      <c r="CJ139" s="90">
        <f t="shared" ref="CJ139" si="583">IF(CI138&lt;&gt;0,CI139/CI138,0)</f>
        <v>0.84940000000000004</v>
      </c>
      <c r="CK139" s="54">
        <f t="shared" si="555"/>
        <v>128081.48</v>
      </c>
      <c r="CL139" s="90">
        <f t="shared" ref="CL139" si="584">IF(CK138&lt;&gt;0,CK139/CK138,0)</f>
        <v>0.84940002531989245</v>
      </c>
      <c r="CM139" s="571" t="s">
        <v>169</v>
      </c>
      <c r="CQ139" s="205"/>
      <c r="CV139" s="166">
        <f t="shared" si="553"/>
        <v>5359863.9142100001</v>
      </c>
      <c r="CW139" s="90">
        <f t="shared" ref="CW139" si="585">IF(CV138&lt;&gt;0,CV139/CV138,0)</f>
        <v>0.85006999999999999</v>
      </c>
      <c r="CX139" s="54">
        <f t="shared" si="555"/>
        <v>123337.11</v>
      </c>
      <c r="CY139" s="90">
        <f t="shared" ref="CY139" si="586">IF(CX138&lt;&gt;0,CX139/CX138,0)</f>
        <v>0.85007002179949309</v>
      </c>
      <c r="CZ139" s="571" t="s">
        <v>169</v>
      </c>
      <c r="DD139" s="205"/>
      <c r="DI139" s="166">
        <f t="shared" si="565"/>
        <v>5021778.9293499999</v>
      </c>
      <c r="DJ139" s="90">
        <f t="shared" ref="DJ139" si="587">IF(DI138&lt;&gt;0,DI139/DI138,0)</f>
        <v>0.79644999999999999</v>
      </c>
      <c r="DK139" s="54">
        <f t="shared" si="567"/>
        <v>115557.35</v>
      </c>
      <c r="DL139" s="90">
        <f t="shared" ref="DL139" si="588">IF(DK138&lt;&gt;0,DK139/DK138,0)</f>
        <v>0.79644998195264716</v>
      </c>
      <c r="DM139" s="571" t="s">
        <v>169</v>
      </c>
      <c r="DQ139" s="205"/>
      <c r="DV139" s="166">
        <f t="shared" si="565"/>
        <v>4993090.2557000006</v>
      </c>
      <c r="DW139" s="90">
        <f t="shared" ref="DW139" si="589">IF(DV138&lt;&gt;0,DV139/DV138,0)</f>
        <v>0.79190000000000005</v>
      </c>
      <c r="DX139" s="54">
        <f t="shared" si="567"/>
        <v>114897.19</v>
      </c>
      <c r="DY139" s="90">
        <f t="shared" ref="DY139" si="590">IF(DX138&lt;&gt;0,DX139/DX138,0)</f>
        <v>0.79189999512718023</v>
      </c>
      <c r="DZ139" s="571" t="s">
        <v>169</v>
      </c>
      <c r="ED139" s="205"/>
    </row>
    <row r="140" spans="1:134" x14ac:dyDescent="0.35">
      <c r="A140" s="73" t="s">
        <v>170</v>
      </c>
      <c r="Q140" s="205">
        <v>13</v>
      </c>
      <c r="V140" s="166">
        <f t="shared" si="573"/>
        <v>938025.05031000008</v>
      </c>
      <c r="W140" s="90">
        <f>IF(V138&lt;&gt;0,V140/V138,0)</f>
        <v>0.14877000000000001</v>
      </c>
      <c r="X140" s="54">
        <f t="shared" si="574"/>
        <v>27859.34</v>
      </c>
      <c r="Y140" s="90">
        <f>IF(X138&lt;&gt;0,X140/X138,0)</f>
        <v>0.14876997795578265</v>
      </c>
      <c r="Z140" s="73" t="s">
        <v>170</v>
      </c>
      <c r="AD140" s="205"/>
      <c r="AI140" s="166">
        <f t="shared" si="541"/>
        <v>939349.14294000005</v>
      </c>
      <c r="AJ140" s="90">
        <f t="shared" ref="AJ140" si="591">IF(AI138&lt;&gt;0,AI140/AI138,0)</f>
        <v>0.14898</v>
      </c>
      <c r="AK140" s="54">
        <f t="shared" si="543"/>
        <v>27898.67</v>
      </c>
      <c r="AL140" s="90">
        <f t="shared" ref="AL140" si="592">IF(AK138&lt;&gt;0,AK140/AK138,0)</f>
        <v>0.14898000171201667</v>
      </c>
      <c r="AM140" s="571" t="s">
        <v>170</v>
      </c>
      <c r="AQ140" s="205"/>
      <c r="AV140" s="166">
        <f t="shared" si="541"/>
        <v>937142.32189000002</v>
      </c>
      <c r="AW140" s="90">
        <f t="shared" ref="AW140" si="593">IF(AV138&lt;&gt;0,AV140/AV138,0)</f>
        <v>0.14863000000000001</v>
      </c>
      <c r="AX140" s="54">
        <f t="shared" si="543"/>
        <v>27833.13</v>
      </c>
      <c r="AY140" s="90">
        <f t="shared" ref="AY140" si="594">IF(AX138&lt;&gt;0,AX140/AX138,0)</f>
        <v>0.14863001551868898</v>
      </c>
      <c r="AZ140" s="571" t="s">
        <v>170</v>
      </c>
      <c r="BD140" s="205"/>
      <c r="BI140" s="166">
        <f t="shared" si="541"/>
        <v>934683.29272000003</v>
      </c>
      <c r="BJ140" s="90">
        <f t="shared" ref="BJ140" si="595">IF(BI138&lt;&gt;0,BI140/BI138,0)</f>
        <v>0.14824000000000001</v>
      </c>
      <c r="BK140" s="54">
        <f t="shared" si="543"/>
        <v>26525.25</v>
      </c>
      <c r="BL140" s="90">
        <f t="shared" ref="BL140" si="596">IF(BK138&lt;&gt;0,BK140/BK138,0)</f>
        <v>0.14823997358139873</v>
      </c>
      <c r="BM140" s="571" t="s">
        <v>170</v>
      </c>
      <c r="BQ140" s="205"/>
      <c r="BV140" s="166">
        <f t="shared" si="553"/>
        <v>943006.16067999997</v>
      </c>
      <c r="BW140" s="90">
        <f t="shared" ref="BW140" si="597">IF(BV138&lt;&gt;0,BV140/BV138,0)</f>
        <v>0.14956</v>
      </c>
      <c r="BX140" s="54">
        <f t="shared" si="555"/>
        <v>24231.64</v>
      </c>
      <c r="BY140" s="90">
        <f t="shared" ref="BY140" si="598">IF(BX138&lt;&gt;0,BX140/BX138,0)</f>
        <v>0.14955999440314385</v>
      </c>
      <c r="BZ140" s="571" t="s">
        <v>170</v>
      </c>
      <c r="CD140" s="205"/>
      <c r="CI140" s="166">
        <f t="shared" si="553"/>
        <v>949563.57180000003</v>
      </c>
      <c r="CJ140" s="90">
        <f t="shared" ref="CJ140" si="599">IF(CI138&lt;&gt;0,CI140/CI138,0)</f>
        <v>0.15060000000000001</v>
      </c>
      <c r="CK140" s="54">
        <f t="shared" si="555"/>
        <v>22709.05</v>
      </c>
      <c r="CL140" s="90">
        <f t="shared" ref="CL140" si="600">IF(CK138&lt;&gt;0,CK140/CK138,0)</f>
        <v>0.15059997468010755</v>
      </c>
      <c r="CM140" s="571" t="s">
        <v>170</v>
      </c>
      <c r="CQ140" s="205"/>
      <c r="CV140" s="166">
        <f t="shared" si="553"/>
        <v>945339.08579000004</v>
      </c>
      <c r="CW140" s="90">
        <f t="shared" ref="CW140" si="601">IF(CV138&lt;&gt;0,CV140/CV138,0)</f>
        <v>0.14993000000000001</v>
      </c>
      <c r="CX140" s="54">
        <f t="shared" si="555"/>
        <v>21753.42</v>
      </c>
      <c r="CY140" s="90">
        <f t="shared" ref="CY140" si="602">IF(CX138&lt;&gt;0,CX140/CX138,0)</f>
        <v>0.14992997820050694</v>
      </c>
      <c r="CZ140" s="571" t="s">
        <v>170</v>
      </c>
      <c r="DD140" s="205"/>
      <c r="DI140" s="166">
        <f t="shared" si="565"/>
        <v>1283424.0706500001</v>
      </c>
      <c r="DJ140" s="90">
        <f t="shared" ref="DJ140" si="603">IF(DI138&lt;&gt;0,DI140/DI138,0)</f>
        <v>0.20355000000000001</v>
      </c>
      <c r="DK140" s="54">
        <f t="shared" si="567"/>
        <v>29533.18</v>
      </c>
      <c r="DL140" s="90">
        <f t="shared" ref="DL140" si="604">IF(DK138&lt;&gt;0,DK140/DK138,0)</f>
        <v>0.20355001804735293</v>
      </c>
      <c r="DM140" s="571" t="s">
        <v>170</v>
      </c>
      <c r="DQ140" s="205"/>
      <c r="DV140" s="166">
        <f t="shared" si="565"/>
        <v>1312112.7443000001</v>
      </c>
      <c r="DW140" s="90">
        <f t="shared" ref="DW140" si="605">IF(DV138&lt;&gt;0,DV140/DV138,0)</f>
        <v>0.20810000000000003</v>
      </c>
      <c r="DX140" s="54">
        <f t="shared" si="567"/>
        <v>30193.34</v>
      </c>
      <c r="DY140" s="90">
        <f t="shared" ref="DY140" si="606">IF(DX138&lt;&gt;0,DX140/DX138,0)</f>
        <v>0.20810000487281974</v>
      </c>
      <c r="DZ140" s="571" t="s">
        <v>170</v>
      </c>
      <c r="ED140" s="205"/>
    </row>
    <row r="141" spans="1:134" x14ac:dyDescent="0.35">
      <c r="A141" s="73" t="s">
        <v>175</v>
      </c>
      <c r="Q141" s="205">
        <v>14</v>
      </c>
      <c r="V141" s="166">
        <f t="shared" si="573"/>
        <v>0</v>
      </c>
      <c r="X141" s="54">
        <f t="shared" si="574"/>
        <v>0</v>
      </c>
      <c r="Z141" s="73" t="s">
        <v>175</v>
      </c>
      <c r="AD141" s="205"/>
      <c r="AI141" s="166">
        <f t="shared" si="541"/>
        <v>0</v>
      </c>
      <c r="AK141" s="54">
        <f t="shared" si="543"/>
        <v>0</v>
      </c>
      <c r="AM141" s="571" t="s">
        <v>175</v>
      </c>
      <c r="AQ141" s="205"/>
      <c r="AV141" s="166">
        <f t="shared" si="541"/>
        <v>0</v>
      </c>
      <c r="AX141" s="54">
        <f t="shared" si="543"/>
        <v>0</v>
      </c>
      <c r="AZ141" s="571" t="s">
        <v>175</v>
      </c>
      <c r="BD141" s="205"/>
      <c r="BI141" s="166">
        <f t="shared" si="541"/>
        <v>0</v>
      </c>
      <c r="BK141" s="54">
        <f t="shared" si="543"/>
        <v>0</v>
      </c>
      <c r="BM141" s="571" t="s">
        <v>175</v>
      </c>
      <c r="BQ141" s="205"/>
      <c r="BV141" s="166">
        <f t="shared" si="553"/>
        <v>0</v>
      </c>
      <c r="BX141" s="54">
        <f t="shared" si="555"/>
        <v>0</v>
      </c>
      <c r="BZ141" s="571" t="s">
        <v>175</v>
      </c>
      <c r="CD141" s="205"/>
      <c r="CI141" s="166">
        <f t="shared" si="553"/>
        <v>0</v>
      </c>
      <c r="CK141" s="54">
        <f t="shared" si="555"/>
        <v>0</v>
      </c>
      <c r="CM141" s="571" t="s">
        <v>175</v>
      </c>
      <c r="CQ141" s="205"/>
      <c r="CV141" s="166">
        <f t="shared" si="553"/>
        <v>0</v>
      </c>
      <c r="CX141" s="54">
        <f t="shared" si="555"/>
        <v>0</v>
      </c>
      <c r="CZ141" s="571" t="s">
        <v>175</v>
      </c>
      <c r="DD141" s="205"/>
      <c r="DI141" s="166">
        <f t="shared" si="565"/>
        <v>0</v>
      </c>
      <c r="DK141" s="54">
        <f t="shared" si="567"/>
        <v>0</v>
      </c>
      <c r="DM141" s="571" t="s">
        <v>175</v>
      </c>
      <c r="DQ141" s="205"/>
      <c r="DV141" s="166">
        <f t="shared" si="565"/>
        <v>0</v>
      </c>
      <c r="DX141" s="54">
        <f t="shared" si="567"/>
        <v>0</v>
      </c>
      <c r="DZ141" s="571" t="s">
        <v>175</v>
      </c>
      <c r="ED141" s="205"/>
    </row>
    <row r="142" spans="1:134" ht="18.5" x14ac:dyDescent="0.45">
      <c r="A142" s="171" t="s">
        <v>1081</v>
      </c>
      <c r="Q142" s="205">
        <v>15</v>
      </c>
      <c r="R142" s="171" t="s">
        <v>561</v>
      </c>
      <c r="S142" s="74" t="s">
        <v>562</v>
      </c>
      <c r="T142" s="74"/>
      <c r="U142" s="203" t="s">
        <v>563</v>
      </c>
      <c r="V142" s="203"/>
      <c r="W142" s="203"/>
      <c r="X142" s="203" t="s">
        <v>385</v>
      </c>
      <c r="Y142" s="203" t="s">
        <v>566</v>
      </c>
      <c r="Z142" s="203" t="s">
        <v>387</v>
      </c>
      <c r="AA142" s="203" t="s">
        <v>564</v>
      </c>
      <c r="AB142" s="202" t="s">
        <v>565</v>
      </c>
      <c r="AD142" s="205"/>
      <c r="AE142" s="171" t="s">
        <v>561</v>
      </c>
      <c r="AF142" s="74" t="s">
        <v>562</v>
      </c>
      <c r="AG142" s="74"/>
      <c r="AH142" s="203" t="s">
        <v>563</v>
      </c>
      <c r="AI142" s="203"/>
      <c r="AJ142" s="203"/>
      <c r="AK142" s="203" t="s">
        <v>385</v>
      </c>
      <c r="AL142" s="203" t="s">
        <v>566</v>
      </c>
      <c r="AM142" s="203" t="s">
        <v>387</v>
      </c>
      <c r="AN142" s="203" t="s">
        <v>564</v>
      </c>
      <c r="AO142" s="202" t="s">
        <v>565</v>
      </c>
      <c r="AQ142" s="205"/>
      <c r="AR142" s="171" t="s">
        <v>561</v>
      </c>
      <c r="AS142" s="74" t="s">
        <v>562</v>
      </c>
      <c r="AT142" s="74"/>
      <c r="AU142" s="203" t="s">
        <v>563</v>
      </c>
      <c r="AV142" s="203"/>
      <c r="AW142" s="203"/>
      <c r="AX142" s="203" t="s">
        <v>385</v>
      </c>
      <c r="AY142" s="203" t="s">
        <v>566</v>
      </c>
      <c r="AZ142" s="203" t="s">
        <v>387</v>
      </c>
      <c r="BA142" s="203" t="s">
        <v>564</v>
      </c>
      <c r="BB142" s="202" t="s">
        <v>565</v>
      </c>
      <c r="BD142" s="205"/>
      <c r="BE142" s="171" t="s">
        <v>561</v>
      </c>
      <c r="BF142" s="74" t="s">
        <v>562</v>
      </c>
      <c r="BG142" s="74"/>
      <c r="BH142" s="203" t="s">
        <v>563</v>
      </c>
      <c r="BI142" s="203"/>
      <c r="BJ142" s="203"/>
      <c r="BK142" s="203" t="s">
        <v>385</v>
      </c>
      <c r="BL142" s="203" t="s">
        <v>566</v>
      </c>
      <c r="BM142" s="203" t="s">
        <v>387</v>
      </c>
      <c r="BN142" s="203" t="s">
        <v>564</v>
      </c>
      <c r="BO142" s="202" t="s">
        <v>565</v>
      </c>
      <c r="BQ142" s="205"/>
      <c r="BR142" s="171" t="s">
        <v>561</v>
      </c>
      <c r="BS142" s="74" t="s">
        <v>562</v>
      </c>
      <c r="BT142" s="74"/>
      <c r="BU142" s="203" t="s">
        <v>563</v>
      </c>
      <c r="BV142" s="203"/>
      <c r="BW142" s="203"/>
      <c r="BX142" s="203" t="s">
        <v>385</v>
      </c>
      <c r="BY142" s="203" t="s">
        <v>566</v>
      </c>
      <c r="BZ142" s="203" t="s">
        <v>387</v>
      </c>
      <c r="CA142" s="203" t="s">
        <v>564</v>
      </c>
      <c r="CB142" s="202" t="s">
        <v>565</v>
      </c>
      <c r="CD142" s="205"/>
      <c r="CE142" s="171" t="s">
        <v>561</v>
      </c>
      <c r="CF142" s="74" t="s">
        <v>562</v>
      </c>
      <c r="CG142" s="74"/>
      <c r="CH142" s="203" t="s">
        <v>563</v>
      </c>
      <c r="CI142" s="203"/>
      <c r="CJ142" s="203"/>
      <c r="CK142" s="203" t="s">
        <v>385</v>
      </c>
      <c r="CL142" s="203" t="s">
        <v>566</v>
      </c>
      <c r="CM142" s="203" t="s">
        <v>387</v>
      </c>
      <c r="CN142" s="203" t="s">
        <v>564</v>
      </c>
      <c r="CO142" s="202" t="s">
        <v>565</v>
      </c>
      <c r="CQ142" s="205"/>
      <c r="CR142" s="171" t="s">
        <v>561</v>
      </c>
      <c r="CS142" s="74" t="s">
        <v>562</v>
      </c>
      <c r="CT142" s="74"/>
      <c r="CU142" s="203" t="s">
        <v>563</v>
      </c>
      <c r="CV142" s="203"/>
      <c r="CW142" s="203"/>
      <c r="CX142" s="203" t="s">
        <v>385</v>
      </c>
      <c r="CY142" s="203" t="s">
        <v>566</v>
      </c>
      <c r="CZ142" s="203" t="s">
        <v>387</v>
      </c>
      <c r="DA142" s="203" t="s">
        <v>564</v>
      </c>
      <c r="DB142" s="202" t="s">
        <v>565</v>
      </c>
      <c r="DD142" s="205"/>
      <c r="DE142" s="171" t="s">
        <v>561</v>
      </c>
      <c r="DF142" s="74" t="s">
        <v>562</v>
      </c>
      <c r="DG142" s="74"/>
      <c r="DH142" s="203" t="s">
        <v>563</v>
      </c>
      <c r="DI142" s="203"/>
      <c r="DJ142" s="203"/>
      <c r="DK142" s="203" t="s">
        <v>385</v>
      </c>
      <c r="DL142" s="203" t="s">
        <v>566</v>
      </c>
      <c r="DM142" s="203" t="s">
        <v>387</v>
      </c>
      <c r="DN142" s="203" t="s">
        <v>564</v>
      </c>
      <c r="DO142" s="202" t="s">
        <v>565</v>
      </c>
      <c r="DQ142" s="205"/>
      <c r="DR142" s="171" t="s">
        <v>561</v>
      </c>
      <c r="DS142" s="74" t="s">
        <v>562</v>
      </c>
      <c r="DT142" s="74"/>
      <c r="DU142" s="203" t="s">
        <v>563</v>
      </c>
      <c r="DV142" s="203"/>
      <c r="DW142" s="203"/>
      <c r="DX142" s="203" t="s">
        <v>385</v>
      </c>
      <c r="DY142" s="203" t="s">
        <v>566</v>
      </c>
      <c r="DZ142" s="203" t="s">
        <v>387</v>
      </c>
      <c r="EA142" s="203" t="s">
        <v>564</v>
      </c>
      <c r="EB142" s="202" t="s">
        <v>565</v>
      </c>
      <c r="ED142" s="205"/>
    </row>
    <row r="143" spans="1:134" x14ac:dyDescent="0.35">
      <c r="A143" s="289" t="s">
        <v>554</v>
      </c>
      <c r="Q143" s="205">
        <v>16</v>
      </c>
      <c r="S143" s="89">
        <f>SUMIF($D$5:$D$125,"=bes",S5:S125)+SUMIF($D$5:$D$125,"=bem",S5:S125)+SUMIF($D$5:$D$125,"=ber",S5:S125)+SUMIF($D$5:$D$125,"=bek",S5:S125)</f>
        <v>0</v>
      </c>
      <c r="U143" s="89">
        <f>SUMIF($D$5:$D$125,"=bes",U5:U125)+SUMIF($D$5:$D$125,"=bem",U5:U125)+SUMIF($D$5:$D$125,"=ber",U5:U125)+SUMIF($D$5:$D$125,"=bek",U5:U125)</f>
        <v>0</v>
      </c>
      <c r="W143" s="90">
        <f>SUM(W144:W146)</f>
        <v>0</v>
      </c>
      <c r="X143" s="89">
        <f>Z143*HLOOKUP(X128,Grund_zins,2,FALSE)</f>
        <v>0</v>
      </c>
      <c r="Y143" s="89">
        <f>SUMIF($D$5:$D$125,"=bes",Y5:Y125)+SUMIF($D$5:$D$125,"=bem",Y5:Y125)+SUMIF($D$5:$D$125,"=ber",Y5:Y125)+SUMIF($D$5:$D$125,"=bek",Y5:Y125)</f>
        <v>0</v>
      </c>
      <c r="Z143" s="89">
        <f>AA143-S143+U143+Y143/2</f>
        <v>0</v>
      </c>
      <c r="AA143" s="89">
        <f>SUMIF($D$5:$D$125,"=bes",AA5:AA125)+SUMIF($D$5:$D$125,"=bem",AA5:AA125)+SUMIF($D$5:$D$125,"=ber",AA5:AA125)+SUMIF($D$5:$D$125,"=bek",AA5:AA125)</f>
        <v>0</v>
      </c>
      <c r="AB143" s="197" t="s">
        <v>554</v>
      </c>
      <c r="AD143" s="205"/>
      <c r="AF143" s="89">
        <f t="shared" ref="AF143" si="607">SUMIF($D$5:$D$125,"=bes",AF5:AF125)+SUMIF($D$5:$D$125,"=bem",AF5:AF125)+SUMIF($D$5:$D$125,"=ber",AF5:AF125)+SUMIF($D$5:$D$125,"=bek",AF5:AF125)</f>
        <v>0</v>
      </c>
      <c r="AH143" s="89">
        <f t="shared" ref="AH143" si="608">SUMIF($D$5:$D$125,"=bes",AH5:AH125)+SUMIF($D$5:$D$125,"=bem",AH5:AH125)+SUMIF($D$5:$D$125,"=ber",AH5:AH125)+SUMIF($D$5:$D$125,"=bek",AH5:AH125)</f>
        <v>0</v>
      </c>
      <c r="AJ143" s="90">
        <f t="shared" ref="AJ143" si="609">SUM(AJ144:AJ146)</f>
        <v>0</v>
      </c>
      <c r="AK143" s="89">
        <f>AM143*HLOOKUP(AK128,Grund_zins,2,FALSE)</f>
        <v>0</v>
      </c>
      <c r="AL143" s="89">
        <f t="shared" ref="AL143" si="610">SUMIF($D$5:$D$125,"=bes",AL5:AL125)+SUMIF($D$5:$D$125,"=bem",AL5:AL125)+SUMIF($D$5:$D$125,"=ber",AL5:AL125)+SUMIF($D$5:$D$125,"=bek",AL5:AL125)</f>
        <v>0</v>
      </c>
      <c r="AM143" s="89">
        <f t="shared" ref="AM143:AM145" si="611">AN143-AF143+AH143+AL143/2</f>
        <v>0</v>
      </c>
      <c r="AN143" s="89">
        <f t="shared" ref="AN143" si="612">SUMIF($D$5:$D$125,"=bes",AN5:AN125)+SUMIF($D$5:$D$125,"=bem",AN5:AN125)+SUMIF($D$5:$D$125,"=ber",AN5:AN125)+SUMIF($D$5:$D$125,"=bek",AN5:AN125)</f>
        <v>0</v>
      </c>
      <c r="AO143" s="289" t="s">
        <v>554</v>
      </c>
      <c r="AQ143" s="205"/>
      <c r="AS143" s="89">
        <f t="shared" ref="AS143" si="613">SUMIF($D$5:$D$125,"=bes",AS5:AS125)+SUMIF($D$5:$D$125,"=bem",AS5:AS125)+SUMIF($D$5:$D$125,"=ber",AS5:AS125)+SUMIF($D$5:$D$125,"=bek",AS5:AS125)</f>
        <v>0</v>
      </c>
      <c r="AU143" s="89">
        <f t="shared" ref="AU143" si="614">SUMIF($D$5:$D$125,"=bes",AU5:AU125)+SUMIF($D$5:$D$125,"=bem",AU5:AU125)+SUMIF($D$5:$D$125,"=ber",AU5:AU125)+SUMIF($D$5:$D$125,"=bek",AU5:AU125)</f>
        <v>0</v>
      </c>
      <c r="AW143" s="90">
        <f t="shared" ref="AW143" si="615">SUM(AW144:AW146)</f>
        <v>0</v>
      </c>
      <c r="AX143" s="89">
        <f>AZ143*HLOOKUP(AX128,Grund_zins,2,FALSE)</f>
        <v>0</v>
      </c>
      <c r="AY143" s="89">
        <f t="shared" ref="AY143" si="616">SUMIF($D$5:$D$125,"=bes",AY5:AY125)+SUMIF($D$5:$D$125,"=bem",AY5:AY125)+SUMIF($D$5:$D$125,"=ber",AY5:AY125)+SUMIF($D$5:$D$125,"=bek",AY5:AY125)</f>
        <v>0</v>
      </c>
      <c r="AZ143" s="89">
        <f t="shared" ref="AZ143:AZ145" si="617">BA143-AS143+AU143+AY143/2</f>
        <v>0</v>
      </c>
      <c r="BA143" s="89">
        <f t="shared" ref="BA143" si="618">SUMIF($D$5:$D$125,"=bes",BA5:BA125)+SUMIF($D$5:$D$125,"=bem",BA5:BA125)+SUMIF($D$5:$D$125,"=ber",BA5:BA125)+SUMIF($D$5:$D$125,"=bek",BA5:BA125)</f>
        <v>0</v>
      </c>
      <c r="BB143" s="289" t="s">
        <v>554</v>
      </c>
      <c r="BD143" s="205"/>
      <c r="BF143" s="89">
        <f t="shared" ref="BF143" si="619">SUMIF($D$5:$D$125,"=bes",BF5:BF125)+SUMIF($D$5:$D$125,"=bem",BF5:BF125)+SUMIF($D$5:$D$125,"=ber",BF5:BF125)+SUMIF($D$5:$D$125,"=bek",BF5:BF125)</f>
        <v>0</v>
      </c>
      <c r="BH143" s="89">
        <f t="shared" ref="BH143" si="620">SUMIF($D$5:$D$125,"=bes",BH5:BH125)+SUMIF($D$5:$D$125,"=bem",BH5:BH125)+SUMIF($D$5:$D$125,"=ber",BH5:BH125)+SUMIF($D$5:$D$125,"=bek",BH5:BH125)</f>
        <v>0</v>
      </c>
      <c r="BJ143" s="90">
        <f t="shared" ref="BJ143" si="621">SUM(BJ144:BJ146)</f>
        <v>0</v>
      </c>
      <c r="BK143" s="89">
        <f>BM143*HLOOKUP(BK128,Grund_zins,2,FALSE)</f>
        <v>0</v>
      </c>
      <c r="BL143" s="89">
        <f t="shared" ref="BL143" si="622">SUMIF($D$5:$D$125,"=bes",BL5:BL125)+SUMIF($D$5:$D$125,"=bem",BL5:BL125)+SUMIF($D$5:$D$125,"=ber",BL5:BL125)+SUMIF($D$5:$D$125,"=bek",BL5:BL125)</f>
        <v>0</v>
      </c>
      <c r="BM143" s="89">
        <f t="shared" ref="BM143:BM145" si="623">BN143-BF143+BH143+BL143/2</f>
        <v>0</v>
      </c>
      <c r="BN143" s="89">
        <f t="shared" ref="BN143" si="624">SUMIF($D$5:$D$125,"=bes",BN5:BN125)+SUMIF($D$5:$D$125,"=bem",BN5:BN125)+SUMIF($D$5:$D$125,"=ber",BN5:BN125)+SUMIF($D$5:$D$125,"=bek",BN5:BN125)</f>
        <v>0</v>
      </c>
      <c r="BO143" s="289" t="s">
        <v>554</v>
      </c>
      <c r="BQ143" s="205"/>
      <c r="BS143" s="89">
        <f t="shared" ref="BS143" si="625">SUMIF($D$5:$D$125,"=bes",BS5:BS125)+SUMIF($D$5:$D$125,"=bem",BS5:BS125)+SUMIF($D$5:$D$125,"=ber",BS5:BS125)+SUMIF($D$5:$D$125,"=bek",BS5:BS125)</f>
        <v>0</v>
      </c>
      <c r="BU143" s="89">
        <f t="shared" ref="BU143" si="626">SUMIF($D$5:$D$125,"=bes",BU5:BU125)+SUMIF($D$5:$D$125,"=bem",BU5:BU125)+SUMIF($D$5:$D$125,"=ber",BU5:BU125)+SUMIF($D$5:$D$125,"=bek",BU5:BU125)</f>
        <v>0</v>
      </c>
      <c r="BW143" s="90">
        <f t="shared" ref="BW143" si="627">SUM(BW144:BW146)</f>
        <v>0</v>
      </c>
      <c r="BX143" s="89">
        <f>BZ143*HLOOKUP(BX128,Grund_zins,2,FALSE)</f>
        <v>0</v>
      </c>
      <c r="BY143" s="89">
        <f t="shared" ref="BY143" si="628">SUMIF($D$5:$D$125,"=bes",BY5:BY125)+SUMIF($D$5:$D$125,"=bem",BY5:BY125)+SUMIF($D$5:$D$125,"=ber",BY5:BY125)+SUMIF($D$5:$D$125,"=bek",BY5:BY125)</f>
        <v>0</v>
      </c>
      <c r="BZ143" s="89">
        <f t="shared" ref="BZ143:BZ145" si="629">CA143-BS143+BU143+BY143/2</f>
        <v>0</v>
      </c>
      <c r="CA143" s="89">
        <f t="shared" ref="CA143" si="630">SUMIF($D$5:$D$125,"=bes",CA5:CA125)+SUMIF($D$5:$D$125,"=bem",CA5:CA125)+SUMIF($D$5:$D$125,"=ber",CA5:CA125)+SUMIF($D$5:$D$125,"=bek",CA5:CA125)</f>
        <v>0</v>
      </c>
      <c r="CB143" s="289" t="s">
        <v>554</v>
      </c>
      <c r="CD143" s="205"/>
      <c r="CF143" s="89">
        <f t="shared" ref="CF143" si="631">SUMIF($D$5:$D$125,"=bes",CF5:CF125)+SUMIF($D$5:$D$125,"=bem",CF5:CF125)+SUMIF($D$5:$D$125,"=ber",CF5:CF125)+SUMIF($D$5:$D$125,"=bek",CF5:CF125)</f>
        <v>0</v>
      </c>
      <c r="CH143" s="89">
        <f t="shared" ref="CH143" si="632">SUMIF($D$5:$D$125,"=bes",CH5:CH125)+SUMIF($D$5:$D$125,"=bem",CH5:CH125)+SUMIF($D$5:$D$125,"=ber",CH5:CH125)+SUMIF($D$5:$D$125,"=bek",CH5:CH125)</f>
        <v>0</v>
      </c>
      <c r="CJ143" s="90">
        <f t="shared" ref="CJ143" si="633">SUM(CJ144:CJ146)</f>
        <v>0</v>
      </c>
      <c r="CK143" s="89">
        <f>CM143*HLOOKUP(CK128,Grund_zins,2,FALSE)</f>
        <v>0</v>
      </c>
      <c r="CL143" s="89">
        <f t="shared" ref="CL143" si="634">SUMIF($D$5:$D$125,"=bes",CL5:CL125)+SUMIF($D$5:$D$125,"=bem",CL5:CL125)+SUMIF($D$5:$D$125,"=ber",CL5:CL125)+SUMIF($D$5:$D$125,"=bek",CL5:CL125)</f>
        <v>0</v>
      </c>
      <c r="CM143" s="89">
        <f t="shared" ref="CM143:CM145" si="635">CN143-CF143+CH143+CL143/2</f>
        <v>0</v>
      </c>
      <c r="CN143" s="89">
        <f t="shared" ref="CN143" si="636">SUMIF($D$5:$D$125,"=bes",CN5:CN125)+SUMIF($D$5:$D$125,"=bem",CN5:CN125)+SUMIF($D$5:$D$125,"=ber",CN5:CN125)+SUMIF($D$5:$D$125,"=bek",CN5:CN125)</f>
        <v>0</v>
      </c>
      <c r="CO143" s="289" t="s">
        <v>554</v>
      </c>
      <c r="CQ143" s="205"/>
      <c r="CS143" s="89">
        <f t="shared" ref="CS143" si="637">SUMIF($D$5:$D$125,"=bes",CS5:CS125)+SUMIF($D$5:$D$125,"=bem",CS5:CS125)+SUMIF($D$5:$D$125,"=ber",CS5:CS125)+SUMIF($D$5:$D$125,"=bek",CS5:CS125)</f>
        <v>0</v>
      </c>
      <c r="CU143" s="89">
        <f t="shared" ref="CU143" si="638">SUMIF($D$5:$D$125,"=bes",CU5:CU125)+SUMIF($D$5:$D$125,"=bem",CU5:CU125)+SUMIF($D$5:$D$125,"=ber",CU5:CU125)+SUMIF($D$5:$D$125,"=bek",CU5:CU125)</f>
        <v>0</v>
      </c>
      <c r="CW143" s="90">
        <f t="shared" ref="CW143" si="639">SUM(CW144:CW146)</f>
        <v>0</v>
      </c>
      <c r="CX143" s="89">
        <f>CZ143*HLOOKUP(CX128,Grund_zins,2,FALSE)</f>
        <v>0</v>
      </c>
      <c r="CY143" s="89">
        <f t="shared" ref="CY143" si="640">SUMIF($D$5:$D$125,"=bes",CY5:CY125)+SUMIF($D$5:$D$125,"=bem",CY5:CY125)+SUMIF($D$5:$D$125,"=ber",CY5:CY125)+SUMIF($D$5:$D$125,"=bek",CY5:CY125)</f>
        <v>0</v>
      </c>
      <c r="CZ143" s="89">
        <f t="shared" ref="CZ143:CZ145" si="641">DA143-CS143+CU143+CY143/2</f>
        <v>0</v>
      </c>
      <c r="DA143" s="89">
        <f t="shared" ref="DA143" si="642">SUMIF($D$5:$D$125,"=bes",DA5:DA125)+SUMIF($D$5:$D$125,"=bem",DA5:DA125)+SUMIF($D$5:$D$125,"=ber",DA5:DA125)+SUMIF($D$5:$D$125,"=bek",DA5:DA125)</f>
        <v>0</v>
      </c>
      <c r="DB143" s="289" t="s">
        <v>554</v>
      </c>
      <c r="DD143" s="205"/>
      <c r="DF143" s="89">
        <f t="shared" ref="DF143" si="643">SUMIF($D$5:$D$125,"=bes",DF5:DF125)+SUMIF($D$5:$D$125,"=bem",DF5:DF125)+SUMIF($D$5:$D$125,"=ber",DF5:DF125)+SUMIF($D$5:$D$125,"=bek",DF5:DF125)</f>
        <v>0</v>
      </c>
      <c r="DH143" s="89">
        <f t="shared" ref="DH143" si="644">SUMIF($D$5:$D$125,"=bes",DH5:DH125)+SUMIF($D$5:$D$125,"=bem",DH5:DH125)+SUMIF($D$5:$D$125,"=ber",DH5:DH125)+SUMIF($D$5:$D$125,"=bek",DH5:DH125)</f>
        <v>0</v>
      </c>
      <c r="DJ143" s="90">
        <f t="shared" ref="DJ143" si="645">SUM(DJ144:DJ146)</f>
        <v>0</v>
      </c>
      <c r="DK143" s="89">
        <f>DM143*HLOOKUP(DK128,Grund_zins,2,FALSE)</f>
        <v>0</v>
      </c>
      <c r="DL143" s="89">
        <f t="shared" ref="DL143" si="646">SUMIF($D$5:$D$125,"=bes",DL5:DL125)+SUMIF($D$5:$D$125,"=bem",DL5:DL125)+SUMIF($D$5:$D$125,"=ber",DL5:DL125)+SUMIF($D$5:$D$125,"=bek",DL5:DL125)</f>
        <v>0</v>
      </c>
      <c r="DM143" s="89">
        <f t="shared" ref="DM143:DM145" si="647">DN143-DF143+DH143+DL143/2</f>
        <v>0</v>
      </c>
      <c r="DN143" s="89">
        <f t="shared" ref="DN143" si="648">SUMIF($D$5:$D$125,"=bes",DN5:DN125)+SUMIF($D$5:$D$125,"=bem",DN5:DN125)+SUMIF($D$5:$D$125,"=ber",DN5:DN125)+SUMIF($D$5:$D$125,"=bek",DN5:DN125)</f>
        <v>0</v>
      </c>
      <c r="DO143" s="289" t="s">
        <v>554</v>
      </c>
      <c r="DQ143" s="205"/>
      <c r="DS143" s="89">
        <f t="shared" ref="DS143" si="649">SUMIF($D$5:$D$125,"=bes",DS5:DS125)+SUMIF($D$5:$D$125,"=bem",DS5:DS125)+SUMIF($D$5:$D$125,"=ber",DS5:DS125)+SUMIF($D$5:$D$125,"=bek",DS5:DS125)</f>
        <v>0</v>
      </c>
      <c r="DU143" s="89">
        <f t="shared" ref="DU143" si="650">SUMIF($D$5:$D$125,"=bes",DU5:DU125)+SUMIF($D$5:$D$125,"=bem",DU5:DU125)+SUMIF($D$5:$D$125,"=ber",DU5:DU125)+SUMIF($D$5:$D$125,"=bek",DU5:DU125)</f>
        <v>0</v>
      </c>
      <c r="DW143" s="90">
        <f t="shared" ref="DW143" si="651">SUM(DW144:DW146)</f>
        <v>0</v>
      </c>
      <c r="DX143" s="89">
        <f>DZ143*HLOOKUP(DX128,Grund_zins,2,FALSE)</f>
        <v>0</v>
      </c>
      <c r="DY143" s="89">
        <f t="shared" ref="DY143" si="652">SUMIF($D$5:$D$125,"=bes",DY5:DY125)+SUMIF($D$5:$D$125,"=bem",DY5:DY125)+SUMIF($D$5:$D$125,"=ber",DY5:DY125)+SUMIF($D$5:$D$125,"=bek",DY5:DY125)</f>
        <v>0</v>
      </c>
      <c r="DZ143" s="89">
        <f t="shared" ref="DZ143:DZ145" si="653">EA143-DS143+DU143+DY143/2</f>
        <v>0</v>
      </c>
      <c r="EA143" s="89">
        <f t="shared" ref="EA143" si="654">SUMIF($D$5:$D$125,"=bes",EA5:EA125)+SUMIF($D$5:$D$125,"=bem",EA5:EA125)+SUMIF($D$5:$D$125,"=ber",EA5:EA125)+SUMIF($D$5:$D$125,"=bek",EA5:EA125)</f>
        <v>0</v>
      </c>
      <c r="EB143" s="289" t="s">
        <v>554</v>
      </c>
      <c r="ED143" s="205"/>
    </row>
    <row r="144" spans="1:134" x14ac:dyDescent="0.35">
      <c r="A144" s="73" t="s">
        <v>169</v>
      </c>
      <c r="Q144" s="205">
        <v>17</v>
      </c>
      <c r="S144" s="89">
        <f>SUMIF($D$5:$D$125,"=bes",S5:S125)*HLOOKUP(X128,Verteil_sw,32,FALSE)+SUMIF($D$5:$D$125,"=bem",S5:S125)*HLOOKUP(X128,Verteil_sw,33,FALSE)+SUMIF($D$5:$D$125,"=ber",S5:S125)*HLOOKUP(X128,Verteil_sw,34,FALSE)+SUMIF($D$5:$D$125,"=bek",S5:S125)*HLOOKUP(X128,Verteil_sw,35,FALSE)</f>
        <v>0</v>
      </c>
      <c r="U144" s="89">
        <f>SUMIF($D$5:$D$125,"=bes",U5:U125)*HLOOKUP(X128,Verteil_sw,32,FALSE)+SUMIF($D$5:$D$125,"=bem",U5:U125)*HLOOKUP(X128,Verteil_sw,33,FALSE)+SUMIF($D$5:$D$125,"=ber",U5:U125)*HLOOKUP(X128,Verteil_sw,34,FALSE)+SUMIF($D$5:$D$125,"=bek",U5:U125)*HLOOKUP(X128,Verteil_sw,35,FALSE)</f>
        <v>0</v>
      </c>
      <c r="W144" s="90">
        <f>IF(X143&lt;&gt;0,X144/X143,0)</f>
        <v>0</v>
      </c>
      <c r="X144" s="89">
        <f>Z144*HLOOKUP(X128,Grund_zins,2,FALSE)</f>
        <v>0</v>
      </c>
      <c r="Y144" s="89">
        <f>SUMIF($D$5:$D$125,"=bes",Y5:Y125)*HLOOKUP(X128,Verteil_sw,32,FALSE)+SUMIF($D$5:$D$125,"=bem",Y5:Y125)*HLOOKUP(X128,Verteil_sw,33,FALSE)+SUMIF($D$5:$D$125,"=ber",Y5:Y125)*HLOOKUP(X128,Verteil_sw,34,FALSE)+SUMIF($D$5:$D$125,"=bek",Y5:Y125)*HLOOKUP(X128,Verteil_sw,35,FALSE)</f>
        <v>0</v>
      </c>
      <c r="Z144" s="89">
        <f t="shared" ref="Z144:Z149" si="655">AA144-S144+U144+Y144/2</f>
        <v>0</v>
      </c>
      <c r="AA144" s="89">
        <f>SUMIF($D$5:$D$125,"=bes",AA5:AA125)*HLOOKUP(X128,Verteil_sw,32,FALSE)+SUMIF($D$5:$D$125,"=bem",AA5:AA125)*HLOOKUP(X128,Verteil_sw,33,FALSE)+SUMIF($D$5:$D$125,"=ber",AA5:AA125)*HLOOKUP(X128,Verteil_sw,34,FALSE)+SUMIF($D$5:$D$125,"=bek",AA5:AA125)*HLOOKUP(X128,Verteil_sw,35,FALSE)</f>
        <v>0</v>
      </c>
      <c r="AB144" s="73" t="s">
        <v>169</v>
      </c>
      <c r="AD144" s="205"/>
      <c r="AF144" s="89">
        <f>SUMIF($D$5:$D$125,"=bes",AF5:AF125)*HLOOKUP(AK128,Verteil_sw,32,FALSE)+SUMIF($D$5:$D$125,"=bem",AF5:AF125)*HLOOKUP(AK128,Verteil_sw,33,FALSE)+SUMIF($D$5:$D$125,"=ber",AF5:AF125)*HLOOKUP(AK128,Verteil_sw,34,FALSE)+SUMIF($D$5:$D$125,"=bek",AF5:AF125)*HLOOKUP(AK128,Verteil_sw,35,FALSE)</f>
        <v>0</v>
      </c>
      <c r="AH144" s="89">
        <f>SUMIF($D$5:$D$125,"=bes",AH5:AH125)*HLOOKUP(AK128,Verteil_sw,32,FALSE)+SUMIF($D$5:$D$125,"=bem",AH5:AH125)*HLOOKUP(AK128,Verteil_sw,33,FALSE)+SUMIF($D$5:$D$125,"=ber",AH5:AH125)*HLOOKUP(AK128,Verteil_sw,34,FALSE)+SUMIF($D$5:$D$125,"=bek",AH5:AH125)*HLOOKUP(AK128,Verteil_sw,35,FALSE)</f>
        <v>0</v>
      </c>
      <c r="AJ144" s="90">
        <f t="shared" ref="AJ144" si="656">IF(AK143&lt;&gt;0,AK144/AK143,0)</f>
        <v>0</v>
      </c>
      <c r="AK144" s="89">
        <f>AM144*HLOOKUP(AK128,Grund_zins,2,FALSE)</f>
        <v>0</v>
      </c>
      <c r="AL144" s="89">
        <f>SUMIF($D$5:$D$125,"=bes",AL5:AL125)*HLOOKUP(AK128,Verteil_sw,32,FALSE)+SUMIF($D$5:$D$125,"=bem",AL5:AL125)*HLOOKUP(AK128,Verteil_sw,33,FALSE)+SUMIF($D$5:$D$125,"=ber",AL5:AL125)*HLOOKUP(AK128,Verteil_sw,34,FALSE)+SUMIF($D$5:$D$125,"=bek",AL5:AL125)*HLOOKUP(AK128,Verteil_sw,35,FALSE)</f>
        <v>0</v>
      </c>
      <c r="AM144" s="89">
        <f t="shared" si="611"/>
        <v>0</v>
      </c>
      <c r="AN144" s="89">
        <f>SUMIF($D$5:$D$125,"=bes",AN5:AN125)*HLOOKUP(AK128,Verteil_sw,32,FALSE)+SUMIF($D$5:$D$125,"=bem",AN5:AN125)*HLOOKUP(AK128,Verteil_sw,33,FALSE)+SUMIF($D$5:$D$125,"=ber",AN5:AN125)*HLOOKUP(AK128,Verteil_sw,34,FALSE)+SUMIF($D$5:$D$125,"=bek",AN5:AN125)*HLOOKUP(AK128,Verteil_sw,35,FALSE)</f>
        <v>0</v>
      </c>
      <c r="AO144" s="571" t="s">
        <v>169</v>
      </c>
      <c r="AQ144" s="205"/>
      <c r="AS144" s="89">
        <f>SUMIF($D$5:$D$125,"=bes",AS5:AS125)*HLOOKUP(AX128,Verteil_sw,32,FALSE)+SUMIF($D$5:$D$125,"=bem",AS5:AS125)*HLOOKUP(AX128,Verteil_sw,33,FALSE)+SUMIF($D$5:$D$125,"=ber",AS5:AS125)*HLOOKUP(AX128,Verteil_sw,34,FALSE)+SUMIF($D$5:$D$125,"=bek",AS5:AS125)*HLOOKUP(AX128,Verteil_sw,35,FALSE)</f>
        <v>0</v>
      </c>
      <c r="AU144" s="89">
        <f>SUMIF($D$5:$D$125,"=bes",AU5:AU125)*HLOOKUP(AX128,Verteil_sw,32,FALSE)+SUMIF($D$5:$D$125,"=bem",AU5:AU125)*HLOOKUP(AX128,Verteil_sw,33,FALSE)+SUMIF($D$5:$D$125,"=ber",AU5:AU125)*HLOOKUP(AX128,Verteil_sw,34,FALSE)+SUMIF($D$5:$D$125,"=bek",AU5:AU125)*HLOOKUP(AX128,Verteil_sw,35,FALSE)</f>
        <v>0</v>
      </c>
      <c r="AW144" s="90">
        <f t="shared" ref="AW144" si="657">IF(AX143&lt;&gt;0,AX144/AX143,0)</f>
        <v>0</v>
      </c>
      <c r="AX144" s="89">
        <f>AZ144*HLOOKUP(AX128,Grund_zins,2,FALSE)</f>
        <v>0</v>
      </c>
      <c r="AY144" s="89">
        <f>SUMIF($D$5:$D$125,"=bes",AY5:AY125)*HLOOKUP(AX128,Verteil_sw,32,FALSE)+SUMIF($D$5:$D$125,"=bem",AY5:AY125)*HLOOKUP(AX128,Verteil_sw,33,FALSE)+SUMIF($D$5:$D$125,"=ber",AY5:AY125)*HLOOKUP(AX128,Verteil_sw,34,FALSE)+SUMIF($D$5:$D$125,"=bek",AY5:AY125)*HLOOKUP(AX128,Verteil_sw,35,FALSE)</f>
        <v>0</v>
      </c>
      <c r="AZ144" s="89">
        <f t="shared" si="617"/>
        <v>0</v>
      </c>
      <c r="BA144" s="89">
        <f>SUMIF($D$5:$D$125,"=bes",BA5:BA125)*HLOOKUP(AX128,Verteil_sw,32,FALSE)+SUMIF($D$5:$D$125,"=bem",BA5:BA125)*HLOOKUP(AX128,Verteil_sw,33,FALSE)+SUMIF($D$5:$D$125,"=ber",BA5:BA125)*HLOOKUP(AX128,Verteil_sw,34,FALSE)+SUMIF($D$5:$D$125,"=bek",BA5:BA125)*HLOOKUP(AX128,Verteil_sw,35,FALSE)</f>
        <v>0</v>
      </c>
      <c r="BB144" s="571" t="s">
        <v>169</v>
      </c>
      <c r="BD144" s="205"/>
      <c r="BF144" s="89">
        <f>SUMIF($D$5:$D$125,"=bes",BF5:BF125)*HLOOKUP(BK128,Verteil_sw,32,FALSE)+SUMIF($D$5:$D$125,"=bem",BF5:BF125)*HLOOKUP(BK128,Verteil_sw,33,FALSE)+SUMIF($D$5:$D$125,"=ber",BF5:BF125)*HLOOKUP(BK128,Verteil_sw,34,FALSE)+SUMIF($D$5:$D$125,"=bek",BF5:BF125)*HLOOKUP(BK128,Verteil_sw,35,FALSE)</f>
        <v>0</v>
      </c>
      <c r="BH144" s="89">
        <f>SUMIF($D$5:$D$125,"=bes",BH5:BH125)*HLOOKUP(BK128,Verteil_sw,32,FALSE)+SUMIF($D$5:$D$125,"=bem",BH5:BH125)*HLOOKUP(BK128,Verteil_sw,33,FALSE)+SUMIF($D$5:$D$125,"=ber",BH5:BH125)*HLOOKUP(BK128,Verteil_sw,34,FALSE)+SUMIF($D$5:$D$125,"=bek",BH5:BH125)*HLOOKUP(BK128,Verteil_sw,35,FALSE)</f>
        <v>0</v>
      </c>
      <c r="BJ144" s="90">
        <f t="shared" ref="BJ144" si="658">IF(BK143&lt;&gt;0,BK144/BK143,0)</f>
        <v>0</v>
      </c>
      <c r="BK144" s="89">
        <f>BM144*HLOOKUP(BK128,Grund_zins,2,FALSE)</f>
        <v>0</v>
      </c>
      <c r="BL144" s="89">
        <f>SUMIF($D$5:$D$125,"=bes",BL5:BL125)*HLOOKUP(BK128,Verteil_sw,32,FALSE)+SUMIF($D$5:$D$125,"=bem",BL5:BL125)*HLOOKUP(BK128,Verteil_sw,33,FALSE)+SUMIF($D$5:$D$125,"=ber",BL5:BL125)*HLOOKUP(BK128,Verteil_sw,34,FALSE)+SUMIF($D$5:$D$125,"=bek",BL5:BL125)*HLOOKUP(BK128,Verteil_sw,35,FALSE)</f>
        <v>0</v>
      </c>
      <c r="BM144" s="89">
        <f t="shared" si="623"/>
        <v>0</v>
      </c>
      <c r="BN144" s="89">
        <f>SUMIF($D$5:$D$125,"=bes",BN5:BN125)*HLOOKUP(BK128,Verteil_sw,32,FALSE)+SUMIF($D$5:$D$125,"=bem",BN5:BN125)*HLOOKUP(BK128,Verteil_sw,33,FALSE)+SUMIF($D$5:$D$125,"=ber",BN5:BN125)*HLOOKUP(BK128,Verteil_sw,34,FALSE)+SUMIF($D$5:$D$125,"=bek",BN5:BN125)*HLOOKUP(BK128,Verteil_sw,35,FALSE)</f>
        <v>0</v>
      </c>
      <c r="BO144" s="571" t="s">
        <v>169</v>
      </c>
      <c r="BQ144" s="205"/>
      <c r="BS144" s="89">
        <f>SUMIF($D$5:$D$125,"=bes",BS5:BS125)*HLOOKUP(BX128,Verteil_sw,32,FALSE)+SUMIF($D$5:$D$125,"=bem",BS5:BS125)*HLOOKUP(BX128,Verteil_sw,33,FALSE)+SUMIF($D$5:$D$125,"=ber",BS5:BS125)*HLOOKUP(BX128,Verteil_sw,34,FALSE)+SUMIF($D$5:$D$125,"=bek",BS5:BS125)*HLOOKUP(BX128,Verteil_sw,35,FALSE)</f>
        <v>0</v>
      </c>
      <c r="BU144" s="89">
        <f>SUMIF($D$5:$D$125,"=bes",BU5:BU125)*HLOOKUP(BX128,Verteil_sw,32,FALSE)+SUMIF($D$5:$D$125,"=bem",BU5:BU125)*HLOOKUP(BX128,Verteil_sw,33,FALSE)+SUMIF($D$5:$D$125,"=ber",BU5:BU125)*HLOOKUP(BX128,Verteil_sw,34,FALSE)+SUMIF($D$5:$D$125,"=bek",BU5:BU125)*HLOOKUP(BX128,Verteil_sw,35,FALSE)</f>
        <v>0</v>
      </c>
      <c r="BW144" s="90">
        <f t="shared" ref="BW144" si="659">IF(BX143&lt;&gt;0,BX144/BX143,0)</f>
        <v>0</v>
      </c>
      <c r="BX144" s="89">
        <f>BZ144*HLOOKUP(BX128,Grund_zins,2,FALSE)</f>
        <v>0</v>
      </c>
      <c r="BY144" s="89">
        <f>SUMIF($D$5:$D$125,"=bes",BY5:BY125)*HLOOKUP(BX128,Verteil_sw,32,FALSE)+SUMIF($D$5:$D$125,"=bem",BY5:BY125)*HLOOKUP(BX128,Verteil_sw,33,FALSE)+SUMIF($D$5:$D$125,"=ber",BY5:BY125)*HLOOKUP(BX128,Verteil_sw,34,FALSE)+SUMIF($D$5:$D$125,"=bek",BY5:BY125)*HLOOKUP(BX128,Verteil_sw,35,FALSE)</f>
        <v>0</v>
      </c>
      <c r="BZ144" s="89">
        <f t="shared" si="629"/>
        <v>0</v>
      </c>
      <c r="CA144" s="89">
        <f>SUMIF($D$5:$D$125,"=bes",CA5:CA125)*HLOOKUP(BX128,Verteil_sw,32,FALSE)+SUMIF($D$5:$D$125,"=bem",CA5:CA125)*HLOOKUP(BX128,Verteil_sw,33,FALSE)+SUMIF($D$5:$D$125,"=ber",CA5:CA125)*HLOOKUP(BX128,Verteil_sw,34,FALSE)+SUMIF($D$5:$D$125,"=bek",CA5:CA125)*HLOOKUP(BX128,Verteil_sw,35,FALSE)</f>
        <v>0</v>
      </c>
      <c r="CB144" s="571" t="s">
        <v>169</v>
      </c>
      <c r="CD144" s="205"/>
      <c r="CF144" s="89">
        <f>SUMIF($D$5:$D$125,"=bes",CF5:CF125)*HLOOKUP(CK128,Verteil_sw,32,FALSE)+SUMIF($D$5:$D$125,"=bem",CF5:CF125)*HLOOKUP(CK128,Verteil_sw,33,FALSE)+SUMIF($D$5:$D$125,"=ber",CF5:CF125)*HLOOKUP(CK128,Verteil_sw,34,FALSE)+SUMIF($D$5:$D$125,"=bek",CF5:CF125)*HLOOKUP(CK128,Verteil_sw,35,FALSE)</f>
        <v>0</v>
      </c>
      <c r="CH144" s="89">
        <f>SUMIF($D$5:$D$125,"=bes",CH5:CH125)*HLOOKUP(CK128,Verteil_sw,32,FALSE)+SUMIF($D$5:$D$125,"=bem",CH5:CH125)*HLOOKUP(CK128,Verteil_sw,33,FALSE)+SUMIF($D$5:$D$125,"=ber",CH5:CH125)*HLOOKUP(CK128,Verteil_sw,34,FALSE)+SUMIF($D$5:$D$125,"=bek",CH5:CH125)*HLOOKUP(CK128,Verteil_sw,35,FALSE)</f>
        <v>0</v>
      </c>
      <c r="CJ144" s="90">
        <f t="shared" ref="CJ144" si="660">IF(CK143&lt;&gt;0,CK144/CK143,0)</f>
        <v>0</v>
      </c>
      <c r="CK144" s="89">
        <f>CM144*HLOOKUP(CK128,Grund_zins,2,FALSE)</f>
        <v>0</v>
      </c>
      <c r="CL144" s="89">
        <f>SUMIF($D$5:$D$125,"=bes",CL5:CL125)*HLOOKUP(CK128,Verteil_sw,32,FALSE)+SUMIF($D$5:$D$125,"=bem",CL5:CL125)*HLOOKUP(CK128,Verteil_sw,33,FALSE)+SUMIF($D$5:$D$125,"=ber",CL5:CL125)*HLOOKUP(CK128,Verteil_sw,34,FALSE)+SUMIF($D$5:$D$125,"=bek",CL5:CL125)*HLOOKUP(CK128,Verteil_sw,35,FALSE)</f>
        <v>0</v>
      </c>
      <c r="CM144" s="89">
        <f t="shared" si="635"/>
        <v>0</v>
      </c>
      <c r="CN144" s="89">
        <f>SUMIF($D$5:$D$125,"=bes",CN5:CN125)*HLOOKUP(CK128,Verteil_sw,32,FALSE)+SUMIF($D$5:$D$125,"=bem",CN5:CN125)*HLOOKUP(CK128,Verteil_sw,33,FALSE)+SUMIF($D$5:$D$125,"=ber",CN5:CN125)*HLOOKUP(CK128,Verteil_sw,34,FALSE)+SUMIF($D$5:$D$125,"=bek",CN5:CN125)*HLOOKUP(CK128,Verteil_sw,35,FALSE)</f>
        <v>0</v>
      </c>
      <c r="CO144" s="571" t="s">
        <v>169</v>
      </c>
      <c r="CQ144" s="205"/>
      <c r="CS144" s="89">
        <f>SUMIF($D$5:$D$125,"=bes",CS5:CS125)*HLOOKUP(CX128,Verteil_sw,32,FALSE)+SUMIF($D$5:$D$125,"=bem",CS5:CS125)*HLOOKUP(CX128,Verteil_sw,33,FALSE)+SUMIF($D$5:$D$125,"=ber",CS5:CS125)*HLOOKUP(CX128,Verteil_sw,34,FALSE)+SUMIF($D$5:$D$125,"=bek",CS5:CS125)*HLOOKUP(CX128,Verteil_sw,35,FALSE)</f>
        <v>0</v>
      </c>
      <c r="CU144" s="89">
        <f>SUMIF($D$5:$D$125,"=bes",CU5:CU125)*HLOOKUP(CX128,Verteil_sw,32,FALSE)+SUMIF($D$5:$D$125,"=bem",CU5:CU125)*HLOOKUP(CX128,Verteil_sw,33,FALSE)+SUMIF($D$5:$D$125,"=ber",CU5:CU125)*HLOOKUP(CX128,Verteil_sw,34,FALSE)+SUMIF($D$5:$D$125,"=bek",CU5:CU125)*HLOOKUP(CX128,Verteil_sw,35,FALSE)</f>
        <v>0</v>
      </c>
      <c r="CW144" s="90">
        <f t="shared" ref="CW144" si="661">IF(CX143&lt;&gt;0,CX144/CX143,0)</f>
        <v>0</v>
      </c>
      <c r="CX144" s="89">
        <f>CZ144*HLOOKUP(CX128,Grund_zins,2,FALSE)</f>
        <v>0</v>
      </c>
      <c r="CY144" s="89">
        <f>SUMIF($D$5:$D$125,"=bes",CY5:CY125)*HLOOKUP(CX128,Verteil_sw,32,FALSE)+SUMIF($D$5:$D$125,"=bem",CY5:CY125)*HLOOKUP(CX128,Verteil_sw,33,FALSE)+SUMIF($D$5:$D$125,"=ber",CY5:CY125)*HLOOKUP(CX128,Verteil_sw,34,FALSE)+SUMIF($D$5:$D$125,"=bek",CY5:CY125)*HLOOKUP(CX128,Verteil_sw,35,FALSE)</f>
        <v>0</v>
      </c>
      <c r="CZ144" s="89">
        <f t="shared" si="641"/>
        <v>0</v>
      </c>
      <c r="DA144" s="89">
        <f>SUMIF($D$5:$D$125,"=bes",DA5:DA125)*HLOOKUP(CX128,Verteil_sw,32,FALSE)+SUMIF($D$5:$D$125,"=bem",DA5:DA125)*HLOOKUP(CX128,Verteil_sw,33,FALSE)+SUMIF($D$5:$D$125,"=ber",DA5:DA125)*HLOOKUP(CX128,Verteil_sw,34,FALSE)+SUMIF($D$5:$D$125,"=bek",DA5:DA125)*HLOOKUP(CX128,Verteil_sw,35,FALSE)</f>
        <v>0</v>
      </c>
      <c r="DB144" s="571" t="s">
        <v>169</v>
      </c>
      <c r="DD144" s="205"/>
      <c r="DF144" s="89">
        <f>SUMIF($D$5:$D$125,"=bes",DF5:DF125)*HLOOKUP(DK128,Verteil_sw,32,FALSE)+SUMIF($D$5:$D$125,"=bem",DF5:DF125)*HLOOKUP(DK128,Verteil_sw,33,FALSE)+SUMIF($D$5:$D$125,"=ber",DF5:DF125)*HLOOKUP(DK128,Verteil_sw,34,FALSE)+SUMIF($D$5:$D$125,"=bek",DF5:DF125)*HLOOKUP(DK128,Verteil_sw,35,FALSE)</f>
        <v>0</v>
      </c>
      <c r="DH144" s="89">
        <f>SUMIF($D$5:$D$125,"=bes",DH5:DH125)*HLOOKUP(DK128,Verteil_sw,32,FALSE)+SUMIF($D$5:$D$125,"=bem",DH5:DH125)*HLOOKUP(DK128,Verteil_sw,33,FALSE)+SUMIF($D$5:$D$125,"=ber",DH5:DH125)*HLOOKUP(DK128,Verteil_sw,34,FALSE)+SUMIF($D$5:$D$125,"=bek",DH5:DH125)*HLOOKUP(DK128,Verteil_sw,35,FALSE)</f>
        <v>0</v>
      </c>
      <c r="DJ144" s="90">
        <f t="shared" ref="DJ144" si="662">IF(DK143&lt;&gt;0,DK144/DK143,0)</f>
        <v>0</v>
      </c>
      <c r="DK144" s="89">
        <f>DM144*HLOOKUP(DK128,Grund_zins,2,FALSE)</f>
        <v>0</v>
      </c>
      <c r="DL144" s="89">
        <f>SUMIF($D$5:$D$125,"=bes",DL5:DL125)*HLOOKUP(DK128,Verteil_sw,32,FALSE)+SUMIF($D$5:$D$125,"=bem",DL5:DL125)*HLOOKUP(DK128,Verteil_sw,33,FALSE)+SUMIF($D$5:$D$125,"=ber",DL5:DL125)*HLOOKUP(DK128,Verteil_sw,34,FALSE)+SUMIF($D$5:$D$125,"=bek",DL5:DL125)*HLOOKUP(DK128,Verteil_sw,35,FALSE)</f>
        <v>0</v>
      </c>
      <c r="DM144" s="89">
        <f t="shared" si="647"/>
        <v>0</v>
      </c>
      <c r="DN144" s="89">
        <f>SUMIF($D$5:$D$125,"=bes",DN5:DN125)*HLOOKUP(DK128,Verteil_sw,32,FALSE)+SUMIF($D$5:$D$125,"=bem",DN5:DN125)*HLOOKUP(DK128,Verteil_sw,33,FALSE)+SUMIF($D$5:$D$125,"=ber",DN5:DN125)*HLOOKUP(DK128,Verteil_sw,34,FALSE)+SUMIF($D$5:$D$125,"=bek",DN5:DN125)*HLOOKUP(DK128,Verteil_sw,35,FALSE)</f>
        <v>0</v>
      </c>
      <c r="DO144" s="571" t="s">
        <v>169</v>
      </c>
      <c r="DQ144" s="205"/>
      <c r="DS144" s="89">
        <f>SUMIF($D$5:$D$125,"=bes",DS5:DS125)*HLOOKUP(DX128,Verteil_sw,32,FALSE)+SUMIF($D$5:$D$125,"=bem",DS5:DS125)*HLOOKUP(DX128,Verteil_sw,33,FALSE)+SUMIF($D$5:$D$125,"=ber",DS5:DS125)*HLOOKUP(DX128,Verteil_sw,34,FALSE)+SUMIF($D$5:$D$125,"=bek",DS5:DS125)*HLOOKUP(DX128,Verteil_sw,35,FALSE)</f>
        <v>0</v>
      </c>
      <c r="DU144" s="89">
        <f>SUMIF($D$5:$D$125,"=bes",DU5:DU125)*HLOOKUP(DX128,Verteil_sw,32,FALSE)+SUMIF($D$5:$D$125,"=bem",DU5:DU125)*HLOOKUP(DX128,Verteil_sw,33,FALSE)+SUMIF($D$5:$D$125,"=ber",DU5:DU125)*HLOOKUP(DX128,Verteil_sw,34,FALSE)+SUMIF($D$5:$D$125,"=bek",DU5:DU125)*HLOOKUP(DX128,Verteil_sw,35,FALSE)</f>
        <v>0</v>
      </c>
      <c r="DW144" s="90">
        <f t="shared" ref="DW144" si="663">IF(DX143&lt;&gt;0,DX144/DX143,0)</f>
        <v>0</v>
      </c>
      <c r="DX144" s="89">
        <f>DZ144*HLOOKUP(DX128,Grund_zins,2,FALSE)</f>
        <v>0</v>
      </c>
      <c r="DY144" s="89">
        <f>SUMIF($D$5:$D$125,"=bes",DY5:DY125)*HLOOKUP(DX128,Verteil_sw,32,FALSE)+SUMIF($D$5:$D$125,"=bem",DY5:DY125)*HLOOKUP(DX128,Verteil_sw,33,FALSE)+SUMIF($D$5:$D$125,"=ber",DY5:DY125)*HLOOKUP(DX128,Verteil_sw,34,FALSE)+SUMIF($D$5:$D$125,"=bek",DY5:DY125)*HLOOKUP(DX128,Verteil_sw,35,FALSE)</f>
        <v>0</v>
      </c>
      <c r="DZ144" s="89">
        <f t="shared" si="653"/>
        <v>0</v>
      </c>
      <c r="EA144" s="89">
        <f>SUMIF($D$5:$D$125,"=bes",EA5:EA125)*HLOOKUP(DX128,Verteil_sw,32,FALSE)+SUMIF($D$5:$D$125,"=bem",EA5:EA125)*HLOOKUP(DX128,Verteil_sw,33,FALSE)+SUMIF($D$5:$D$125,"=ber",EA5:EA125)*HLOOKUP(DX128,Verteil_sw,34,FALSE)+SUMIF($D$5:$D$125,"=bek",EA5:EA125)*HLOOKUP(DX128,Verteil_sw,35,FALSE)</f>
        <v>0</v>
      </c>
      <c r="EB144" s="571" t="s">
        <v>169</v>
      </c>
      <c r="ED144" s="205"/>
    </row>
    <row r="145" spans="1:134" x14ac:dyDescent="0.35">
      <c r="A145" s="73" t="s">
        <v>170</v>
      </c>
      <c r="Q145" s="205">
        <v>18</v>
      </c>
      <c r="S145" s="89">
        <f>SUMIF($D$5:$D$125,"=bes",S5:S125)*HLOOKUP(X128,Verteil_rwgr,31,FALSE)+SUMIF($D$5:$D$125,"=bem",S5:S125)*HLOOKUP(X128,Verteil_rwgr,32,FALSE)+SUMIF($D$5:$D$125,"=ber",S5:S125)*HLOOKUP(X128,Verteil_rwgr,33,FALSE)+SUMIF($D$5:$D$125,"=bek",S5:S125)*HLOOKUP(X128,Verteil_rwgr,34,FALSE)</f>
        <v>0</v>
      </c>
      <c r="U145" s="89">
        <f>SUMIF($D$5:$D$125,"=bes",U5:U125)*HLOOKUP(X128,Verteil_rwgr,31,FALSE)+SUMIF($D$5:$D$125,"=bem",U5:U125)*HLOOKUP(X128,Verteil_rwgr,32,FALSE)+SUMIF($D$5:$D$125,"=ber",U5:U125)*HLOOKUP(X128,Verteil_rwgr,33,FALSE)+SUMIF($D$5:$D$125,"=bek",U5:U125)*HLOOKUP(X128,Verteil_rwgr,34,FALSE)</f>
        <v>0</v>
      </c>
      <c r="W145" s="90">
        <f>IF(X143&lt;&gt;0,X145/X143,0)</f>
        <v>0</v>
      </c>
      <c r="X145" s="89">
        <f>Z145*HLOOKUP(X128,Grund_zins,2,FALSE)</f>
        <v>0</v>
      </c>
      <c r="Y145" s="89">
        <f>SUMIF($D$5:$D$125,"=bes",Y5:Y125)*HLOOKUP(X128,Verteil_rwgr,31,FALSE)+SUMIF($D$5:$D$125,"=bem",Y5:Y125)*HLOOKUP(X128,Verteil_rwgr,32,FALSE)+SUMIF($D$5:$D$125,"=ber",Y5:Y125)*HLOOKUP(X128,Verteil_rwgr,33,FALSE)+SUMIF($D$5:$D$125,"=bek",Y5:Y125)*HLOOKUP(X128,Verteil_rwgr,34,FALSE)</f>
        <v>0</v>
      </c>
      <c r="Z145" s="89">
        <f t="shared" si="655"/>
        <v>0</v>
      </c>
      <c r="AA145" s="89">
        <f>SUMIF($D$5:$D$125,"=bes",AA5:AA125)*HLOOKUP(X128,Verteil_rwgr,31,FALSE)+SUMIF($D$5:$D$125,"=bem",AA5:AA125)*HLOOKUP(X128,Verteil_rwgr,32,FALSE)+SUMIF($D$5:$D$125,"=ber",AA5:AA125)*HLOOKUP(X128,Verteil_rwgr,33,FALSE)+SUMIF($D$5:$D$125,"=bek",AA5:AA125)*HLOOKUP(X128,Verteil_rwgr,34,FALSE)</f>
        <v>0</v>
      </c>
      <c r="AB145" s="73" t="s">
        <v>170</v>
      </c>
      <c r="AD145" s="205"/>
      <c r="AF145" s="89">
        <f>SUMIF($D$5:$D$125,"=bes",AF5:AF125)*HLOOKUP(AK128,Verteil_rwgr,31,FALSE)+SUMIF($D$5:$D$125,"=bem",AF5:AF125)*HLOOKUP(AK128,Verteil_rwgr,32,FALSE)+SUMIF($D$5:$D$125,"=ber",AF5:AF125)*HLOOKUP(AK128,Verteil_rwgr,33,FALSE)+SUMIF($D$5:$D$125,"=bek",AF5:AF125)*HLOOKUP(AK128,Verteil_rwgr,34,FALSE)</f>
        <v>0</v>
      </c>
      <c r="AH145" s="89">
        <f>SUMIF($D$5:$D$125,"=bes",AH5:AH125)*HLOOKUP(AK128,Verteil_rwgr,31,FALSE)+SUMIF($D$5:$D$125,"=bem",AH5:AH125)*HLOOKUP(AK128,Verteil_rwgr,32,FALSE)+SUMIF($D$5:$D$125,"=ber",AH5:AH125)*HLOOKUP(AK128,Verteil_rwgr,33,FALSE)+SUMIF($D$5:$D$125,"=bek",AH5:AH125)*HLOOKUP(AK128,Verteil_rwgr,34,FALSE)</f>
        <v>0</v>
      </c>
      <c r="AJ145" s="90">
        <f t="shared" ref="AJ145" si="664">IF(AK143&lt;&gt;0,AK145/AK143,0)</f>
        <v>0</v>
      </c>
      <c r="AK145" s="89">
        <f>AM145*HLOOKUP(AK128,Grund_zins,2,FALSE)</f>
        <v>0</v>
      </c>
      <c r="AL145" s="89">
        <f>SUMIF($D$5:$D$125,"=bes",AL5:AL125)*HLOOKUP(AK128,Verteil_rwgr,31,FALSE)+SUMIF($D$5:$D$125,"=bem",AL5:AL125)*HLOOKUP(AK128,Verteil_rwgr,32,FALSE)+SUMIF($D$5:$D$125,"=ber",AL5:AL125)*HLOOKUP(AK128,Verteil_rwgr,33,FALSE)+SUMIF($D$5:$D$125,"=bek",AL5:AL125)*HLOOKUP(AK128,Verteil_rwgr,34,FALSE)</f>
        <v>0</v>
      </c>
      <c r="AM145" s="89">
        <f t="shared" si="611"/>
        <v>0</v>
      </c>
      <c r="AN145" s="89">
        <f>SUMIF($D$5:$D$125,"=bes",AN5:AN125)*HLOOKUP(AK128,Verteil_rwgr,31,FALSE)+SUMIF($D$5:$D$125,"=bem",AN5:AN125)*HLOOKUP(AK128,Verteil_rwgr,32,FALSE)+SUMIF($D$5:$D$125,"=ber",AN5:AN125)*HLOOKUP(AK128,Verteil_rwgr,33,FALSE)+SUMIF($D$5:$D$125,"=bek",AN5:AN125)*HLOOKUP(AK128,Verteil_rwgr,34,FALSE)</f>
        <v>0</v>
      </c>
      <c r="AO145" s="571" t="s">
        <v>170</v>
      </c>
      <c r="AQ145" s="205"/>
      <c r="AS145" s="89">
        <f>SUMIF($D$5:$D$125,"=bes",AS5:AS125)*HLOOKUP(AX128,Verteil_rwgr,31,FALSE)+SUMIF($D$5:$D$125,"=bem",AS5:AS125)*HLOOKUP(AX128,Verteil_rwgr,32,FALSE)+SUMIF($D$5:$D$125,"=ber",AS5:AS125)*HLOOKUP(AX128,Verteil_rwgr,33,FALSE)+SUMIF($D$5:$D$125,"=bek",AS5:AS125)*HLOOKUP(AX128,Verteil_rwgr,34,FALSE)</f>
        <v>0</v>
      </c>
      <c r="AU145" s="89">
        <f>SUMIF($D$5:$D$125,"=bes",AU5:AU125)*HLOOKUP(AX128,Verteil_rwgr,31,FALSE)+SUMIF($D$5:$D$125,"=bem",AU5:AU125)*HLOOKUP(AX128,Verteil_rwgr,32,FALSE)+SUMIF($D$5:$D$125,"=ber",AU5:AU125)*HLOOKUP(AX128,Verteil_rwgr,33,FALSE)+SUMIF($D$5:$D$125,"=bek",AU5:AU125)*HLOOKUP(AX128,Verteil_rwgr,34,FALSE)</f>
        <v>0</v>
      </c>
      <c r="AW145" s="90">
        <f t="shared" ref="AW145" si="665">IF(AX143&lt;&gt;0,AX145/AX143,0)</f>
        <v>0</v>
      </c>
      <c r="AX145" s="89">
        <f>AZ145*HLOOKUP(AX128,Grund_zins,2,FALSE)</f>
        <v>0</v>
      </c>
      <c r="AY145" s="89">
        <f>SUMIF($D$5:$D$125,"=bes",AY5:AY125)*HLOOKUP(AX128,Verteil_rwgr,31,FALSE)+SUMIF($D$5:$D$125,"=bem",AY5:AY125)*HLOOKUP(AX128,Verteil_rwgr,32,FALSE)+SUMIF($D$5:$D$125,"=ber",AY5:AY125)*HLOOKUP(AX128,Verteil_rwgr,33,FALSE)+SUMIF($D$5:$D$125,"=bek",AY5:AY125)*HLOOKUP(AX128,Verteil_rwgr,34,FALSE)</f>
        <v>0</v>
      </c>
      <c r="AZ145" s="89">
        <f t="shared" si="617"/>
        <v>0</v>
      </c>
      <c r="BA145" s="89">
        <f>SUMIF($D$5:$D$125,"=bes",BA5:BA125)*HLOOKUP(AX128,Verteil_rwgr,31,FALSE)+SUMIF($D$5:$D$125,"=bem",BA5:BA125)*HLOOKUP(AX128,Verteil_rwgr,32,FALSE)+SUMIF($D$5:$D$125,"=ber",BA5:BA125)*HLOOKUP(AX128,Verteil_rwgr,33,FALSE)+SUMIF($D$5:$D$125,"=bek",BA5:BA125)*HLOOKUP(AX128,Verteil_rwgr,34,FALSE)</f>
        <v>0</v>
      </c>
      <c r="BB145" s="571" t="s">
        <v>170</v>
      </c>
      <c r="BD145" s="205"/>
      <c r="BF145" s="89">
        <f>SUMIF($D$5:$D$125,"=bes",BF5:BF125)*HLOOKUP(BK128,Verteil_rwgr,31,FALSE)+SUMIF($D$5:$D$125,"=bem",BF5:BF125)*HLOOKUP(BK128,Verteil_rwgr,32,FALSE)+SUMIF($D$5:$D$125,"=ber",BF5:BF125)*HLOOKUP(BK128,Verteil_rwgr,33,FALSE)+SUMIF($D$5:$D$125,"=bek",BF5:BF125)*HLOOKUP(BK128,Verteil_rwgr,34,FALSE)</f>
        <v>0</v>
      </c>
      <c r="BH145" s="89">
        <f>SUMIF($D$5:$D$125,"=bes",BH5:BH125)*HLOOKUP(BK128,Verteil_rwgr,31,FALSE)+SUMIF($D$5:$D$125,"=bem",BH5:BH125)*HLOOKUP(BK128,Verteil_rwgr,32,FALSE)+SUMIF($D$5:$D$125,"=ber",BH5:BH125)*HLOOKUP(BK128,Verteil_rwgr,33,FALSE)+SUMIF($D$5:$D$125,"=bek",BH5:BH125)*HLOOKUP(BK128,Verteil_rwgr,34,FALSE)</f>
        <v>0</v>
      </c>
      <c r="BJ145" s="90">
        <f t="shared" ref="BJ145" si="666">IF(BK143&lt;&gt;0,BK145/BK143,0)</f>
        <v>0</v>
      </c>
      <c r="BK145" s="89">
        <f>BM145*HLOOKUP(BK128,Grund_zins,2,FALSE)</f>
        <v>0</v>
      </c>
      <c r="BL145" s="89">
        <f>SUMIF($D$5:$D$125,"=bes",BL5:BL125)*HLOOKUP(BK128,Verteil_rwgr,31,FALSE)+SUMIF($D$5:$D$125,"=bem",BL5:BL125)*HLOOKUP(BK128,Verteil_rwgr,32,FALSE)+SUMIF($D$5:$D$125,"=ber",BL5:BL125)*HLOOKUP(BK128,Verteil_rwgr,33,FALSE)+SUMIF($D$5:$D$125,"=bek",BL5:BL125)*HLOOKUP(BK128,Verteil_rwgr,34,FALSE)</f>
        <v>0</v>
      </c>
      <c r="BM145" s="89">
        <f t="shared" si="623"/>
        <v>0</v>
      </c>
      <c r="BN145" s="89">
        <f>SUMIF($D$5:$D$125,"=bes",BN5:BN125)*HLOOKUP(BK128,Verteil_rwgr,31,FALSE)+SUMIF($D$5:$D$125,"=bem",BN5:BN125)*HLOOKUP(BK128,Verteil_rwgr,32,FALSE)+SUMIF($D$5:$D$125,"=ber",BN5:BN125)*HLOOKUP(BK128,Verteil_rwgr,33,FALSE)+SUMIF($D$5:$D$125,"=bek",BN5:BN125)*HLOOKUP(BK128,Verteil_rwgr,34,FALSE)</f>
        <v>0</v>
      </c>
      <c r="BO145" s="571" t="s">
        <v>170</v>
      </c>
      <c r="BQ145" s="205"/>
      <c r="BS145" s="89">
        <f>SUMIF($D$5:$D$125,"=bes",BS5:BS125)*HLOOKUP(BX128,Verteil_rwgr,31,FALSE)+SUMIF($D$5:$D$125,"=bem",BS5:BS125)*HLOOKUP(BX128,Verteil_rwgr,32,FALSE)+SUMIF($D$5:$D$125,"=ber",BS5:BS125)*HLOOKUP(BX128,Verteil_rwgr,33,FALSE)+SUMIF($D$5:$D$125,"=bek",BS5:BS125)*HLOOKUP(BX128,Verteil_rwgr,34,FALSE)</f>
        <v>0</v>
      </c>
      <c r="BU145" s="89">
        <f>SUMIF($D$5:$D$125,"=bes",BU5:BU125)*HLOOKUP(BX128,Verteil_rwgr,31,FALSE)+SUMIF($D$5:$D$125,"=bem",BU5:BU125)*HLOOKUP(BX128,Verteil_rwgr,32,FALSE)+SUMIF($D$5:$D$125,"=ber",BU5:BU125)*HLOOKUP(BX128,Verteil_rwgr,33,FALSE)+SUMIF($D$5:$D$125,"=bek",BU5:BU125)*HLOOKUP(BX128,Verteil_rwgr,34,FALSE)</f>
        <v>0</v>
      </c>
      <c r="BW145" s="90">
        <f t="shared" ref="BW145" si="667">IF(BX143&lt;&gt;0,BX145/BX143,0)</f>
        <v>0</v>
      </c>
      <c r="BX145" s="89">
        <f>BZ145*HLOOKUP(BX128,Grund_zins,2,FALSE)</f>
        <v>0</v>
      </c>
      <c r="BY145" s="89">
        <f>SUMIF($D$5:$D$125,"=bes",BY5:BY125)*HLOOKUP(BX128,Verteil_rwgr,31,FALSE)+SUMIF($D$5:$D$125,"=bem",BY5:BY125)*HLOOKUP(BX128,Verteil_rwgr,32,FALSE)+SUMIF($D$5:$D$125,"=ber",BY5:BY125)*HLOOKUP(BX128,Verteil_rwgr,33,FALSE)+SUMIF($D$5:$D$125,"=bek",BY5:BY125)*HLOOKUP(BX128,Verteil_rwgr,34,FALSE)</f>
        <v>0</v>
      </c>
      <c r="BZ145" s="89">
        <f t="shared" si="629"/>
        <v>0</v>
      </c>
      <c r="CA145" s="89">
        <f>SUMIF($D$5:$D$125,"=bes",CA5:CA125)*HLOOKUP(BX128,Verteil_rwgr,31,FALSE)+SUMIF($D$5:$D$125,"=bem",CA5:CA125)*HLOOKUP(BX128,Verteil_rwgr,32,FALSE)+SUMIF($D$5:$D$125,"=ber",CA5:CA125)*HLOOKUP(BX128,Verteil_rwgr,33,FALSE)+SUMIF($D$5:$D$125,"=bek",CA5:CA125)*HLOOKUP(BX128,Verteil_rwgr,34,FALSE)</f>
        <v>0</v>
      </c>
      <c r="CB145" s="571" t="s">
        <v>170</v>
      </c>
      <c r="CD145" s="205"/>
      <c r="CF145" s="89">
        <f>SUMIF($D$5:$D$125,"=bes",CF5:CF125)*HLOOKUP(CK128,Verteil_rwgr,31,FALSE)+SUMIF($D$5:$D$125,"=bem",CF5:CF125)*HLOOKUP(CK128,Verteil_rwgr,32,FALSE)+SUMIF($D$5:$D$125,"=ber",CF5:CF125)*HLOOKUP(CK128,Verteil_rwgr,33,FALSE)+SUMIF($D$5:$D$125,"=bek",CF5:CF125)*HLOOKUP(CK128,Verteil_rwgr,34,FALSE)</f>
        <v>0</v>
      </c>
      <c r="CH145" s="89">
        <f>SUMIF($D$5:$D$125,"=bes",CH5:CH125)*HLOOKUP(CK128,Verteil_rwgr,31,FALSE)+SUMIF($D$5:$D$125,"=bem",CH5:CH125)*HLOOKUP(CK128,Verteil_rwgr,32,FALSE)+SUMIF($D$5:$D$125,"=ber",CH5:CH125)*HLOOKUP(CK128,Verteil_rwgr,33,FALSE)+SUMIF($D$5:$D$125,"=bek",CH5:CH125)*HLOOKUP(CK128,Verteil_rwgr,34,FALSE)</f>
        <v>0</v>
      </c>
      <c r="CJ145" s="90">
        <f t="shared" ref="CJ145" si="668">IF(CK143&lt;&gt;0,CK145/CK143,0)</f>
        <v>0</v>
      </c>
      <c r="CK145" s="89">
        <f>CM145*HLOOKUP(CK128,Grund_zins,2,FALSE)</f>
        <v>0</v>
      </c>
      <c r="CL145" s="89">
        <f>SUMIF($D$5:$D$125,"=bes",CL5:CL125)*HLOOKUP(CK128,Verteil_rwgr,31,FALSE)+SUMIF($D$5:$D$125,"=bem",CL5:CL125)*HLOOKUP(CK128,Verteil_rwgr,32,FALSE)+SUMIF($D$5:$D$125,"=ber",CL5:CL125)*HLOOKUP(CK128,Verteil_rwgr,33,FALSE)+SUMIF($D$5:$D$125,"=bek",CL5:CL125)*HLOOKUP(CK128,Verteil_rwgr,34,FALSE)</f>
        <v>0</v>
      </c>
      <c r="CM145" s="89">
        <f t="shared" si="635"/>
        <v>0</v>
      </c>
      <c r="CN145" s="89">
        <f>SUMIF($D$5:$D$125,"=bes",CN5:CN125)*HLOOKUP(CK128,Verteil_rwgr,31,FALSE)+SUMIF($D$5:$D$125,"=bem",CN5:CN125)*HLOOKUP(CK128,Verteil_rwgr,32,FALSE)+SUMIF($D$5:$D$125,"=ber",CN5:CN125)*HLOOKUP(CK128,Verteil_rwgr,33,FALSE)+SUMIF($D$5:$D$125,"=bek",CN5:CN125)*HLOOKUP(CK128,Verteil_rwgr,34,FALSE)</f>
        <v>0</v>
      </c>
      <c r="CO145" s="571" t="s">
        <v>170</v>
      </c>
      <c r="CQ145" s="205"/>
      <c r="CS145" s="89">
        <f>SUMIF($D$5:$D$125,"=bes",CS5:CS125)*HLOOKUP(CX128,Verteil_rwgr,31,FALSE)+SUMIF($D$5:$D$125,"=bem",CS5:CS125)*HLOOKUP(CX128,Verteil_rwgr,32,FALSE)+SUMIF($D$5:$D$125,"=ber",CS5:CS125)*HLOOKUP(CX128,Verteil_rwgr,33,FALSE)+SUMIF($D$5:$D$125,"=bek",CS5:CS125)*HLOOKUP(CX128,Verteil_rwgr,34,FALSE)</f>
        <v>0</v>
      </c>
      <c r="CU145" s="89">
        <f>SUMIF($D$5:$D$125,"=bes",CU5:CU125)*HLOOKUP(CX128,Verteil_rwgr,31,FALSE)+SUMIF($D$5:$D$125,"=bem",CU5:CU125)*HLOOKUP(CX128,Verteil_rwgr,32,FALSE)+SUMIF($D$5:$D$125,"=ber",CU5:CU125)*HLOOKUP(CX128,Verteil_rwgr,33,FALSE)+SUMIF($D$5:$D$125,"=bek",CU5:CU125)*HLOOKUP(CX128,Verteil_rwgr,34,FALSE)</f>
        <v>0</v>
      </c>
      <c r="CW145" s="90">
        <f t="shared" ref="CW145" si="669">IF(CX143&lt;&gt;0,CX145/CX143,0)</f>
        <v>0</v>
      </c>
      <c r="CX145" s="89">
        <f>CZ145*HLOOKUP(CX128,Grund_zins,2,FALSE)</f>
        <v>0</v>
      </c>
      <c r="CY145" s="89">
        <f>SUMIF($D$5:$D$125,"=bes",CY5:CY125)*HLOOKUP(CX128,Verteil_rwgr,31,FALSE)+SUMIF($D$5:$D$125,"=bem",CY5:CY125)*HLOOKUP(CX128,Verteil_rwgr,32,FALSE)+SUMIF($D$5:$D$125,"=ber",CY5:CY125)*HLOOKUP(CX128,Verteil_rwgr,33,FALSE)+SUMIF($D$5:$D$125,"=bek",CY5:CY125)*HLOOKUP(CX128,Verteil_rwgr,34,FALSE)</f>
        <v>0</v>
      </c>
      <c r="CZ145" s="89">
        <f t="shared" si="641"/>
        <v>0</v>
      </c>
      <c r="DA145" s="89">
        <f>SUMIF($D$5:$D$125,"=bes",DA5:DA125)*HLOOKUP(CX128,Verteil_rwgr,31,FALSE)+SUMIF($D$5:$D$125,"=bem",DA5:DA125)*HLOOKUP(CX128,Verteil_rwgr,32,FALSE)+SUMIF($D$5:$D$125,"=ber",DA5:DA125)*HLOOKUP(CX128,Verteil_rwgr,33,FALSE)+SUMIF($D$5:$D$125,"=bek",DA5:DA125)*HLOOKUP(CX128,Verteil_rwgr,34,FALSE)</f>
        <v>0</v>
      </c>
      <c r="DB145" s="571" t="s">
        <v>170</v>
      </c>
      <c r="DD145" s="205"/>
      <c r="DF145" s="89">
        <f>SUMIF($D$5:$D$125,"=bes",DF5:DF125)*HLOOKUP(DK128,Verteil_rwgr,31,FALSE)+SUMIF($D$5:$D$125,"=bem",DF5:DF125)*HLOOKUP(DK128,Verteil_rwgr,32,FALSE)+SUMIF($D$5:$D$125,"=ber",DF5:DF125)*HLOOKUP(DK128,Verteil_rwgr,33,FALSE)+SUMIF($D$5:$D$125,"=bek",DF5:DF125)*HLOOKUP(DK128,Verteil_rwgr,34,FALSE)</f>
        <v>0</v>
      </c>
      <c r="DH145" s="89">
        <f>SUMIF($D$5:$D$125,"=bes",DH5:DH125)*HLOOKUP(DK128,Verteil_rwgr,31,FALSE)+SUMIF($D$5:$D$125,"=bem",DH5:DH125)*HLOOKUP(DK128,Verteil_rwgr,32,FALSE)+SUMIF($D$5:$D$125,"=ber",DH5:DH125)*HLOOKUP(DK128,Verteil_rwgr,33,FALSE)+SUMIF($D$5:$D$125,"=bek",DH5:DH125)*HLOOKUP(DK128,Verteil_rwgr,34,FALSE)</f>
        <v>0</v>
      </c>
      <c r="DJ145" s="90">
        <f t="shared" ref="DJ145" si="670">IF(DK143&lt;&gt;0,DK145/DK143,0)</f>
        <v>0</v>
      </c>
      <c r="DK145" s="89">
        <f>DM145*HLOOKUP(DK128,Grund_zins,2,FALSE)</f>
        <v>0</v>
      </c>
      <c r="DL145" s="89">
        <f>SUMIF($D$5:$D$125,"=bes",DL5:DL125)*HLOOKUP(DK128,Verteil_rwgr,31,FALSE)+SUMIF($D$5:$D$125,"=bem",DL5:DL125)*HLOOKUP(DK128,Verteil_rwgr,32,FALSE)+SUMIF($D$5:$D$125,"=ber",DL5:DL125)*HLOOKUP(DK128,Verteil_rwgr,33,FALSE)+SUMIF($D$5:$D$125,"=bek",DL5:DL125)*HLOOKUP(DK128,Verteil_rwgr,34,FALSE)</f>
        <v>0</v>
      </c>
      <c r="DM145" s="89">
        <f t="shared" si="647"/>
        <v>0</v>
      </c>
      <c r="DN145" s="89">
        <f>SUMIF($D$5:$D$125,"=bes",DN5:DN125)*HLOOKUP(DK128,Verteil_rwgr,31,FALSE)+SUMIF($D$5:$D$125,"=bem",DN5:DN125)*HLOOKUP(DK128,Verteil_rwgr,32,FALSE)+SUMIF($D$5:$D$125,"=ber",DN5:DN125)*HLOOKUP(DK128,Verteil_rwgr,33,FALSE)+SUMIF($D$5:$D$125,"=bek",DN5:DN125)*HLOOKUP(DK128,Verteil_rwgr,34,FALSE)</f>
        <v>0</v>
      </c>
      <c r="DO145" s="571" t="s">
        <v>170</v>
      </c>
      <c r="DQ145" s="205"/>
      <c r="DS145" s="89">
        <f>SUMIF($D$5:$D$125,"=bes",DS5:DS125)*HLOOKUP(DX128,Verteil_rwgr,31,FALSE)+SUMIF($D$5:$D$125,"=bem",DS5:DS125)*HLOOKUP(DX128,Verteil_rwgr,32,FALSE)+SUMIF($D$5:$D$125,"=ber",DS5:DS125)*HLOOKUP(DX128,Verteil_rwgr,33,FALSE)+SUMIF($D$5:$D$125,"=bek",DS5:DS125)*HLOOKUP(DX128,Verteil_rwgr,34,FALSE)</f>
        <v>0</v>
      </c>
      <c r="DU145" s="89">
        <f>SUMIF($D$5:$D$125,"=bes",DU5:DU125)*HLOOKUP(DX128,Verteil_rwgr,31,FALSE)+SUMIF($D$5:$D$125,"=bem",DU5:DU125)*HLOOKUP(DX128,Verteil_rwgr,32,FALSE)+SUMIF($D$5:$D$125,"=ber",DU5:DU125)*HLOOKUP(DX128,Verteil_rwgr,33,FALSE)+SUMIF($D$5:$D$125,"=bek",DU5:DU125)*HLOOKUP(DX128,Verteil_rwgr,34,FALSE)</f>
        <v>0</v>
      </c>
      <c r="DW145" s="90">
        <f t="shared" ref="DW145" si="671">IF(DX143&lt;&gt;0,DX145/DX143,0)</f>
        <v>0</v>
      </c>
      <c r="DX145" s="89">
        <f>DZ145*HLOOKUP(DX128,Grund_zins,2,FALSE)</f>
        <v>0</v>
      </c>
      <c r="DY145" s="89">
        <f>SUMIF($D$5:$D$125,"=bes",DY5:DY125)*HLOOKUP(DX128,Verteil_rwgr,31,FALSE)+SUMIF($D$5:$D$125,"=bem",DY5:DY125)*HLOOKUP(DX128,Verteil_rwgr,32,FALSE)+SUMIF($D$5:$D$125,"=ber",DY5:DY125)*HLOOKUP(DX128,Verteil_rwgr,33,FALSE)+SUMIF($D$5:$D$125,"=bek",DY5:DY125)*HLOOKUP(DX128,Verteil_rwgr,34,FALSE)</f>
        <v>0</v>
      </c>
      <c r="DZ145" s="89">
        <f t="shared" si="653"/>
        <v>0</v>
      </c>
      <c r="EA145" s="89">
        <f>SUMIF($D$5:$D$125,"=bes",EA5:EA125)*HLOOKUP(DX128,Verteil_rwgr,31,FALSE)+SUMIF($D$5:$D$125,"=bem",EA5:EA125)*HLOOKUP(DX128,Verteil_rwgr,32,FALSE)+SUMIF($D$5:$D$125,"=ber",EA5:EA125)*HLOOKUP(DX128,Verteil_rwgr,33,FALSE)+SUMIF($D$5:$D$125,"=bek",EA5:EA125)*HLOOKUP(DX128,Verteil_rwgr,34,FALSE)</f>
        <v>0</v>
      </c>
      <c r="EB145" s="571" t="s">
        <v>170</v>
      </c>
      <c r="ED145" s="205"/>
    </row>
    <row r="146" spans="1:134" x14ac:dyDescent="0.35">
      <c r="A146" s="73" t="s">
        <v>175</v>
      </c>
      <c r="Q146" s="205">
        <v>19</v>
      </c>
      <c r="S146" s="89"/>
      <c r="U146" s="89"/>
      <c r="W146" s="90">
        <f>IF(X143&lt;&gt;0,X146/X143,0)</f>
        <v>0</v>
      </c>
      <c r="X146" s="89">
        <f>Z146*HLOOKUP(X128,Grund_zins,2,FALSE)</f>
        <v>0</v>
      </c>
      <c r="Y146" s="89"/>
      <c r="Z146" s="89"/>
      <c r="AA146" s="89"/>
      <c r="AB146" s="73" t="s">
        <v>175</v>
      </c>
      <c r="AD146" s="205"/>
      <c r="AF146" s="89"/>
      <c r="AH146" s="89"/>
      <c r="AJ146" s="90">
        <f t="shared" ref="AJ146" si="672">IF(AK143&lt;&gt;0,AK146/AK143,0)</f>
        <v>0</v>
      </c>
      <c r="AK146" s="89">
        <f>AM146*HLOOKUP(AK128,Grund_zins,2,FALSE)</f>
        <v>0</v>
      </c>
      <c r="AL146" s="89"/>
      <c r="AM146" s="89"/>
      <c r="AN146" s="89"/>
      <c r="AO146" s="571" t="s">
        <v>175</v>
      </c>
      <c r="AQ146" s="205"/>
      <c r="AS146" s="89"/>
      <c r="AU146" s="89"/>
      <c r="AW146" s="90">
        <f t="shared" ref="AW146" si="673">IF(AX143&lt;&gt;0,AX146/AX143,0)</f>
        <v>0</v>
      </c>
      <c r="AX146" s="89">
        <f>AZ146*HLOOKUP(AX128,Grund_zins,2,FALSE)</f>
        <v>0</v>
      </c>
      <c r="AY146" s="89"/>
      <c r="AZ146" s="89"/>
      <c r="BA146" s="89"/>
      <c r="BB146" s="571" t="s">
        <v>175</v>
      </c>
      <c r="BD146" s="205"/>
      <c r="BF146" s="89"/>
      <c r="BH146" s="89"/>
      <c r="BJ146" s="90">
        <f t="shared" ref="BJ146" si="674">IF(BK143&lt;&gt;0,BK146/BK143,0)</f>
        <v>0</v>
      </c>
      <c r="BK146" s="89">
        <f>BM146*HLOOKUP(BK128,Grund_zins,2,FALSE)</f>
        <v>0</v>
      </c>
      <c r="BL146" s="89"/>
      <c r="BM146" s="89"/>
      <c r="BN146" s="89"/>
      <c r="BO146" s="571" t="s">
        <v>175</v>
      </c>
      <c r="BQ146" s="205"/>
      <c r="BS146" s="89"/>
      <c r="BU146" s="89"/>
      <c r="BW146" s="90">
        <f t="shared" ref="BW146" si="675">IF(BX143&lt;&gt;0,BX146/BX143,0)</f>
        <v>0</v>
      </c>
      <c r="BX146" s="89">
        <f>BZ146*HLOOKUP(BX128,Grund_zins,2,FALSE)</f>
        <v>0</v>
      </c>
      <c r="BY146" s="89"/>
      <c r="BZ146" s="89"/>
      <c r="CA146" s="89"/>
      <c r="CB146" s="571" t="s">
        <v>175</v>
      </c>
      <c r="CD146" s="205"/>
      <c r="CF146" s="89"/>
      <c r="CH146" s="89"/>
      <c r="CJ146" s="90">
        <f t="shared" ref="CJ146" si="676">IF(CK143&lt;&gt;0,CK146/CK143,0)</f>
        <v>0</v>
      </c>
      <c r="CK146" s="89">
        <f>CM146*HLOOKUP(CK128,Grund_zins,2,FALSE)</f>
        <v>0</v>
      </c>
      <c r="CL146" s="89"/>
      <c r="CM146" s="89"/>
      <c r="CN146" s="89"/>
      <c r="CO146" s="571" t="s">
        <v>175</v>
      </c>
      <c r="CQ146" s="205"/>
      <c r="CS146" s="89"/>
      <c r="CU146" s="89"/>
      <c r="CW146" s="90">
        <f t="shared" ref="CW146" si="677">IF(CX143&lt;&gt;0,CX146/CX143,0)</f>
        <v>0</v>
      </c>
      <c r="CX146" s="89">
        <f>CZ146*HLOOKUP(CX128,Grund_zins,2,FALSE)</f>
        <v>0</v>
      </c>
      <c r="CY146" s="89"/>
      <c r="CZ146" s="89"/>
      <c r="DA146" s="89"/>
      <c r="DB146" s="571" t="s">
        <v>175</v>
      </c>
      <c r="DD146" s="205"/>
      <c r="DF146" s="89"/>
      <c r="DH146" s="89"/>
      <c r="DJ146" s="90">
        <f t="shared" ref="DJ146" si="678">IF(DK143&lt;&gt;0,DK146/DK143,0)</f>
        <v>0</v>
      </c>
      <c r="DK146" s="89">
        <f>DM146*HLOOKUP(DK128,Grund_zins,2,FALSE)</f>
        <v>0</v>
      </c>
      <c r="DL146" s="89"/>
      <c r="DM146" s="89"/>
      <c r="DN146" s="89"/>
      <c r="DO146" s="571" t="s">
        <v>175</v>
      </c>
      <c r="DQ146" s="205"/>
      <c r="DS146" s="89"/>
      <c r="DU146" s="89"/>
      <c r="DW146" s="90">
        <f t="shared" ref="DW146" si="679">IF(DX143&lt;&gt;0,DX146/DX143,0)</f>
        <v>0</v>
      </c>
      <c r="DX146" s="89">
        <f>DZ146*HLOOKUP(DX128,Grund_zins,2,FALSE)</f>
        <v>0</v>
      </c>
      <c r="DY146" s="89"/>
      <c r="DZ146" s="89"/>
      <c r="EA146" s="89"/>
      <c r="EB146" s="571" t="s">
        <v>175</v>
      </c>
      <c r="ED146" s="205"/>
    </row>
    <row r="147" spans="1:134" x14ac:dyDescent="0.35">
      <c r="A147" s="289" t="s">
        <v>558</v>
      </c>
      <c r="Q147" s="205">
        <v>20</v>
      </c>
      <c r="S147" s="89">
        <f>SUMIF($D$5:$D$125,"=bez",S5:S125)</f>
        <v>0</v>
      </c>
      <c r="U147" s="89">
        <f>SUMIF($D$5:$D$125,"=bez",U5:U125)</f>
        <v>0</v>
      </c>
      <c r="W147" s="90">
        <f>SUM(W148:W150)</f>
        <v>1</v>
      </c>
      <c r="X147" s="89">
        <f>Z147*HLOOKUP(X128,Grund_zins,2,FALSE)</f>
        <v>108345.55497500002</v>
      </c>
      <c r="Y147" s="89">
        <f>SUMIF($D$5:$D$125,"=bez",Y5:Y125)</f>
        <v>187264.53</v>
      </c>
      <c r="Z147" s="89">
        <f t="shared" si="655"/>
        <v>3095587.2850000001</v>
      </c>
      <c r="AA147" s="89">
        <f>SUMIF($D$5:$D$125,"=bez",AA5:AA125)</f>
        <v>3001955.02</v>
      </c>
      <c r="AB147" s="197" t="s">
        <v>558</v>
      </c>
      <c r="AD147" s="205"/>
      <c r="AF147" s="89">
        <f t="shared" ref="AF147" si="680">SUMIF($D$5:$D$125,"=bez",AF5:AF125)</f>
        <v>0</v>
      </c>
      <c r="AH147" s="89">
        <f t="shared" ref="AH147" si="681">SUMIF($D$5:$D$125,"=bez",AH5:AH125)</f>
        <v>0</v>
      </c>
      <c r="AJ147" s="90">
        <f t="shared" ref="AJ147" si="682">SUM(AJ148:AJ150)</f>
        <v>1</v>
      </c>
      <c r="AK147" s="89">
        <f>AM147*HLOOKUP(AK128,Grund_zins,2,FALSE)</f>
        <v>101791.29642500001</v>
      </c>
      <c r="AL147" s="89">
        <f t="shared" ref="AL147" si="683">SUMIF($D$5:$D$125,"=bez",AL5:AL125)</f>
        <v>187264.53</v>
      </c>
      <c r="AM147" s="89">
        <f t="shared" ref="AM147:AM149" si="684">AN147-AF147+AH147+AL147/2</f>
        <v>2908322.7549999999</v>
      </c>
      <c r="AN147" s="89">
        <f t="shared" ref="AN147" si="685">SUMIF($D$5:$D$125,"=bez",AN5:AN125)</f>
        <v>2814690.4899999998</v>
      </c>
      <c r="AO147" s="289" t="s">
        <v>558</v>
      </c>
      <c r="AQ147" s="205"/>
      <c r="AS147" s="89">
        <f t="shared" ref="AS147" si="686">SUMIF($D$5:$D$125,"=bez",AS5:AS125)</f>
        <v>0</v>
      </c>
      <c r="AU147" s="89">
        <f t="shared" ref="AU147" si="687">SUMIF($D$5:$D$125,"=bez",AU5:AU125)</f>
        <v>0</v>
      </c>
      <c r="AW147" s="90">
        <f t="shared" ref="AW147" si="688">SUM(AW148:AW150)</f>
        <v>0.99999999999999989</v>
      </c>
      <c r="AX147" s="89">
        <f>AZ147*HLOOKUP(AX128,Grund_zins,2,FALSE)</f>
        <v>95237.037875000024</v>
      </c>
      <c r="AY147" s="89">
        <f t="shared" ref="AY147" si="689">SUMIF($D$5:$D$125,"=bez",AY5:AY125)</f>
        <v>187264.53</v>
      </c>
      <c r="AZ147" s="89">
        <f t="shared" ref="AZ147:AZ149" si="690">BA147-AS147+AU147+AY147/2</f>
        <v>2721058.2250000006</v>
      </c>
      <c r="BA147" s="89">
        <f t="shared" ref="BA147" si="691">SUMIF($D$5:$D$125,"=bez",BA5:BA125)</f>
        <v>2627425.9600000004</v>
      </c>
      <c r="BB147" s="289" t="s">
        <v>558</v>
      </c>
      <c r="BD147" s="205"/>
      <c r="BF147" s="89">
        <f t="shared" ref="BF147" si="692">SUMIF($D$5:$D$125,"=bez",BF5:BF125)</f>
        <v>0</v>
      </c>
      <c r="BH147" s="89">
        <f t="shared" ref="BH147" si="693">SUMIF($D$5:$D$125,"=bez",BH5:BH125)</f>
        <v>0</v>
      </c>
      <c r="BJ147" s="90">
        <f t="shared" ref="BJ147" si="694">SUM(BJ148:BJ150)</f>
        <v>1</v>
      </c>
      <c r="BK147" s="89">
        <f>BM147*HLOOKUP(BK128,Grund_zins,2,FALSE)</f>
        <v>88828.554325000005</v>
      </c>
      <c r="BL147" s="89">
        <f t="shared" ref="BL147" si="695">SUMIF($D$5:$D$125,"=bez",BL5:BL125)</f>
        <v>178934.53</v>
      </c>
      <c r="BM147" s="89">
        <f t="shared" ref="BM147:BM149" si="696">BN147-BF147+BH147+BL147/2</f>
        <v>2537958.6949999998</v>
      </c>
      <c r="BN147" s="89">
        <f t="shared" ref="BN147" si="697">SUMIF($D$5:$D$125,"=bez",BN5:BN125)</f>
        <v>2448491.4299999997</v>
      </c>
      <c r="BO147" s="289" t="s">
        <v>558</v>
      </c>
      <c r="BQ147" s="205"/>
      <c r="BS147" s="89">
        <f t="shared" ref="BS147" si="698">SUMIF($D$5:$D$125,"=bez",BS5:BS125)</f>
        <v>0</v>
      </c>
      <c r="BU147" s="89">
        <f t="shared" ref="BU147" si="699">SUMIF($D$5:$D$125,"=bez",BU5:BU125)</f>
        <v>0</v>
      </c>
      <c r="BW147" s="90">
        <f t="shared" ref="BW147" si="700">SUM(BW148:BW150)</f>
        <v>1</v>
      </c>
      <c r="BX147" s="89">
        <f>BZ147*HLOOKUP(BX128,Grund_zins,2,FALSE)</f>
        <v>82861.858275000006</v>
      </c>
      <c r="BY147" s="89">
        <f t="shared" ref="BY147" si="701">SUMIF($D$5:$D$125,"=bez",BY5:BY125)</f>
        <v>162019.53</v>
      </c>
      <c r="BZ147" s="89">
        <f t="shared" ref="BZ147:BZ149" si="702">CA147-BS147+BU147+BY147/2</f>
        <v>2367481.665</v>
      </c>
      <c r="CA147" s="89">
        <f t="shared" ref="CA147" si="703">SUMIF($D$5:$D$125,"=bez",CA5:CA125)</f>
        <v>2286471.9</v>
      </c>
      <c r="CB147" s="289" t="s">
        <v>558</v>
      </c>
      <c r="CD147" s="205"/>
      <c r="CF147" s="89">
        <f t="shared" ref="CF147" si="704">SUMIF($D$5:$D$125,"=bez",CF5:CF125)</f>
        <v>0</v>
      </c>
      <c r="CH147" s="89">
        <f t="shared" ref="CH147" si="705">SUMIF($D$5:$D$125,"=bez",CH5:CH125)</f>
        <v>0</v>
      </c>
      <c r="CJ147" s="90">
        <f t="shared" ref="CJ147" si="706">SUM(CJ148:CJ150)</f>
        <v>0.99999999999999989</v>
      </c>
      <c r="CK147" s="89">
        <f>CM147*HLOOKUP(CK128,Grund_zins,2,FALSE)</f>
        <v>66332.299050000001</v>
      </c>
      <c r="CL147" s="89">
        <f t="shared" ref="CL147" si="707">SUMIF($D$5:$D$125,"=bez",CL5:CL125)</f>
        <v>150790.53</v>
      </c>
      <c r="CM147" s="89">
        <f t="shared" ref="CM147:CM149" si="708">CN147-CF147+CH147+CL147/2</f>
        <v>2211076.6350000002</v>
      </c>
      <c r="CN147" s="89">
        <f t="shared" ref="CN147" si="709">SUMIF($D$5:$D$125,"=bez",CN5:CN125)</f>
        <v>2135681.37</v>
      </c>
      <c r="CO147" s="289" t="s">
        <v>558</v>
      </c>
      <c r="CQ147" s="205"/>
      <c r="CS147" s="89">
        <f t="shared" ref="CS147" si="710">SUMIF($D$5:$D$125,"=bez",CS5:CS125)</f>
        <v>0</v>
      </c>
      <c r="CU147" s="89">
        <f t="shared" ref="CU147" si="711">SUMIF($D$5:$D$125,"=bez",CU5:CU125)</f>
        <v>0</v>
      </c>
      <c r="CW147" s="90">
        <f t="shared" ref="CW147" si="712">SUM(CW148:CW150)</f>
        <v>1</v>
      </c>
      <c r="CX147" s="89">
        <f>CZ147*HLOOKUP(CX128,Grund_zins,2,FALSE)</f>
        <v>61894.083149999991</v>
      </c>
      <c r="CY147" s="89">
        <f t="shared" ref="CY147" si="713">SUMIF($D$5:$D$125,"=bez",CY5:CY125)</f>
        <v>145090.53</v>
      </c>
      <c r="CZ147" s="89">
        <f t="shared" ref="CZ147:CZ149" si="714">DA147-CS147+CU147+CY147/2</f>
        <v>2063136.1049999997</v>
      </c>
      <c r="DA147" s="89">
        <f t="shared" ref="DA147" si="715">SUMIF($D$5:$D$125,"=bez",DA5:DA125)</f>
        <v>1990590.8399999999</v>
      </c>
      <c r="DB147" s="289" t="s">
        <v>558</v>
      </c>
      <c r="DD147" s="205"/>
      <c r="DF147" s="89">
        <f t="shared" ref="DF147" si="716">SUMIF($D$5:$D$125,"=bez",DF5:DF125)</f>
        <v>0</v>
      </c>
      <c r="DH147" s="89">
        <f t="shared" ref="DH147" si="717">SUMIF($D$5:$D$125,"=bez",DH5:DH125)</f>
        <v>0</v>
      </c>
      <c r="DJ147" s="90">
        <f t="shared" ref="DJ147" si="718">SUM(DJ148:DJ150)</f>
        <v>1</v>
      </c>
      <c r="DK147" s="89">
        <f>DM147*HLOOKUP(DK128,Grund_zins,2,FALSE)</f>
        <v>57541.367249999996</v>
      </c>
      <c r="DL147" s="89">
        <f t="shared" ref="DL147" si="719">SUMIF($D$5:$D$125,"=bez",DL5:DL125)</f>
        <v>145090.53</v>
      </c>
      <c r="DM147" s="89">
        <f t="shared" ref="DM147:DM149" si="720">DN147-DF147+DH147+DL147/2</f>
        <v>1918045.575</v>
      </c>
      <c r="DN147" s="89">
        <f t="shared" ref="DN147" si="721">SUMIF($D$5:$D$125,"=bez",DN5:DN125)</f>
        <v>1845500.31</v>
      </c>
      <c r="DO147" s="289" t="s">
        <v>558</v>
      </c>
      <c r="DQ147" s="205"/>
      <c r="DS147" s="89">
        <f t="shared" ref="DS147" si="722">SUMIF($D$5:$D$125,"=bez",DS5:DS125)</f>
        <v>0</v>
      </c>
      <c r="DU147" s="89">
        <f t="shared" ref="DU147" si="723">SUMIF($D$5:$D$125,"=bez",DU5:DU125)</f>
        <v>0</v>
      </c>
      <c r="DW147" s="90">
        <f t="shared" ref="DW147" si="724">SUM(DW148:DW150)</f>
        <v>1</v>
      </c>
      <c r="DX147" s="89">
        <f>DZ147*HLOOKUP(DX128,Grund_zins,2,FALSE)</f>
        <v>53188.651349999986</v>
      </c>
      <c r="DY147" s="89">
        <f t="shared" ref="DY147" si="725">SUMIF($D$5:$D$125,"=bez",DY5:DY125)</f>
        <v>145090.53</v>
      </c>
      <c r="DZ147" s="89">
        <f t="shared" ref="DZ147:DZ149" si="726">EA147-DS147+DU147+DY147/2</f>
        <v>1772955.0449999997</v>
      </c>
      <c r="EA147" s="89">
        <f t="shared" ref="EA147" si="727">SUMIF($D$5:$D$125,"=bez",EA5:EA125)</f>
        <v>1700409.7799999998</v>
      </c>
      <c r="EB147" s="289" t="s">
        <v>558</v>
      </c>
      <c r="ED147" s="205"/>
    </row>
    <row r="148" spans="1:134" x14ac:dyDescent="0.35">
      <c r="A148" s="73" t="s">
        <v>169</v>
      </c>
      <c r="Q148" s="205">
        <v>21</v>
      </c>
      <c r="S148" s="89">
        <f>SUMIF($D$5:$D$125,"=bez",S5:S125)*HLOOKUP(X128,Verteil_sw,37,FALSE)</f>
        <v>0</v>
      </c>
      <c r="U148" s="89">
        <f>SUMIF($D$5:$D$125,"=bez",U5:U125)*HLOOKUP(X128,Verteil_sw,37,FALSE)</f>
        <v>0</v>
      </c>
      <c r="W148" s="90">
        <f>IF(X147&lt;&gt;0,X148/X147,0)</f>
        <v>0.83121999999999996</v>
      </c>
      <c r="X148" s="89">
        <f>Z148*HLOOKUP(X128,Grund_zins,2,FALSE)</f>
        <v>90058.992206319512</v>
      </c>
      <c r="Y148" s="89">
        <f>SUMIF($D$5:$D$125,"=bez",Y5:Y125)*HLOOKUP(X128,Verteil_sw,37,FALSE)</f>
        <v>155658.0226266</v>
      </c>
      <c r="Z148" s="89">
        <f t="shared" si="655"/>
        <v>2573114.0630377</v>
      </c>
      <c r="AA148" s="89">
        <f>SUMIF($D$5:$D$125,"=bez",AA5:AA125)*HLOOKUP(X128,Verteil_sw,37,FALSE)</f>
        <v>2495285.0517243999</v>
      </c>
      <c r="AB148" s="73" t="s">
        <v>169</v>
      </c>
      <c r="AD148" s="205"/>
      <c r="AF148" s="89">
        <f>SUMIF($D$5:$D$125,"=bez",AF5:AF125)*HLOOKUP(AK128,Verteil_sw,37,FALSE)</f>
        <v>0</v>
      </c>
      <c r="AH148" s="89">
        <f>SUMIF($D$5:$D$125,"=bez",AH5:AH125)*HLOOKUP(AK128,Verteil_sw,37,FALSE)</f>
        <v>0</v>
      </c>
      <c r="AJ148" s="90">
        <f t="shared" ref="AJ148" si="728">IF(AK147&lt;&gt;0,AK148/AK147,0)</f>
        <v>0.83030000000000004</v>
      </c>
      <c r="AK148" s="89">
        <f>AM148*HLOOKUP(AK128,Grund_zins,2,FALSE)</f>
        <v>84517.313421677507</v>
      </c>
      <c r="AL148" s="89">
        <f>SUMIF($D$5:$D$125,"=bez",AL5:AL125)*HLOOKUP(AK128,Verteil_sw,37,FALSE)</f>
        <v>155485.73925899999</v>
      </c>
      <c r="AM148" s="89">
        <f t="shared" si="684"/>
        <v>2414780.3834764999</v>
      </c>
      <c r="AN148" s="89">
        <f>SUMIF($D$5:$D$125,"=bez",AN5:AN125)*HLOOKUP(AK128,Verteil_sw,37,FALSE)</f>
        <v>2337037.513847</v>
      </c>
      <c r="AO148" s="571" t="s">
        <v>169</v>
      </c>
      <c r="AQ148" s="205"/>
      <c r="AS148" s="89">
        <f>SUMIF($D$5:$D$125,"=bez",AS5:AS125)*HLOOKUP(AX128,Verteil_sw,37,FALSE)</f>
        <v>0</v>
      </c>
      <c r="AU148" s="89">
        <f>SUMIF($D$5:$D$125,"=bez",AU5:AU125)*HLOOKUP(AX128,Verteil_sw,37,FALSE)</f>
        <v>0</v>
      </c>
      <c r="AW148" s="90">
        <f t="shared" ref="AW148" si="729">IF(AX147&lt;&gt;0,AX148/AX147,0)</f>
        <v>0.82927999999999991</v>
      </c>
      <c r="AX148" s="89">
        <f>AZ148*HLOOKUP(AX128,Grund_zins,2,FALSE)</f>
        <v>78978.17076898001</v>
      </c>
      <c r="AY148" s="89">
        <f>SUMIF($D$5:$D$125,"=bez",AY5:AY125)*HLOOKUP(AX128,Verteil_sw,37,FALSE)</f>
        <v>155294.72943840001</v>
      </c>
      <c r="AZ148" s="89">
        <f t="shared" si="690"/>
        <v>2256519.1648280001</v>
      </c>
      <c r="BA148" s="89">
        <f>SUMIF($D$5:$D$125,"=bez",BA5:BA125)*HLOOKUP(AX128,Verteil_sw,37,FALSE)</f>
        <v>2178871.8001088002</v>
      </c>
      <c r="BB148" s="571" t="s">
        <v>169</v>
      </c>
      <c r="BD148" s="205"/>
      <c r="BF148" s="89">
        <f>SUMIF($D$5:$D$125,"=bez",BF5:BF125)*HLOOKUP(BK128,Verteil_sw,37,FALSE)</f>
        <v>0</v>
      </c>
      <c r="BH148" s="89">
        <f>SUMIF($D$5:$D$125,"=bez",BH5:BH125)*HLOOKUP(BK128,Verteil_sw,37,FALSE)</f>
        <v>0</v>
      </c>
      <c r="BJ148" s="90">
        <f t="shared" ref="BJ148" si="730">IF(BK147&lt;&gt;0,BK148/BK147,0)</f>
        <v>0.82816000000000012</v>
      </c>
      <c r="BK148" s="89">
        <f>BM148*HLOOKUP(BK128,Grund_zins,2,FALSE)</f>
        <v>73564.255549792011</v>
      </c>
      <c r="BL148" s="89">
        <f>SUMIF($D$5:$D$125,"=bez",BL5:BL125)*HLOOKUP(BK128,Verteil_sw,37,FALSE)</f>
        <v>148186.4203648</v>
      </c>
      <c r="BM148" s="89">
        <f t="shared" si="696"/>
        <v>2101835.8728511999</v>
      </c>
      <c r="BN148" s="89">
        <f>SUMIF($D$5:$D$125,"=bez",BN5:BN125)*HLOOKUP(BK128,Verteil_sw,37,FALSE)</f>
        <v>2027742.6626687997</v>
      </c>
      <c r="BO148" s="571" t="s">
        <v>169</v>
      </c>
      <c r="BQ148" s="205"/>
      <c r="BS148" s="89">
        <f>SUMIF($D$5:$D$125,"=bez",BS5:BS125)*HLOOKUP(BX128,Verteil_sw,37,FALSE)</f>
        <v>0</v>
      </c>
      <c r="BU148" s="89">
        <f>SUMIF($D$5:$D$125,"=bez",BU5:BU125)*HLOOKUP(BX128,Verteil_sw,37,FALSE)</f>
        <v>0</v>
      </c>
      <c r="BW148" s="90">
        <f t="shared" ref="BW148" si="731">IF(BX147&lt;&gt;0,BX148/BX147,0)</f>
        <v>0.82694999999999996</v>
      </c>
      <c r="BX148" s="89">
        <f>BZ148*HLOOKUP(BX128,Grund_zins,2,FALSE)</f>
        <v>68522.613700511254</v>
      </c>
      <c r="BY148" s="89">
        <f>SUMIF($D$5:$D$125,"=bez",BY5:BY125)*HLOOKUP(BX128,Verteil_sw,37,FALSE)</f>
        <v>133982.0503335</v>
      </c>
      <c r="BZ148" s="89">
        <f t="shared" si="702"/>
        <v>1957788.9628717499</v>
      </c>
      <c r="CA148" s="89">
        <f>SUMIF($D$5:$D$125,"=bez",CA5:CA125)*HLOOKUP(BX128,Verteil_sw,37,FALSE)</f>
        <v>1890797.9377049999</v>
      </c>
      <c r="CB148" s="571" t="s">
        <v>169</v>
      </c>
      <c r="CD148" s="205"/>
      <c r="CF148" s="89">
        <f>SUMIF($D$5:$D$125,"=bez",CF5:CF125)*HLOOKUP(CK128,Verteil_sw,37,FALSE)</f>
        <v>0</v>
      </c>
      <c r="CH148" s="89">
        <f>SUMIF($D$5:$D$125,"=bez",CH5:CH125)*HLOOKUP(CK128,Verteil_sw,37,FALSE)</f>
        <v>0</v>
      </c>
      <c r="CJ148" s="90">
        <f t="shared" ref="CJ148" si="732">IF(CK147&lt;&gt;0,CK148/CK147,0)</f>
        <v>0.82568999999999992</v>
      </c>
      <c r="CK148" s="89">
        <f>CM148*HLOOKUP(CK128,Grund_zins,2,FALSE)</f>
        <v>54769.916002594495</v>
      </c>
      <c r="CL148" s="89">
        <f>SUMIF($D$5:$D$125,"=bez",CL5:CL125)*HLOOKUP(CK128,Verteil_sw,37,FALSE)</f>
        <v>124506.23271570001</v>
      </c>
      <c r="CM148" s="89">
        <f t="shared" si="708"/>
        <v>1825663.86675315</v>
      </c>
      <c r="CN148" s="89">
        <f>SUMIF($D$5:$D$125,"=bez",CN5:CN125)*HLOOKUP(CK128,Verteil_sw,37,FALSE)</f>
        <v>1763410.7503953001</v>
      </c>
      <c r="CO148" s="571" t="s">
        <v>169</v>
      </c>
      <c r="CQ148" s="205"/>
      <c r="CS148" s="89">
        <f>SUMIF($D$5:$D$125,"=bez",CS5:CS125)*HLOOKUP(CX128,Verteil_sw,37,FALSE)</f>
        <v>0</v>
      </c>
      <c r="CU148" s="89">
        <f>SUMIF($D$5:$D$125,"=bez",CU5:CU125)*HLOOKUP(CX128,Verteil_sw,37,FALSE)</f>
        <v>0</v>
      </c>
      <c r="CW148" s="90">
        <f t="shared" ref="CW148" si="733">IF(CX147&lt;&gt;0,CX148/CX147,0)</f>
        <v>0.82432000000000005</v>
      </c>
      <c r="CX148" s="89">
        <f>CZ148*HLOOKUP(CX128,Grund_zins,2,FALSE)</f>
        <v>51020.530622207996</v>
      </c>
      <c r="CY148" s="89">
        <f>SUMIF($D$5:$D$125,"=bez",CY5:CY125)*HLOOKUP(CX128,Verteil_sw,37,FALSE)</f>
        <v>119601.02568960001</v>
      </c>
      <c r="CZ148" s="89">
        <f t="shared" si="714"/>
        <v>1700684.3540735999</v>
      </c>
      <c r="DA148" s="89">
        <f>SUMIF($D$5:$D$125,"=bez",DA5:DA125)*HLOOKUP(CX128,Verteil_sw,37,FALSE)</f>
        <v>1640883.8412287999</v>
      </c>
      <c r="DB148" s="571" t="s">
        <v>169</v>
      </c>
      <c r="DD148" s="205"/>
      <c r="DF148" s="89">
        <f>SUMIF($D$5:$D$125,"=bez",DF5:DF125)*HLOOKUP(DK128,Verteil_sw,37,FALSE)</f>
        <v>0</v>
      </c>
      <c r="DH148" s="89">
        <f>SUMIF($D$5:$D$125,"=bez",DH5:DH125)*HLOOKUP(DK128,Verteil_sw,37,FALSE)</f>
        <v>0</v>
      </c>
      <c r="DJ148" s="90">
        <f t="shared" ref="DJ148" si="734">IF(DK147&lt;&gt;0,DK148/DK147,0)</f>
        <v>0.82413999999999998</v>
      </c>
      <c r="DK148" s="89">
        <f>DM148*HLOOKUP(DK128,Grund_zins,2,FALSE)</f>
        <v>47422.142405414997</v>
      </c>
      <c r="DL148" s="89">
        <f>SUMIF($D$5:$D$125,"=bez",DL5:DL125)*HLOOKUP(DK128,Verteil_sw,37,FALSE)</f>
        <v>119574.9093942</v>
      </c>
      <c r="DM148" s="89">
        <f t="shared" si="720"/>
        <v>1580738.0801804999</v>
      </c>
      <c r="DN148" s="89">
        <f>SUMIF($D$5:$D$125,"=bez",DN5:DN125)*HLOOKUP(DK128,Verteil_sw,37,FALSE)</f>
        <v>1520950.6254834</v>
      </c>
      <c r="DO148" s="571" t="s">
        <v>169</v>
      </c>
      <c r="DQ148" s="205"/>
      <c r="DS148" s="89">
        <f>SUMIF($D$5:$D$125,"=bez",DS5:DS125)*HLOOKUP(DX128,Verteil_sw,37,FALSE)</f>
        <v>0</v>
      </c>
      <c r="DU148" s="89">
        <f>SUMIF($D$5:$D$125,"=bez",DU5:DU125)*HLOOKUP(DX128,Verteil_sw,37,FALSE)</f>
        <v>0</v>
      </c>
      <c r="DW148" s="90">
        <f t="shared" ref="DW148" si="735">IF(DX147&lt;&gt;0,DX148/DX147,0)</f>
        <v>0.82543999999999995</v>
      </c>
      <c r="DX148" s="89">
        <f>DZ148*HLOOKUP(DX128,Grund_zins,2,FALSE)</f>
        <v>43904.040370343988</v>
      </c>
      <c r="DY148" s="89">
        <f>SUMIF($D$5:$D$125,"=bez",DY5:DY125)*HLOOKUP(DX128,Verteil_sw,37,FALSE)</f>
        <v>119763.5270832</v>
      </c>
      <c r="DZ148" s="89">
        <f t="shared" si="726"/>
        <v>1463468.0123447997</v>
      </c>
      <c r="EA148" s="89">
        <f>SUMIF($D$5:$D$125,"=bez",EA5:EA125)*HLOOKUP(DX128,Verteil_sw,37,FALSE)</f>
        <v>1403586.2488031997</v>
      </c>
      <c r="EB148" s="571" t="s">
        <v>169</v>
      </c>
      <c r="ED148" s="205"/>
    </row>
    <row r="149" spans="1:134" x14ac:dyDescent="0.35">
      <c r="A149" s="73" t="s">
        <v>170</v>
      </c>
      <c r="Q149" s="205">
        <v>22</v>
      </c>
      <c r="S149" s="89">
        <f>SUMIF($D$5:$D$125,"=bez",S5:S125)*HLOOKUP(X128,Verteil_rwgr,36,FALSE)</f>
        <v>0</v>
      </c>
      <c r="U149" s="89">
        <f>SUMIF($D$5:$D$125,"=bez",U5:U125)*HLOOKUP(X128,Verteil_rwgr,36,FALSE)</f>
        <v>0</v>
      </c>
      <c r="W149" s="90">
        <f>IF(X147&lt;&gt;0,X149/X147,0)</f>
        <v>0.16878000000000001</v>
      </c>
      <c r="X149" s="89">
        <f>Z149*HLOOKUP(X128,Grund_zins,2,FALSE)</f>
        <v>18286.562768680506</v>
      </c>
      <c r="Y149" s="89">
        <f>SUMIF($D$5:$D$125,"=bez",Y5:Y125)*HLOOKUP(X128,Verteil_rwgr,36,FALSE)</f>
        <v>31606.507373400003</v>
      </c>
      <c r="Z149" s="89">
        <f t="shared" si="655"/>
        <v>522473.22196230007</v>
      </c>
      <c r="AA149" s="89">
        <f>SUMIF($D$5:$D$125,"=bez",AA5:AA125)*HLOOKUP(X128,Verteil_rwgr,36,FALSE)</f>
        <v>506669.96827560005</v>
      </c>
      <c r="AB149" s="73" t="s">
        <v>170</v>
      </c>
      <c r="AD149" s="205"/>
      <c r="AF149" s="89">
        <f>SUMIF($D$5:$D$125,"=bez",AF5:AF125)*HLOOKUP(AK128,Verteil_rwgr,36,FALSE)</f>
        <v>0</v>
      </c>
      <c r="AH149" s="89">
        <f>SUMIF($D$5:$D$125,"=bez",AH5:AH125)*HLOOKUP(AK128,Verteil_rwgr,36,FALSE)</f>
        <v>0</v>
      </c>
      <c r="AJ149" s="90">
        <f t="shared" ref="AJ149" si="736">IF(AK147&lt;&gt;0,AK149/AK147,0)</f>
        <v>0.16969999999999996</v>
      </c>
      <c r="AK149" s="89">
        <f>AM149*HLOOKUP(AK128,Grund_zins,2,FALSE)</f>
        <v>17273.983003322497</v>
      </c>
      <c r="AL149" s="89">
        <f>SUMIF($D$5:$D$125,"=bez",AL5:AL125)*HLOOKUP(AK128,Verteil_rwgr,36,FALSE)</f>
        <v>31778.790740999997</v>
      </c>
      <c r="AM149" s="89">
        <f t="shared" si="684"/>
        <v>493542.3715234999</v>
      </c>
      <c r="AN149" s="89">
        <f>SUMIF($D$5:$D$125,"=bez",AN5:AN125)*HLOOKUP(AK128,Verteil_rwgr,36,FALSE)</f>
        <v>477652.97615299991</v>
      </c>
      <c r="AO149" s="571" t="s">
        <v>170</v>
      </c>
      <c r="AQ149" s="205"/>
      <c r="AS149" s="89">
        <f>SUMIF($D$5:$D$125,"=bez",AS5:AS125)*HLOOKUP(AX128,Verteil_rwgr,36,FALSE)</f>
        <v>0</v>
      </c>
      <c r="AU149" s="89">
        <f>SUMIF($D$5:$D$125,"=bez",AU5:AU125)*HLOOKUP(AX128,Verteil_rwgr,36,FALSE)</f>
        <v>0</v>
      </c>
      <c r="AW149" s="90">
        <f t="shared" ref="AW149" si="737">IF(AX147&lt;&gt;0,AX149/AX147,0)</f>
        <v>0.17072000000000001</v>
      </c>
      <c r="AX149" s="89">
        <f>AZ149*HLOOKUP(AX128,Grund_zins,2,FALSE)</f>
        <v>16258.867106020005</v>
      </c>
      <c r="AY149" s="89">
        <f>SUMIF($D$5:$D$125,"=bez",AY5:AY125)*HLOOKUP(AX128,Verteil_rwgr,36,FALSE)</f>
        <v>31969.800561600001</v>
      </c>
      <c r="AZ149" s="89">
        <f t="shared" si="690"/>
        <v>464539.06017200009</v>
      </c>
      <c r="BA149" s="89">
        <f>SUMIF($D$5:$D$125,"=bez",BA5:BA125)*HLOOKUP(AX128,Verteil_rwgr,36,FALSE)</f>
        <v>448554.15989120008</v>
      </c>
      <c r="BB149" s="571" t="s">
        <v>170</v>
      </c>
      <c r="BD149" s="205"/>
      <c r="BF149" s="89">
        <f>SUMIF($D$5:$D$125,"=bez",BF5:BF125)*HLOOKUP(BK128,Verteil_rwgr,36,FALSE)</f>
        <v>0</v>
      </c>
      <c r="BH149" s="89">
        <f>SUMIF($D$5:$D$125,"=bez",BH5:BH125)*HLOOKUP(BK128,Verteil_rwgr,36,FALSE)</f>
        <v>0</v>
      </c>
      <c r="BJ149" s="90">
        <f t="shared" ref="BJ149" si="738">IF(BK147&lt;&gt;0,BK149/BK147,0)</f>
        <v>0.17183999999999999</v>
      </c>
      <c r="BK149" s="89">
        <f>BM149*HLOOKUP(BK128,Grund_zins,2,FALSE)</f>
        <v>15264.298775208001</v>
      </c>
      <c r="BL149" s="89">
        <f>SUMIF($D$5:$D$125,"=bez",BL5:BL125)*HLOOKUP(BK128,Verteil_rwgr,36,FALSE)</f>
        <v>30748.109635199999</v>
      </c>
      <c r="BM149" s="89">
        <f t="shared" si="696"/>
        <v>436122.82214879995</v>
      </c>
      <c r="BN149" s="89">
        <f>SUMIF($D$5:$D$125,"=bez",BN5:BN125)*HLOOKUP(BK128,Verteil_rwgr,36,FALSE)</f>
        <v>420748.76733119995</v>
      </c>
      <c r="BO149" s="571" t="s">
        <v>170</v>
      </c>
      <c r="BQ149" s="205"/>
      <c r="BS149" s="89">
        <f>SUMIF($D$5:$D$125,"=bez",BS5:BS125)*HLOOKUP(BX128,Verteil_rwgr,36,FALSE)</f>
        <v>0</v>
      </c>
      <c r="BU149" s="89">
        <f>SUMIF($D$5:$D$125,"=bez",BU5:BU125)*HLOOKUP(BX128,Verteil_rwgr,36,FALSE)</f>
        <v>0</v>
      </c>
      <c r="BW149" s="90">
        <f t="shared" ref="BW149" si="739">IF(BX147&lt;&gt;0,BX149/BX147,0)</f>
        <v>0.17305000000000001</v>
      </c>
      <c r="BX149" s="89">
        <f>BZ149*HLOOKUP(BX128,Grund_zins,2,FALSE)</f>
        <v>14339.244574488752</v>
      </c>
      <c r="BY149" s="89">
        <f>SUMIF($D$5:$D$125,"=bez",BY5:BY125)*HLOOKUP(BX128,Verteil_rwgr,36,FALSE)</f>
        <v>28037.479666500003</v>
      </c>
      <c r="BZ149" s="89">
        <f t="shared" si="702"/>
        <v>409692.70212825004</v>
      </c>
      <c r="CA149" s="89">
        <f>SUMIF($D$5:$D$125,"=bez",CA5:CA125)*HLOOKUP(BX128,Verteil_rwgr,36,FALSE)</f>
        <v>395673.96229500003</v>
      </c>
      <c r="CB149" s="571" t="s">
        <v>170</v>
      </c>
      <c r="CD149" s="205"/>
      <c r="CF149" s="89">
        <f>SUMIF($D$5:$D$125,"=bez",CF5:CF125)*HLOOKUP(CK128,Verteil_rwgr,36,FALSE)</f>
        <v>0</v>
      </c>
      <c r="CH149" s="89">
        <f>SUMIF($D$5:$D$125,"=bez",CH5:CH125)*HLOOKUP(CK128,Verteil_rwgr,36,FALSE)</f>
        <v>0</v>
      </c>
      <c r="CJ149" s="90">
        <f t="shared" ref="CJ149" si="740">IF(CK147&lt;&gt;0,CK149/CK147,0)</f>
        <v>0.17430999999999999</v>
      </c>
      <c r="CK149" s="89">
        <f>CM149*HLOOKUP(CK128,Grund_zins,2,FALSE)</f>
        <v>11562.383047405499</v>
      </c>
      <c r="CL149" s="89">
        <f>SUMIF($D$5:$D$125,"=bez",CL5:CL125)*HLOOKUP(CK128,Verteil_rwgr,36,FALSE)</f>
        <v>26284.297284299999</v>
      </c>
      <c r="CM149" s="89">
        <f t="shared" si="708"/>
        <v>385412.76824685</v>
      </c>
      <c r="CN149" s="89">
        <f>SUMIF($D$5:$D$125,"=bez",CN5:CN125)*HLOOKUP(CK128,Verteil_rwgr,36,FALSE)</f>
        <v>372270.61960470001</v>
      </c>
      <c r="CO149" s="571" t="s">
        <v>170</v>
      </c>
      <c r="CQ149" s="205"/>
      <c r="CS149" s="89">
        <f>SUMIF($D$5:$D$125,"=bez",CS5:CS125)*HLOOKUP(CX128,Verteil_rwgr,36,FALSE)</f>
        <v>0</v>
      </c>
      <c r="CU149" s="89">
        <f>SUMIF($D$5:$D$125,"=bez",CU5:CU125)*HLOOKUP(CX128,Verteil_rwgr,36,FALSE)</f>
        <v>0</v>
      </c>
      <c r="CW149" s="90">
        <f t="shared" ref="CW149" si="741">IF(CX147&lt;&gt;0,CX149/CX147,0)</f>
        <v>0.17568</v>
      </c>
      <c r="CX149" s="89">
        <f>CZ149*HLOOKUP(CX128,Grund_zins,2,FALSE)</f>
        <v>10873.552527791999</v>
      </c>
      <c r="CY149" s="89">
        <f>SUMIF($D$5:$D$125,"=bez",CY5:CY125)*HLOOKUP(CX128,Verteil_rwgr,36,FALSE)</f>
        <v>25489.5043104</v>
      </c>
      <c r="CZ149" s="89">
        <f t="shared" si="714"/>
        <v>362451.75092639995</v>
      </c>
      <c r="DA149" s="89">
        <f>SUMIF($D$5:$D$125,"=bez",DA5:DA125)*HLOOKUP(CX128,Verteil_rwgr,36,FALSE)</f>
        <v>349706.99877119996</v>
      </c>
      <c r="DB149" s="571" t="s">
        <v>170</v>
      </c>
      <c r="DD149" s="205"/>
      <c r="DF149" s="89">
        <f>SUMIF($D$5:$D$125,"=bez",DF5:DF125)*HLOOKUP(DK128,Verteil_rwgr,36,FALSE)</f>
        <v>0</v>
      </c>
      <c r="DH149" s="89">
        <f>SUMIF($D$5:$D$125,"=bez",DH5:DH125)*HLOOKUP(DK128,Verteil_rwgr,36,FALSE)</f>
        <v>0</v>
      </c>
      <c r="DJ149" s="90">
        <f t="shared" ref="DJ149" si="742">IF(DK147&lt;&gt;0,DK149/DK147,0)</f>
        <v>0.17585999999999999</v>
      </c>
      <c r="DK149" s="89">
        <f>DM149*HLOOKUP(DK128,Grund_zins,2,FALSE)</f>
        <v>10119.224844584998</v>
      </c>
      <c r="DL149" s="89">
        <f>SUMIF($D$5:$D$125,"=bez",DL5:DL125)*HLOOKUP(DK128,Verteil_rwgr,36,FALSE)</f>
        <v>25515.620605799999</v>
      </c>
      <c r="DM149" s="89">
        <f t="shared" si="720"/>
        <v>337307.49481949996</v>
      </c>
      <c r="DN149" s="89">
        <f>SUMIF($D$5:$D$125,"=bez",DN5:DN125)*HLOOKUP(DK128,Verteil_rwgr,36,FALSE)</f>
        <v>324549.68451659998</v>
      </c>
      <c r="DO149" s="571" t="s">
        <v>170</v>
      </c>
      <c r="DQ149" s="205"/>
      <c r="DS149" s="89">
        <f>SUMIF($D$5:$D$125,"=bez",DS5:DS125)*HLOOKUP(DX128,Verteil_rwgr,36,FALSE)</f>
        <v>0</v>
      </c>
      <c r="DU149" s="89">
        <f>SUMIF($D$5:$D$125,"=bez",DU5:DU125)*HLOOKUP(DX128,Verteil_rwgr,36,FALSE)</f>
        <v>0</v>
      </c>
      <c r="DW149" s="90">
        <f t="shared" ref="DW149" si="743">IF(DX147&lt;&gt;0,DX149/DX147,0)</f>
        <v>0.17455999999999999</v>
      </c>
      <c r="DX149" s="89">
        <f>DZ149*HLOOKUP(DX128,Grund_zins,2,FALSE)</f>
        <v>9284.6109796559977</v>
      </c>
      <c r="DY149" s="89">
        <f>SUMIF($D$5:$D$125,"=bez",DY5:DY125)*HLOOKUP(DX128,Verteil_rwgr,36,FALSE)</f>
        <v>25327.0029168</v>
      </c>
      <c r="DZ149" s="89">
        <f t="shared" si="726"/>
        <v>309487.03265519993</v>
      </c>
      <c r="EA149" s="89">
        <f>SUMIF($D$5:$D$125,"=bez",EA5:EA125)*HLOOKUP(DX128,Verteil_rwgr,36,FALSE)</f>
        <v>296823.53119679994</v>
      </c>
      <c r="EB149" s="571" t="s">
        <v>170</v>
      </c>
      <c r="ED149" s="205"/>
    </row>
    <row r="150" spans="1:134" x14ac:dyDescent="0.35">
      <c r="A150" s="73" t="s">
        <v>175</v>
      </c>
      <c r="Q150" s="205">
        <v>23</v>
      </c>
      <c r="W150" s="90">
        <f>IF(X147&lt;&gt;0,X150/X147,0)</f>
        <v>0</v>
      </c>
      <c r="X150" s="89">
        <f>Z150*HLOOKUP(X128,Grund_zins,2,FALSE)</f>
        <v>0</v>
      </c>
      <c r="AB150" s="73" t="s">
        <v>175</v>
      </c>
      <c r="AD150" s="205"/>
      <c r="AJ150" s="90">
        <f t="shared" ref="AJ150" si="744">IF(AK147&lt;&gt;0,AK150/AK147,0)</f>
        <v>0</v>
      </c>
      <c r="AK150" s="89">
        <f>AM150*HLOOKUP(AK128,Grund_zins,2,FALSE)</f>
        <v>0</v>
      </c>
      <c r="AO150" s="571" t="s">
        <v>175</v>
      </c>
      <c r="AQ150" s="205"/>
      <c r="AW150" s="90">
        <f t="shared" ref="AW150" si="745">IF(AX147&lt;&gt;0,AX150/AX147,0)</f>
        <v>0</v>
      </c>
      <c r="AX150" s="89">
        <f>AZ150*HLOOKUP(AX128,Grund_zins,2,FALSE)</f>
        <v>0</v>
      </c>
      <c r="BB150" s="571" t="s">
        <v>175</v>
      </c>
      <c r="BD150" s="205"/>
      <c r="BJ150" s="90">
        <f t="shared" ref="BJ150" si="746">IF(BK147&lt;&gt;0,BK150/BK147,0)</f>
        <v>0</v>
      </c>
      <c r="BK150" s="89">
        <f>BM150*HLOOKUP(BK128,Grund_zins,2,FALSE)</f>
        <v>0</v>
      </c>
      <c r="BO150" s="571" t="s">
        <v>175</v>
      </c>
      <c r="BQ150" s="205"/>
      <c r="BW150" s="90">
        <f t="shared" ref="BW150" si="747">IF(BX147&lt;&gt;0,BX150/BX147,0)</f>
        <v>0</v>
      </c>
      <c r="BX150" s="89">
        <f>BZ150*HLOOKUP(BX128,Grund_zins,2,FALSE)</f>
        <v>0</v>
      </c>
      <c r="CB150" s="571" t="s">
        <v>175</v>
      </c>
      <c r="CD150" s="205"/>
      <c r="CJ150" s="90">
        <f t="shared" ref="CJ150" si="748">IF(CK147&lt;&gt;0,CK150/CK147,0)</f>
        <v>0</v>
      </c>
      <c r="CK150" s="89">
        <f>CM150*HLOOKUP(CK128,Grund_zins,2,FALSE)</f>
        <v>0</v>
      </c>
      <c r="CO150" s="571" t="s">
        <v>175</v>
      </c>
      <c r="CQ150" s="205"/>
      <c r="CW150" s="90">
        <f t="shared" ref="CW150" si="749">IF(CX147&lt;&gt;0,CX150/CX147,0)</f>
        <v>0</v>
      </c>
      <c r="CX150" s="89">
        <f>CZ150*HLOOKUP(CX128,Grund_zins,2,FALSE)</f>
        <v>0</v>
      </c>
      <c r="DB150" s="571" t="s">
        <v>175</v>
      </c>
      <c r="DD150" s="205"/>
      <c r="DJ150" s="90">
        <f t="shared" ref="DJ150" si="750">IF(DK147&lt;&gt;0,DK150/DK147,0)</f>
        <v>0</v>
      </c>
      <c r="DK150" s="89">
        <f>DM150*HLOOKUP(DK128,Grund_zins,2,FALSE)</f>
        <v>0</v>
      </c>
      <c r="DO150" s="571" t="s">
        <v>175</v>
      </c>
      <c r="DQ150" s="205"/>
      <c r="DW150" s="90">
        <f t="shared" ref="DW150" si="751">IF(DX147&lt;&gt;0,DX150/DX147,0)</f>
        <v>0</v>
      </c>
      <c r="DX150" s="89">
        <f>DZ150*HLOOKUP(DX128,Grund_zins,2,FALSE)</f>
        <v>0</v>
      </c>
      <c r="EB150" s="571" t="s">
        <v>175</v>
      </c>
      <c r="ED150" s="205"/>
    </row>
    <row r="151" spans="1:134" x14ac:dyDescent="0.35">
      <c r="A151" s="289" t="s">
        <v>598</v>
      </c>
      <c r="Q151" s="205">
        <v>24</v>
      </c>
      <c r="S151" s="166">
        <f t="shared" ref="S151:U151" si="752">SUM(S143,S147)</f>
        <v>0</v>
      </c>
      <c r="U151" s="166">
        <f t="shared" si="752"/>
        <v>0</v>
      </c>
      <c r="W151" s="90">
        <f>SUM(W152:W154)</f>
        <v>1</v>
      </c>
      <c r="X151" s="54">
        <f>ROUND(SUM(X143,X147),2)</f>
        <v>108345.55</v>
      </c>
      <c r="Y151" s="166">
        <f t="shared" ref="Y151:AA151" si="753">SUM(Y143,Y147)</f>
        <v>187264.53</v>
      </c>
      <c r="Z151" s="166">
        <f t="shared" si="753"/>
        <v>3095587.2850000001</v>
      </c>
      <c r="AA151" s="166">
        <f t="shared" si="753"/>
        <v>3001955.02</v>
      </c>
      <c r="AB151" s="197" t="s">
        <v>598</v>
      </c>
      <c r="AD151" s="205"/>
      <c r="AF151" s="166">
        <f t="shared" ref="AF151" si="754">SUM(AF143,AF147)</f>
        <v>0</v>
      </c>
      <c r="AH151" s="166">
        <f t="shared" ref="AH151" si="755">SUM(AH143,AH147)</f>
        <v>0</v>
      </c>
      <c r="AJ151" s="90">
        <f t="shared" ref="AJ151" si="756">SUM(AJ152:AJ154)</f>
        <v>0.99999990175977715</v>
      </c>
      <c r="AK151" s="54">
        <f t="shared" ref="AK151:BK154" si="757">ROUND(SUM(AK143,AK147),2)</f>
        <v>101791.3</v>
      </c>
      <c r="AL151" s="166">
        <f t="shared" ref="AL151:AN151" si="758">SUM(AL143,AL147)</f>
        <v>187264.53</v>
      </c>
      <c r="AM151" s="166">
        <f t="shared" si="758"/>
        <v>2908322.7549999999</v>
      </c>
      <c r="AN151" s="166">
        <f t="shared" si="758"/>
        <v>2814690.4899999998</v>
      </c>
      <c r="AO151" s="289" t="s">
        <v>598</v>
      </c>
      <c r="AQ151" s="205"/>
      <c r="AS151" s="166">
        <f t="shared" ref="AS151" si="759">SUM(AS143,AS147)</f>
        <v>0</v>
      </c>
      <c r="AU151" s="166">
        <f t="shared" ref="AU151" si="760">SUM(AU143,AU147)</f>
        <v>0</v>
      </c>
      <c r="AW151" s="90">
        <f t="shared" ref="AW151" si="761">SUM(AW152:AW154)</f>
        <v>1</v>
      </c>
      <c r="AX151" s="54">
        <f t="shared" ref="AX151" si="762">ROUND(SUM(AX143,AX147),2)</f>
        <v>95237.04</v>
      </c>
      <c r="AY151" s="166">
        <f t="shared" ref="AY151:BA151" si="763">SUM(AY143,AY147)</f>
        <v>187264.53</v>
      </c>
      <c r="AZ151" s="166">
        <f t="shared" si="763"/>
        <v>2721058.2250000006</v>
      </c>
      <c r="BA151" s="166">
        <f t="shared" si="763"/>
        <v>2627425.9600000004</v>
      </c>
      <c r="BB151" s="289" t="s">
        <v>598</v>
      </c>
      <c r="BD151" s="205"/>
      <c r="BF151" s="166">
        <f t="shared" ref="BF151" si="764">SUM(BF143,BF147)</f>
        <v>0</v>
      </c>
      <c r="BH151" s="166">
        <f t="shared" ref="BH151" si="765">SUM(BH143,BH147)</f>
        <v>0</v>
      </c>
      <c r="BJ151" s="90">
        <f t="shared" ref="BJ151" si="766">SUM(BJ152:BJ154)</f>
        <v>1.0000001125764182</v>
      </c>
      <c r="BK151" s="54">
        <f t="shared" ref="BK151" si="767">ROUND(SUM(BK143,BK147),2)</f>
        <v>88828.55</v>
      </c>
      <c r="BL151" s="166">
        <f t="shared" ref="BL151:BN151" si="768">SUM(BL143,BL147)</f>
        <v>178934.53</v>
      </c>
      <c r="BM151" s="166">
        <f t="shared" si="768"/>
        <v>2537958.6949999998</v>
      </c>
      <c r="BN151" s="166">
        <f t="shared" si="768"/>
        <v>2448491.4299999997</v>
      </c>
      <c r="BO151" s="289" t="s">
        <v>598</v>
      </c>
      <c r="BQ151" s="205"/>
      <c r="BS151" s="166">
        <f t="shared" ref="BS151" si="769">SUM(BS143,BS147)</f>
        <v>0</v>
      </c>
      <c r="BU151" s="166">
        <f t="shared" ref="BU151" si="770">SUM(BU143,BU147)</f>
        <v>0</v>
      </c>
      <c r="BW151" s="90">
        <f t="shared" ref="BW151" si="771">SUM(BW152:BW154)</f>
        <v>0.99999987931721535</v>
      </c>
      <c r="BX151" s="54">
        <f t="shared" ref="BX151:CX154" si="772">ROUND(SUM(BX143,BX147),2)</f>
        <v>82861.86</v>
      </c>
      <c r="BY151" s="166">
        <f t="shared" ref="BY151:CA151" si="773">SUM(BY143,BY147)</f>
        <v>162019.53</v>
      </c>
      <c r="BZ151" s="166">
        <f t="shared" si="773"/>
        <v>2367481.665</v>
      </c>
      <c r="CA151" s="166">
        <f t="shared" si="773"/>
        <v>2286471.9</v>
      </c>
      <c r="CB151" s="289" t="s">
        <v>598</v>
      </c>
      <c r="CD151" s="205"/>
      <c r="CF151" s="166">
        <f t="shared" ref="CF151" si="774">SUM(CF143,CF147)</f>
        <v>0</v>
      </c>
      <c r="CH151" s="166">
        <f t="shared" ref="CH151" si="775">SUM(CH143,CH147)</f>
        <v>0</v>
      </c>
      <c r="CJ151" s="90">
        <f t="shared" ref="CJ151" si="776">SUM(CJ152:CJ154)</f>
        <v>1</v>
      </c>
      <c r="CK151" s="54">
        <f t="shared" ref="CK151" si="777">ROUND(SUM(CK143,CK147),2)</f>
        <v>66332.3</v>
      </c>
      <c r="CL151" s="166">
        <f t="shared" ref="CL151:CN151" si="778">SUM(CL143,CL147)</f>
        <v>150790.53</v>
      </c>
      <c r="CM151" s="166">
        <f t="shared" si="778"/>
        <v>2211076.6350000002</v>
      </c>
      <c r="CN151" s="166">
        <f t="shared" si="778"/>
        <v>2135681.37</v>
      </c>
      <c r="CO151" s="289" t="s">
        <v>598</v>
      </c>
      <c r="CQ151" s="205"/>
      <c r="CS151" s="166">
        <f t="shared" ref="CS151" si="779">SUM(CS143,CS147)</f>
        <v>0</v>
      </c>
      <c r="CU151" s="166">
        <f t="shared" ref="CU151" si="780">SUM(CU143,CU147)</f>
        <v>0</v>
      </c>
      <c r="CW151" s="90">
        <f t="shared" ref="CW151" si="781">SUM(CW152:CW154)</f>
        <v>0.99999999999999989</v>
      </c>
      <c r="CX151" s="54">
        <f t="shared" ref="CX151" si="782">ROUND(SUM(CX143,CX147),2)</f>
        <v>61894.080000000002</v>
      </c>
      <c r="CY151" s="166">
        <f t="shared" ref="CY151:DA151" si="783">SUM(CY143,CY147)</f>
        <v>145090.53</v>
      </c>
      <c r="CZ151" s="166">
        <f t="shared" si="783"/>
        <v>2063136.1049999997</v>
      </c>
      <c r="DA151" s="166">
        <f t="shared" si="783"/>
        <v>1990590.8399999999</v>
      </c>
      <c r="DB151" s="289" t="s">
        <v>598</v>
      </c>
      <c r="DD151" s="205"/>
      <c r="DF151" s="166">
        <f t="shared" ref="DF151" si="784">SUM(DF143,DF147)</f>
        <v>0</v>
      </c>
      <c r="DH151" s="166">
        <f t="shared" ref="DH151" si="785">SUM(DH143,DH147)</f>
        <v>0</v>
      </c>
      <c r="DJ151" s="90">
        <f t="shared" ref="DJ151" si="786">SUM(DJ152:DJ154)</f>
        <v>0.99999982621199313</v>
      </c>
      <c r="DK151" s="54">
        <f t="shared" ref="DK151:DX154" si="787">ROUND(SUM(DK143,DK147),2)</f>
        <v>57541.37</v>
      </c>
      <c r="DL151" s="166">
        <f t="shared" ref="DL151:DN151" si="788">SUM(DL143,DL147)</f>
        <v>145090.53</v>
      </c>
      <c r="DM151" s="166">
        <f t="shared" si="788"/>
        <v>1918045.575</v>
      </c>
      <c r="DN151" s="166">
        <f t="shared" si="788"/>
        <v>1845500.31</v>
      </c>
      <c r="DO151" s="289" t="s">
        <v>598</v>
      </c>
      <c r="DQ151" s="205"/>
      <c r="DS151" s="166">
        <f t="shared" ref="DS151" si="789">SUM(DS143,DS147)</f>
        <v>0</v>
      </c>
      <c r="DU151" s="166">
        <f t="shared" ref="DU151" si="790">SUM(DU143,DU147)</f>
        <v>0</v>
      </c>
      <c r="DW151" s="90">
        <f t="shared" ref="DW151" si="791">SUM(DW152:DW154)</f>
        <v>1</v>
      </c>
      <c r="DX151" s="54">
        <f t="shared" ref="DX151" si="792">ROUND(SUM(DX143,DX147),2)</f>
        <v>53188.65</v>
      </c>
      <c r="DY151" s="166">
        <f t="shared" ref="DY151:EA151" si="793">SUM(DY143,DY147)</f>
        <v>145090.53</v>
      </c>
      <c r="DZ151" s="166">
        <f t="shared" si="793"/>
        <v>1772955.0449999997</v>
      </c>
      <c r="EA151" s="166">
        <f t="shared" si="793"/>
        <v>1700409.7799999998</v>
      </c>
      <c r="EB151" s="289" t="s">
        <v>598</v>
      </c>
      <c r="ED151" s="205"/>
    </row>
    <row r="152" spans="1:134" x14ac:dyDescent="0.35">
      <c r="A152" s="73" t="s">
        <v>169</v>
      </c>
      <c r="Q152" s="205">
        <v>25</v>
      </c>
      <c r="S152" s="166">
        <f t="shared" ref="S152:U152" si="794">SUM(S144,S148)</f>
        <v>0</v>
      </c>
      <c r="U152" s="166">
        <f t="shared" si="794"/>
        <v>0</v>
      </c>
      <c r="W152" s="90">
        <f>IF(X151&lt;&gt;0,X152/X151,0)</f>
        <v>0.83122001780414612</v>
      </c>
      <c r="X152" s="54">
        <f t="shared" ref="X152:X154" si="795">ROUND(SUM(X144,X148),2)</f>
        <v>90058.99</v>
      </c>
      <c r="Y152" s="166">
        <f t="shared" ref="Y152:AA152" si="796">SUM(Y144,Y148)</f>
        <v>155658.0226266</v>
      </c>
      <c r="Z152" s="166">
        <f t="shared" si="796"/>
        <v>2573114.0630377</v>
      </c>
      <c r="AA152" s="166">
        <f t="shared" si="796"/>
        <v>2495285.0517243999</v>
      </c>
      <c r="AB152" s="73" t="s">
        <v>169</v>
      </c>
      <c r="AD152" s="205"/>
      <c r="AF152" s="166">
        <f t="shared" ref="AF152" si="797">SUM(AF144,AF148)</f>
        <v>0</v>
      </c>
      <c r="AH152" s="166">
        <f t="shared" ref="AH152" si="798">SUM(AH144,AH148)</f>
        <v>0</v>
      </c>
      <c r="AJ152" s="90">
        <f t="shared" ref="AJ152" si="799">IF(AK151&lt;&gt;0,AK152/AK151,0)</f>
        <v>0.83029993722449758</v>
      </c>
      <c r="AK152" s="54">
        <f t="shared" si="757"/>
        <v>84517.31</v>
      </c>
      <c r="AL152" s="166">
        <f t="shared" ref="AL152:AN152" si="800">SUM(AL144,AL148)</f>
        <v>155485.73925899999</v>
      </c>
      <c r="AM152" s="166">
        <f t="shared" si="800"/>
        <v>2414780.3834764999</v>
      </c>
      <c r="AN152" s="166">
        <f t="shared" si="800"/>
        <v>2337037.513847</v>
      </c>
      <c r="AO152" s="571" t="s">
        <v>169</v>
      </c>
      <c r="AQ152" s="205"/>
      <c r="AS152" s="166">
        <f t="shared" ref="AS152" si="801">SUM(AS144,AS148)</f>
        <v>0</v>
      </c>
      <c r="AU152" s="166">
        <f t="shared" ref="AU152" si="802">SUM(AU144,AU148)</f>
        <v>0</v>
      </c>
      <c r="AW152" s="90">
        <f t="shared" ref="AW152" si="803">IF(AX151&lt;&gt;0,AX152/AX151,0)</f>
        <v>0.82927997342210558</v>
      </c>
      <c r="AX152" s="54">
        <f t="shared" si="757"/>
        <v>78978.17</v>
      </c>
      <c r="AY152" s="166">
        <f t="shared" ref="AY152:BA152" si="804">SUM(AY144,AY148)</f>
        <v>155294.72943840001</v>
      </c>
      <c r="AZ152" s="166">
        <f t="shared" si="804"/>
        <v>2256519.1648280001</v>
      </c>
      <c r="BA152" s="166">
        <f t="shared" si="804"/>
        <v>2178871.8001088002</v>
      </c>
      <c r="BB152" s="571" t="s">
        <v>169</v>
      </c>
      <c r="BD152" s="205"/>
      <c r="BF152" s="166">
        <f t="shared" ref="BF152" si="805">SUM(BF144,BF148)</f>
        <v>0</v>
      </c>
      <c r="BH152" s="166">
        <f t="shared" ref="BH152" si="806">SUM(BH144,BH148)</f>
        <v>0</v>
      </c>
      <c r="BJ152" s="90">
        <f t="shared" ref="BJ152" si="807">IF(BK151&lt;&gt;0,BK152/BK151,0)</f>
        <v>0.82816009042137906</v>
      </c>
      <c r="BK152" s="54">
        <f t="shared" si="757"/>
        <v>73564.259999999995</v>
      </c>
      <c r="BL152" s="166">
        <f t="shared" ref="BL152:BN152" si="808">SUM(BL144,BL148)</f>
        <v>148186.4203648</v>
      </c>
      <c r="BM152" s="166">
        <f t="shared" si="808"/>
        <v>2101835.8728511999</v>
      </c>
      <c r="BN152" s="166">
        <f t="shared" si="808"/>
        <v>2027742.6626687997</v>
      </c>
      <c r="BO152" s="571" t="s">
        <v>169</v>
      </c>
      <c r="BQ152" s="205"/>
      <c r="BS152" s="166">
        <f t="shared" ref="BS152" si="809">SUM(BS144,BS148)</f>
        <v>0</v>
      </c>
      <c r="BU152" s="166">
        <f t="shared" ref="BU152" si="810">SUM(BU144,BU148)</f>
        <v>0</v>
      </c>
      <c r="BW152" s="90">
        <f t="shared" ref="BW152" si="811">IF(BX151&lt;&gt;0,BX152/BX151,0)</f>
        <v>0.82694993812593631</v>
      </c>
      <c r="BX152" s="54">
        <f t="shared" si="772"/>
        <v>68522.61</v>
      </c>
      <c r="BY152" s="166">
        <f t="shared" ref="BY152:CA152" si="812">SUM(BY144,BY148)</f>
        <v>133982.0503335</v>
      </c>
      <c r="BZ152" s="166">
        <f t="shared" si="812"/>
        <v>1957788.9628717499</v>
      </c>
      <c r="CA152" s="166">
        <f t="shared" si="812"/>
        <v>1890797.9377049999</v>
      </c>
      <c r="CB152" s="571" t="s">
        <v>169</v>
      </c>
      <c r="CD152" s="205"/>
      <c r="CF152" s="166">
        <f t="shared" ref="CF152" si="813">SUM(CF144,CF148)</f>
        <v>0</v>
      </c>
      <c r="CH152" s="166">
        <f t="shared" ref="CH152" si="814">SUM(CH144,CH148)</f>
        <v>0</v>
      </c>
      <c r="CJ152" s="90">
        <f t="shared" ref="CJ152" si="815">IF(CK151&lt;&gt;0,CK152/CK151,0)</f>
        <v>0.82569004843794047</v>
      </c>
      <c r="CK152" s="54">
        <f t="shared" si="772"/>
        <v>54769.919999999998</v>
      </c>
      <c r="CL152" s="166">
        <f t="shared" ref="CL152:CN152" si="816">SUM(CL144,CL148)</f>
        <v>124506.23271570001</v>
      </c>
      <c r="CM152" s="166">
        <f t="shared" si="816"/>
        <v>1825663.86675315</v>
      </c>
      <c r="CN152" s="166">
        <f t="shared" si="816"/>
        <v>1763410.7503953001</v>
      </c>
      <c r="CO152" s="571" t="s">
        <v>169</v>
      </c>
      <c r="CQ152" s="205"/>
      <c r="CS152" s="166">
        <f t="shared" ref="CS152" si="817">SUM(CS144,CS148)</f>
        <v>0</v>
      </c>
      <c r="CU152" s="166">
        <f t="shared" ref="CU152" si="818">SUM(CU144,CU148)</f>
        <v>0</v>
      </c>
      <c r="CW152" s="90">
        <f t="shared" ref="CW152" si="819">IF(CX151&lt;&gt;0,CX152/CX151,0)</f>
        <v>0.82432003189965819</v>
      </c>
      <c r="CX152" s="54">
        <f t="shared" si="772"/>
        <v>51020.53</v>
      </c>
      <c r="CY152" s="166">
        <f t="shared" ref="CY152:DA152" si="820">SUM(CY144,CY148)</f>
        <v>119601.02568960001</v>
      </c>
      <c r="CZ152" s="166">
        <f t="shared" si="820"/>
        <v>1700684.3540735999</v>
      </c>
      <c r="DA152" s="166">
        <f t="shared" si="820"/>
        <v>1640883.8412287999</v>
      </c>
      <c r="DB152" s="571" t="s">
        <v>169</v>
      </c>
      <c r="DD152" s="205"/>
      <c r="DF152" s="166">
        <f t="shared" ref="DF152" si="821">SUM(DF144,DF148)</f>
        <v>0</v>
      </c>
      <c r="DH152" s="166">
        <f t="shared" ref="DH152" si="822">SUM(DH144,DH148)</f>
        <v>0</v>
      </c>
      <c r="DJ152" s="90">
        <f t="shared" ref="DJ152" si="823">IF(DK151&lt;&gt;0,DK152/DK151,0)</f>
        <v>0.82413991880971893</v>
      </c>
      <c r="DK152" s="54">
        <f t="shared" si="787"/>
        <v>47422.14</v>
      </c>
      <c r="DL152" s="166">
        <f t="shared" ref="DL152:DN152" si="824">SUM(DL144,DL148)</f>
        <v>119574.9093942</v>
      </c>
      <c r="DM152" s="166">
        <f t="shared" si="824"/>
        <v>1580738.0801804999</v>
      </c>
      <c r="DN152" s="166">
        <f t="shared" si="824"/>
        <v>1520950.6254834</v>
      </c>
      <c r="DO152" s="571" t="s">
        <v>169</v>
      </c>
      <c r="DQ152" s="205"/>
      <c r="DS152" s="166">
        <f t="shared" ref="DS152" si="825">SUM(DS144,DS148)</f>
        <v>0</v>
      </c>
      <c r="DU152" s="166">
        <f t="shared" ref="DU152" si="826">SUM(DU144,DU148)</f>
        <v>0</v>
      </c>
      <c r="DW152" s="90">
        <f t="shared" ref="DW152" si="827">IF(DX151&lt;&gt;0,DX152/DX151,0)</f>
        <v>0.82544001398794664</v>
      </c>
      <c r="DX152" s="54">
        <f t="shared" si="787"/>
        <v>43904.04</v>
      </c>
      <c r="DY152" s="166">
        <f t="shared" ref="DY152:EA152" si="828">SUM(DY144,DY148)</f>
        <v>119763.5270832</v>
      </c>
      <c r="DZ152" s="166">
        <f t="shared" si="828"/>
        <v>1463468.0123447997</v>
      </c>
      <c r="EA152" s="166">
        <f t="shared" si="828"/>
        <v>1403586.2488031997</v>
      </c>
      <c r="EB152" s="571" t="s">
        <v>169</v>
      </c>
      <c r="ED152" s="205"/>
    </row>
    <row r="153" spans="1:134" x14ac:dyDescent="0.35">
      <c r="A153" s="73" t="s">
        <v>170</v>
      </c>
      <c r="Q153" s="205">
        <v>26</v>
      </c>
      <c r="S153" s="166">
        <f t="shared" ref="S153:U153" si="829">SUM(S145,S149)</f>
        <v>0</v>
      </c>
      <c r="U153" s="166">
        <f t="shared" si="829"/>
        <v>0</v>
      </c>
      <c r="W153" s="90">
        <f>IF(X151&lt;&gt;0,X153/X151,0)</f>
        <v>0.16877998219585391</v>
      </c>
      <c r="X153" s="54">
        <f t="shared" si="795"/>
        <v>18286.560000000001</v>
      </c>
      <c r="Y153" s="166">
        <f t="shared" ref="Y153:AA153" si="830">SUM(Y145,Y149)</f>
        <v>31606.507373400003</v>
      </c>
      <c r="Z153" s="166">
        <f t="shared" si="830"/>
        <v>522473.22196230007</v>
      </c>
      <c r="AA153" s="166">
        <f t="shared" si="830"/>
        <v>506669.96827560005</v>
      </c>
      <c r="AB153" s="73" t="s">
        <v>170</v>
      </c>
      <c r="AD153" s="205"/>
      <c r="AF153" s="166">
        <f t="shared" ref="AF153" si="831">SUM(AF145,AF149)</f>
        <v>0</v>
      </c>
      <c r="AH153" s="166">
        <f t="shared" ref="AH153" si="832">SUM(AH145,AH149)</f>
        <v>0</v>
      </c>
      <c r="AJ153" s="90">
        <f t="shared" ref="AJ153" si="833">IF(AK151&lt;&gt;0,AK153/AK151,0)</f>
        <v>0.16969996453527952</v>
      </c>
      <c r="AK153" s="54">
        <f t="shared" si="757"/>
        <v>17273.98</v>
      </c>
      <c r="AL153" s="166">
        <f t="shared" ref="AL153:AN153" si="834">SUM(AL145,AL149)</f>
        <v>31778.790740999997</v>
      </c>
      <c r="AM153" s="166">
        <f t="shared" si="834"/>
        <v>493542.3715234999</v>
      </c>
      <c r="AN153" s="166">
        <f t="shared" si="834"/>
        <v>477652.97615299991</v>
      </c>
      <c r="AO153" s="571" t="s">
        <v>170</v>
      </c>
      <c r="AQ153" s="205"/>
      <c r="AS153" s="166">
        <f t="shared" ref="AS153" si="835">SUM(AS145,AS149)</f>
        <v>0</v>
      </c>
      <c r="AU153" s="166">
        <f t="shared" ref="AU153" si="836">SUM(AU145,AU149)</f>
        <v>0</v>
      </c>
      <c r="AW153" s="90">
        <f t="shared" ref="AW153" si="837">IF(AX151&lt;&gt;0,AX153/AX151,0)</f>
        <v>0.17072002657789451</v>
      </c>
      <c r="AX153" s="54">
        <f t="shared" si="757"/>
        <v>16258.87</v>
      </c>
      <c r="AY153" s="166">
        <f t="shared" ref="AY153:BA153" si="838">SUM(AY145,AY149)</f>
        <v>31969.800561600001</v>
      </c>
      <c r="AZ153" s="166">
        <f t="shared" si="838"/>
        <v>464539.06017200009</v>
      </c>
      <c r="BA153" s="166">
        <f t="shared" si="838"/>
        <v>448554.15989120008</v>
      </c>
      <c r="BB153" s="571" t="s">
        <v>170</v>
      </c>
      <c r="BD153" s="205"/>
      <c r="BF153" s="166">
        <f t="shared" ref="BF153" si="839">SUM(BF145,BF149)</f>
        <v>0</v>
      </c>
      <c r="BH153" s="166">
        <f t="shared" ref="BH153" si="840">SUM(BH145,BH149)</f>
        <v>0</v>
      </c>
      <c r="BJ153" s="90">
        <f t="shared" ref="BJ153" si="841">IF(BK151&lt;&gt;0,BK153/BK151,0)</f>
        <v>0.1718400221550391</v>
      </c>
      <c r="BK153" s="54">
        <f t="shared" si="757"/>
        <v>15264.3</v>
      </c>
      <c r="BL153" s="166">
        <f t="shared" ref="BL153:BN153" si="842">SUM(BL145,BL149)</f>
        <v>30748.109635199999</v>
      </c>
      <c r="BM153" s="166">
        <f t="shared" si="842"/>
        <v>436122.82214879995</v>
      </c>
      <c r="BN153" s="166">
        <f t="shared" si="842"/>
        <v>420748.76733119995</v>
      </c>
      <c r="BO153" s="571" t="s">
        <v>170</v>
      </c>
      <c r="BQ153" s="205"/>
      <c r="BS153" s="166">
        <f t="shared" ref="BS153" si="843">SUM(BS145,BS149)</f>
        <v>0</v>
      </c>
      <c r="BU153" s="166">
        <f t="shared" ref="BU153" si="844">SUM(BU145,BU149)</f>
        <v>0</v>
      </c>
      <c r="BW153" s="90">
        <f t="shared" ref="BW153" si="845">IF(BX151&lt;&gt;0,BX153/BX151,0)</f>
        <v>0.17304994119127906</v>
      </c>
      <c r="BX153" s="54">
        <f t="shared" si="772"/>
        <v>14339.24</v>
      </c>
      <c r="BY153" s="166">
        <f t="shared" ref="BY153:CA153" si="846">SUM(BY145,BY149)</f>
        <v>28037.479666500003</v>
      </c>
      <c r="BZ153" s="166">
        <f t="shared" si="846"/>
        <v>409692.70212825004</v>
      </c>
      <c r="CA153" s="166">
        <f t="shared" si="846"/>
        <v>395673.96229500003</v>
      </c>
      <c r="CB153" s="571" t="s">
        <v>170</v>
      </c>
      <c r="CD153" s="205"/>
      <c r="CF153" s="166">
        <f t="shared" ref="CF153" si="847">SUM(CF145,CF149)</f>
        <v>0</v>
      </c>
      <c r="CH153" s="166">
        <f t="shared" ref="CH153" si="848">SUM(CH145,CH149)</f>
        <v>0</v>
      </c>
      <c r="CJ153" s="90">
        <f t="shared" ref="CJ153" si="849">IF(CK151&lt;&gt;0,CK153/CK151,0)</f>
        <v>0.1743099515620595</v>
      </c>
      <c r="CK153" s="54">
        <f t="shared" si="772"/>
        <v>11562.38</v>
      </c>
      <c r="CL153" s="166">
        <f t="shared" ref="CL153:CN153" si="850">SUM(CL145,CL149)</f>
        <v>26284.297284299999</v>
      </c>
      <c r="CM153" s="166">
        <f t="shared" si="850"/>
        <v>385412.76824685</v>
      </c>
      <c r="CN153" s="166">
        <f t="shared" si="850"/>
        <v>372270.61960470001</v>
      </c>
      <c r="CO153" s="571" t="s">
        <v>170</v>
      </c>
      <c r="CQ153" s="205"/>
      <c r="CS153" s="166">
        <f t="shared" ref="CS153" si="851">SUM(CS145,CS149)</f>
        <v>0</v>
      </c>
      <c r="CU153" s="166">
        <f t="shared" ref="CU153" si="852">SUM(CU145,CU149)</f>
        <v>0</v>
      </c>
      <c r="CW153" s="90">
        <f t="shared" ref="CW153" si="853">IF(CX151&lt;&gt;0,CX153/CX151,0)</f>
        <v>0.17567996810034173</v>
      </c>
      <c r="CX153" s="54">
        <f t="shared" si="772"/>
        <v>10873.55</v>
      </c>
      <c r="CY153" s="166">
        <f t="shared" ref="CY153:DA153" si="854">SUM(CY145,CY149)</f>
        <v>25489.5043104</v>
      </c>
      <c r="CZ153" s="166">
        <f t="shared" si="854"/>
        <v>362451.75092639995</v>
      </c>
      <c r="DA153" s="166">
        <f t="shared" si="854"/>
        <v>349706.99877119996</v>
      </c>
      <c r="DB153" s="571" t="s">
        <v>170</v>
      </c>
      <c r="DD153" s="205"/>
      <c r="DF153" s="166">
        <f t="shared" ref="DF153" si="855">SUM(DF145,DF149)</f>
        <v>0</v>
      </c>
      <c r="DH153" s="166">
        <f t="shared" ref="DH153" si="856">SUM(DH145,DH149)</f>
        <v>0</v>
      </c>
      <c r="DJ153" s="90">
        <f t="shared" ref="DJ153" si="857">IF(DK151&lt;&gt;0,DK153/DK151,0)</f>
        <v>0.1758599074022742</v>
      </c>
      <c r="DK153" s="54">
        <f t="shared" si="787"/>
        <v>10119.219999999999</v>
      </c>
      <c r="DL153" s="166">
        <f t="shared" ref="DL153:DN153" si="858">SUM(DL145,DL149)</f>
        <v>25515.620605799999</v>
      </c>
      <c r="DM153" s="166">
        <f t="shared" si="858"/>
        <v>337307.49481949996</v>
      </c>
      <c r="DN153" s="166">
        <f t="shared" si="858"/>
        <v>324549.68451659998</v>
      </c>
      <c r="DO153" s="571" t="s">
        <v>170</v>
      </c>
      <c r="DQ153" s="205"/>
      <c r="DS153" s="166">
        <f t="shared" ref="DS153" si="859">SUM(DS145,DS149)</f>
        <v>0</v>
      </c>
      <c r="DU153" s="166">
        <f t="shared" ref="DU153" si="860">SUM(DU145,DU149)</f>
        <v>0</v>
      </c>
      <c r="DW153" s="90">
        <f t="shared" ref="DW153" si="861">IF(DX151&lt;&gt;0,DX153/DX151,0)</f>
        <v>0.17455998601205333</v>
      </c>
      <c r="DX153" s="54">
        <f t="shared" si="787"/>
        <v>9284.61</v>
      </c>
      <c r="DY153" s="166">
        <f t="shared" ref="DY153:EA153" si="862">SUM(DY145,DY149)</f>
        <v>25327.0029168</v>
      </c>
      <c r="DZ153" s="166">
        <f t="shared" si="862"/>
        <v>309487.03265519993</v>
      </c>
      <c r="EA153" s="166">
        <f t="shared" si="862"/>
        <v>296823.53119679994</v>
      </c>
      <c r="EB153" s="571" t="s">
        <v>170</v>
      </c>
      <c r="ED153" s="205"/>
    </row>
    <row r="154" spans="1:134" x14ac:dyDescent="0.35">
      <c r="A154" s="73" t="s">
        <v>175</v>
      </c>
      <c r="Q154" s="205">
        <v>27</v>
      </c>
      <c r="S154" s="166">
        <f t="shared" ref="S154:U154" si="863">SUM(S146,S150)</f>
        <v>0</v>
      </c>
      <c r="U154" s="166">
        <f t="shared" si="863"/>
        <v>0</v>
      </c>
      <c r="W154" s="90">
        <f>IF(X151&lt;&gt;0,X154/X151,0)</f>
        <v>0</v>
      </c>
      <c r="X154" s="54">
        <f t="shared" si="795"/>
        <v>0</v>
      </c>
      <c r="Y154" s="166">
        <f t="shared" ref="Y154:AA154" si="864">SUM(Y146,Y150)</f>
        <v>0</v>
      </c>
      <c r="Z154" s="166">
        <f t="shared" si="864"/>
        <v>0</v>
      </c>
      <c r="AA154" s="166">
        <f t="shared" si="864"/>
        <v>0</v>
      </c>
      <c r="AB154" s="73" t="s">
        <v>175</v>
      </c>
      <c r="AD154" s="205"/>
      <c r="AF154" s="166">
        <f t="shared" ref="AF154" si="865">SUM(AF146,AF150)</f>
        <v>0</v>
      </c>
      <c r="AH154" s="166">
        <f t="shared" ref="AH154" si="866">SUM(AH146,AH150)</f>
        <v>0</v>
      </c>
      <c r="AJ154" s="90">
        <f t="shared" ref="AJ154" si="867">IF(AK151&lt;&gt;0,AK154/AK151,0)</f>
        <v>0</v>
      </c>
      <c r="AK154" s="54">
        <f t="shared" si="757"/>
        <v>0</v>
      </c>
      <c r="AL154" s="166">
        <f t="shared" ref="AL154:AN154" si="868">SUM(AL146,AL150)</f>
        <v>0</v>
      </c>
      <c r="AM154" s="166">
        <f t="shared" si="868"/>
        <v>0</v>
      </c>
      <c r="AN154" s="166">
        <f t="shared" si="868"/>
        <v>0</v>
      </c>
      <c r="AO154" s="571" t="s">
        <v>175</v>
      </c>
      <c r="AQ154" s="205"/>
      <c r="AS154" s="166">
        <f t="shared" ref="AS154" si="869">SUM(AS146,AS150)</f>
        <v>0</v>
      </c>
      <c r="AU154" s="166">
        <f t="shared" ref="AU154" si="870">SUM(AU146,AU150)</f>
        <v>0</v>
      </c>
      <c r="AW154" s="90">
        <f t="shared" ref="AW154" si="871">IF(AX151&lt;&gt;0,AX154/AX151,0)</f>
        <v>0</v>
      </c>
      <c r="AX154" s="54">
        <f t="shared" si="757"/>
        <v>0</v>
      </c>
      <c r="AY154" s="166">
        <f t="shared" ref="AY154:BA154" si="872">SUM(AY146,AY150)</f>
        <v>0</v>
      </c>
      <c r="AZ154" s="166">
        <f t="shared" si="872"/>
        <v>0</v>
      </c>
      <c r="BA154" s="166">
        <f t="shared" si="872"/>
        <v>0</v>
      </c>
      <c r="BB154" s="571" t="s">
        <v>175</v>
      </c>
      <c r="BD154" s="205"/>
      <c r="BF154" s="166">
        <f t="shared" ref="BF154" si="873">SUM(BF146,BF150)</f>
        <v>0</v>
      </c>
      <c r="BH154" s="166">
        <f t="shared" ref="BH154" si="874">SUM(BH146,BH150)</f>
        <v>0</v>
      </c>
      <c r="BJ154" s="90">
        <f t="shared" ref="BJ154" si="875">IF(BK151&lt;&gt;0,BK154/BK151,0)</f>
        <v>0</v>
      </c>
      <c r="BK154" s="54">
        <f t="shared" si="757"/>
        <v>0</v>
      </c>
      <c r="BL154" s="166">
        <f t="shared" ref="BL154:BN154" si="876">SUM(BL146,BL150)</f>
        <v>0</v>
      </c>
      <c r="BM154" s="166">
        <f t="shared" si="876"/>
        <v>0</v>
      </c>
      <c r="BN154" s="166">
        <f t="shared" si="876"/>
        <v>0</v>
      </c>
      <c r="BO154" s="571" t="s">
        <v>175</v>
      </c>
      <c r="BQ154" s="205"/>
      <c r="BS154" s="166">
        <f t="shared" ref="BS154" si="877">SUM(BS146,BS150)</f>
        <v>0</v>
      </c>
      <c r="BU154" s="166">
        <f t="shared" ref="BU154" si="878">SUM(BU146,BU150)</f>
        <v>0</v>
      </c>
      <c r="BW154" s="90">
        <f t="shared" ref="BW154" si="879">IF(BX151&lt;&gt;0,BX154/BX151,0)</f>
        <v>0</v>
      </c>
      <c r="BX154" s="54">
        <f t="shared" si="772"/>
        <v>0</v>
      </c>
      <c r="BY154" s="166">
        <f t="shared" ref="BY154:CA154" si="880">SUM(BY146,BY150)</f>
        <v>0</v>
      </c>
      <c r="BZ154" s="166">
        <f t="shared" si="880"/>
        <v>0</v>
      </c>
      <c r="CA154" s="166">
        <f t="shared" si="880"/>
        <v>0</v>
      </c>
      <c r="CB154" s="571" t="s">
        <v>175</v>
      </c>
      <c r="CD154" s="205"/>
      <c r="CF154" s="166">
        <f t="shared" ref="CF154" si="881">SUM(CF146,CF150)</f>
        <v>0</v>
      </c>
      <c r="CH154" s="166">
        <f t="shared" ref="CH154" si="882">SUM(CH146,CH150)</f>
        <v>0</v>
      </c>
      <c r="CJ154" s="90">
        <f t="shared" ref="CJ154" si="883">IF(CK151&lt;&gt;0,CK154/CK151,0)</f>
        <v>0</v>
      </c>
      <c r="CK154" s="54">
        <f t="shared" si="772"/>
        <v>0</v>
      </c>
      <c r="CL154" s="166">
        <f t="shared" ref="CL154:CN154" si="884">SUM(CL146,CL150)</f>
        <v>0</v>
      </c>
      <c r="CM154" s="166">
        <f t="shared" si="884"/>
        <v>0</v>
      </c>
      <c r="CN154" s="166">
        <f t="shared" si="884"/>
        <v>0</v>
      </c>
      <c r="CO154" s="571" t="s">
        <v>175</v>
      </c>
      <c r="CQ154" s="205"/>
      <c r="CS154" s="166">
        <f t="shared" ref="CS154" si="885">SUM(CS146,CS150)</f>
        <v>0</v>
      </c>
      <c r="CU154" s="166">
        <f t="shared" ref="CU154" si="886">SUM(CU146,CU150)</f>
        <v>0</v>
      </c>
      <c r="CW154" s="90">
        <f t="shared" ref="CW154" si="887">IF(CX151&lt;&gt;0,CX154/CX151,0)</f>
        <v>0</v>
      </c>
      <c r="CX154" s="54">
        <f t="shared" si="772"/>
        <v>0</v>
      </c>
      <c r="CY154" s="166">
        <f t="shared" ref="CY154:DA154" si="888">SUM(CY146,CY150)</f>
        <v>0</v>
      </c>
      <c r="CZ154" s="166">
        <f t="shared" si="888"/>
        <v>0</v>
      </c>
      <c r="DA154" s="166">
        <f t="shared" si="888"/>
        <v>0</v>
      </c>
      <c r="DB154" s="571" t="s">
        <v>175</v>
      </c>
      <c r="DD154" s="205"/>
      <c r="DF154" s="166">
        <f t="shared" ref="DF154" si="889">SUM(DF146,DF150)</f>
        <v>0</v>
      </c>
      <c r="DH154" s="166">
        <f t="shared" ref="DH154" si="890">SUM(DH146,DH150)</f>
        <v>0</v>
      </c>
      <c r="DJ154" s="90">
        <f t="shared" ref="DJ154" si="891">IF(DK151&lt;&gt;0,DK154/DK151,0)</f>
        <v>0</v>
      </c>
      <c r="DK154" s="54">
        <f t="shared" si="787"/>
        <v>0</v>
      </c>
      <c r="DL154" s="166">
        <f t="shared" ref="DL154:DN154" si="892">SUM(DL146,DL150)</f>
        <v>0</v>
      </c>
      <c r="DM154" s="166">
        <f t="shared" si="892"/>
        <v>0</v>
      </c>
      <c r="DN154" s="166">
        <f t="shared" si="892"/>
        <v>0</v>
      </c>
      <c r="DO154" s="571" t="s">
        <v>175</v>
      </c>
      <c r="DQ154" s="205"/>
      <c r="DS154" s="166">
        <f t="shared" ref="DS154" si="893">SUM(DS146,DS150)</f>
        <v>0</v>
      </c>
      <c r="DU154" s="166">
        <f t="shared" ref="DU154" si="894">SUM(DU146,DU150)</f>
        <v>0</v>
      </c>
      <c r="DW154" s="90">
        <f t="shared" ref="DW154" si="895">IF(DX151&lt;&gt;0,DX154/DX151,0)</f>
        <v>0</v>
      </c>
      <c r="DX154" s="54">
        <f t="shared" si="787"/>
        <v>0</v>
      </c>
      <c r="DY154" s="166">
        <f t="shared" ref="DY154:EA154" si="896">SUM(DY146,DY150)</f>
        <v>0</v>
      </c>
      <c r="DZ154" s="166">
        <f t="shared" si="896"/>
        <v>0</v>
      </c>
      <c r="EA154" s="166">
        <f t="shared" si="896"/>
        <v>0</v>
      </c>
      <c r="EB154" s="571" t="s">
        <v>175</v>
      </c>
      <c r="ED154" s="205"/>
    </row>
    <row r="155" spans="1:134" ht="18.5" x14ac:dyDescent="0.45">
      <c r="A155" s="171" t="s">
        <v>868</v>
      </c>
      <c r="Q155" s="205">
        <v>28</v>
      </c>
      <c r="R155" s="171" t="s">
        <v>569</v>
      </c>
      <c r="Z155" s="202" t="s">
        <v>592</v>
      </c>
      <c r="AD155" s="205"/>
      <c r="AE155" s="171" t="s">
        <v>569</v>
      </c>
      <c r="AM155" s="202" t="s">
        <v>592</v>
      </c>
      <c r="AQ155" s="205"/>
      <c r="AR155" s="171" t="s">
        <v>569</v>
      </c>
      <c r="AZ155" s="202" t="s">
        <v>592</v>
      </c>
      <c r="BD155" s="205"/>
      <c r="BE155" s="171" t="s">
        <v>569</v>
      </c>
      <c r="BM155" s="202" t="s">
        <v>592</v>
      </c>
      <c r="BQ155" s="205"/>
      <c r="BR155" s="171" t="s">
        <v>569</v>
      </c>
      <c r="BZ155" s="202" t="s">
        <v>592</v>
      </c>
      <c r="CD155" s="205"/>
      <c r="CE155" s="171" t="s">
        <v>569</v>
      </c>
      <c r="CM155" s="202" t="s">
        <v>592</v>
      </c>
      <c r="CQ155" s="205"/>
      <c r="CR155" s="171" t="s">
        <v>569</v>
      </c>
      <c r="CZ155" s="202" t="s">
        <v>592</v>
      </c>
      <c r="DD155" s="205"/>
      <c r="DE155" s="171" t="s">
        <v>569</v>
      </c>
      <c r="DM155" s="202" t="s">
        <v>592</v>
      </c>
      <c r="DQ155" s="205"/>
      <c r="DR155" s="171" t="s">
        <v>569</v>
      </c>
      <c r="DZ155" s="202" t="s">
        <v>592</v>
      </c>
      <c r="ED155" s="205"/>
    </row>
    <row r="156" spans="1:134" x14ac:dyDescent="0.35">
      <c r="A156" s="91" t="s">
        <v>554</v>
      </c>
      <c r="Q156" s="205">
        <v>29</v>
      </c>
      <c r="V156" s="89"/>
      <c r="W156" s="90">
        <f t="shared" ref="W156" si="897">SUM(W157:W159)</f>
        <v>0</v>
      </c>
      <c r="X156" s="166">
        <f>(AC156+AD156/2)*HLOOKUP(X128,Grund_zins,2,FALSE)</f>
        <v>0</v>
      </c>
      <c r="Z156" s="91" t="s">
        <v>554</v>
      </c>
      <c r="AC156" s="89">
        <f>SUMIF($D$5:$D$125,"=bes",AC5:AC125)+SUMIF($D$5:$D$125,"=bem",AC5:AC125)+SUMIF($D$5:$D$125,"=ber",AC5:AC125)+SUMIF($D$5:$D$125,"=bek",AC5:AC125)</f>
        <v>0</v>
      </c>
      <c r="AD156" s="223">
        <f>SUMIF($D$5:$D$125,"=bes",AD5:AD125)+SUMIF($D$5:$D$125,"=bem",AD5:AD125)+SUMIF($D$5:$D$125,"=ber",AD5:AD125)+SUMIF($D$5:$D$125,"=bek",AD5:AD125)</f>
        <v>0</v>
      </c>
      <c r="AI156" s="89"/>
      <c r="AJ156" s="90">
        <f t="shared" ref="AJ156:CJ156" si="898">SUM(AJ157:AJ159)</f>
        <v>0</v>
      </c>
      <c r="AK156" s="166">
        <f>(AP156+AQ156/2)*HLOOKUP(AK128,Grund_zins,2,FALSE)</f>
        <v>0</v>
      </c>
      <c r="AM156" s="570" t="s">
        <v>554</v>
      </c>
      <c r="AP156" s="89">
        <f t="shared" ref="AP156:AQ156" si="899">SUMIF($D$5:$D$125,"=bes",AP5:AP125)+SUMIF($D$5:$D$125,"=bem",AP5:AP125)+SUMIF($D$5:$D$125,"=ber",AP5:AP125)+SUMIF($D$5:$D$125,"=bek",AP5:AP125)</f>
        <v>0</v>
      </c>
      <c r="AQ156" s="223">
        <f t="shared" si="899"/>
        <v>0</v>
      </c>
      <c r="AV156" s="89"/>
      <c r="AW156" s="90">
        <f t="shared" si="898"/>
        <v>0</v>
      </c>
      <c r="AX156" s="166">
        <f>(BC156+BD156/2)*HLOOKUP(AX128,Grund_zins,2,FALSE)</f>
        <v>0</v>
      </c>
      <c r="AZ156" s="570" t="s">
        <v>554</v>
      </c>
      <c r="BC156" s="89">
        <f t="shared" ref="BC156:BD156" si="900">SUMIF($D$5:$D$125,"=bes",BC5:BC125)+SUMIF($D$5:$D$125,"=bem",BC5:BC125)+SUMIF($D$5:$D$125,"=ber",BC5:BC125)+SUMIF($D$5:$D$125,"=bek",BC5:BC125)</f>
        <v>0</v>
      </c>
      <c r="BD156" s="223">
        <f t="shared" si="900"/>
        <v>0</v>
      </c>
      <c r="BI156" s="89"/>
      <c r="BJ156" s="90">
        <f t="shared" si="898"/>
        <v>0</v>
      </c>
      <c r="BK156" s="166">
        <f>(BP156+BQ156/2)*HLOOKUP(BK128,Grund_zins,2,FALSE)</f>
        <v>0</v>
      </c>
      <c r="BM156" s="570" t="s">
        <v>554</v>
      </c>
      <c r="BP156" s="89">
        <f t="shared" ref="BP156:BQ156" si="901">SUMIF($D$5:$D$125,"=bes",BP5:BP125)+SUMIF($D$5:$D$125,"=bem",BP5:BP125)+SUMIF($D$5:$D$125,"=ber",BP5:BP125)+SUMIF($D$5:$D$125,"=bek",BP5:BP125)</f>
        <v>0</v>
      </c>
      <c r="BQ156" s="223">
        <f t="shared" si="901"/>
        <v>0</v>
      </c>
      <c r="BV156" s="89"/>
      <c r="BW156" s="90">
        <f t="shared" si="898"/>
        <v>0</v>
      </c>
      <c r="BX156" s="166">
        <f>(CC156+CD156/2)*HLOOKUP(BX128,Grund_zins,2,FALSE)</f>
        <v>0</v>
      </c>
      <c r="BZ156" s="570" t="s">
        <v>554</v>
      </c>
      <c r="CC156" s="89">
        <f t="shared" ref="CC156:CD156" si="902">SUMIF($D$5:$D$125,"=bes",CC5:CC125)+SUMIF($D$5:$D$125,"=bem",CC5:CC125)+SUMIF($D$5:$D$125,"=ber",CC5:CC125)+SUMIF($D$5:$D$125,"=bek",CC5:CC125)</f>
        <v>0</v>
      </c>
      <c r="CD156" s="223">
        <f t="shared" si="902"/>
        <v>0</v>
      </c>
      <c r="CI156" s="89"/>
      <c r="CJ156" s="90">
        <f t="shared" si="898"/>
        <v>0</v>
      </c>
      <c r="CK156" s="166">
        <f>(CP156+CQ156/2)*HLOOKUP(CK128,Grund_zins,2,FALSE)</f>
        <v>0</v>
      </c>
      <c r="CM156" s="570" t="s">
        <v>554</v>
      </c>
      <c r="CP156" s="89">
        <f t="shared" ref="CP156:CQ156" si="903">SUMIF($D$5:$D$125,"=bes",CP5:CP125)+SUMIF($D$5:$D$125,"=bem",CP5:CP125)+SUMIF($D$5:$D$125,"=ber",CP5:CP125)+SUMIF($D$5:$D$125,"=bek",CP5:CP125)</f>
        <v>0</v>
      </c>
      <c r="CQ156" s="223">
        <f t="shared" si="903"/>
        <v>0</v>
      </c>
      <c r="CV156" s="89"/>
      <c r="CW156" s="90">
        <f t="shared" ref="CW156:DW156" si="904">SUM(CW157:CW159)</f>
        <v>0</v>
      </c>
      <c r="CX156" s="166">
        <f>(DC156+DD156/2)*HLOOKUP(CX128,Grund_zins,2,FALSE)</f>
        <v>0</v>
      </c>
      <c r="CZ156" s="570" t="s">
        <v>554</v>
      </c>
      <c r="DC156" s="89">
        <f t="shared" ref="DC156:DD156" si="905">SUMIF($D$5:$D$125,"=bes",DC5:DC125)+SUMIF($D$5:$D$125,"=bem",DC5:DC125)+SUMIF($D$5:$D$125,"=ber",DC5:DC125)+SUMIF($D$5:$D$125,"=bek",DC5:DC125)</f>
        <v>0</v>
      </c>
      <c r="DD156" s="223">
        <f t="shared" si="905"/>
        <v>0</v>
      </c>
      <c r="DI156" s="89"/>
      <c r="DJ156" s="90">
        <f t="shared" si="904"/>
        <v>0</v>
      </c>
      <c r="DK156" s="166">
        <f>(DP156+DQ156/2)*HLOOKUP(DK128,Grund_zins,2,FALSE)</f>
        <v>0</v>
      </c>
      <c r="DM156" s="570" t="s">
        <v>554</v>
      </c>
      <c r="DP156" s="89">
        <f t="shared" ref="DP156:DQ156" si="906">SUMIF($D$5:$D$125,"=bes",DP5:DP125)+SUMIF($D$5:$D$125,"=bem",DP5:DP125)+SUMIF($D$5:$D$125,"=ber",DP5:DP125)+SUMIF($D$5:$D$125,"=bek",DP5:DP125)</f>
        <v>0</v>
      </c>
      <c r="DQ156" s="223">
        <f t="shared" si="906"/>
        <v>0</v>
      </c>
      <c r="DV156" s="89"/>
      <c r="DW156" s="90">
        <f t="shared" si="904"/>
        <v>0</v>
      </c>
      <c r="DX156" s="166">
        <f>(EC156+ED156/2)*HLOOKUP(DX128,Grund_zins,2,FALSE)</f>
        <v>0</v>
      </c>
      <c r="DZ156" s="570" t="s">
        <v>554</v>
      </c>
      <c r="EC156" s="89">
        <f t="shared" ref="EC156:ED156" si="907">SUMIF($D$5:$D$125,"=bes",EC5:EC125)+SUMIF($D$5:$D$125,"=bem",EC5:EC125)+SUMIF($D$5:$D$125,"=ber",EC5:EC125)+SUMIF($D$5:$D$125,"=bek",EC5:EC125)</f>
        <v>0</v>
      </c>
      <c r="ED156" s="223">
        <f t="shared" si="907"/>
        <v>0</v>
      </c>
    </row>
    <row r="157" spans="1:134" x14ac:dyDescent="0.35">
      <c r="A157" s="73" t="s">
        <v>169</v>
      </c>
      <c r="Q157" s="205">
        <v>30</v>
      </c>
      <c r="V157" s="89"/>
      <c r="W157" s="90">
        <f t="shared" ref="W157" si="908">IF(X156&lt;&gt;0,X157/X156,0)</f>
        <v>0</v>
      </c>
      <c r="X157" s="166">
        <f>(AC157+AD157/2)*HLOOKUP(X128,Grund_zins,2,FALSE)</f>
        <v>0</v>
      </c>
      <c r="Z157" s="73" t="s">
        <v>169</v>
      </c>
      <c r="AC157" s="89">
        <f>SUMIF($D$5:$D$125,"=bes",AC5:AC125)*HLOOKUP(X128,Verteil_sw,32,FALSE)+SUMIF($D$5:$D$125,"=bem",AC5:AC125)*HLOOKUP(X128,Verteil_sw,33,FALSE)+SUMIF($D$5:$D$125,"=ber",AC5:AC125)*HLOOKUP(X128,Verteil_sw,34,FALSE)+SUMIF($D$5:$D$125,"=bek",AC5:AC125)*HLOOKUP(X128,Verteil_sw,35,FALSE)</f>
        <v>0</v>
      </c>
      <c r="AD157" s="223">
        <f>SUMIF($D$5:$D$125,"=bes",AD5:AD125)*HLOOKUP(X128,Verteil_sw,32,FALSE)+SUMIF($D$5:$D$125,"=bem",AD5:AD125)*HLOOKUP(X128,Verteil_sw,33,FALSE)+SUMIF($D$5:$D$125,"=ber",AD5:AD125)*HLOOKUP(X128,Verteil_sw,34,FALSE)+SUMIF($D$5:$D$125,"=bek",AD5:AD125)*HLOOKUP(X128,Verteil_sw,35,FALSE)</f>
        <v>0</v>
      </c>
      <c r="AI157" s="89"/>
      <c r="AJ157" s="90">
        <f t="shared" ref="AJ157" si="909">IF(AK156&lt;&gt;0,AK157/AK156,0)</f>
        <v>0</v>
      </c>
      <c r="AK157" s="166">
        <f>(AP157+AQ157/2)*HLOOKUP(AK128,Grund_zins,2,FALSE)</f>
        <v>0</v>
      </c>
      <c r="AM157" s="571" t="s">
        <v>169</v>
      </c>
      <c r="AP157" s="89">
        <f>SUMIF($D$5:$D$125,"=bes",AP5:AP125)*HLOOKUP(AK128,Verteil_sw,32,FALSE)+SUMIF($D$5:$D$125,"=bem",AP5:AP125)*HLOOKUP(AK128,Verteil_sw,33,FALSE)+SUMIF($D$5:$D$125,"=ber",AP5:AP125)*HLOOKUP(AK128,Verteil_sw,34,FALSE)+SUMIF($D$5:$D$125,"=bek",AP5:AP125)*HLOOKUP(AK128,Verteil_sw,35,FALSE)</f>
        <v>0</v>
      </c>
      <c r="AQ157" s="223">
        <f>SUMIF($D$5:$D$125,"=bes",AQ5:AQ125)*HLOOKUP(AK128,Verteil_sw,32,FALSE)+SUMIF($D$5:$D$125,"=bem",AQ5:AQ125)*HLOOKUP(AK128,Verteil_sw,33,FALSE)+SUMIF($D$5:$D$125,"=ber",AQ5:AQ125)*HLOOKUP(AK128,Verteil_sw,34,FALSE)+SUMIF($D$5:$D$125,"=bek",AQ5:AQ125)*HLOOKUP(AK128,Verteil_sw,35,FALSE)</f>
        <v>0</v>
      </c>
      <c r="AV157" s="89"/>
      <c r="AW157" s="90">
        <f t="shared" ref="AW157" si="910">IF(AX156&lt;&gt;0,AX157/AX156,0)</f>
        <v>0</v>
      </c>
      <c r="AX157" s="166">
        <f>(BC157+BD157/2)*HLOOKUP(AX128,Grund_zins,2,FALSE)</f>
        <v>0</v>
      </c>
      <c r="AZ157" s="571" t="s">
        <v>169</v>
      </c>
      <c r="BC157" s="89">
        <f>SUMIF($D$5:$D$125,"=bes",BC5:BC125)*HLOOKUP(AX128,Verteil_sw,32,FALSE)+SUMIF($D$5:$D$125,"=bem",BC5:BC125)*HLOOKUP(AX128,Verteil_sw,33,FALSE)+SUMIF($D$5:$D$125,"=ber",BC5:BC125)*HLOOKUP(AX128,Verteil_sw,34,FALSE)+SUMIF($D$5:$D$125,"=bek",BC5:BC125)*HLOOKUP(AX128,Verteil_sw,35,FALSE)</f>
        <v>0</v>
      </c>
      <c r="BD157" s="223">
        <f>SUMIF($D$5:$D$125,"=bes",BD5:BD125)*HLOOKUP(AX128,Verteil_sw,32,FALSE)+SUMIF($D$5:$D$125,"=bem",BD5:BD125)*HLOOKUP(AX128,Verteil_sw,33,FALSE)+SUMIF($D$5:$D$125,"=ber",BD5:BD125)*HLOOKUP(AX128,Verteil_sw,34,FALSE)+SUMIF($D$5:$D$125,"=bek",BD5:BD125)*HLOOKUP(AX128,Verteil_sw,35,FALSE)</f>
        <v>0</v>
      </c>
      <c r="BI157" s="89"/>
      <c r="BJ157" s="90">
        <f t="shared" ref="BJ157" si="911">IF(BK156&lt;&gt;0,BK157/BK156,0)</f>
        <v>0</v>
      </c>
      <c r="BK157" s="166">
        <f>(BP157+BQ157/2)*HLOOKUP(BK128,Grund_zins,2,FALSE)</f>
        <v>0</v>
      </c>
      <c r="BM157" s="571" t="s">
        <v>169</v>
      </c>
      <c r="BP157" s="89">
        <f>SUMIF($D$5:$D$125,"=bes",BP5:BP125)*HLOOKUP(BK128,Verteil_sw,32,FALSE)+SUMIF($D$5:$D$125,"=bem",BP5:BP125)*HLOOKUP(BK128,Verteil_sw,33,FALSE)+SUMIF($D$5:$D$125,"=ber",BP5:BP125)*HLOOKUP(BK128,Verteil_sw,34,FALSE)+SUMIF($D$5:$D$125,"=bek",BP5:BP125)*HLOOKUP(BK128,Verteil_sw,35,FALSE)</f>
        <v>0</v>
      </c>
      <c r="BQ157" s="223">
        <f>SUMIF($D$5:$D$125,"=bes",BQ5:BQ125)*HLOOKUP(BK128,Verteil_sw,32,FALSE)+SUMIF($D$5:$D$125,"=bem",BQ5:BQ125)*HLOOKUP(BK128,Verteil_sw,33,FALSE)+SUMIF($D$5:$D$125,"=ber",BQ5:BQ125)*HLOOKUP(BK128,Verteil_sw,34,FALSE)+SUMIF($D$5:$D$125,"=bek",BQ5:BQ125)*HLOOKUP(BK128,Verteil_sw,35,FALSE)</f>
        <v>0</v>
      </c>
      <c r="BV157" s="89"/>
      <c r="BW157" s="90">
        <f t="shared" ref="BW157" si="912">IF(BX156&lt;&gt;0,BX157/BX156,0)</f>
        <v>0</v>
      </c>
      <c r="BX157" s="166">
        <f>(CC157+CD157/2)*HLOOKUP(BX128,Grund_zins,2,FALSE)</f>
        <v>0</v>
      </c>
      <c r="BZ157" s="571" t="s">
        <v>169</v>
      </c>
      <c r="CC157" s="89">
        <f>SUMIF($D$5:$D$125,"=bes",CC5:CC125)*HLOOKUP(BX128,Verteil_sw,32,FALSE)+SUMIF($D$5:$D$125,"=bem",CC5:CC125)*HLOOKUP(BX128,Verteil_sw,33,FALSE)+SUMIF($D$5:$D$125,"=ber",CC5:CC125)*HLOOKUP(BX128,Verteil_sw,34,FALSE)+SUMIF($D$5:$D$125,"=bek",CC5:CC125)*HLOOKUP(BX128,Verteil_sw,35,FALSE)</f>
        <v>0</v>
      </c>
      <c r="CD157" s="223">
        <f>SUMIF($D$5:$D$125,"=bes",CD5:CD125)*HLOOKUP(BX128,Verteil_sw,32,FALSE)+SUMIF($D$5:$D$125,"=bem",CD5:CD125)*HLOOKUP(BX128,Verteil_sw,33,FALSE)+SUMIF($D$5:$D$125,"=ber",CD5:CD125)*HLOOKUP(BX128,Verteil_sw,34,FALSE)+SUMIF($D$5:$D$125,"=bek",CD5:CD125)*HLOOKUP(BX128,Verteil_sw,35,FALSE)</f>
        <v>0</v>
      </c>
      <c r="CI157" s="89"/>
      <c r="CJ157" s="90">
        <f t="shared" ref="CJ157" si="913">IF(CK156&lt;&gt;0,CK157/CK156,0)</f>
        <v>0</v>
      </c>
      <c r="CK157" s="166">
        <f>(CP157+CQ157/2)*HLOOKUP(CK128,Grund_zins,2,FALSE)</f>
        <v>0</v>
      </c>
      <c r="CM157" s="571" t="s">
        <v>169</v>
      </c>
      <c r="CP157" s="89">
        <f>SUMIF($D$5:$D$125,"=bes",CP5:CP125)*HLOOKUP(CK128,Verteil_sw,32,FALSE)+SUMIF($D$5:$D$125,"=bem",CP5:CP125)*HLOOKUP(CK128,Verteil_sw,33,FALSE)+SUMIF($D$5:$D$125,"=ber",CP5:CP125)*HLOOKUP(CK128,Verteil_sw,34,FALSE)+SUMIF($D$5:$D$125,"=bek",CP5:CP125)*HLOOKUP(CK128,Verteil_sw,35,FALSE)</f>
        <v>0</v>
      </c>
      <c r="CQ157" s="223">
        <f>SUMIF($D$5:$D$125,"=bes",CQ5:CQ125)*HLOOKUP(CK128,Verteil_sw,32,FALSE)+SUMIF($D$5:$D$125,"=bem",CQ5:CQ125)*HLOOKUP(CK128,Verteil_sw,33,FALSE)+SUMIF($D$5:$D$125,"=ber",CQ5:CQ125)*HLOOKUP(CK128,Verteil_sw,34,FALSE)+SUMIF($D$5:$D$125,"=bek",CQ5:CQ125)*HLOOKUP(CK128,Verteil_sw,35,FALSE)</f>
        <v>0</v>
      </c>
      <c r="CV157" s="89"/>
      <c r="CW157" s="90">
        <f t="shared" ref="CW157" si="914">IF(CX156&lt;&gt;0,CX157/CX156,0)</f>
        <v>0</v>
      </c>
      <c r="CX157" s="166">
        <f>(DC157+DD157/2)*HLOOKUP(CX128,Grund_zins,2,FALSE)</f>
        <v>0</v>
      </c>
      <c r="CZ157" s="571" t="s">
        <v>169</v>
      </c>
      <c r="DC157" s="89">
        <f>SUMIF($D$5:$D$125,"=bes",DC5:DC125)*HLOOKUP(CX128,Verteil_sw,32,FALSE)+SUMIF($D$5:$D$125,"=bem",DC5:DC125)*HLOOKUP(CX128,Verteil_sw,33,FALSE)+SUMIF($D$5:$D$125,"=ber",DC5:DC125)*HLOOKUP(CX128,Verteil_sw,34,FALSE)+SUMIF($D$5:$D$125,"=bek",DC5:DC125)*HLOOKUP(CX128,Verteil_sw,35,FALSE)</f>
        <v>0</v>
      </c>
      <c r="DD157" s="223">
        <f>SUMIF($D$5:$D$125,"=bes",DD5:DD125)*HLOOKUP(CX128,Verteil_sw,32,FALSE)+SUMIF($D$5:$D$125,"=bem",DD5:DD125)*HLOOKUP(CX128,Verteil_sw,33,FALSE)+SUMIF($D$5:$D$125,"=ber",DD5:DD125)*HLOOKUP(CX128,Verteil_sw,34,FALSE)+SUMIF($D$5:$D$125,"=bek",DD5:DD125)*HLOOKUP(CX128,Verteil_sw,35,FALSE)</f>
        <v>0</v>
      </c>
      <c r="DI157" s="89"/>
      <c r="DJ157" s="90">
        <f t="shared" ref="DJ157" si="915">IF(DK156&lt;&gt;0,DK157/DK156,0)</f>
        <v>0</v>
      </c>
      <c r="DK157" s="166">
        <f>(DP157+DQ157/2)*HLOOKUP(DK128,Grund_zins,2,FALSE)</f>
        <v>0</v>
      </c>
      <c r="DM157" s="571" t="s">
        <v>169</v>
      </c>
      <c r="DP157" s="89">
        <f>SUMIF($D$5:$D$125,"=bes",DP5:DP125)*HLOOKUP(DK128,Verteil_sw,32,FALSE)+SUMIF($D$5:$D$125,"=bem",DP5:DP125)*HLOOKUP(DK128,Verteil_sw,33,FALSE)+SUMIF($D$5:$D$125,"=ber",DP5:DP125)*HLOOKUP(DK128,Verteil_sw,34,FALSE)+SUMIF($D$5:$D$125,"=bek",DP5:DP125)*HLOOKUP(DK128,Verteil_sw,35,FALSE)</f>
        <v>0</v>
      </c>
      <c r="DQ157" s="223">
        <f>SUMIF($D$5:$D$125,"=bes",DQ5:DQ125)*HLOOKUP(DK128,Verteil_sw,32,FALSE)+SUMIF($D$5:$D$125,"=bem",DQ5:DQ125)*HLOOKUP(DK128,Verteil_sw,33,FALSE)+SUMIF($D$5:$D$125,"=ber",DQ5:DQ125)*HLOOKUP(DK128,Verteil_sw,34,FALSE)+SUMIF($D$5:$D$125,"=bek",DQ5:DQ125)*HLOOKUP(DK128,Verteil_sw,35,FALSE)</f>
        <v>0</v>
      </c>
      <c r="DV157" s="89"/>
      <c r="DW157" s="90">
        <f t="shared" ref="DW157" si="916">IF(DX156&lt;&gt;0,DX157/DX156,0)</f>
        <v>0</v>
      </c>
      <c r="DX157" s="166">
        <f>(EC157+ED157/2)*HLOOKUP(DX128,Grund_zins,2,FALSE)</f>
        <v>0</v>
      </c>
      <c r="DZ157" s="571" t="s">
        <v>169</v>
      </c>
      <c r="EC157" s="89">
        <f>SUMIF($D$5:$D$125,"=bes",EC5:EC125)*HLOOKUP(DX128,Verteil_sw,32,FALSE)+SUMIF($D$5:$D$125,"=bem",EC5:EC125)*HLOOKUP(DX128,Verteil_sw,33,FALSE)+SUMIF($D$5:$D$125,"=ber",EC5:EC125)*HLOOKUP(DX128,Verteil_sw,34,FALSE)+SUMIF($D$5:$D$125,"=bek",EC5:EC125)*HLOOKUP(DX128,Verteil_sw,35,FALSE)</f>
        <v>0</v>
      </c>
      <c r="ED157" s="223">
        <f>SUMIF($D$5:$D$125,"=bes",ED5:ED125)*HLOOKUP(DX128,Verteil_sw,32,FALSE)+SUMIF($D$5:$D$125,"=bem",ED5:ED125)*HLOOKUP(DX128,Verteil_sw,33,FALSE)+SUMIF($D$5:$D$125,"=ber",ED5:ED125)*HLOOKUP(DX128,Verteil_sw,34,FALSE)+SUMIF($D$5:$D$125,"=bek",ED5:ED125)*HLOOKUP(DX128,Verteil_sw,35,FALSE)</f>
        <v>0</v>
      </c>
    </row>
    <row r="158" spans="1:134" x14ac:dyDescent="0.35">
      <c r="A158" s="73" t="s">
        <v>170</v>
      </c>
      <c r="Q158" s="205">
        <v>31</v>
      </c>
      <c r="V158" s="89"/>
      <c r="W158" s="90">
        <f t="shared" ref="W158" si="917">IF(X156&lt;&gt;0,X158/X156,0)</f>
        <v>0</v>
      </c>
      <c r="X158" s="166">
        <f>(AC158+AD158/2)*HLOOKUP(X128,Grund_zins,2,FALSE)</f>
        <v>0</v>
      </c>
      <c r="Z158" s="73" t="s">
        <v>170</v>
      </c>
      <c r="AC158" s="89">
        <f>SUMIF($D$5:$D$125,"=bes",AC5:AC125)*HLOOKUP(X128,Verteil_rwgr,31,FALSE)+SUMIF($D$5:$D$125,"=bem",AC5:AC125)*HLOOKUP(X128,Verteil_rwgr,32,FALSE)+SUMIF($D$5:$D$125,"=ber",AC5:AC125)*HLOOKUP(X128,Verteil_rwgr,33,FALSE)+SUMIF($D$5:$D$125,"=bek",AC5:AC125)*HLOOKUP(X128,Verteil_rwgr,34,FALSE)</f>
        <v>0</v>
      </c>
      <c r="AD158" s="223">
        <f>SUMIF($D$5:$D$125,"=bes",AD5:AD125)*HLOOKUP(X128,Verteil_rwgr,31,FALSE)+SUMIF($D$5:$D$125,"=bem",AD5:AD125)*HLOOKUP(X128,Verteil_rwgr,32,FALSE)+SUMIF($D$5:$D$125,"=ber",AD5:AD125)*HLOOKUP(X128,Verteil_rwgr,33,FALSE)+SUMIF($D$5:$D$125,"=bek",AD5:AD125)*HLOOKUP(X128,Verteil_rwgr,34,FALSE)</f>
        <v>0</v>
      </c>
      <c r="AI158" s="89"/>
      <c r="AJ158" s="90">
        <f t="shared" ref="AJ158" si="918">IF(AK156&lt;&gt;0,AK158/AK156,0)</f>
        <v>0</v>
      </c>
      <c r="AK158" s="166">
        <f>(AP158+AQ158/2)*HLOOKUP(AK128,Grund_zins,2,FALSE)</f>
        <v>0</v>
      </c>
      <c r="AM158" s="571" t="s">
        <v>170</v>
      </c>
      <c r="AP158" s="89">
        <f>SUMIF($D$5:$D$125,"=bes",AP5:AP125)*HLOOKUP(AK128,Verteil_rwgr,31,FALSE)+SUMIF($D$5:$D$125,"=bem",AP5:AP125)*HLOOKUP(AK128,Verteil_rwgr,32,FALSE)+SUMIF($D$5:$D$125,"=ber",AP5:AP125)*HLOOKUP(AK128,Verteil_rwgr,33,FALSE)+SUMIF($D$5:$D$125,"=bek",AP5:AP125)*HLOOKUP(AK128,Verteil_rwgr,34,FALSE)</f>
        <v>0</v>
      </c>
      <c r="AQ158" s="223">
        <f>SUMIF($D$5:$D$125,"=bes",AQ5:AQ125)*HLOOKUP(AK128,Verteil_rwgr,31,FALSE)+SUMIF($D$5:$D$125,"=bem",AQ5:AQ125)*HLOOKUP(AK128,Verteil_rwgr,32,FALSE)+SUMIF($D$5:$D$125,"=ber",AQ5:AQ125)*HLOOKUP(AK128,Verteil_rwgr,33,FALSE)+SUMIF($D$5:$D$125,"=bek",AQ5:AQ125)*HLOOKUP(AK128,Verteil_rwgr,34,FALSE)</f>
        <v>0</v>
      </c>
      <c r="AV158" s="89"/>
      <c r="AW158" s="90">
        <f t="shared" ref="AW158" si="919">IF(AX156&lt;&gt;0,AX158/AX156,0)</f>
        <v>0</v>
      </c>
      <c r="AX158" s="166">
        <f>(BC158+BD158/2)*HLOOKUP(AX128,Grund_zins,2,FALSE)</f>
        <v>0</v>
      </c>
      <c r="AZ158" s="571" t="s">
        <v>170</v>
      </c>
      <c r="BC158" s="89">
        <f>SUMIF($D$5:$D$125,"=bes",BC5:BC125)*HLOOKUP(AX128,Verteil_rwgr,31,FALSE)+SUMIF($D$5:$D$125,"=bem",BC5:BC125)*HLOOKUP(AX128,Verteil_rwgr,32,FALSE)+SUMIF($D$5:$D$125,"=ber",BC5:BC125)*HLOOKUP(AX128,Verteil_rwgr,33,FALSE)+SUMIF($D$5:$D$125,"=bek",BC5:BC125)*HLOOKUP(AX128,Verteil_rwgr,34,FALSE)</f>
        <v>0</v>
      </c>
      <c r="BD158" s="223">
        <f>SUMIF($D$5:$D$125,"=bes",BD5:BD125)*HLOOKUP(AX128,Verteil_rwgr,31,FALSE)+SUMIF($D$5:$D$125,"=bem",BD5:BD125)*HLOOKUP(AX128,Verteil_rwgr,32,FALSE)+SUMIF($D$5:$D$125,"=ber",BD5:BD125)*HLOOKUP(AX128,Verteil_rwgr,33,FALSE)+SUMIF($D$5:$D$125,"=bek",BD5:BD125)*HLOOKUP(AX128,Verteil_rwgr,34,FALSE)</f>
        <v>0</v>
      </c>
      <c r="BI158" s="89"/>
      <c r="BJ158" s="90">
        <f t="shared" ref="BJ158" si="920">IF(BK156&lt;&gt;0,BK158/BK156,0)</f>
        <v>0</v>
      </c>
      <c r="BK158" s="166">
        <f>(BP158+BQ158/2)*HLOOKUP(BK128,Grund_zins,2,FALSE)</f>
        <v>0</v>
      </c>
      <c r="BM158" s="571" t="s">
        <v>170</v>
      </c>
      <c r="BP158" s="89">
        <f>SUMIF($D$5:$D$125,"=bes",BP5:BP125)*HLOOKUP(BK128,Verteil_rwgr,31,FALSE)+SUMIF($D$5:$D$125,"=bem",BP5:BP125)*HLOOKUP(BK128,Verteil_rwgr,32,FALSE)+SUMIF($D$5:$D$125,"=ber",BP5:BP125)*HLOOKUP(BK128,Verteil_rwgr,33,FALSE)+SUMIF($D$5:$D$125,"=bek",BP5:BP125)*HLOOKUP(BK128,Verteil_rwgr,34,FALSE)</f>
        <v>0</v>
      </c>
      <c r="BQ158" s="223">
        <f>SUMIF($D$5:$D$125,"=bes",BQ5:BQ125)*HLOOKUP(BK128,Verteil_rwgr,31,FALSE)+SUMIF($D$5:$D$125,"=bem",BQ5:BQ125)*HLOOKUP(BK128,Verteil_rwgr,32,FALSE)+SUMIF($D$5:$D$125,"=ber",BQ5:BQ125)*HLOOKUP(BK128,Verteil_rwgr,33,FALSE)+SUMIF($D$5:$D$125,"=bek",BQ5:BQ125)*HLOOKUP(BK128,Verteil_rwgr,34,FALSE)</f>
        <v>0</v>
      </c>
      <c r="BV158" s="89"/>
      <c r="BW158" s="90">
        <f t="shared" ref="BW158" si="921">IF(BX156&lt;&gt;0,BX158/BX156,0)</f>
        <v>0</v>
      </c>
      <c r="BX158" s="166">
        <f>(CC158+CD158/2)*HLOOKUP(BX128,Grund_zins,2,FALSE)</f>
        <v>0</v>
      </c>
      <c r="BZ158" s="571" t="s">
        <v>170</v>
      </c>
      <c r="CC158" s="89">
        <f>SUMIF($D$5:$D$125,"=bes",CC5:CC125)*HLOOKUP(BX128,Verteil_rwgr,31,FALSE)+SUMIF($D$5:$D$125,"=bem",CC5:CC125)*HLOOKUP(BX128,Verteil_rwgr,32,FALSE)+SUMIF($D$5:$D$125,"=ber",CC5:CC125)*HLOOKUP(BX128,Verteil_rwgr,33,FALSE)+SUMIF($D$5:$D$125,"=bek",CC5:CC125)*HLOOKUP(BX128,Verteil_rwgr,34,FALSE)</f>
        <v>0</v>
      </c>
      <c r="CD158" s="223">
        <f>SUMIF($D$5:$D$125,"=bes",CD5:CD125)*HLOOKUP(BX128,Verteil_rwgr,31,FALSE)+SUMIF($D$5:$D$125,"=bem",CD5:CD125)*HLOOKUP(BX128,Verteil_rwgr,32,FALSE)+SUMIF($D$5:$D$125,"=ber",CD5:CD125)*HLOOKUP(BX128,Verteil_rwgr,33,FALSE)+SUMIF($D$5:$D$125,"=bek",CD5:CD125)*HLOOKUP(BX128,Verteil_rwgr,34,FALSE)</f>
        <v>0</v>
      </c>
      <c r="CI158" s="89"/>
      <c r="CJ158" s="90">
        <f t="shared" ref="CJ158" si="922">IF(CK156&lt;&gt;0,CK158/CK156,0)</f>
        <v>0</v>
      </c>
      <c r="CK158" s="166">
        <f>(CP158+CQ158/2)*HLOOKUP(CK128,Grund_zins,2,FALSE)</f>
        <v>0</v>
      </c>
      <c r="CM158" s="571" t="s">
        <v>170</v>
      </c>
      <c r="CP158" s="89">
        <f>SUMIF($D$5:$D$125,"=bes",CP5:CP125)*HLOOKUP(CK128,Verteil_rwgr,31,FALSE)+SUMIF($D$5:$D$125,"=bem",CP5:CP125)*HLOOKUP(CK128,Verteil_rwgr,32,FALSE)+SUMIF($D$5:$D$125,"=ber",CP5:CP125)*HLOOKUP(CK128,Verteil_rwgr,33,FALSE)+SUMIF($D$5:$D$125,"=bek",CP5:CP125)*HLOOKUP(CK128,Verteil_rwgr,34,FALSE)</f>
        <v>0</v>
      </c>
      <c r="CQ158" s="223">
        <f>SUMIF($D$5:$D$125,"=bes",CQ5:CQ125)*HLOOKUP(CK128,Verteil_rwgr,31,FALSE)+SUMIF($D$5:$D$125,"=bem",CQ5:CQ125)*HLOOKUP(CK128,Verteil_rwgr,32,FALSE)+SUMIF($D$5:$D$125,"=ber",CQ5:CQ125)*HLOOKUP(CK128,Verteil_rwgr,33,FALSE)+SUMIF($D$5:$D$125,"=bek",CQ5:CQ125)*HLOOKUP(CK128,Verteil_rwgr,34,FALSE)</f>
        <v>0</v>
      </c>
      <c r="CV158" s="89"/>
      <c r="CW158" s="90">
        <f t="shared" ref="CW158" si="923">IF(CX156&lt;&gt;0,CX158/CX156,0)</f>
        <v>0</v>
      </c>
      <c r="CX158" s="166">
        <f>(DC158+DD158/2)*HLOOKUP(CX128,Grund_zins,2,FALSE)</f>
        <v>0</v>
      </c>
      <c r="CZ158" s="571" t="s">
        <v>170</v>
      </c>
      <c r="DC158" s="89">
        <f>SUMIF($D$5:$D$125,"=bes",DC5:DC125)*HLOOKUP(CX128,Verteil_rwgr,31,FALSE)+SUMIF($D$5:$D$125,"=bem",DC5:DC125)*HLOOKUP(CX128,Verteil_rwgr,32,FALSE)+SUMIF($D$5:$D$125,"=ber",DC5:DC125)*HLOOKUP(CX128,Verteil_rwgr,33,FALSE)+SUMIF($D$5:$D$125,"=bek",DC5:DC125)*HLOOKUP(CX128,Verteil_rwgr,34,FALSE)</f>
        <v>0</v>
      </c>
      <c r="DD158" s="223">
        <f>SUMIF($D$5:$D$125,"=bes",DD5:DD125)*HLOOKUP(CX128,Verteil_rwgr,31,FALSE)+SUMIF($D$5:$D$125,"=bem",DD5:DD125)*HLOOKUP(CX128,Verteil_rwgr,32,FALSE)+SUMIF($D$5:$D$125,"=ber",DD5:DD125)*HLOOKUP(CX128,Verteil_rwgr,33,FALSE)+SUMIF($D$5:$D$125,"=bek",DD5:DD125)*HLOOKUP(CX128,Verteil_rwgr,34,FALSE)</f>
        <v>0</v>
      </c>
      <c r="DI158" s="89"/>
      <c r="DJ158" s="90">
        <f t="shared" ref="DJ158" si="924">IF(DK156&lt;&gt;0,DK158/DK156,0)</f>
        <v>0</v>
      </c>
      <c r="DK158" s="166">
        <f>(DP158+DQ158/2)*HLOOKUP(DK128,Grund_zins,2,FALSE)</f>
        <v>0</v>
      </c>
      <c r="DM158" s="571" t="s">
        <v>170</v>
      </c>
      <c r="DP158" s="89">
        <f>SUMIF($D$5:$D$125,"=bes",DP5:DP125)*HLOOKUP(DK128,Verteil_rwgr,31,FALSE)+SUMIF($D$5:$D$125,"=bem",DP5:DP125)*HLOOKUP(DK128,Verteil_rwgr,32,FALSE)+SUMIF($D$5:$D$125,"=ber",DP5:DP125)*HLOOKUP(DK128,Verteil_rwgr,33,FALSE)+SUMIF($D$5:$D$125,"=bek",DP5:DP125)*HLOOKUP(DK128,Verteil_rwgr,34,FALSE)</f>
        <v>0</v>
      </c>
      <c r="DQ158" s="223">
        <f>SUMIF($D$5:$D$125,"=bes",DQ5:DQ125)*HLOOKUP(DK128,Verteil_rwgr,31,FALSE)+SUMIF($D$5:$D$125,"=bem",DQ5:DQ125)*HLOOKUP(DK128,Verteil_rwgr,32,FALSE)+SUMIF($D$5:$D$125,"=ber",DQ5:DQ125)*HLOOKUP(DK128,Verteil_rwgr,33,FALSE)+SUMIF($D$5:$D$125,"=bek",DQ5:DQ125)*HLOOKUP(DK128,Verteil_rwgr,34,FALSE)</f>
        <v>0</v>
      </c>
      <c r="DV158" s="89"/>
      <c r="DW158" s="90">
        <f t="shared" ref="DW158" si="925">IF(DX156&lt;&gt;0,DX158/DX156,0)</f>
        <v>0</v>
      </c>
      <c r="DX158" s="166">
        <f>(EC158+ED158/2)*HLOOKUP(DX128,Grund_zins,2,FALSE)</f>
        <v>0</v>
      </c>
      <c r="DZ158" s="571" t="s">
        <v>170</v>
      </c>
      <c r="EC158" s="89">
        <f>SUMIF($D$5:$D$125,"=bes",EC5:EC125)*HLOOKUP(DX128,Verteil_rwgr,31,FALSE)+SUMIF($D$5:$D$125,"=bem",EC5:EC125)*HLOOKUP(DX128,Verteil_rwgr,32,FALSE)+SUMIF($D$5:$D$125,"=ber",EC5:EC125)*HLOOKUP(DX128,Verteil_rwgr,33,FALSE)+SUMIF($D$5:$D$125,"=bek",EC5:EC125)*HLOOKUP(DX128,Verteil_rwgr,34,FALSE)</f>
        <v>0</v>
      </c>
      <c r="ED158" s="223">
        <f>SUMIF($D$5:$D$125,"=bes",ED5:ED125)*HLOOKUP(DX128,Verteil_rwgr,31,FALSE)+SUMIF($D$5:$D$125,"=bem",ED5:ED125)*HLOOKUP(DX128,Verteil_rwgr,32,FALSE)+SUMIF($D$5:$D$125,"=ber",ED5:ED125)*HLOOKUP(DX128,Verteil_rwgr,33,FALSE)+SUMIF($D$5:$D$125,"=bek",ED5:ED125)*HLOOKUP(DX128,Verteil_rwgr,34,FALSE)</f>
        <v>0</v>
      </c>
    </row>
    <row r="159" spans="1:134" x14ac:dyDescent="0.35">
      <c r="A159" s="73" t="s">
        <v>175</v>
      </c>
      <c r="Q159" s="205">
        <v>32</v>
      </c>
      <c r="V159" s="89"/>
      <c r="W159" s="90">
        <f t="shared" ref="W159" si="926">IF(X156&lt;&gt;0,X159/X156,0)</f>
        <v>0</v>
      </c>
      <c r="X159" s="166">
        <f>(AC159+AD159/2)*HLOOKUP(X128,Grund_zins,2,FALSE)</f>
        <v>0</v>
      </c>
      <c r="Z159" s="73" t="s">
        <v>175</v>
      </c>
      <c r="AC159" s="89"/>
      <c r="AD159" s="223"/>
      <c r="AI159" s="89"/>
      <c r="AJ159" s="90">
        <f t="shared" ref="AJ159" si="927">IF(AK156&lt;&gt;0,AK159/AK156,0)</f>
        <v>0</v>
      </c>
      <c r="AK159" s="166">
        <f>(AP159+AQ159/2)*HLOOKUP(AK128,Grund_zins,2,FALSE)</f>
        <v>0</v>
      </c>
      <c r="AM159" s="571" t="s">
        <v>175</v>
      </c>
      <c r="AP159" s="89"/>
      <c r="AQ159" s="223"/>
      <c r="AV159" s="89"/>
      <c r="AW159" s="90">
        <f t="shared" ref="AW159" si="928">IF(AX156&lt;&gt;0,AX159/AX156,0)</f>
        <v>0</v>
      </c>
      <c r="AX159" s="166">
        <f>(BC159+BD159/2)*HLOOKUP(AX128,Grund_zins,2,FALSE)</f>
        <v>0</v>
      </c>
      <c r="AZ159" s="571" t="s">
        <v>175</v>
      </c>
      <c r="BC159" s="89"/>
      <c r="BD159" s="223"/>
      <c r="BI159" s="89"/>
      <c r="BJ159" s="90">
        <f t="shared" ref="BJ159" si="929">IF(BK156&lt;&gt;0,BK159/BK156,0)</f>
        <v>0</v>
      </c>
      <c r="BK159" s="166">
        <f>(BP159+BQ159/2)*HLOOKUP(BK128,Grund_zins,2,FALSE)</f>
        <v>0</v>
      </c>
      <c r="BM159" s="571" t="s">
        <v>175</v>
      </c>
      <c r="BP159" s="89"/>
      <c r="BQ159" s="223"/>
      <c r="BV159" s="89"/>
      <c r="BW159" s="90">
        <f t="shared" ref="BW159" si="930">IF(BX156&lt;&gt;0,BX159/BX156,0)</f>
        <v>0</v>
      </c>
      <c r="BX159" s="166">
        <f>(CC159+CD159/2)*HLOOKUP(BX128,Grund_zins,2,FALSE)</f>
        <v>0</v>
      </c>
      <c r="BZ159" s="571" t="s">
        <v>175</v>
      </c>
      <c r="CC159" s="89"/>
      <c r="CD159" s="223"/>
      <c r="CI159" s="89"/>
      <c r="CJ159" s="90">
        <f t="shared" ref="CJ159" si="931">IF(CK156&lt;&gt;0,CK159/CK156,0)</f>
        <v>0</v>
      </c>
      <c r="CK159" s="166">
        <f>(CP159+CQ159/2)*HLOOKUP(CK128,Grund_zins,2,FALSE)</f>
        <v>0</v>
      </c>
      <c r="CM159" s="571" t="s">
        <v>175</v>
      </c>
      <c r="CP159" s="89"/>
      <c r="CQ159" s="223"/>
      <c r="CV159" s="89"/>
      <c r="CW159" s="90">
        <f t="shared" ref="CW159" si="932">IF(CX156&lt;&gt;0,CX159/CX156,0)</f>
        <v>0</v>
      </c>
      <c r="CX159" s="166">
        <f>(DC159+DD159/2)*HLOOKUP(CX128,Grund_zins,2,FALSE)</f>
        <v>0</v>
      </c>
      <c r="CZ159" s="571" t="s">
        <v>175</v>
      </c>
      <c r="DC159" s="89"/>
      <c r="DD159" s="223"/>
      <c r="DI159" s="89"/>
      <c r="DJ159" s="90">
        <f t="shared" ref="DJ159" si="933">IF(DK156&lt;&gt;0,DK159/DK156,0)</f>
        <v>0</v>
      </c>
      <c r="DK159" s="166">
        <f>(DP159+DQ159/2)*HLOOKUP(DK128,Grund_zins,2,FALSE)</f>
        <v>0</v>
      </c>
      <c r="DM159" s="571" t="s">
        <v>175</v>
      </c>
      <c r="DP159" s="89"/>
      <c r="DQ159" s="223"/>
      <c r="DV159" s="89"/>
      <c r="DW159" s="90">
        <f t="shared" ref="DW159" si="934">IF(DX156&lt;&gt;0,DX159/DX156,0)</f>
        <v>0</v>
      </c>
      <c r="DX159" s="166">
        <f>(EC159+ED159/2)*HLOOKUP(DX128,Grund_zins,2,FALSE)</f>
        <v>0</v>
      </c>
      <c r="DZ159" s="571" t="s">
        <v>175</v>
      </c>
      <c r="EC159" s="89"/>
      <c r="ED159" s="223"/>
    </row>
    <row r="160" spans="1:134" x14ac:dyDescent="0.35">
      <c r="A160" s="91" t="s">
        <v>558</v>
      </c>
      <c r="Q160" s="205">
        <v>33</v>
      </c>
      <c r="V160" s="89"/>
      <c r="W160" s="90">
        <f t="shared" ref="W160" si="935">SUM(W161:W163)</f>
        <v>0</v>
      </c>
      <c r="X160" s="166">
        <f>(AC160+AD160/2)*HLOOKUP(X128,Grund_zins,2,FALSE)</f>
        <v>0</v>
      </c>
      <c r="Z160" s="91" t="s">
        <v>558</v>
      </c>
      <c r="AC160" s="89">
        <f>SUMIF($D$5:$D$125,"=bez",AC5:AC125)</f>
        <v>0</v>
      </c>
      <c r="AD160" s="223">
        <f>SUMIF($D$5:$D$125,"=bez",AD5:AD125)</f>
        <v>0</v>
      </c>
      <c r="AI160" s="89"/>
      <c r="AJ160" s="90">
        <f t="shared" ref="AJ160:CJ160" si="936">SUM(AJ161:AJ163)</f>
        <v>0</v>
      </c>
      <c r="AK160" s="166">
        <f>(AP160+AQ160/2)*HLOOKUP(AK128,Grund_zins,2,FALSE)</f>
        <v>0</v>
      </c>
      <c r="AM160" s="570" t="s">
        <v>558</v>
      </c>
      <c r="AP160" s="89">
        <f t="shared" ref="AP160:AQ160" si="937">SUMIF($D$5:$D$125,"=bez",AP5:AP125)</f>
        <v>0</v>
      </c>
      <c r="AQ160" s="223">
        <f t="shared" si="937"/>
        <v>0</v>
      </c>
      <c r="AV160" s="89"/>
      <c r="AW160" s="90">
        <f t="shared" si="936"/>
        <v>0</v>
      </c>
      <c r="AX160" s="166">
        <f>(BC160+BD160/2)*HLOOKUP(AX128,Grund_zins,2,FALSE)</f>
        <v>0</v>
      </c>
      <c r="AZ160" s="570" t="s">
        <v>558</v>
      </c>
      <c r="BC160" s="89">
        <f t="shared" ref="BC160:BD160" si="938">SUMIF($D$5:$D$125,"=bez",BC5:BC125)</f>
        <v>0</v>
      </c>
      <c r="BD160" s="223">
        <f t="shared" si="938"/>
        <v>0</v>
      </c>
      <c r="BI160" s="89"/>
      <c r="BJ160" s="90">
        <f t="shared" si="936"/>
        <v>0</v>
      </c>
      <c r="BK160" s="166">
        <f>(BP160+BQ160/2)*HLOOKUP(BK128,Grund_zins,2,FALSE)</f>
        <v>0</v>
      </c>
      <c r="BM160" s="570" t="s">
        <v>558</v>
      </c>
      <c r="BP160" s="89">
        <f t="shared" ref="BP160:BQ160" si="939">SUMIF($D$5:$D$125,"=bez",BP5:BP125)</f>
        <v>0</v>
      </c>
      <c r="BQ160" s="223">
        <f t="shared" si="939"/>
        <v>0</v>
      </c>
      <c r="BV160" s="89"/>
      <c r="BW160" s="90">
        <f t="shared" si="936"/>
        <v>0</v>
      </c>
      <c r="BX160" s="166">
        <f>(CC160+CD160/2)*HLOOKUP(BX128,Grund_zins,2,FALSE)</f>
        <v>0</v>
      </c>
      <c r="BZ160" s="570" t="s">
        <v>558</v>
      </c>
      <c r="CC160" s="89">
        <f t="shared" ref="CC160:CD160" si="940">SUMIF($D$5:$D$125,"=bez",CC5:CC125)</f>
        <v>0</v>
      </c>
      <c r="CD160" s="223">
        <f t="shared" si="940"/>
        <v>0</v>
      </c>
      <c r="CI160" s="89"/>
      <c r="CJ160" s="90">
        <f t="shared" si="936"/>
        <v>0</v>
      </c>
      <c r="CK160" s="166">
        <f>(CP160+CQ160/2)*HLOOKUP(CK128,Grund_zins,2,FALSE)</f>
        <v>0</v>
      </c>
      <c r="CM160" s="570" t="s">
        <v>558</v>
      </c>
      <c r="CP160" s="89">
        <f t="shared" ref="CP160:CQ160" si="941">SUMIF($D$5:$D$125,"=bez",CP5:CP125)</f>
        <v>0</v>
      </c>
      <c r="CQ160" s="223">
        <f t="shared" si="941"/>
        <v>0</v>
      </c>
      <c r="CV160" s="89"/>
      <c r="CW160" s="90">
        <f t="shared" ref="CW160:DW160" si="942">SUM(CW161:CW163)</f>
        <v>0</v>
      </c>
      <c r="CX160" s="166">
        <f>(DC160+DD160/2)*HLOOKUP(CX128,Grund_zins,2,FALSE)</f>
        <v>0</v>
      </c>
      <c r="CZ160" s="570" t="s">
        <v>558</v>
      </c>
      <c r="DC160" s="89">
        <f t="shared" ref="DC160:DD160" si="943">SUMIF($D$5:$D$125,"=bez",DC5:DC125)</f>
        <v>0</v>
      </c>
      <c r="DD160" s="223">
        <f t="shared" si="943"/>
        <v>0</v>
      </c>
      <c r="DI160" s="89"/>
      <c r="DJ160" s="90">
        <f t="shared" si="942"/>
        <v>0</v>
      </c>
      <c r="DK160" s="166">
        <f>(DP160+DQ160/2)*HLOOKUP(DK128,Grund_zins,2,FALSE)</f>
        <v>0</v>
      </c>
      <c r="DM160" s="570" t="s">
        <v>558</v>
      </c>
      <c r="DP160" s="89">
        <f t="shared" ref="DP160:DQ160" si="944">SUMIF($D$5:$D$125,"=bez",DP5:DP125)</f>
        <v>0</v>
      </c>
      <c r="DQ160" s="223">
        <f t="shared" si="944"/>
        <v>0</v>
      </c>
      <c r="DV160" s="89"/>
      <c r="DW160" s="90">
        <f t="shared" si="942"/>
        <v>0</v>
      </c>
      <c r="DX160" s="166">
        <f>(EC160+ED160/2)*HLOOKUP(DX128,Grund_zins,2,FALSE)</f>
        <v>0</v>
      </c>
      <c r="DZ160" s="570" t="s">
        <v>558</v>
      </c>
      <c r="EC160" s="89">
        <f t="shared" ref="EC160:ED160" si="945">SUMIF($D$5:$D$125,"=bez",EC5:EC125)</f>
        <v>0</v>
      </c>
      <c r="ED160" s="223">
        <f t="shared" si="945"/>
        <v>0</v>
      </c>
    </row>
    <row r="161" spans="1:134" x14ac:dyDescent="0.35">
      <c r="A161" s="73" t="s">
        <v>169</v>
      </c>
      <c r="Q161" s="205">
        <v>34</v>
      </c>
      <c r="V161" s="89"/>
      <c r="W161" s="90">
        <f t="shared" ref="W161" si="946">IF(X160&lt;&gt;0,X161/X160,0)</f>
        <v>0</v>
      </c>
      <c r="X161" s="166">
        <f>(AC161+AD161/2)*HLOOKUP(X128,Grund_zins,2,FALSE)</f>
        <v>0</v>
      </c>
      <c r="Z161" s="73" t="s">
        <v>169</v>
      </c>
      <c r="AC161" s="89">
        <f>SUMIF($D$5:$D$125,"=bez",AC5:AC125)*HLOOKUP(X128,Verteil_sw,37,FALSE)</f>
        <v>0</v>
      </c>
      <c r="AD161" s="223">
        <f>SUMIF($D$5:$D$125,"=bez",AD5:AD125)*HLOOKUP(X128,Verteil_sw,37,FALSE)</f>
        <v>0</v>
      </c>
      <c r="AI161" s="89"/>
      <c r="AJ161" s="90">
        <f t="shared" ref="AJ161" si="947">IF(AK160&lt;&gt;0,AK161/AK160,0)</f>
        <v>0</v>
      </c>
      <c r="AK161" s="166">
        <f>(AP161+AQ161/2)*HLOOKUP(AK128,Grund_zins,2,FALSE)</f>
        <v>0</v>
      </c>
      <c r="AM161" s="571" t="s">
        <v>169</v>
      </c>
      <c r="AP161" s="89">
        <f>SUMIF($D$5:$D$125,"=bez",AP5:AP125)*HLOOKUP(AK128,Verteil_sw,37,FALSE)</f>
        <v>0</v>
      </c>
      <c r="AQ161" s="223">
        <f>SUMIF($D$5:$D$125,"=bez",AQ5:AQ125)*HLOOKUP(AK128,Verteil_sw,37,FALSE)</f>
        <v>0</v>
      </c>
      <c r="AV161" s="89"/>
      <c r="AW161" s="90">
        <f t="shared" ref="AW161" si="948">IF(AX160&lt;&gt;0,AX161/AX160,0)</f>
        <v>0</v>
      </c>
      <c r="AX161" s="166">
        <f>(BC161+BD161/2)*HLOOKUP(AX128,Grund_zins,2,FALSE)</f>
        <v>0</v>
      </c>
      <c r="AZ161" s="571" t="s">
        <v>169</v>
      </c>
      <c r="BC161" s="89">
        <f>SUMIF($D$5:$D$125,"=bez",BC5:BC125)*HLOOKUP(AX128,Verteil_sw,37,FALSE)</f>
        <v>0</v>
      </c>
      <c r="BD161" s="223">
        <f>SUMIF($D$5:$D$125,"=bez",BD5:BD125)*HLOOKUP(AX128,Verteil_sw,37,FALSE)</f>
        <v>0</v>
      </c>
      <c r="BI161" s="89"/>
      <c r="BJ161" s="90">
        <f t="shared" ref="BJ161" si="949">IF(BK160&lt;&gt;0,BK161/BK160,0)</f>
        <v>0</v>
      </c>
      <c r="BK161" s="166">
        <f>(BP161+BQ161/2)*HLOOKUP(BK128,Grund_zins,2,FALSE)</f>
        <v>0</v>
      </c>
      <c r="BM161" s="571" t="s">
        <v>169</v>
      </c>
      <c r="BP161" s="89">
        <f>SUMIF($D$5:$D$125,"=bez",BP5:BP125)*HLOOKUP(BK128,Verteil_sw,37,FALSE)</f>
        <v>0</v>
      </c>
      <c r="BQ161" s="223">
        <f>SUMIF($D$5:$D$125,"=bez",BQ5:BQ125)*HLOOKUP(BK128,Verteil_sw,37,FALSE)</f>
        <v>0</v>
      </c>
      <c r="BV161" s="89"/>
      <c r="BW161" s="90">
        <f t="shared" ref="BW161" si="950">IF(BX160&lt;&gt;0,BX161/BX160,0)</f>
        <v>0</v>
      </c>
      <c r="BX161" s="166">
        <f>(CC161+CD161/2)*HLOOKUP(BX128,Grund_zins,2,FALSE)</f>
        <v>0</v>
      </c>
      <c r="BZ161" s="571" t="s">
        <v>169</v>
      </c>
      <c r="CC161" s="89">
        <f>SUMIF($D$5:$D$125,"=bez",CC5:CC125)*HLOOKUP(BX128,Verteil_sw,37,FALSE)</f>
        <v>0</v>
      </c>
      <c r="CD161" s="223">
        <f>SUMIF($D$5:$D$125,"=bez",CD5:CD125)*HLOOKUP(BX128,Verteil_sw,37,FALSE)</f>
        <v>0</v>
      </c>
      <c r="CI161" s="89"/>
      <c r="CJ161" s="90">
        <f t="shared" ref="CJ161" si="951">IF(CK160&lt;&gt;0,CK161/CK160,0)</f>
        <v>0</v>
      </c>
      <c r="CK161" s="166">
        <f>(CP161+CQ161/2)*HLOOKUP(CK128,Grund_zins,2,FALSE)</f>
        <v>0</v>
      </c>
      <c r="CM161" s="571" t="s">
        <v>169</v>
      </c>
      <c r="CP161" s="89">
        <f>SUMIF($D$5:$D$125,"=bez",CP5:CP125)*HLOOKUP(CK128,Verteil_sw,37,FALSE)</f>
        <v>0</v>
      </c>
      <c r="CQ161" s="223">
        <f>SUMIF($D$5:$D$125,"=bez",CQ5:CQ125)*HLOOKUP(CK128,Verteil_sw,37,FALSE)</f>
        <v>0</v>
      </c>
      <c r="CV161" s="89"/>
      <c r="CW161" s="90">
        <f t="shared" ref="CW161" si="952">IF(CX160&lt;&gt;0,CX161/CX160,0)</f>
        <v>0</v>
      </c>
      <c r="CX161" s="166">
        <f>(DC161+DD161/2)*HLOOKUP(CX128,Grund_zins,2,FALSE)</f>
        <v>0</v>
      </c>
      <c r="CZ161" s="571" t="s">
        <v>169</v>
      </c>
      <c r="DC161" s="89">
        <f>SUMIF($D$5:$D$125,"=bez",DC5:DC125)*HLOOKUP(CX128,Verteil_sw,37,FALSE)</f>
        <v>0</v>
      </c>
      <c r="DD161" s="223">
        <f>SUMIF($D$5:$D$125,"=bez",DD5:DD125)*HLOOKUP(CX128,Verteil_sw,37,FALSE)</f>
        <v>0</v>
      </c>
      <c r="DI161" s="89"/>
      <c r="DJ161" s="90">
        <f t="shared" ref="DJ161" si="953">IF(DK160&lt;&gt;0,DK161/DK160,0)</f>
        <v>0</v>
      </c>
      <c r="DK161" s="166">
        <f>(DP161+DQ161/2)*HLOOKUP(DK128,Grund_zins,2,FALSE)</f>
        <v>0</v>
      </c>
      <c r="DM161" s="571" t="s">
        <v>169</v>
      </c>
      <c r="DP161" s="89">
        <f>SUMIF($D$5:$D$125,"=bez",DP5:DP125)*HLOOKUP(DK128,Verteil_sw,37,FALSE)</f>
        <v>0</v>
      </c>
      <c r="DQ161" s="223">
        <f>SUMIF($D$5:$D$125,"=bez",DQ5:DQ125)*HLOOKUP(DK128,Verteil_sw,37,FALSE)</f>
        <v>0</v>
      </c>
      <c r="DV161" s="89"/>
      <c r="DW161" s="90">
        <f t="shared" ref="DW161" si="954">IF(DX160&lt;&gt;0,DX161/DX160,0)</f>
        <v>0</v>
      </c>
      <c r="DX161" s="166">
        <f>(EC161+ED161/2)*HLOOKUP(DX128,Grund_zins,2,FALSE)</f>
        <v>0</v>
      </c>
      <c r="DZ161" s="571" t="s">
        <v>169</v>
      </c>
      <c r="EC161" s="89">
        <f>SUMIF($D$5:$D$125,"=bez",EC5:EC125)*HLOOKUP(DX128,Verteil_sw,37,FALSE)</f>
        <v>0</v>
      </c>
      <c r="ED161" s="223">
        <f>SUMIF($D$5:$D$125,"=bez",ED5:ED125)*HLOOKUP(DX128,Verteil_sw,37,FALSE)</f>
        <v>0</v>
      </c>
    </row>
    <row r="162" spans="1:134" x14ac:dyDescent="0.35">
      <c r="A162" s="73" t="s">
        <v>170</v>
      </c>
      <c r="Q162" s="205">
        <v>35</v>
      </c>
      <c r="V162" s="89"/>
      <c r="W162" s="90">
        <f t="shared" ref="W162" si="955">IF(X160&lt;&gt;0,X162/X160,0)</f>
        <v>0</v>
      </c>
      <c r="X162" s="166">
        <f>(AC162+AD162/2)*HLOOKUP(X128,Grund_zins,2,FALSE)</f>
        <v>0</v>
      </c>
      <c r="Z162" s="73" t="s">
        <v>170</v>
      </c>
      <c r="AC162" s="89">
        <f>SUMIF($D$5:$D$125,"=bez",AC5:AC125)*HLOOKUP(X128,Verteil_rwgr,36,FALSE)</f>
        <v>0</v>
      </c>
      <c r="AD162" s="223">
        <f>SUMIF($D$5:$D$125,"=bez",AD5:AD125)*HLOOKUP(X128,Verteil_rwgr,36,FALSE)</f>
        <v>0</v>
      </c>
      <c r="AI162" s="89"/>
      <c r="AJ162" s="90">
        <f t="shared" ref="AJ162" si="956">IF(AK160&lt;&gt;0,AK162/AK160,0)</f>
        <v>0</v>
      </c>
      <c r="AK162" s="166">
        <f>(AP162+AQ162/2)*HLOOKUP(AK128,Grund_zins,2,FALSE)</f>
        <v>0</v>
      </c>
      <c r="AM162" s="571" t="s">
        <v>170</v>
      </c>
      <c r="AP162" s="89">
        <f>SUMIF($D$5:$D$125,"=bez",AP5:AP125)*HLOOKUP(AK128,Verteil_rwgr,36,FALSE)</f>
        <v>0</v>
      </c>
      <c r="AQ162" s="223">
        <f>SUMIF($D$5:$D$125,"=bez",AQ5:AQ125)*HLOOKUP(AK128,Verteil_rwgr,36,FALSE)</f>
        <v>0</v>
      </c>
      <c r="AV162" s="89"/>
      <c r="AW162" s="90">
        <f t="shared" ref="AW162" si="957">IF(AX160&lt;&gt;0,AX162/AX160,0)</f>
        <v>0</v>
      </c>
      <c r="AX162" s="166">
        <f>(BC162+BD162/2)*HLOOKUP(AX128,Grund_zins,2,FALSE)</f>
        <v>0</v>
      </c>
      <c r="AZ162" s="571" t="s">
        <v>170</v>
      </c>
      <c r="BC162" s="89">
        <f>SUMIF($D$5:$D$125,"=bez",BC5:BC125)*HLOOKUP(AX128,Verteil_rwgr,36,FALSE)</f>
        <v>0</v>
      </c>
      <c r="BD162" s="223">
        <f>SUMIF($D$5:$D$125,"=bez",BD5:BD125)*HLOOKUP(AX128,Verteil_rwgr,36,FALSE)</f>
        <v>0</v>
      </c>
      <c r="BI162" s="89"/>
      <c r="BJ162" s="90">
        <f t="shared" ref="BJ162" si="958">IF(BK160&lt;&gt;0,BK162/BK160,0)</f>
        <v>0</v>
      </c>
      <c r="BK162" s="166">
        <f>(BP162+BQ162/2)*HLOOKUP(BK128,Grund_zins,2,FALSE)</f>
        <v>0</v>
      </c>
      <c r="BM162" s="571" t="s">
        <v>170</v>
      </c>
      <c r="BP162" s="89">
        <f>SUMIF($D$5:$D$125,"=bez",BP5:BP125)*HLOOKUP(BK128,Verteil_rwgr,36,FALSE)</f>
        <v>0</v>
      </c>
      <c r="BQ162" s="223">
        <f>SUMIF($D$5:$D$125,"=bez",BQ5:BQ125)*HLOOKUP(BK128,Verteil_rwgr,36,FALSE)</f>
        <v>0</v>
      </c>
      <c r="BV162" s="89"/>
      <c r="BW162" s="90">
        <f t="shared" ref="BW162" si="959">IF(BX160&lt;&gt;0,BX162/BX160,0)</f>
        <v>0</v>
      </c>
      <c r="BX162" s="166">
        <f>(CC162+CD162/2)*HLOOKUP(BX128,Grund_zins,2,FALSE)</f>
        <v>0</v>
      </c>
      <c r="BZ162" s="571" t="s">
        <v>170</v>
      </c>
      <c r="CC162" s="89">
        <f>SUMIF($D$5:$D$125,"=bez",CC5:CC125)*HLOOKUP(BX128,Verteil_rwgr,36,FALSE)</f>
        <v>0</v>
      </c>
      <c r="CD162" s="223">
        <f>SUMIF($D$5:$D$125,"=bez",CD5:CD125)*HLOOKUP(BX128,Verteil_rwgr,36,FALSE)</f>
        <v>0</v>
      </c>
      <c r="CI162" s="89"/>
      <c r="CJ162" s="90">
        <f t="shared" ref="CJ162" si="960">IF(CK160&lt;&gt;0,CK162/CK160,0)</f>
        <v>0</v>
      </c>
      <c r="CK162" s="166">
        <f>(CP162+CQ162/2)*HLOOKUP(CK128,Grund_zins,2,FALSE)</f>
        <v>0</v>
      </c>
      <c r="CM162" s="571" t="s">
        <v>170</v>
      </c>
      <c r="CP162" s="89">
        <f>SUMIF($D$5:$D$125,"=bez",CP5:CP125)*HLOOKUP(CK128,Verteil_rwgr,36,FALSE)</f>
        <v>0</v>
      </c>
      <c r="CQ162" s="223">
        <f>SUMIF($D$5:$D$125,"=bez",CQ5:CQ125)*HLOOKUP(CK128,Verteil_rwgr,36,FALSE)</f>
        <v>0</v>
      </c>
      <c r="CV162" s="89"/>
      <c r="CW162" s="90">
        <f t="shared" ref="CW162" si="961">IF(CX160&lt;&gt;0,CX162/CX160,0)</f>
        <v>0</v>
      </c>
      <c r="CX162" s="166">
        <f>(DC162+DD162/2)*HLOOKUP(CX128,Grund_zins,2,FALSE)</f>
        <v>0</v>
      </c>
      <c r="CZ162" s="571" t="s">
        <v>170</v>
      </c>
      <c r="DC162" s="89">
        <f>SUMIF($D$5:$D$125,"=bez",DC5:DC125)*HLOOKUP(CX128,Verteil_rwgr,36,FALSE)</f>
        <v>0</v>
      </c>
      <c r="DD162" s="223">
        <f>SUMIF($D$5:$D$125,"=bez",DD5:DD125)*HLOOKUP(CX128,Verteil_rwgr,36,FALSE)</f>
        <v>0</v>
      </c>
      <c r="DI162" s="89"/>
      <c r="DJ162" s="90">
        <f t="shared" ref="DJ162" si="962">IF(DK160&lt;&gt;0,DK162/DK160,0)</f>
        <v>0</v>
      </c>
      <c r="DK162" s="166">
        <f>(DP162+DQ162/2)*HLOOKUP(DK128,Grund_zins,2,FALSE)</f>
        <v>0</v>
      </c>
      <c r="DM162" s="571" t="s">
        <v>170</v>
      </c>
      <c r="DP162" s="89">
        <f>SUMIF($D$5:$D$125,"=bez",DP5:DP125)*HLOOKUP(DK128,Verteil_rwgr,36,FALSE)</f>
        <v>0</v>
      </c>
      <c r="DQ162" s="223">
        <f>SUMIF($D$5:$D$125,"=bez",DQ5:DQ125)*HLOOKUP(DK128,Verteil_rwgr,36,FALSE)</f>
        <v>0</v>
      </c>
      <c r="DV162" s="89"/>
      <c r="DW162" s="90">
        <f t="shared" ref="DW162" si="963">IF(DX160&lt;&gt;0,DX162/DX160,0)</f>
        <v>0</v>
      </c>
      <c r="DX162" s="166">
        <f>(EC162+ED162/2)*HLOOKUP(DX128,Grund_zins,2,FALSE)</f>
        <v>0</v>
      </c>
      <c r="DZ162" s="571" t="s">
        <v>170</v>
      </c>
      <c r="EC162" s="89">
        <f>SUMIF($D$5:$D$125,"=bez",EC5:EC125)*HLOOKUP(DX128,Verteil_rwgr,36,FALSE)</f>
        <v>0</v>
      </c>
      <c r="ED162" s="223">
        <f>SUMIF($D$5:$D$125,"=bez",ED5:ED125)*HLOOKUP(DX128,Verteil_rwgr,36,FALSE)</f>
        <v>0</v>
      </c>
    </row>
    <row r="163" spans="1:134" x14ac:dyDescent="0.35">
      <c r="A163" s="73" t="s">
        <v>175</v>
      </c>
      <c r="Q163" s="205">
        <v>36</v>
      </c>
      <c r="V163" s="89"/>
      <c r="W163" s="90">
        <f t="shared" ref="W163" si="964">IF(X160&lt;&gt;0,X163/X160,0)</f>
        <v>0</v>
      </c>
      <c r="X163" s="166">
        <f>(AC163+AD163/2)*HLOOKUP(X128,Grund_zins,2,FALSE)</f>
        <v>0</v>
      </c>
      <c r="Z163" s="73" t="s">
        <v>175</v>
      </c>
      <c r="AC163" s="89"/>
      <c r="AD163" s="223"/>
      <c r="AI163" s="89"/>
      <c r="AJ163" s="90">
        <f t="shared" ref="AJ163" si="965">IF(AK160&lt;&gt;0,AK163/AK160,0)</f>
        <v>0</v>
      </c>
      <c r="AK163" s="166">
        <f>(AP163+AQ163/2)*HLOOKUP(AK128,Grund_zins,2,FALSE)</f>
        <v>0</v>
      </c>
      <c r="AM163" s="571" t="s">
        <v>175</v>
      </c>
      <c r="AP163" s="89"/>
      <c r="AQ163" s="223"/>
      <c r="AV163" s="89"/>
      <c r="AW163" s="90">
        <f t="shared" ref="AW163" si="966">IF(AX160&lt;&gt;0,AX163/AX160,0)</f>
        <v>0</v>
      </c>
      <c r="AX163" s="166">
        <f>(BC163+BD163/2)*HLOOKUP(AX128,Grund_zins,2,FALSE)</f>
        <v>0</v>
      </c>
      <c r="AZ163" s="571" t="s">
        <v>175</v>
      </c>
      <c r="BC163" s="89"/>
      <c r="BD163" s="223"/>
      <c r="BI163" s="89"/>
      <c r="BJ163" s="90">
        <f t="shared" ref="BJ163" si="967">IF(BK160&lt;&gt;0,BK163/BK160,0)</f>
        <v>0</v>
      </c>
      <c r="BK163" s="166">
        <f>(BP163+BQ163/2)*HLOOKUP(BK128,Grund_zins,2,FALSE)</f>
        <v>0</v>
      </c>
      <c r="BM163" s="571" t="s">
        <v>175</v>
      </c>
      <c r="BP163" s="89"/>
      <c r="BQ163" s="223"/>
      <c r="BV163" s="89"/>
      <c r="BW163" s="90">
        <f t="shared" ref="BW163" si="968">IF(BX160&lt;&gt;0,BX163/BX160,0)</f>
        <v>0</v>
      </c>
      <c r="BX163" s="166">
        <f>(CC163+CD163/2)*HLOOKUP(BX128,Grund_zins,2,FALSE)</f>
        <v>0</v>
      </c>
      <c r="BZ163" s="571" t="s">
        <v>175</v>
      </c>
      <c r="CC163" s="89"/>
      <c r="CD163" s="223"/>
      <c r="CI163" s="89"/>
      <c r="CJ163" s="90">
        <f t="shared" ref="CJ163" si="969">IF(CK160&lt;&gt;0,CK163/CK160,0)</f>
        <v>0</v>
      </c>
      <c r="CK163" s="166">
        <f>(CP163+CQ163/2)*HLOOKUP(CK128,Grund_zins,2,FALSE)</f>
        <v>0</v>
      </c>
      <c r="CM163" s="571" t="s">
        <v>175</v>
      </c>
      <c r="CP163" s="89"/>
      <c r="CQ163" s="223"/>
      <c r="CV163" s="89"/>
      <c r="CW163" s="90">
        <f t="shared" ref="CW163" si="970">IF(CX160&lt;&gt;0,CX163/CX160,0)</f>
        <v>0</v>
      </c>
      <c r="CX163" s="166">
        <f>(DC163+DD163/2)*HLOOKUP(CX128,Grund_zins,2,FALSE)</f>
        <v>0</v>
      </c>
      <c r="CZ163" s="571" t="s">
        <v>175</v>
      </c>
      <c r="DC163" s="89"/>
      <c r="DD163" s="223"/>
      <c r="DI163" s="89"/>
      <c r="DJ163" s="90">
        <f t="shared" ref="DJ163" si="971">IF(DK160&lt;&gt;0,DK163/DK160,0)</f>
        <v>0</v>
      </c>
      <c r="DK163" s="166">
        <f>(DP163+DQ163/2)*HLOOKUP(DK128,Grund_zins,2,FALSE)</f>
        <v>0</v>
      </c>
      <c r="DM163" s="571" t="s">
        <v>175</v>
      </c>
      <c r="DP163" s="89"/>
      <c r="DQ163" s="223"/>
      <c r="DV163" s="89"/>
      <c r="DW163" s="90">
        <f t="shared" ref="DW163" si="972">IF(DX160&lt;&gt;0,DX163/DX160,0)</f>
        <v>0</v>
      </c>
      <c r="DX163" s="166">
        <f>(EC163+ED163/2)*HLOOKUP(DX128,Grund_zins,2,FALSE)</f>
        <v>0</v>
      </c>
      <c r="DZ163" s="571" t="s">
        <v>175</v>
      </c>
      <c r="EC163" s="89"/>
      <c r="ED163" s="223"/>
    </row>
    <row r="164" spans="1:134" x14ac:dyDescent="0.35">
      <c r="A164" s="91" t="s">
        <v>597</v>
      </c>
      <c r="Q164" s="205">
        <v>37</v>
      </c>
      <c r="V164" s="166"/>
      <c r="W164" s="90">
        <f t="shared" ref="W164" si="973">SUM(W165:W167)</f>
        <v>0</v>
      </c>
      <c r="X164" s="54">
        <f>ROUND(SUM(X156,X160),2)</f>
        <v>0</v>
      </c>
      <c r="Z164" s="91" t="s">
        <v>597</v>
      </c>
      <c r="AC164" s="166">
        <f>SUM(AC156,AC160)</f>
        <v>0</v>
      </c>
      <c r="AD164" s="224">
        <f>SUM(AD156,AD160)</f>
        <v>0</v>
      </c>
      <c r="AI164" s="166"/>
      <c r="AJ164" s="90">
        <f t="shared" ref="AJ164:CJ164" si="974">SUM(AJ165:AJ167)</f>
        <v>0</v>
      </c>
      <c r="AK164" s="54">
        <f t="shared" ref="AK164:BK167" si="975">ROUND(SUM(AK156,AK160),2)</f>
        <v>0</v>
      </c>
      <c r="AM164" s="570" t="s">
        <v>597</v>
      </c>
      <c r="AP164" s="166">
        <f t="shared" ref="AP164:BQ167" si="976">SUM(AP156,AP160)</f>
        <v>0</v>
      </c>
      <c r="AQ164" s="224">
        <f t="shared" si="976"/>
        <v>0</v>
      </c>
      <c r="AV164" s="166"/>
      <c r="AW164" s="90">
        <f t="shared" si="974"/>
        <v>0</v>
      </c>
      <c r="AX164" s="54">
        <f t="shared" ref="AX164" si="977">ROUND(SUM(AX156,AX160),2)</f>
        <v>0</v>
      </c>
      <c r="AZ164" s="570" t="s">
        <v>597</v>
      </c>
      <c r="BC164" s="166">
        <f t="shared" ref="BC164:BD164" si="978">SUM(BC156,BC160)</f>
        <v>0</v>
      </c>
      <c r="BD164" s="224">
        <f t="shared" si="978"/>
        <v>0</v>
      </c>
      <c r="BI164" s="166"/>
      <c r="BJ164" s="90">
        <f t="shared" si="974"/>
        <v>0</v>
      </c>
      <c r="BK164" s="54">
        <f t="shared" ref="BK164" si="979">ROUND(SUM(BK156,BK160),2)</f>
        <v>0</v>
      </c>
      <c r="BM164" s="570" t="s">
        <v>597</v>
      </c>
      <c r="BP164" s="166">
        <f t="shared" ref="BP164:BQ164" si="980">SUM(BP156,BP160)</f>
        <v>0</v>
      </c>
      <c r="BQ164" s="224">
        <f t="shared" si="980"/>
        <v>0</v>
      </c>
      <c r="BV164" s="166"/>
      <c r="BW164" s="90">
        <f t="shared" si="974"/>
        <v>0</v>
      </c>
      <c r="BX164" s="54">
        <f t="shared" ref="BX164:CX167" si="981">ROUND(SUM(BX156,BX160),2)</f>
        <v>0</v>
      </c>
      <c r="BZ164" s="570" t="s">
        <v>597</v>
      </c>
      <c r="CC164" s="166">
        <f t="shared" ref="CC164:DD167" si="982">SUM(CC156,CC160)</f>
        <v>0</v>
      </c>
      <c r="CD164" s="224">
        <f t="shared" si="982"/>
        <v>0</v>
      </c>
      <c r="CI164" s="166"/>
      <c r="CJ164" s="90">
        <f t="shared" si="974"/>
        <v>0</v>
      </c>
      <c r="CK164" s="54">
        <f t="shared" ref="CK164" si="983">ROUND(SUM(CK156,CK160),2)</f>
        <v>0</v>
      </c>
      <c r="CM164" s="570" t="s">
        <v>597</v>
      </c>
      <c r="CP164" s="166">
        <f t="shared" ref="CP164:CQ164" si="984">SUM(CP156,CP160)</f>
        <v>0</v>
      </c>
      <c r="CQ164" s="224">
        <f t="shared" si="984"/>
        <v>0</v>
      </c>
      <c r="CV164" s="166"/>
      <c r="CW164" s="90">
        <f t="shared" ref="CW164:DW164" si="985">SUM(CW165:CW167)</f>
        <v>0</v>
      </c>
      <c r="CX164" s="54">
        <f t="shared" ref="CX164" si="986">ROUND(SUM(CX156,CX160),2)</f>
        <v>0</v>
      </c>
      <c r="CZ164" s="570" t="s">
        <v>597</v>
      </c>
      <c r="DC164" s="166">
        <f t="shared" ref="DC164:DD164" si="987">SUM(DC156,DC160)</f>
        <v>0</v>
      </c>
      <c r="DD164" s="224">
        <f t="shared" si="987"/>
        <v>0</v>
      </c>
      <c r="DI164" s="166"/>
      <c r="DJ164" s="90">
        <f t="shared" si="985"/>
        <v>0</v>
      </c>
      <c r="DK164" s="54">
        <f t="shared" ref="DK164:DX167" si="988">ROUND(SUM(DK156,DK160),2)</f>
        <v>0</v>
      </c>
      <c r="DM164" s="570" t="s">
        <v>597</v>
      </c>
      <c r="DP164" s="166">
        <f t="shared" ref="DP164:ED167" si="989">SUM(DP156,DP160)</f>
        <v>0</v>
      </c>
      <c r="DQ164" s="224">
        <f t="shared" si="989"/>
        <v>0</v>
      </c>
      <c r="DV164" s="166"/>
      <c r="DW164" s="90">
        <f t="shared" si="985"/>
        <v>0</v>
      </c>
      <c r="DX164" s="54">
        <f t="shared" ref="DX164" si="990">ROUND(SUM(DX156,DX160),2)</f>
        <v>0</v>
      </c>
      <c r="DZ164" s="570" t="s">
        <v>597</v>
      </c>
      <c r="EC164" s="166">
        <f t="shared" ref="EC164:ED164" si="991">SUM(EC156,EC160)</f>
        <v>0</v>
      </c>
      <c r="ED164" s="224">
        <f t="shared" si="991"/>
        <v>0</v>
      </c>
    </row>
    <row r="165" spans="1:134" x14ac:dyDescent="0.35">
      <c r="A165" s="73" t="s">
        <v>169</v>
      </c>
      <c r="Q165" s="205">
        <v>38</v>
      </c>
      <c r="V165" s="166"/>
      <c r="W165" s="90">
        <f t="shared" ref="W165" si="992">IF(X164&lt;&gt;0,X165/X164,0)</f>
        <v>0</v>
      </c>
      <c r="X165" s="54">
        <f t="shared" ref="X165:X167" si="993">ROUND(SUM(X157,X161),2)</f>
        <v>0</v>
      </c>
      <c r="Z165" s="73" t="s">
        <v>169</v>
      </c>
      <c r="AC165" s="166">
        <f t="shared" ref="AC165" si="994">SUM(AC157,AC161)</f>
        <v>0</v>
      </c>
      <c r="AD165" s="224">
        <f t="shared" ref="AD165:AD167" si="995">SUM(AD157,AD161)</f>
        <v>0</v>
      </c>
      <c r="AI165" s="166"/>
      <c r="AJ165" s="90">
        <f t="shared" ref="AJ165" si="996">IF(AK164&lt;&gt;0,AK165/AK164,0)</f>
        <v>0</v>
      </c>
      <c r="AK165" s="54">
        <f t="shared" si="975"/>
        <v>0</v>
      </c>
      <c r="AM165" s="571" t="s">
        <v>169</v>
      </c>
      <c r="AP165" s="166">
        <f t="shared" si="976"/>
        <v>0</v>
      </c>
      <c r="AQ165" s="224">
        <f t="shared" si="976"/>
        <v>0</v>
      </c>
      <c r="AV165" s="166"/>
      <c r="AW165" s="90">
        <f t="shared" ref="AW165" si="997">IF(AX164&lt;&gt;0,AX165/AX164,0)</f>
        <v>0</v>
      </c>
      <c r="AX165" s="54">
        <f t="shared" si="975"/>
        <v>0</v>
      </c>
      <c r="AZ165" s="571" t="s">
        <v>169</v>
      </c>
      <c r="BC165" s="166">
        <f t="shared" si="976"/>
        <v>0</v>
      </c>
      <c r="BD165" s="224">
        <f t="shared" si="976"/>
        <v>0</v>
      </c>
      <c r="BI165" s="166"/>
      <c r="BJ165" s="90">
        <f t="shared" ref="BJ165" si="998">IF(BK164&lt;&gt;0,BK165/BK164,0)</f>
        <v>0</v>
      </c>
      <c r="BK165" s="54">
        <f t="shared" si="975"/>
        <v>0</v>
      </c>
      <c r="BM165" s="571" t="s">
        <v>169</v>
      </c>
      <c r="BP165" s="166">
        <f t="shared" si="976"/>
        <v>0</v>
      </c>
      <c r="BQ165" s="224">
        <f t="shared" si="976"/>
        <v>0</v>
      </c>
      <c r="BV165" s="166"/>
      <c r="BW165" s="90">
        <f t="shared" ref="BW165" si="999">IF(BX164&lt;&gt;0,BX165/BX164,0)</f>
        <v>0</v>
      </c>
      <c r="BX165" s="54">
        <f t="shared" si="981"/>
        <v>0</v>
      </c>
      <c r="BZ165" s="571" t="s">
        <v>169</v>
      </c>
      <c r="CC165" s="166">
        <f t="shared" si="982"/>
        <v>0</v>
      </c>
      <c r="CD165" s="224">
        <f t="shared" si="982"/>
        <v>0</v>
      </c>
      <c r="CI165" s="166"/>
      <c r="CJ165" s="90">
        <f t="shared" ref="CJ165" si="1000">IF(CK164&lt;&gt;0,CK165/CK164,0)</f>
        <v>0</v>
      </c>
      <c r="CK165" s="54">
        <f t="shared" si="981"/>
        <v>0</v>
      </c>
      <c r="CM165" s="571" t="s">
        <v>169</v>
      </c>
      <c r="CP165" s="166">
        <f t="shared" si="982"/>
        <v>0</v>
      </c>
      <c r="CQ165" s="224">
        <f t="shared" si="982"/>
        <v>0</v>
      </c>
      <c r="CV165" s="166"/>
      <c r="CW165" s="90">
        <f t="shared" ref="CW165" si="1001">IF(CX164&lt;&gt;0,CX165/CX164,0)</f>
        <v>0</v>
      </c>
      <c r="CX165" s="54">
        <f t="shared" si="981"/>
        <v>0</v>
      </c>
      <c r="CZ165" s="571" t="s">
        <v>169</v>
      </c>
      <c r="DC165" s="166">
        <f t="shared" si="982"/>
        <v>0</v>
      </c>
      <c r="DD165" s="224">
        <f t="shared" si="982"/>
        <v>0</v>
      </c>
      <c r="DI165" s="166"/>
      <c r="DJ165" s="90">
        <f t="shared" ref="DJ165" si="1002">IF(DK164&lt;&gt;0,DK165/DK164,0)</f>
        <v>0</v>
      </c>
      <c r="DK165" s="54">
        <f t="shared" si="988"/>
        <v>0</v>
      </c>
      <c r="DM165" s="571" t="s">
        <v>169</v>
      </c>
      <c r="DP165" s="166">
        <f t="shared" si="989"/>
        <v>0</v>
      </c>
      <c r="DQ165" s="224">
        <f t="shared" si="989"/>
        <v>0</v>
      </c>
      <c r="DV165" s="166"/>
      <c r="DW165" s="90">
        <f t="shared" ref="DW165" si="1003">IF(DX164&lt;&gt;0,DX165/DX164,0)</f>
        <v>0</v>
      </c>
      <c r="DX165" s="54">
        <f t="shared" si="988"/>
        <v>0</v>
      </c>
      <c r="DZ165" s="571" t="s">
        <v>169</v>
      </c>
      <c r="EC165" s="166">
        <f t="shared" si="989"/>
        <v>0</v>
      </c>
      <c r="ED165" s="224">
        <f t="shared" si="989"/>
        <v>0</v>
      </c>
    </row>
    <row r="166" spans="1:134" x14ac:dyDescent="0.35">
      <c r="A166" s="73" t="s">
        <v>170</v>
      </c>
      <c r="Q166" s="205">
        <v>39</v>
      </c>
      <c r="V166" s="166"/>
      <c r="W166" s="90">
        <f t="shared" ref="W166" si="1004">IF(X164&lt;&gt;0,X166/X164,0)</f>
        <v>0</v>
      </c>
      <c r="X166" s="54">
        <f t="shared" si="993"/>
        <v>0</v>
      </c>
      <c r="Z166" s="73" t="s">
        <v>170</v>
      </c>
      <c r="AC166" s="166">
        <f t="shared" ref="AC166" si="1005">SUM(AC158,AC162)</f>
        <v>0</v>
      </c>
      <c r="AD166" s="224">
        <f t="shared" si="995"/>
        <v>0</v>
      </c>
      <c r="AI166" s="166"/>
      <c r="AJ166" s="90">
        <f t="shared" ref="AJ166" si="1006">IF(AK164&lt;&gt;0,AK166/AK164,0)</f>
        <v>0</v>
      </c>
      <c r="AK166" s="54">
        <f t="shared" si="975"/>
        <v>0</v>
      </c>
      <c r="AM166" s="571" t="s">
        <v>170</v>
      </c>
      <c r="AP166" s="166">
        <f t="shared" si="976"/>
        <v>0</v>
      </c>
      <c r="AQ166" s="224">
        <f t="shared" si="976"/>
        <v>0</v>
      </c>
      <c r="AV166" s="166"/>
      <c r="AW166" s="90">
        <f t="shared" ref="AW166" si="1007">IF(AX164&lt;&gt;0,AX166/AX164,0)</f>
        <v>0</v>
      </c>
      <c r="AX166" s="54">
        <f t="shared" si="975"/>
        <v>0</v>
      </c>
      <c r="AZ166" s="571" t="s">
        <v>170</v>
      </c>
      <c r="BC166" s="166">
        <f t="shared" si="976"/>
        <v>0</v>
      </c>
      <c r="BD166" s="224">
        <f t="shared" si="976"/>
        <v>0</v>
      </c>
      <c r="BI166" s="166"/>
      <c r="BJ166" s="90">
        <f t="shared" ref="BJ166" si="1008">IF(BK164&lt;&gt;0,BK166/BK164,0)</f>
        <v>0</v>
      </c>
      <c r="BK166" s="54">
        <f t="shared" si="975"/>
        <v>0</v>
      </c>
      <c r="BM166" s="571" t="s">
        <v>170</v>
      </c>
      <c r="BP166" s="166">
        <f t="shared" si="976"/>
        <v>0</v>
      </c>
      <c r="BQ166" s="224">
        <f t="shared" si="976"/>
        <v>0</v>
      </c>
      <c r="BV166" s="166"/>
      <c r="BW166" s="90">
        <f t="shared" ref="BW166" si="1009">IF(BX164&lt;&gt;0,BX166/BX164,0)</f>
        <v>0</v>
      </c>
      <c r="BX166" s="54">
        <f t="shared" si="981"/>
        <v>0</v>
      </c>
      <c r="BZ166" s="571" t="s">
        <v>170</v>
      </c>
      <c r="CC166" s="166">
        <f t="shared" si="982"/>
        <v>0</v>
      </c>
      <c r="CD166" s="224">
        <f t="shared" si="982"/>
        <v>0</v>
      </c>
      <c r="CI166" s="166"/>
      <c r="CJ166" s="90">
        <f t="shared" ref="CJ166" si="1010">IF(CK164&lt;&gt;0,CK166/CK164,0)</f>
        <v>0</v>
      </c>
      <c r="CK166" s="54">
        <f t="shared" si="981"/>
        <v>0</v>
      </c>
      <c r="CM166" s="571" t="s">
        <v>170</v>
      </c>
      <c r="CP166" s="166">
        <f t="shared" si="982"/>
        <v>0</v>
      </c>
      <c r="CQ166" s="224">
        <f t="shared" si="982"/>
        <v>0</v>
      </c>
      <c r="CV166" s="166"/>
      <c r="CW166" s="90">
        <f t="shared" ref="CW166" si="1011">IF(CX164&lt;&gt;0,CX166/CX164,0)</f>
        <v>0</v>
      </c>
      <c r="CX166" s="54">
        <f t="shared" si="981"/>
        <v>0</v>
      </c>
      <c r="CZ166" s="571" t="s">
        <v>170</v>
      </c>
      <c r="DC166" s="166">
        <f t="shared" si="982"/>
        <v>0</v>
      </c>
      <c r="DD166" s="224">
        <f t="shared" si="982"/>
        <v>0</v>
      </c>
      <c r="DI166" s="166"/>
      <c r="DJ166" s="90">
        <f t="shared" ref="DJ166" si="1012">IF(DK164&lt;&gt;0,DK166/DK164,0)</f>
        <v>0</v>
      </c>
      <c r="DK166" s="54">
        <f t="shared" si="988"/>
        <v>0</v>
      </c>
      <c r="DM166" s="571" t="s">
        <v>170</v>
      </c>
      <c r="DP166" s="166">
        <f t="shared" si="989"/>
        <v>0</v>
      </c>
      <c r="DQ166" s="224">
        <f t="shared" si="989"/>
        <v>0</v>
      </c>
      <c r="DV166" s="166"/>
      <c r="DW166" s="90">
        <f t="shared" ref="DW166" si="1013">IF(DX164&lt;&gt;0,DX166/DX164,0)</f>
        <v>0</v>
      </c>
      <c r="DX166" s="54">
        <f t="shared" si="988"/>
        <v>0</v>
      </c>
      <c r="DZ166" s="571" t="s">
        <v>170</v>
      </c>
      <c r="EC166" s="166">
        <f t="shared" si="989"/>
        <v>0</v>
      </c>
      <c r="ED166" s="224">
        <f t="shared" si="989"/>
        <v>0</v>
      </c>
    </row>
    <row r="167" spans="1:134" x14ac:dyDescent="0.35">
      <c r="A167" s="73" t="s">
        <v>175</v>
      </c>
      <c r="Q167" s="205">
        <v>40</v>
      </c>
      <c r="V167" s="166"/>
      <c r="W167" s="90">
        <f t="shared" ref="W167" si="1014">IF(X164&lt;&gt;0,X167/X164,0)</f>
        <v>0</v>
      </c>
      <c r="X167" s="54">
        <f t="shared" si="993"/>
        <v>0</v>
      </c>
      <c r="Z167" s="73" t="s">
        <v>175</v>
      </c>
      <c r="AC167" s="166">
        <f t="shared" ref="AC167" si="1015">SUM(AC159,AC163)</f>
        <v>0</v>
      </c>
      <c r="AD167" s="224">
        <f t="shared" si="995"/>
        <v>0</v>
      </c>
      <c r="AI167" s="166"/>
      <c r="AJ167" s="90">
        <f t="shared" ref="AJ167" si="1016">IF(AK164&lt;&gt;0,AK167/AK164,0)</f>
        <v>0</v>
      </c>
      <c r="AK167" s="54">
        <f t="shared" si="975"/>
        <v>0</v>
      </c>
      <c r="AM167" s="571" t="s">
        <v>175</v>
      </c>
      <c r="AP167" s="166">
        <f t="shared" si="976"/>
        <v>0</v>
      </c>
      <c r="AQ167" s="224">
        <f t="shared" si="976"/>
        <v>0</v>
      </c>
      <c r="AV167" s="166"/>
      <c r="AW167" s="90">
        <f t="shared" ref="AW167" si="1017">IF(AX164&lt;&gt;0,AX167/AX164,0)</f>
        <v>0</v>
      </c>
      <c r="AX167" s="54">
        <f t="shared" si="975"/>
        <v>0</v>
      </c>
      <c r="AZ167" s="571" t="s">
        <v>175</v>
      </c>
      <c r="BC167" s="166">
        <f t="shared" si="976"/>
        <v>0</v>
      </c>
      <c r="BD167" s="224">
        <f t="shared" si="976"/>
        <v>0</v>
      </c>
      <c r="BI167" s="166"/>
      <c r="BJ167" s="90">
        <f t="shared" ref="BJ167" si="1018">IF(BK164&lt;&gt;0,BK167/BK164,0)</f>
        <v>0</v>
      </c>
      <c r="BK167" s="54">
        <f t="shared" si="975"/>
        <v>0</v>
      </c>
      <c r="BM167" s="571" t="s">
        <v>175</v>
      </c>
      <c r="BP167" s="166">
        <f t="shared" si="976"/>
        <v>0</v>
      </c>
      <c r="BQ167" s="224">
        <f t="shared" si="976"/>
        <v>0</v>
      </c>
      <c r="BV167" s="166"/>
      <c r="BW167" s="90">
        <f t="shared" ref="BW167" si="1019">IF(BX164&lt;&gt;0,BX167/BX164,0)</f>
        <v>0</v>
      </c>
      <c r="BX167" s="54">
        <f t="shared" si="981"/>
        <v>0</v>
      </c>
      <c r="BZ167" s="571" t="s">
        <v>175</v>
      </c>
      <c r="CC167" s="166">
        <f t="shared" si="982"/>
        <v>0</v>
      </c>
      <c r="CD167" s="224">
        <f t="shared" si="982"/>
        <v>0</v>
      </c>
      <c r="CI167" s="166"/>
      <c r="CJ167" s="90">
        <f t="shared" ref="CJ167" si="1020">IF(CK164&lt;&gt;0,CK167/CK164,0)</f>
        <v>0</v>
      </c>
      <c r="CK167" s="54">
        <f t="shared" si="981"/>
        <v>0</v>
      </c>
      <c r="CM167" s="571" t="s">
        <v>175</v>
      </c>
      <c r="CP167" s="166">
        <f t="shared" si="982"/>
        <v>0</v>
      </c>
      <c r="CQ167" s="224">
        <f t="shared" si="982"/>
        <v>0</v>
      </c>
      <c r="CV167" s="166"/>
      <c r="CW167" s="90">
        <f t="shared" ref="CW167" si="1021">IF(CX164&lt;&gt;0,CX167/CX164,0)</f>
        <v>0</v>
      </c>
      <c r="CX167" s="54">
        <f t="shared" si="981"/>
        <v>0</v>
      </c>
      <c r="CZ167" s="571" t="s">
        <v>175</v>
      </c>
      <c r="DC167" s="166">
        <f t="shared" si="982"/>
        <v>0</v>
      </c>
      <c r="DD167" s="224">
        <f t="shared" si="982"/>
        <v>0</v>
      </c>
      <c r="DI167" s="166"/>
      <c r="DJ167" s="90">
        <f t="shared" ref="DJ167" si="1022">IF(DK164&lt;&gt;0,DK167/DK164,0)</f>
        <v>0</v>
      </c>
      <c r="DK167" s="54">
        <f t="shared" si="988"/>
        <v>0</v>
      </c>
      <c r="DM167" s="571" t="s">
        <v>175</v>
      </c>
      <c r="DP167" s="166">
        <f t="shared" si="989"/>
        <v>0</v>
      </c>
      <c r="DQ167" s="224">
        <f t="shared" si="989"/>
        <v>0</v>
      </c>
      <c r="DV167" s="166"/>
      <c r="DW167" s="90">
        <f t="shared" ref="DW167" si="1023">IF(DX164&lt;&gt;0,DX167/DX164,0)</f>
        <v>0</v>
      </c>
      <c r="DX167" s="54">
        <f t="shared" si="988"/>
        <v>0</v>
      </c>
      <c r="DZ167" s="571" t="s">
        <v>175</v>
      </c>
      <c r="EC167" s="166">
        <f t="shared" si="989"/>
        <v>0</v>
      </c>
      <c r="ED167" s="224">
        <f t="shared" si="989"/>
        <v>0</v>
      </c>
    </row>
    <row r="168" spans="1:134" ht="18.5" x14ac:dyDescent="0.45">
      <c r="Q168" s="205">
        <v>41</v>
      </c>
      <c r="R168" s="171" t="s">
        <v>869</v>
      </c>
      <c r="AD168" s="205"/>
      <c r="AE168" s="171" t="s">
        <v>869</v>
      </c>
      <c r="AQ168" s="205"/>
      <c r="AR168" s="171" t="s">
        <v>869</v>
      </c>
      <c r="BD168" s="205"/>
      <c r="BE168" s="171" t="s">
        <v>869</v>
      </c>
      <c r="BQ168" s="205"/>
      <c r="BR168" s="171" t="s">
        <v>869</v>
      </c>
      <c r="CD168" s="205"/>
      <c r="CE168" s="171" t="s">
        <v>869</v>
      </c>
      <c r="CQ168" s="205"/>
      <c r="CR168" s="171" t="s">
        <v>869</v>
      </c>
      <c r="DD168" s="205"/>
      <c r="DE168" s="171" t="s">
        <v>869</v>
      </c>
      <c r="DQ168" s="205"/>
      <c r="DR168" s="171" t="s">
        <v>869</v>
      </c>
      <c r="ED168" s="205"/>
    </row>
    <row r="169" spans="1:134" ht="18.5" x14ac:dyDescent="0.45">
      <c r="A169" s="171" t="s">
        <v>869</v>
      </c>
      <c r="Q169" s="205">
        <v>42</v>
      </c>
      <c r="W169" s="90">
        <f>SUM(W170:W172)</f>
        <v>1</v>
      </c>
      <c r="X169" s="54">
        <f>X151+X164</f>
        <v>108345.55</v>
      </c>
      <c r="Z169" s="204" t="s">
        <v>568</v>
      </c>
      <c r="AD169" s="205"/>
      <c r="AJ169" s="90">
        <f t="shared" ref="AJ169" si="1024">SUM(AJ170:AJ172)</f>
        <v>0.99999990175977715</v>
      </c>
      <c r="AK169" s="54">
        <f t="shared" ref="AK169:BK172" si="1025">AK151+AK164</f>
        <v>101791.3</v>
      </c>
      <c r="AM169" s="204" t="s">
        <v>568</v>
      </c>
      <c r="AQ169" s="205"/>
      <c r="AW169" s="90">
        <f t="shared" ref="AW169" si="1026">SUM(AW170:AW172)</f>
        <v>1</v>
      </c>
      <c r="AX169" s="54">
        <f t="shared" ref="AX169" si="1027">AX151+AX164</f>
        <v>95237.04</v>
      </c>
      <c r="AZ169" s="204" t="s">
        <v>568</v>
      </c>
      <c r="BD169" s="205"/>
      <c r="BJ169" s="90">
        <f t="shared" ref="BJ169" si="1028">SUM(BJ170:BJ172)</f>
        <v>1.0000001125764182</v>
      </c>
      <c r="BK169" s="54">
        <f t="shared" ref="BK169" si="1029">BK151+BK164</f>
        <v>88828.55</v>
      </c>
      <c r="BM169" s="204" t="s">
        <v>568</v>
      </c>
      <c r="BQ169" s="205"/>
      <c r="BW169" s="90">
        <f t="shared" ref="BW169" si="1030">SUM(BW170:BW172)</f>
        <v>0.99999987931721535</v>
      </c>
      <c r="BX169" s="54">
        <f t="shared" ref="BX169:CX172" si="1031">BX151+BX164</f>
        <v>82861.86</v>
      </c>
      <c r="BZ169" s="204" t="s">
        <v>568</v>
      </c>
      <c r="CD169" s="205"/>
      <c r="CJ169" s="90">
        <f t="shared" ref="CJ169" si="1032">SUM(CJ170:CJ172)</f>
        <v>1</v>
      </c>
      <c r="CK169" s="54">
        <f t="shared" ref="CK169" si="1033">CK151+CK164</f>
        <v>66332.3</v>
      </c>
      <c r="CM169" s="204" t="s">
        <v>568</v>
      </c>
      <c r="CQ169" s="205"/>
      <c r="CW169" s="90">
        <f t="shared" ref="CW169" si="1034">SUM(CW170:CW172)</f>
        <v>0.99999999999999989</v>
      </c>
      <c r="CX169" s="54">
        <f t="shared" ref="CX169" si="1035">CX151+CX164</f>
        <v>61894.080000000002</v>
      </c>
      <c r="CZ169" s="204" t="s">
        <v>568</v>
      </c>
      <c r="DD169" s="205"/>
      <c r="DJ169" s="90">
        <f t="shared" ref="DJ169" si="1036">SUM(DJ170:DJ172)</f>
        <v>0.99999982621199313</v>
      </c>
      <c r="DK169" s="54">
        <f t="shared" ref="DK169:DX172" si="1037">DK151+DK164</f>
        <v>57541.37</v>
      </c>
      <c r="DM169" s="204" t="s">
        <v>568</v>
      </c>
      <c r="DQ169" s="205"/>
      <c r="DW169" s="90">
        <f t="shared" ref="DW169" si="1038">SUM(DW170:DW172)</f>
        <v>1</v>
      </c>
      <c r="DX169" s="54">
        <f t="shared" ref="DX169" si="1039">DX151+DX164</f>
        <v>53188.65</v>
      </c>
      <c r="DZ169" s="204" t="s">
        <v>568</v>
      </c>
      <c r="ED169" s="205"/>
    </row>
    <row r="170" spans="1:134" x14ac:dyDescent="0.35">
      <c r="A170" s="73" t="s">
        <v>169</v>
      </c>
      <c r="Q170" s="205">
        <v>43</v>
      </c>
      <c r="W170" s="90">
        <f>IF(X169&lt;&gt;0,X170/X169,0)</f>
        <v>0.83122001780414612</v>
      </c>
      <c r="X170" s="54">
        <f t="shared" ref="X170:X172" si="1040">X152+X165</f>
        <v>90058.99</v>
      </c>
      <c r="Z170" s="73" t="s">
        <v>169</v>
      </c>
      <c r="AD170" s="205"/>
      <c r="AJ170" s="90">
        <f t="shared" ref="AJ170" si="1041">IF(AK169&lt;&gt;0,AK170/AK169,0)</f>
        <v>0.83029993722449758</v>
      </c>
      <c r="AK170" s="54">
        <f t="shared" si="1025"/>
        <v>84517.31</v>
      </c>
      <c r="AM170" s="571" t="s">
        <v>169</v>
      </c>
      <c r="AQ170" s="205"/>
      <c r="AW170" s="90">
        <f t="shared" ref="AW170" si="1042">IF(AX169&lt;&gt;0,AX170/AX169,0)</f>
        <v>0.82927997342210558</v>
      </c>
      <c r="AX170" s="54">
        <f t="shared" si="1025"/>
        <v>78978.17</v>
      </c>
      <c r="AZ170" s="571" t="s">
        <v>169</v>
      </c>
      <c r="BD170" s="205"/>
      <c r="BJ170" s="90">
        <f t="shared" ref="BJ170" si="1043">IF(BK169&lt;&gt;0,BK170/BK169,0)</f>
        <v>0.82816009042137906</v>
      </c>
      <c r="BK170" s="54">
        <f t="shared" si="1025"/>
        <v>73564.259999999995</v>
      </c>
      <c r="BM170" s="571" t="s">
        <v>169</v>
      </c>
      <c r="BQ170" s="205"/>
      <c r="BW170" s="90">
        <f t="shared" ref="BW170" si="1044">IF(BX169&lt;&gt;0,BX170/BX169,0)</f>
        <v>0.82694993812593631</v>
      </c>
      <c r="BX170" s="54">
        <f t="shared" si="1031"/>
        <v>68522.61</v>
      </c>
      <c r="BZ170" s="571" t="s">
        <v>169</v>
      </c>
      <c r="CD170" s="205"/>
      <c r="CJ170" s="90">
        <f t="shared" ref="CJ170" si="1045">IF(CK169&lt;&gt;0,CK170/CK169,0)</f>
        <v>0.82569004843794047</v>
      </c>
      <c r="CK170" s="54">
        <f t="shared" si="1031"/>
        <v>54769.919999999998</v>
      </c>
      <c r="CM170" s="571" t="s">
        <v>169</v>
      </c>
      <c r="CQ170" s="205"/>
      <c r="CW170" s="90">
        <f t="shared" ref="CW170" si="1046">IF(CX169&lt;&gt;0,CX170/CX169,0)</f>
        <v>0.82432003189965819</v>
      </c>
      <c r="CX170" s="54">
        <f t="shared" si="1031"/>
        <v>51020.53</v>
      </c>
      <c r="CZ170" s="571" t="s">
        <v>169</v>
      </c>
      <c r="DD170" s="205"/>
      <c r="DJ170" s="90">
        <f t="shared" ref="DJ170" si="1047">IF(DK169&lt;&gt;0,DK170/DK169,0)</f>
        <v>0.82413991880971893</v>
      </c>
      <c r="DK170" s="54">
        <f t="shared" si="1037"/>
        <v>47422.14</v>
      </c>
      <c r="DM170" s="571" t="s">
        <v>169</v>
      </c>
      <c r="DQ170" s="205"/>
      <c r="DW170" s="90">
        <f t="shared" ref="DW170" si="1048">IF(DX169&lt;&gt;0,DX170/DX169,0)</f>
        <v>0.82544001398794664</v>
      </c>
      <c r="DX170" s="54">
        <f t="shared" si="1037"/>
        <v>43904.04</v>
      </c>
      <c r="DZ170" s="571" t="s">
        <v>169</v>
      </c>
      <c r="ED170" s="205"/>
    </row>
    <row r="171" spans="1:134" x14ac:dyDescent="0.35">
      <c r="A171" s="73" t="s">
        <v>170</v>
      </c>
      <c r="Q171" s="205">
        <v>44</v>
      </c>
      <c r="W171" s="90">
        <f>IF(X169&lt;&gt;0,X171/X169,0)</f>
        <v>0.16877998219585391</v>
      </c>
      <c r="X171" s="54">
        <f t="shared" si="1040"/>
        <v>18286.560000000001</v>
      </c>
      <c r="Z171" s="73" t="s">
        <v>170</v>
      </c>
      <c r="AD171" s="205"/>
      <c r="AJ171" s="90">
        <f t="shared" ref="AJ171" si="1049">IF(AK169&lt;&gt;0,AK171/AK169,0)</f>
        <v>0.16969996453527952</v>
      </c>
      <c r="AK171" s="54">
        <f t="shared" si="1025"/>
        <v>17273.98</v>
      </c>
      <c r="AM171" s="571" t="s">
        <v>170</v>
      </c>
      <c r="AQ171" s="205"/>
      <c r="AW171" s="90">
        <f t="shared" ref="AW171" si="1050">IF(AX169&lt;&gt;0,AX171/AX169,0)</f>
        <v>0.17072002657789451</v>
      </c>
      <c r="AX171" s="54">
        <f t="shared" si="1025"/>
        <v>16258.87</v>
      </c>
      <c r="AZ171" s="571" t="s">
        <v>170</v>
      </c>
      <c r="BD171" s="205"/>
      <c r="BJ171" s="90">
        <f t="shared" ref="BJ171" si="1051">IF(BK169&lt;&gt;0,BK171/BK169,0)</f>
        <v>0.1718400221550391</v>
      </c>
      <c r="BK171" s="54">
        <f t="shared" si="1025"/>
        <v>15264.3</v>
      </c>
      <c r="BM171" s="571" t="s">
        <v>170</v>
      </c>
      <c r="BQ171" s="205"/>
      <c r="BW171" s="90">
        <f t="shared" ref="BW171" si="1052">IF(BX169&lt;&gt;0,BX171/BX169,0)</f>
        <v>0.17304994119127906</v>
      </c>
      <c r="BX171" s="54">
        <f t="shared" si="1031"/>
        <v>14339.24</v>
      </c>
      <c r="BZ171" s="571" t="s">
        <v>170</v>
      </c>
      <c r="CD171" s="205"/>
      <c r="CJ171" s="90">
        <f t="shared" ref="CJ171" si="1053">IF(CK169&lt;&gt;0,CK171/CK169,0)</f>
        <v>0.1743099515620595</v>
      </c>
      <c r="CK171" s="54">
        <f t="shared" si="1031"/>
        <v>11562.38</v>
      </c>
      <c r="CM171" s="571" t="s">
        <v>170</v>
      </c>
      <c r="CQ171" s="205"/>
      <c r="CW171" s="90">
        <f t="shared" ref="CW171" si="1054">IF(CX169&lt;&gt;0,CX171/CX169,0)</f>
        <v>0.17567996810034173</v>
      </c>
      <c r="CX171" s="54">
        <f t="shared" si="1031"/>
        <v>10873.55</v>
      </c>
      <c r="CZ171" s="571" t="s">
        <v>170</v>
      </c>
      <c r="DD171" s="205"/>
      <c r="DJ171" s="90">
        <f t="shared" ref="DJ171" si="1055">IF(DK169&lt;&gt;0,DK171/DK169,0)</f>
        <v>0.1758599074022742</v>
      </c>
      <c r="DK171" s="54">
        <f t="shared" si="1037"/>
        <v>10119.219999999999</v>
      </c>
      <c r="DM171" s="571" t="s">
        <v>170</v>
      </c>
      <c r="DQ171" s="205"/>
      <c r="DW171" s="90">
        <f t="shared" ref="DW171" si="1056">IF(DX169&lt;&gt;0,DX171/DX169,0)</f>
        <v>0.17455998601205333</v>
      </c>
      <c r="DX171" s="54">
        <f t="shared" si="1037"/>
        <v>9284.61</v>
      </c>
      <c r="DZ171" s="571" t="s">
        <v>170</v>
      </c>
      <c r="ED171" s="205"/>
    </row>
    <row r="172" spans="1:134" x14ac:dyDescent="0.35">
      <c r="A172" s="73" t="s">
        <v>175</v>
      </c>
      <c r="Q172" s="205">
        <v>45</v>
      </c>
      <c r="W172" s="90">
        <f>IF(X169&lt;&gt;0,X172/X169,0)</f>
        <v>0</v>
      </c>
      <c r="X172" s="54">
        <f t="shared" si="1040"/>
        <v>0</v>
      </c>
      <c r="Z172" s="73" t="s">
        <v>175</v>
      </c>
      <c r="AD172" s="205"/>
      <c r="AJ172" s="90">
        <f t="shared" ref="AJ172" si="1057">IF(AK169&lt;&gt;0,AK172/AK169,0)</f>
        <v>0</v>
      </c>
      <c r="AK172" s="54">
        <f t="shared" si="1025"/>
        <v>0</v>
      </c>
      <c r="AM172" s="571" t="s">
        <v>175</v>
      </c>
      <c r="AQ172" s="205"/>
      <c r="AW172" s="90">
        <f t="shared" ref="AW172" si="1058">IF(AX169&lt;&gt;0,AX172/AX169,0)</f>
        <v>0</v>
      </c>
      <c r="AX172" s="54">
        <f t="shared" si="1025"/>
        <v>0</v>
      </c>
      <c r="AZ172" s="571" t="s">
        <v>175</v>
      </c>
      <c r="BD172" s="205"/>
      <c r="BJ172" s="90">
        <f t="shared" ref="BJ172" si="1059">IF(BK169&lt;&gt;0,BK172/BK169,0)</f>
        <v>0</v>
      </c>
      <c r="BK172" s="54">
        <f t="shared" si="1025"/>
        <v>0</v>
      </c>
      <c r="BM172" s="571" t="s">
        <v>175</v>
      </c>
      <c r="BQ172" s="205"/>
      <c r="BW172" s="90">
        <f t="shared" ref="BW172" si="1060">IF(BX169&lt;&gt;0,BX172/BX169,0)</f>
        <v>0</v>
      </c>
      <c r="BX172" s="54">
        <f t="shared" si="1031"/>
        <v>0</v>
      </c>
      <c r="BZ172" s="571" t="s">
        <v>175</v>
      </c>
      <c r="CD172" s="205"/>
      <c r="CJ172" s="90">
        <f t="shared" ref="CJ172" si="1061">IF(CK169&lt;&gt;0,CK172/CK169,0)</f>
        <v>0</v>
      </c>
      <c r="CK172" s="54">
        <f t="shared" si="1031"/>
        <v>0</v>
      </c>
      <c r="CM172" s="571" t="s">
        <v>175</v>
      </c>
      <c r="CQ172" s="205"/>
      <c r="CW172" s="90">
        <f t="shared" ref="CW172" si="1062">IF(CX169&lt;&gt;0,CX172/CX169,0)</f>
        <v>0</v>
      </c>
      <c r="CX172" s="54">
        <f t="shared" si="1031"/>
        <v>0</v>
      </c>
      <c r="CZ172" s="571" t="s">
        <v>175</v>
      </c>
      <c r="DD172" s="205"/>
      <c r="DJ172" s="90">
        <f t="shared" ref="DJ172" si="1063">IF(DK169&lt;&gt;0,DK172/DK169,0)</f>
        <v>0</v>
      </c>
      <c r="DK172" s="54">
        <f t="shared" si="1037"/>
        <v>0</v>
      </c>
      <c r="DM172" s="571" t="s">
        <v>175</v>
      </c>
      <c r="DQ172" s="205"/>
      <c r="DW172" s="90">
        <f t="shared" ref="DW172" si="1064">IF(DX169&lt;&gt;0,DX172/DX169,0)</f>
        <v>0</v>
      </c>
      <c r="DX172" s="54">
        <f t="shared" si="1037"/>
        <v>0</v>
      </c>
      <c r="DZ172" s="571" t="s">
        <v>175</v>
      </c>
      <c r="ED172" s="205"/>
    </row>
    <row r="173" spans="1:134" ht="18.5" x14ac:dyDescent="0.45">
      <c r="A173" s="171" t="s">
        <v>570</v>
      </c>
      <c r="Q173" s="205">
        <v>46</v>
      </c>
      <c r="R173" s="171" t="s">
        <v>570</v>
      </c>
      <c r="S173" s="206"/>
      <c r="Z173" s="379" t="s">
        <v>895</v>
      </c>
      <c r="AD173" s="205"/>
      <c r="AE173" s="171" t="s">
        <v>570</v>
      </c>
      <c r="AF173" s="206"/>
      <c r="AM173" s="379" t="s">
        <v>895</v>
      </c>
      <c r="AQ173" s="205"/>
      <c r="AR173" s="171" t="s">
        <v>570</v>
      </c>
      <c r="AS173" s="206"/>
      <c r="AZ173" s="379" t="s">
        <v>895</v>
      </c>
      <c r="BD173" s="205"/>
      <c r="BE173" s="171" t="s">
        <v>570</v>
      </c>
      <c r="BF173" s="206"/>
      <c r="BM173" s="379" t="s">
        <v>895</v>
      </c>
      <c r="BQ173" s="205"/>
      <c r="BR173" s="171" t="s">
        <v>570</v>
      </c>
      <c r="BS173" s="206"/>
      <c r="BZ173" s="379" t="s">
        <v>895</v>
      </c>
      <c r="CD173" s="205"/>
      <c r="CE173" s="171" t="s">
        <v>570</v>
      </c>
      <c r="CF173" s="206"/>
      <c r="CM173" s="379" t="s">
        <v>895</v>
      </c>
      <c r="CQ173" s="205"/>
      <c r="CR173" s="171" t="s">
        <v>570</v>
      </c>
      <c r="CS173" s="206"/>
      <c r="CZ173" s="379" t="s">
        <v>895</v>
      </c>
      <c r="DD173" s="205"/>
      <c r="DE173" s="171" t="s">
        <v>570</v>
      </c>
      <c r="DF173" s="206"/>
      <c r="DM173" s="379" t="s">
        <v>895</v>
      </c>
      <c r="DQ173" s="205"/>
      <c r="DR173" s="171" t="s">
        <v>570</v>
      </c>
      <c r="DS173" s="206"/>
      <c r="DZ173" s="379" t="s">
        <v>895</v>
      </c>
      <c r="ED173" s="205"/>
    </row>
    <row r="174" spans="1:134" x14ac:dyDescent="0.35">
      <c r="A174" s="99" t="s">
        <v>705</v>
      </c>
      <c r="Q174" s="205">
        <v>47</v>
      </c>
      <c r="X174" s="166">
        <f>SUMIF(X5:X125,"&lt;&gt;0",V5:V125)</f>
        <v>6305203</v>
      </c>
      <c r="Z174" s="99" t="str">
        <f>"Eingegangene Beiträge, von denen im Jahr "&amp;X4 &amp;" noch abgeschrieben wird"</f>
        <v>Eingegangene Beiträge, von denen im Jahr 2012 noch abgeschrieben wird</v>
      </c>
      <c r="AD174" s="205"/>
      <c r="AK174" s="166">
        <f t="shared" ref="AK174" si="1065">SUMIF(AK5:AK125,"&lt;&gt;0",AI5:AI125)</f>
        <v>6305203</v>
      </c>
      <c r="AM174" s="99" t="str">
        <f t="shared" ref="AM174" si="1066">"Eingegangene Beiträge, von denen im Jahr "&amp;AK4 &amp;" noch abgeschrieben wird"</f>
        <v>Eingegangene Beiträge, von denen im Jahr 2013 noch abgeschrieben wird</v>
      </c>
      <c r="AQ174" s="205"/>
      <c r="AX174" s="166">
        <f t="shared" ref="AX174" si="1067">SUMIF(AX5:AX125,"&lt;&gt;0",AV5:AV125)</f>
        <v>6305203</v>
      </c>
      <c r="AZ174" s="99" t="str">
        <f t="shared" ref="AZ174" si="1068">"Eingegangene Beiträge, von denen im Jahr "&amp;AX4 &amp;" noch abgeschrieben wird"</f>
        <v>Eingegangene Beiträge, von denen im Jahr 2014 noch abgeschrieben wird</v>
      </c>
      <c r="BD174" s="205"/>
      <c r="BK174" s="166">
        <f t="shared" ref="BK174" si="1069">SUMIF(BK5:BK125,"&lt;&gt;0",BI5:BI125)</f>
        <v>6305203</v>
      </c>
      <c r="BM174" s="99" t="str">
        <f t="shared" ref="BM174" si="1070">"Eingegangene Beiträge, von denen im Jahr "&amp;BK4 &amp;" noch abgeschrieben wird"</f>
        <v>Eingegangene Beiträge, von denen im Jahr 2015 noch abgeschrieben wird</v>
      </c>
      <c r="BQ174" s="205"/>
      <c r="BX174" s="166">
        <f t="shared" ref="BX174" si="1071">SUMIF(BX5:BX125,"&lt;&gt;0",BV5:BV125)</f>
        <v>5455203</v>
      </c>
      <c r="BZ174" s="99" t="str">
        <f t="shared" ref="BZ174" si="1072">"Eingegangene Beiträge, von denen im Jahr "&amp;BX4 &amp;" noch abgeschrieben wird"</f>
        <v>Eingegangene Beiträge, von denen im Jahr 2016 noch abgeschrieben wird</v>
      </c>
      <c r="CD174" s="205"/>
      <c r="CK174" s="166">
        <f t="shared" ref="CK174" si="1073">SUMIF(CK5:CK125,"&lt;&gt;0",CI5:CI125)</f>
        <v>5455203</v>
      </c>
      <c r="CM174" s="99" t="str">
        <f t="shared" ref="CM174" si="1074">"Eingegangene Beiträge, von denen im Jahr "&amp;CK4 &amp;" noch abgeschrieben wird"</f>
        <v>Eingegangene Beiträge, von denen im Jahr 2017 noch abgeschrieben wird</v>
      </c>
      <c r="CQ174" s="205"/>
      <c r="CX174" s="166">
        <f t="shared" ref="CX174" si="1075">SUMIF(CX5:CX125,"&lt;&gt;0",CV5:CV125)</f>
        <v>4885203</v>
      </c>
      <c r="CZ174" s="99" t="str">
        <f t="shared" ref="CZ174" si="1076">"Eingegangene Beiträge, von denen im Jahr "&amp;CX4 &amp;" noch abgeschrieben wird"</f>
        <v>Eingegangene Beiträge, von denen im Jahr 2018 noch abgeschrieben wird</v>
      </c>
      <c r="DD174" s="205"/>
      <c r="DK174" s="166">
        <f t="shared" ref="DK174" si="1077">SUMIF(DK5:DK125,"&lt;&gt;0",DI5:DI125)</f>
        <v>4885203</v>
      </c>
      <c r="DM174" s="99" t="str">
        <f t="shared" ref="DM174" si="1078">"Eingegangene Beiträge, von denen im Jahr "&amp;DK4 &amp;" noch abgeschrieben wird"</f>
        <v>Eingegangene Beiträge, von denen im Jahr 2019 noch abgeschrieben wird</v>
      </c>
      <c r="DQ174" s="205"/>
      <c r="DX174" s="166">
        <f t="shared" ref="DX174" si="1079">SUMIF(DX5:DX125,"&lt;&gt;0",DV5:DV125)</f>
        <v>4885203</v>
      </c>
      <c r="DZ174" s="99" t="str">
        <f t="shared" ref="DZ174" si="1080">"Eingegangene Beiträge, von denen im Jahr "&amp;DX4 &amp;" noch abgeschrieben wird"</f>
        <v>Eingegangene Beiträge, von denen im Jahr 2020 noch abgeschrieben wird</v>
      </c>
      <c r="ED174" s="205"/>
    </row>
    <row r="175" spans="1:134" x14ac:dyDescent="0.35">
      <c r="A175" s="99" t="s">
        <v>709</v>
      </c>
      <c r="Q175" s="205">
        <v>48</v>
      </c>
      <c r="X175" s="166">
        <f>X174-X176</f>
        <v>0</v>
      </c>
      <c r="Z175" s="99" t="str">
        <f>" - Anteilige Kürzung, soweit im Jahr "&amp;X4 &amp;" nicht der volle Jahresbetrag abgeschrieben wird "</f>
        <v xml:space="preserve"> - Anteilige Kürzung, soweit im Jahr 2012 nicht der volle Jahresbetrag abgeschrieben wird </v>
      </c>
      <c r="AD175" s="205"/>
      <c r="AK175" s="166">
        <f t="shared" ref="AK175" si="1081">AK174-AK176</f>
        <v>0</v>
      </c>
      <c r="AM175" s="99" t="str">
        <f t="shared" ref="AM175" si="1082">" - Anteilige Kürzung, soweit im Jahr "&amp;AK4 &amp;" nicht der volle Jahresbetrag abgeschrieben wird "</f>
        <v xml:space="preserve"> - Anteilige Kürzung, soweit im Jahr 2013 nicht der volle Jahresbetrag abgeschrieben wird </v>
      </c>
      <c r="AQ175" s="205"/>
      <c r="AX175" s="166">
        <f t="shared" ref="AX175" si="1083">AX174-AX176</f>
        <v>0</v>
      </c>
      <c r="AZ175" s="99" t="str">
        <f t="shared" ref="AZ175" si="1084">" - Anteilige Kürzung, soweit im Jahr "&amp;AX4 &amp;" nicht der volle Jahresbetrag abgeschrieben wird "</f>
        <v xml:space="preserve"> - Anteilige Kürzung, soweit im Jahr 2014 nicht der volle Jahresbetrag abgeschrieben wird </v>
      </c>
      <c r="BD175" s="205"/>
      <c r="BK175" s="166">
        <f t="shared" ref="BK175" si="1085">BK174-BK176</f>
        <v>280471.37999999989</v>
      </c>
      <c r="BM175" s="99" t="str">
        <f t="shared" ref="BM175" si="1086">" - Anteilige Kürzung, soweit im Jahr "&amp;BK4 &amp;" nicht der volle Jahresbetrag abgeschrieben wird "</f>
        <v xml:space="preserve"> - Anteilige Kürzung, soweit im Jahr 2015 nicht der volle Jahresbetrag abgeschrieben wird </v>
      </c>
      <c r="BQ175" s="205"/>
      <c r="BX175" s="166">
        <f t="shared" ref="BX175" si="1087">BX174-BX176</f>
        <v>0</v>
      </c>
      <c r="BZ175" s="99" t="str">
        <f t="shared" ref="BZ175" si="1088">" - Anteilige Kürzung, soweit im Jahr "&amp;BX4 &amp;" nicht der volle Jahresbetrag abgeschrieben wird "</f>
        <v xml:space="preserve"> - Anteilige Kürzung, soweit im Jahr 2016 nicht der volle Jahresbetrag abgeschrieben wird </v>
      </c>
      <c r="CD175" s="205"/>
      <c r="CK175" s="166">
        <f t="shared" ref="CK175" si="1089">CK174-CK176</f>
        <v>378080.81000000052</v>
      </c>
      <c r="CM175" s="99" t="str">
        <f t="shared" ref="CM175" si="1090">" - Anteilige Kürzung, soweit im Jahr "&amp;CK4 &amp;" nicht der volle Jahresbetrag abgeschrieben wird "</f>
        <v xml:space="preserve"> - Anteilige Kürzung, soweit im Jahr 2017 nicht der volle Jahresbetrag abgeschrieben wird </v>
      </c>
      <c r="CQ175" s="205"/>
      <c r="CX175" s="166">
        <f t="shared" ref="CX175" si="1091">CX174-CX176</f>
        <v>0</v>
      </c>
      <c r="CZ175" s="99" t="str">
        <f t="shared" ref="CZ175" si="1092">" - Anteilige Kürzung, soweit im Jahr "&amp;CX4 &amp;" nicht der volle Jahresbetrag abgeschrieben wird "</f>
        <v xml:space="preserve"> - Anteilige Kürzung, soweit im Jahr 2018 nicht der volle Jahresbetrag abgeschrieben wird </v>
      </c>
      <c r="DD175" s="205"/>
      <c r="DK175" s="166">
        <f t="shared" ref="DK175" si="1093">DK174-DK176</f>
        <v>0</v>
      </c>
      <c r="DM175" s="99" t="str">
        <f t="shared" ref="DM175" si="1094">" - Anteilige Kürzung, soweit im Jahr "&amp;DK4 &amp;" nicht der volle Jahresbetrag abgeschrieben wird "</f>
        <v xml:space="preserve"> - Anteilige Kürzung, soweit im Jahr 2019 nicht der volle Jahresbetrag abgeschrieben wird </v>
      </c>
      <c r="DQ175" s="205"/>
      <c r="DX175" s="166">
        <f t="shared" ref="DX175" si="1095">DX174-DX176</f>
        <v>0</v>
      </c>
      <c r="DZ175" s="99" t="str">
        <f t="shared" ref="DZ175" si="1096">" - Anteilige Kürzung, soweit im Jahr "&amp;DX4 &amp;" nicht der volle Jahresbetrag abgeschrieben wird "</f>
        <v xml:space="preserve"> - Anteilige Kürzung, soweit im Jahr 2020 nicht der volle Jahresbetrag abgeschrieben wird </v>
      </c>
      <c r="ED175" s="205"/>
    </row>
    <row r="176" spans="1:134" x14ac:dyDescent="0.35">
      <c r="A176" s="99" t="s">
        <v>706</v>
      </c>
      <c r="Q176" s="205">
        <v>49</v>
      </c>
      <c r="X176" s="166">
        <f>W126</f>
        <v>6305203</v>
      </c>
      <c r="Z176" s="99" t="str">
        <f>"Maßgebliches Beitragsaufkommen zur Berechnung des gewichteten Auflösungssatzes im Jahr "&amp;X4</f>
        <v>Maßgebliches Beitragsaufkommen zur Berechnung des gewichteten Auflösungssatzes im Jahr 2012</v>
      </c>
      <c r="AD176" s="205"/>
      <c r="AK176" s="166">
        <f t="shared" ref="AK176" si="1097">AJ126</f>
        <v>6305203</v>
      </c>
      <c r="AM176" s="99" t="str">
        <f t="shared" ref="AM176" si="1098">"Maßgebliches Beitragsaufkommen zur Berechnung des gewichteten Auflösungssatzes im Jahr "&amp;AK4</f>
        <v>Maßgebliches Beitragsaufkommen zur Berechnung des gewichteten Auflösungssatzes im Jahr 2013</v>
      </c>
      <c r="AQ176" s="205"/>
      <c r="AX176" s="166">
        <f t="shared" ref="AX176" si="1099">AW126</f>
        <v>6305203</v>
      </c>
      <c r="AZ176" s="99" t="str">
        <f t="shared" ref="AZ176" si="1100">"Maßgebliches Beitragsaufkommen zur Berechnung des gewichteten Auflösungssatzes im Jahr "&amp;AX4</f>
        <v>Maßgebliches Beitragsaufkommen zur Berechnung des gewichteten Auflösungssatzes im Jahr 2014</v>
      </c>
      <c r="BD176" s="205"/>
      <c r="BK176" s="166">
        <f t="shared" ref="BK176" si="1101">BJ126</f>
        <v>6024731.6200000001</v>
      </c>
      <c r="BM176" s="99" t="str">
        <f t="shared" ref="BM176" si="1102">"Maßgebliches Beitragsaufkommen zur Berechnung des gewichteten Auflösungssatzes im Jahr "&amp;BK4</f>
        <v>Maßgebliches Beitragsaufkommen zur Berechnung des gewichteten Auflösungssatzes im Jahr 2015</v>
      </c>
      <c r="BQ176" s="205"/>
      <c r="BX176" s="166">
        <f t="shared" ref="BX176" si="1103">BW126</f>
        <v>5455203</v>
      </c>
      <c r="BZ176" s="99" t="str">
        <f t="shared" ref="BZ176" si="1104">"Maßgebliches Beitragsaufkommen zur Berechnung des gewichteten Auflösungssatzes im Jahr "&amp;BX4</f>
        <v>Maßgebliches Beitragsaufkommen zur Berechnung des gewichteten Auflösungssatzes im Jahr 2016</v>
      </c>
      <c r="CD176" s="205"/>
      <c r="CK176" s="166">
        <f t="shared" ref="CK176" si="1105">CJ126</f>
        <v>5077122.1899999995</v>
      </c>
      <c r="CM176" s="99" t="str">
        <f t="shared" ref="CM176" si="1106">"Maßgebliches Beitragsaufkommen zur Berechnung des gewichteten Auflösungssatzes im Jahr "&amp;CK4</f>
        <v>Maßgebliches Beitragsaufkommen zur Berechnung des gewichteten Auflösungssatzes im Jahr 2017</v>
      </c>
      <c r="CQ176" s="205"/>
      <c r="CX176" s="166">
        <f t="shared" ref="CX176" si="1107">CW126</f>
        <v>4885203</v>
      </c>
      <c r="CZ176" s="99" t="str">
        <f t="shared" ref="CZ176" si="1108">"Maßgebliches Beitragsaufkommen zur Berechnung des gewichteten Auflösungssatzes im Jahr "&amp;CX4</f>
        <v>Maßgebliches Beitragsaufkommen zur Berechnung des gewichteten Auflösungssatzes im Jahr 2018</v>
      </c>
      <c r="DD176" s="205"/>
      <c r="DK176" s="166">
        <f t="shared" ref="DK176" si="1109">DJ126</f>
        <v>4885203</v>
      </c>
      <c r="DM176" s="99" t="str">
        <f t="shared" ref="DM176" si="1110">"Maßgebliches Beitragsaufkommen zur Berechnung des gewichteten Auflösungssatzes im Jahr "&amp;DK4</f>
        <v>Maßgebliches Beitragsaufkommen zur Berechnung des gewichteten Auflösungssatzes im Jahr 2019</v>
      </c>
      <c r="DQ176" s="205"/>
      <c r="DX176" s="166">
        <f t="shared" ref="DX176" si="1111">DW126</f>
        <v>4885203</v>
      </c>
      <c r="DZ176" s="99" t="str">
        <f t="shared" ref="DZ176" si="1112">"Maßgebliches Beitragsaufkommen zur Berechnung des gewichteten Auflösungssatzes im Jahr "&amp;DX4</f>
        <v>Maßgebliches Beitragsaufkommen zur Berechnung des gewichteten Auflösungssatzes im Jahr 2020</v>
      </c>
      <c r="ED176" s="205"/>
    </row>
    <row r="177" spans="1:134" x14ac:dyDescent="0.35">
      <c r="A177" s="99" t="s">
        <v>711</v>
      </c>
      <c r="Q177" s="205">
        <v>50</v>
      </c>
      <c r="X177" s="166">
        <f>X126</f>
        <v>187264.53</v>
      </c>
      <c r="Z177" s="99" t="str">
        <f>"Summe der Abschreibungen im Jahr "&amp;X4</f>
        <v>Summe der Abschreibungen im Jahr 2012</v>
      </c>
      <c r="AD177" s="205"/>
      <c r="AK177" s="166">
        <f t="shared" ref="AK177" si="1113">AK126</f>
        <v>187264.53</v>
      </c>
      <c r="AM177" s="99" t="str">
        <f t="shared" ref="AM177" si="1114">"Summe der Abschreibungen im Jahr "&amp;AK4</f>
        <v>Summe der Abschreibungen im Jahr 2013</v>
      </c>
      <c r="AQ177" s="205"/>
      <c r="AX177" s="166">
        <f t="shared" ref="AX177" si="1115">AX126</f>
        <v>187264.53</v>
      </c>
      <c r="AZ177" s="99" t="str">
        <f t="shared" ref="AZ177" si="1116">"Summe der Abschreibungen im Jahr "&amp;AX4</f>
        <v>Summe der Abschreibungen im Jahr 2014</v>
      </c>
      <c r="BD177" s="205"/>
      <c r="BK177" s="166">
        <f t="shared" ref="BK177" si="1117">BK126</f>
        <v>178934.53</v>
      </c>
      <c r="BM177" s="99" t="str">
        <f t="shared" ref="BM177" si="1118">"Summe der Abschreibungen im Jahr "&amp;BK4</f>
        <v>Summe der Abschreibungen im Jahr 2015</v>
      </c>
      <c r="BQ177" s="205"/>
      <c r="BX177" s="166">
        <f t="shared" ref="BX177" si="1119">BX126</f>
        <v>162019.53</v>
      </c>
      <c r="BZ177" s="99" t="str">
        <f t="shared" ref="BZ177" si="1120">"Summe der Abschreibungen im Jahr "&amp;BX4</f>
        <v>Summe der Abschreibungen im Jahr 2016</v>
      </c>
      <c r="CD177" s="205"/>
      <c r="CK177" s="166">
        <f t="shared" ref="CK177" si="1121">CK126</f>
        <v>150790.53</v>
      </c>
      <c r="CM177" s="99" t="str">
        <f t="shared" ref="CM177" si="1122">"Summe der Abschreibungen im Jahr "&amp;CK4</f>
        <v>Summe der Abschreibungen im Jahr 2017</v>
      </c>
      <c r="CQ177" s="205"/>
      <c r="CX177" s="166">
        <f t="shared" ref="CX177" si="1123">CX126</f>
        <v>145090.53</v>
      </c>
      <c r="CZ177" s="99" t="str">
        <f t="shared" ref="CZ177" si="1124">"Summe der Abschreibungen im Jahr "&amp;CX4</f>
        <v>Summe der Abschreibungen im Jahr 2018</v>
      </c>
      <c r="DD177" s="205"/>
      <c r="DK177" s="166">
        <f t="shared" ref="DK177" si="1125">DK126</f>
        <v>145090.53</v>
      </c>
      <c r="DM177" s="99" t="str">
        <f t="shared" ref="DM177" si="1126">"Summe der Abschreibungen im Jahr "&amp;DK4</f>
        <v>Summe der Abschreibungen im Jahr 2019</v>
      </c>
      <c r="DQ177" s="205"/>
      <c r="DX177" s="166">
        <f t="shared" ref="DX177" si="1127">DX126</f>
        <v>145090.53</v>
      </c>
      <c r="DZ177" s="99" t="str">
        <f t="shared" ref="DZ177" si="1128">"Summe der Abschreibungen im Jahr "&amp;DX4</f>
        <v>Summe der Abschreibungen im Jahr 2020</v>
      </c>
      <c r="ED177" s="205"/>
    </row>
    <row r="178" spans="1:134" x14ac:dyDescent="0.35">
      <c r="A178" s="99" t="s">
        <v>712</v>
      </c>
      <c r="Q178" s="205">
        <v>51</v>
      </c>
      <c r="X178" s="94">
        <f>IF(X176&lt;&gt;0,ROUND(X177/X176,4),0)</f>
        <v>2.9700000000000001E-2</v>
      </c>
      <c r="Z178" s="99" t="str">
        <f>"Durchschnittlicher Auflösungssatz im Jahr "&amp;X4</f>
        <v>Durchschnittlicher Auflösungssatz im Jahr 2012</v>
      </c>
      <c r="AD178" s="205"/>
      <c r="AK178" s="94">
        <f t="shared" ref="AK178" si="1129">IF(AK176&lt;&gt;0,ROUND(AK177/AK176,4),0)</f>
        <v>2.9700000000000001E-2</v>
      </c>
      <c r="AM178" s="99" t="str">
        <f t="shared" ref="AM178" si="1130">"Durchschnittlicher Auflösungssatz im Jahr "&amp;AK4</f>
        <v>Durchschnittlicher Auflösungssatz im Jahr 2013</v>
      </c>
      <c r="AQ178" s="205"/>
      <c r="AX178" s="94">
        <f t="shared" ref="AX178" si="1131">IF(AX176&lt;&gt;0,ROUND(AX177/AX176,4),0)</f>
        <v>2.9700000000000001E-2</v>
      </c>
      <c r="AZ178" s="99" t="str">
        <f t="shared" ref="AZ178" si="1132">"Durchschnittlicher Auflösungssatz im Jahr "&amp;AX4</f>
        <v>Durchschnittlicher Auflösungssatz im Jahr 2014</v>
      </c>
      <c r="BD178" s="205"/>
      <c r="BK178" s="94">
        <f t="shared" ref="BK178" si="1133">IF(BK176&lt;&gt;0,ROUND(BK177/BK176,4),0)</f>
        <v>2.9700000000000001E-2</v>
      </c>
      <c r="BM178" s="99" t="str">
        <f t="shared" ref="BM178" si="1134">"Durchschnittlicher Auflösungssatz im Jahr "&amp;BK4</f>
        <v>Durchschnittlicher Auflösungssatz im Jahr 2015</v>
      </c>
      <c r="BQ178" s="205"/>
      <c r="BX178" s="94">
        <f t="shared" ref="BX178" si="1135">IF(BX176&lt;&gt;0,ROUND(BX177/BX176,4),0)</f>
        <v>2.9700000000000001E-2</v>
      </c>
      <c r="BZ178" s="99" t="str">
        <f t="shared" ref="BZ178" si="1136">"Durchschnittlicher Auflösungssatz im Jahr "&amp;BX4</f>
        <v>Durchschnittlicher Auflösungssatz im Jahr 2016</v>
      </c>
      <c r="CD178" s="205"/>
      <c r="CK178" s="94">
        <f t="shared" ref="CK178" si="1137">IF(CK176&lt;&gt;0,ROUND(CK177/CK176,4),0)</f>
        <v>2.9700000000000001E-2</v>
      </c>
      <c r="CM178" s="99" t="str">
        <f t="shared" ref="CM178" si="1138">"Durchschnittlicher Auflösungssatz im Jahr "&amp;CK4</f>
        <v>Durchschnittlicher Auflösungssatz im Jahr 2017</v>
      </c>
      <c r="CQ178" s="205"/>
      <c r="CX178" s="94">
        <f t="shared" ref="CX178" si="1139">IF(CX176&lt;&gt;0,ROUND(CX177/CX176,4),0)</f>
        <v>2.9700000000000001E-2</v>
      </c>
      <c r="CZ178" s="99" t="str">
        <f t="shared" ref="CZ178" si="1140">"Durchschnittlicher Auflösungssatz im Jahr "&amp;CX4</f>
        <v>Durchschnittlicher Auflösungssatz im Jahr 2018</v>
      </c>
      <c r="DD178" s="205"/>
      <c r="DK178" s="94">
        <f t="shared" ref="DK178" si="1141">IF(DK176&lt;&gt;0,ROUND(DK177/DK176,4),0)</f>
        <v>2.9700000000000001E-2</v>
      </c>
      <c r="DM178" s="99" t="str">
        <f t="shared" ref="DM178" si="1142">"Durchschnittlicher Auflösungssatz im Jahr "&amp;DK4</f>
        <v>Durchschnittlicher Auflösungssatz im Jahr 2019</v>
      </c>
      <c r="DQ178" s="205"/>
      <c r="DX178" s="94">
        <f t="shared" ref="DX178" si="1143">IF(DX176&lt;&gt;0,ROUND(DX177/DX176,4),0)</f>
        <v>2.9700000000000001E-2</v>
      </c>
      <c r="DZ178" s="99" t="str">
        <f t="shared" ref="DZ178" si="1144">"Durchschnittlicher Auflösungssatz im Jahr "&amp;DX4</f>
        <v>Durchschnittlicher Auflösungssatz im Jahr 2020</v>
      </c>
      <c r="ED178" s="205"/>
    </row>
    <row r="179" spans="1:134" ht="18.5" x14ac:dyDescent="0.45">
      <c r="A179" s="396" t="s">
        <v>902</v>
      </c>
      <c r="Q179" s="205">
        <v>52</v>
      </c>
      <c r="R179" s="171" t="s">
        <v>891</v>
      </c>
      <c r="W179" s="378"/>
      <c r="Z179" s="380" t="s">
        <v>902</v>
      </c>
      <c r="AD179" s="205"/>
      <c r="AE179" s="171" t="s">
        <v>891</v>
      </c>
      <c r="AJ179" s="378"/>
      <c r="AM179" s="380" t="s">
        <v>902</v>
      </c>
      <c r="AQ179" s="205"/>
      <c r="AR179" s="171" t="s">
        <v>891</v>
      </c>
      <c r="AW179" s="378"/>
      <c r="AZ179" s="380" t="s">
        <v>902</v>
      </c>
      <c r="BD179" s="205"/>
      <c r="BE179" s="171" t="s">
        <v>891</v>
      </c>
      <c r="BJ179" s="378"/>
      <c r="BM179" s="380" t="s">
        <v>902</v>
      </c>
      <c r="BQ179" s="205"/>
      <c r="BR179" s="171" t="s">
        <v>891</v>
      </c>
      <c r="BW179" s="378"/>
      <c r="BZ179" s="380" t="s">
        <v>902</v>
      </c>
      <c r="CD179" s="205"/>
      <c r="CE179" s="171" t="s">
        <v>891</v>
      </c>
      <c r="CJ179" s="378"/>
      <c r="CM179" s="380" t="s">
        <v>902</v>
      </c>
      <c r="CQ179" s="205"/>
      <c r="CR179" s="171" t="s">
        <v>891</v>
      </c>
      <c r="CW179" s="378"/>
      <c r="CZ179" s="380" t="s">
        <v>902</v>
      </c>
      <c r="DD179" s="205"/>
      <c r="DE179" s="171" t="s">
        <v>891</v>
      </c>
      <c r="DJ179" s="378"/>
      <c r="DM179" s="380" t="s">
        <v>902</v>
      </c>
      <c r="DQ179" s="205"/>
      <c r="DR179" s="171" t="s">
        <v>891</v>
      </c>
      <c r="DW179" s="378"/>
      <c r="DZ179" s="380" t="s">
        <v>902</v>
      </c>
      <c r="ED179" s="205"/>
    </row>
    <row r="180" spans="1:134" x14ac:dyDescent="0.35">
      <c r="A180" s="93" t="s">
        <v>863</v>
      </c>
      <c r="Q180" s="205">
        <v>53</v>
      </c>
      <c r="W180" s="378" t="s">
        <v>887</v>
      </c>
      <c r="X180" s="166">
        <f>V126</f>
        <v>6305203</v>
      </c>
      <c r="Z180" s="93" t="str">
        <f>"Gesamtbeitragsaufkommen bis Ende des Jahres  "&amp;X4</f>
        <v>Gesamtbeitragsaufkommen bis Ende des Jahres  2012</v>
      </c>
      <c r="AD180" s="205"/>
      <c r="AJ180" s="378" t="s">
        <v>887</v>
      </c>
      <c r="AK180" s="166">
        <f t="shared" ref="AK180" si="1145">AI126</f>
        <v>6305203</v>
      </c>
      <c r="AM180" s="93" t="str">
        <f t="shared" ref="AM180" si="1146">"Gesamtbeitragsaufkommen bis Ende des Jahres  "&amp;AK4</f>
        <v>Gesamtbeitragsaufkommen bis Ende des Jahres  2013</v>
      </c>
      <c r="AQ180" s="205"/>
      <c r="AW180" s="378" t="s">
        <v>887</v>
      </c>
      <c r="AX180" s="166">
        <f t="shared" ref="AX180" si="1147">AV126</f>
        <v>6305203</v>
      </c>
      <c r="AZ180" s="93" t="str">
        <f t="shared" ref="AZ180" si="1148">"Gesamtbeitragsaufkommen bis Ende des Jahres  "&amp;AX4</f>
        <v>Gesamtbeitragsaufkommen bis Ende des Jahres  2014</v>
      </c>
      <c r="BD180" s="205"/>
      <c r="BJ180" s="378" t="s">
        <v>887</v>
      </c>
      <c r="BK180" s="166">
        <f t="shared" ref="BK180" si="1149">BI126</f>
        <v>6305203</v>
      </c>
      <c r="BM180" s="93" t="str">
        <f t="shared" ref="BM180" si="1150">"Gesamtbeitragsaufkommen bis Ende des Jahres  "&amp;BK4</f>
        <v>Gesamtbeitragsaufkommen bis Ende des Jahres  2015</v>
      </c>
      <c r="BQ180" s="205"/>
      <c r="BW180" s="378" t="s">
        <v>887</v>
      </c>
      <c r="BX180" s="166">
        <f t="shared" ref="BX180" si="1151">BV126</f>
        <v>6305203</v>
      </c>
      <c r="BZ180" s="93" t="str">
        <f t="shared" ref="BZ180" si="1152">"Gesamtbeitragsaufkommen bis Ende des Jahres  "&amp;BX4</f>
        <v>Gesamtbeitragsaufkommen bis Ende des Jahres  2016</v>
      </c>
      <c r="CD180" s="205"/>
      <c r="CJ180" s="378" t="s">
        <v>887</v>
      </c>
      <c r="CK180" s="166">
        <f t="shared" ref="CK180" si="1153">CI126</f>
        <v>6305203</v>
      </c>
      <c r="CM180" s="93" t="str">
        <f t="shared" ref="CM180" si="1154">"Gesamtbeitragsaufkommen bis Ende des Jahres  "&amp;CK4</f>
        <v>Gesamtbeitragsaufkommen bis Ende des Jahres  2017</v>
      </c>
      <c r="CQ180" s="205"/>
      <c r="CW180" s="378" t="s">
        <v>887</v>
      </c>
      <c r="CX180" s="166">
        <f t="shared" ref="CX180" si="1155">CV126</f>
        <v>6305203</v>
      </c>
      <c r="CZ180" s="93" t="str">
        <f t="shared" ref="CZ180" si="1156">"Gesamtbeitragsaufkommen bis Ende des Jahres  "&amp;CX4</f>
        <v>Gesamtbeitragsaufkommen bis Ende des Jahres  2018</v>
      </c>
      <c r="DD180" s="205"/>
      <c r="DJ180" s="378" t="s">
        <v>887</v>
      </c>
      <c r="DK180" s="166">
        <f t="shared" ref="DK180" si="1157">DI126</f>
        <v>6305203</v>
      </c>
      <c r="DM180" s="93" t="str">
        <f t="shared" ref="DM180" si="1158">"Gesamtbeitragsaufkommen bis Ende des Jahres  "&amp;DK4</f>
        <v>Gesamtbeitragsaufkommen bis Ende des Jahres  2019</v>
      </c>
      <c r="DQ180" s="205"/>
      <c r="DW180" s="378" t="s">
        <v>887</v>
      </c>
      <c r="DX180" s="166">
        <f t="shared" ref="DX180" si="1159">DV126</f>
        <v>6305203</v>
      </c>
      <c r="DZ180" s="93" t="str">
        <f t="shared" ref="DZ180" si="1160">"Gesamtbeitragsaufkommen bis Ende des Jahres  "&amp;DX4</f>
        <v>Gesamtbeitragsaufkommen bis Ende des Jahres  2020</v>
      </c>
      <c r="ED180" s="205"/>
    </row>
    <row r="181" spans="1:134" x14ac:dyDescent="0.35">
      <c r="A181" s="93" t="s">
        <v>892</v>
      </c>
      <c r="Q181" s="205">
        <v>54</v>
      </c>
      <c r="W181" s="374">
        <f>X180-X181</f>
        <v>0</v>
      </c>
      <c r="X181" s="166">
        <f>V138</f>
        <v>6305203</v>
      </c>
      <c r="Z181" s="93" t="s">
        <v>892</v>
      </c>
      <c r="AD181" s="205"/>
      <c r="AJ181" s="374">
        <f t="shared" ref="AJ181" si="1161">AK180-AK181</f>
        <v>0</v>
      </c>
      <c r="AK181" s="166">
        <f t="shared" ref="AK181" si="1162">AI138</f>
        <v>6305203</v>
      </c>
      <c r="AM181" s="93" t="s">
        <v>892</v>
      </c>
      <c r="AQ181" s="205"/>
      <c r="AW181" s="374">
        <f t="shared" ref="AW181" si="1163">AX180-AX181</f>
        <v>0</v>
      </c>
      <c r="AX181" s="166">
        <f t="shared" ref="AX181" si="1164">AV138</f>
        <v>6305203</v>
      </c>
      <c r="AZ181" s="93" t="s">
        <v>892</v>
      </c>
      <c r="BD181" s="205"/>
      <c r="BJ181" s="374">
        <f t="shared" ref="BJ181" si="1165">BK180-BK181</f>
        <v>0</v>
      </c>
      <c r="BK181" s="166">
        <f t="shared" ref="BK181" si="1166">BI138</f>
        <v>6305203</v>
      </c>
      <c r="BM181" s="93" t="s">
        <v>892</v>
      </c>
      <c r="BQ181" s="205"/>
      <c r="BW181" s="374">
        <f t="shared" ref="BW181" si="1167">BX180-BX181</f>
        <v>0</v>
      </c>
      <c r="BX181" s="166">
        <f t="shared" ref="BX181" si="1168">BV138</f>
        <v>6305203</v>
      </c>
      <c r="BZ181" s="93" t="s">
        <v>892</v>
      </c>
      <c r="CD181" s="205"/>
      <c r="CJ181" s="374">
        <f t="shared" ref="CJ181" si="1169">CK180-CK181</f>
        <v>0</v>
      </c>
      <c r="CK181" s="166">
        <f t="shared" ref="CK181" si="1170">CI138</f>
        <v>6305203</v>
      </c>
      <c r="CM181" s="93" t="s">
        <v>892</v>
      </c>
      <c r="CQ181" s="205"/>
      <c r="CW181" s="374">
        <f t="shared" ref="CW181" si="1171">CX180-CX181</f>
        <v>0</v>
      </c>
      <c r="CX181" s="166">
        <f t="shared" ref="CX181" si="1172">CV138</f>
        <v>6305203</v>
      </c>
      <c r="CZ181" s="93" t="s">
        <v>892</v>
      </c>
      <c r="DD181" s="205"/>
      <c r="DJ181" s="374">
        <f t="shared" ref="DJ181" si="1173">DK180-DK181</f>
        <v>0</v>
      </c>
      <c r="DK181" s="166">
        <f t="shared" ref="DK181" si="1174">DI138</f>
        <v>6305203</v>
      </c>
      <c r="DM181" s="93" t="s">
        <v>892</v>
      </c>
      <c r="DQ181" s="205"/>
      <c r="DW181" s="374">
        <f t="shared" ref="DW181" si="1175">DX180-DX181</f>
        <v>0</v>
      </c>
      <c r="DX181" s="166">
        <f t="shared" ref="DX181" si="1176">DV138</f>
        <v>6305203</v>
      </c>
      <c r="DZ181" s="93" t="s">
        <v>892</v>
      </c>
      <c r="ED181" s="205"/>
    </row>
    <row r="182" spans="1:134" x14ac:dyDescent="0.35">
      <c r="A182" s="93" t="s">
        <v>893</v>
      </c>
      <c r="Q182" s="205">
        <v>55</v>
      </c>
      <c r="W182" s="374"/>
      <c r="X182" s="166">
        <f>X126</f>
        <v>187264.53</v>
      </c>
      <c r="Z182" s="93" t="s">
        <v>893</v>
      </c>
      <c r="AD182" s="205"/>
      <c r="AJ182" s="374"/>
      <c r="AK182" s="166">
        <f t="shared" ref="AK182" si="1177">AK126</f>
        <v>187264.53</v>
      </c>
      <c r="AM182" s="93" t="s">
        <v>893</v>
      </c>
      <c r="AQ182" s="205"/>
      <c r="AW182" s="374"/>
      <c r="AX182" s="166">
        <f t="shared" ref="AX182" si="1178">AX126</f>
        <v>187264.53</v>
      </c>
      <c r="AZ182" s="93" t="s">
        <v>893</v>
      </c>
      <c r="BD182" s="205"/>
      <c r="BJ182" s="374"/>
      <c r="BK182" s="166">
        <f t="shared" ref="BK182" si="1179">BK126</f>
        <v>178934.53</v>
      </c>
      <c r="BM182" s="93" t="s">
        <v>893</v>
      </c>
      <c r="BQ182" s="205"/>
      <c r="BW182" s="374"/>
      <c r="BX182" s="166">
        <f t="shared" ref="BX182" si="1180">BX126</f>
        <v>162019.53</v>
      </c>
      <c r="BZ182" s="93" t="s">
        <v>893</v>
      </c>
      <c r="CD182" s="205"/>
      <c r="CJ182" s="374"/>
      <c r="CK182" s="166">
        <f t="shared" ref="CK182" si="1181">CK126</f>
        <v>150790.53</v>
      </c>
      <c r="CM182" s="93" t="s">
        <v>893</v>
      </c>
      <c r="CQ182" s="205"/>
      <c r="CW182" s="374"/>
      <c r="CX182" s="166">
        <f t="shared" ref="CX182" si="1182">CX126</f>
        <v>145090.53</v>
      </c>
      <c r="CZ182" s="93" t="s">
        <v>893</v>
      </c>
      <c r="DD182" s="205"/>
      <c r="DJ182" s="374"/>
      <c r="DK182" s="166">
        <f t="shared" ref="DK182" si="1183">DK126</f>
        <v>145090.53</v>
      </c>
      <c r="DM182" s="93" t="s">
        <v>893</v>
      </c>
      <c r="DQ182" s="205"/>
      <c r="DW182" s="374"/>
      <c r="DX182" s="166">
        <f t="shared" ref="DX182" si="1184">DX126</f>
        <v>145090.53</v>
      </c>
      <c r="DZ182" s="93" t="s">
        <v>893</v>
      </c>
      <c r="ED182" s="205"/>
    </row>
    <row r="183" spans="1:134" x14ac:dyDescent="0.35">
      <c r="A183" s="93" t="s">
        <v>894</v>
      </c>
      <c r="Q183" s="205">
        <v>56</v>
      </c>
      <c r="W183" s="374">
        <f>X182-X183</f>
        <v>0</v>
      </c>
      <c r="X183" s="166">
        <f>X138</f>
        <v>187264.53</v>
      </c>
      <c r="Z183" s="93" t="s">
        <v>894</v>
      </c>
      <c r="AD183" s="205"/>
      <c r="AJ183" s="374">
        <f t="shared" ref="AJ183" si="1185">AK182-AK183</f>
        <v>0</v>
      </c>
      <c r="AK183" s="166">
        <f t="shared" ref="AK183" si="1186">AK138</f>
        <v>187264.53</v>
      </c>
      <c r="AM183" s="93" t="s">
        <v>894</v>
      </c>
      <c r="AQ183" s="205"/>
      <c r="AW183" s="374">
        <f t="shared" ref="AW183" si="1187">AX182-AX183</f>
        <v>0</v>
      </c>
      <c r="AX183" s="166">
        <f t="shared" ref="AX183" si="1188">AX138</f>
        <v>187264.53</v>
      </c>
      <c r="AZ183" s="93" t="s">
        <v>894</v>
      </c>
      <c r="BD183" s="205"/>
      <c r="BJ183" s="374">
        <f t="shared" ref="BJ183" si="1189">BK182-BK183</f>
        <v>0</v>
      </c>
      <c r="BK183" s="166">
        <f t="shared" ref="BK183" si="1190">BK138</f>
        <v>178934.53</v>
      </c>
      <c r="BM183" s="93" t="s">
        <v>894</v>
      </c>
      <c r="BQ183" s="205"/>
      <c r="BW183" s="374">
        <f t="shared" ref="BW183" si="1191">BX182-BX183</f>
        <v>0</v>
      </c>
      <c r="BX183" s="166">
        <f t="shared" ref="BX183" si="1192">BX138</f>
        <v>162019.53</v>
      </c>
      <c r="BZ183" s="93" t="s">
        <v>894</v>
      </c>
      <c r="CD183" s="205"/>
      <c r="CJ183" s="374">
        <f t="shared" ref="CJ183" si="1193">CK182-CK183</f>
        <v>0</v>
      </c>
      <c r="CK183" s="166">
        <f t="shared" ref="CK183" si="1194">CK138</f>
        <v>150790.53</v>
      </c>
      <c r="CM183" s="93" t="s">
        <v>894</v>
      </c>
      <c r="CQ183" s="205"/>
      <c r="CW183" s="374">
        <f t="shared" ref="CW183" si="1195">CX182-CX183</f>
        <v>0</v>
      </c>
      <c r="CX183" s="166">
        <f t="shared" ref="CX183" si="1196">CX138</f>
        <v>145090.53</v>
      </c>
      <c r="CZ183" s="93" t="s">
        <v>894</v>
      </c>
      <c r="DD183" s="205"/>
      <c r="DJ183" s="374">
        <f t="shared" ref="DJ183" si="1197">DK182-DK183</f>
        <v>0</v>
      </c>
      <c r="DK183" s="166">
        <f t="shared" ref="DK183" si="1198">DK138</f>
        <v>145090.53</v>
      </c>
      <c r="DM183" s="93" t="s">
        <v>894</v>
      </c>
      <c r="DQ183" s="205"/>
      <c r="DW183" s="374">
        <f t="shared" ref="DW183" si="1199">DX182-DX183</f>
        <v>0</v>
      </c>
      <c r="DX183" s="166">
        <f t="shared" ref="DX183" si="1200">DX138</f>
        <v>145090.53</v>
      </c>
      <c r="DZ183" s="93" t="s">
        <v>894</v>
      </c>
      <c r="ED183" s="205"/>
    </row>
    <row r="184" spans="1:134" x14ac:dyDescent="0.35">
      <c r="A184" s="211" t="s">
        <v>888</v>
      </c>
      <c r="Q184" s="205">
        <v>57</v>
      </c>
      <c r="W184" s="373"/>
      <c r="X184" s="166">
        <f>X169</f>
        <v>108345.55</v>
      </c>
      <c r="Z184" s="211" t="s">
        <v>888</v>
      </c>
      <c r="AD184" s="205"/>
      <c r="AJ184" s="373"/>
      <c r="AK184" s="166">
        <f t="shared" ref="AK184" si="1201">AK169</f>
        <v>101791.3</v>
      </c>
      <c r="AM184" s="211" t="s">
        <v>888</v>
      </c>
      <c r="AQ184" s="205"/>
      <c r="AW184" s="373"/>
      <c r="AX184" s="166">
        <f t="shared" ref="AX184" si="1202">AX169</f>
        <v>95237.04</v>
      </c>
      <c r="AZ184" s="211" t="s">
        <v>888</v>
      </c>
      <c r="BD184" s="205"/>
      <c r="BJ184" s="373"/>
      <c r="BK184" s="166">
        <f t="shared" ref="BK184" si="1203">BK169</f>
        <v>88828.55</v>
      </c>
      <c r="BM184" s="211" t="s">
        <v>888</v>
      </c>
      <c r="BQ184" s="205"/>
      <c r="BW184" s="373"/>
      <c r="BX184" s="166">
        <f t="shared" ref="BX184" si="1204">BX169</f>
        <v>82861.86</v>
      </c>
      <c r="BZ184" s="211" t="s">
        <v>888</v>
      </c>
      <c r="CD184" s="205"/>
      <c r="CJ184" s="373"/>
      <c r="CK184" s="166">
        <f t="shared" ref="CK184" si="1205">CK169</f>
        <v>66332.3</v>
      </c>
      <c r="CM184" s="211" t="s">
        <v>888</v>
      </c>
      <c r="CQ184" s="205"/>
      <c r="CW184" s="373"/>
      <c r="CX184" s="166">
        <f t="shared" ref="CX184" si="1206">CX169</f>
        <v>61894.080000000002</v>
      </c>
      <c r="CZ184" s="211" t="s">
        <v>888</v>
      </c>
      <c r="DD184" s="205"/>
      <c r="DJ184" s="373"/>
      <c r="DK184" s="166">
        <f t="shared" ref="DK184" si="1207">DK169</f>
        <v>57541.37</v>
      </c>
      <c r="DM184" s="211" t="s">
        <v>888</v>
      </c>
      <c r="DQ184" s="205"/>
      <c r="DW184" s="373"/>
      <c r="DX184" s="166">
        <f t="shared" ref="DX184" si="1208">DX169</f>
        <v>53188.65</v>
      </c>
      <c r="DZ184" s="211" t="s">
        <v>888</v>
      </c>
      <c r="ED184" s="205"/>
    </row>
    <row r="185" spans="1:134" x14ac:dyDescent="0.35">
      <c r="A185" s="93" t="s">
        <v>889</v>
      </c>
      <c r="Q185" s="205">
        <v>58</v>
      </c>
      <c r="W185" s="374">
        <f>X184-X185</f>
        <v>0</v>
      </c>
      <c r="X185" s="166">
        <f>ROUND((AA126-S126+U126+Y126/2)*HLOOKUP(X128,Grund_zins,2,FALSE),2)+ROUND((AC126+AD126/2)*HLOOKUP(X128,Grund_zins,2,FALSE),2)</f>
        <v>108345.55</v>
      </c>
      <c r="Z185" s="93" t="s">
        <v>889</v>
      </c>
      <c r="AD185" s="205"/>
      <c r="AJ185" s="374">
        <f t="shared" ref="AJ185" si="1209">AK184-AK185</f>
        <v>0</v>
      </c>
      <c r="AK185" s="166">
        <f>ROUND((AN126-AF126+AH126+AL126/2)*HLOOKUP(AK128,Grund_zins,2,FALSE),2)+ROUND((AP126+AQ126/2)*HLOOKUP(AK128,Grund_zins,2,FALSE),2)</f>
        <v>101791.3</v>
      </c>
      <c r="AM185" s="93" t="s">
        <v>889</v>
      </c>
      <c r="AQ185" s="205"/>
      <c r="AW185" s="374">
        <f t="shared" ref="AW185" si="1210">AX184-AX185</f>
        <v>0</v>
      </c>
      <c r="AX185" s="166">
        <f>ROUND((BA126-AS126+AU126+AY126/2)*HLOOKUP(AX128,Grund_zins,2,FALSE),2)+ROUND((BC126+BD126/2)*HLOOKUP(AX128,Grund_zins,2,FALSE),2)</f>
        <v>95237.04</v>
      </c>
      <c r="AZ185" s="93" t="s">
        <v>889</v>
      </c>
      <c r="BD185" s="205"/>
      <c r="BJ185" s="374">
        <f t="shared" ref="BJ185" si="1211">BK184-BK185</f>
        <v>0</v>
      </c>
      <c r="BK185" s="166">
        <f>ROUND((BN126-BF126+BH126+BL126/2)*HLOOKUP(BK128,Grund_zins,2,FALSE),2)+ROUND((BP126+BQ126/2)*HLOOKUP(BK128,Grund_zins,2,FALSE),2)</f>
        <v>88828.55</v>
      </c>
      <c r="BM185" s="93" t="s">
        <v>889</v>
      </c>
      <c r="BQ185" s="205"/>
      <c r="BW185" s="374">
        <f t="shared" ref="BW185" si="1212">BX184-BX185</f>
        <v>0</v>
      </c>
      <c r="BX185" s="166">
        <f>ROUND((CA126-BS126+BU126+BY126/2)*HLOOKUP(BX128,Grund_zins,2,FALSE),2)+ROUND((CC126+CD126/2)*HLOOKUP(BX128,Grund_zins,2,FALSE),2)</f>
        <v>82861.86</v>
      </c>
      <c r="BZ185" s="93" t="s">
        <v>889</v>
      </c>
      <c r="CD185" s="205"/>
      <c r="CJ185" s="374">
        <f t="shared" ref="CJ185" si="1213">CK184-CK185</f>
        <v>0</v>
      </c>
      <c r="CK185" s="166">
        <f>ROUND((CN126-CF126+CH126+CL126/2)*HLOOKUP(CK128,Grund_zins,2,FALSE),2)+ROUND((CP126+CQ126/2)*HLOOKUP(CK128,Grund_zins,2,FALSE),2)</f>
        <v>66332.3</v>
      </c>
      <c r="CM185" s="93" t="s">
        <v>889</v>
      </c>
      <c r="CQ185" s="205"/>
      <c r="CW185" s="374">
        <f t="shared" ref="CW185" si="1214">CX184-CX185</f>
        <v>0</v>
      </c>
      <c r="CX185" s="166">
        <f>ROUND((DA126-CS126+CU126+CY126/2)*HLOOKUP(CX128,Grund_zins,2,FALSE),2)+ROUND((DC126+DD126/2)*HLOOKUP(CX128,Grund_zins,2,FALSE),2)</f>
        <v>61894.080000000002</v>
      </c>
      <c r="CZ185" s="93" t="s">
        <v>889</v>
      </c>
      <c r="DD185" s="205"/>
      <c r="DJ185" s="374">
        <f t="shared" ref="DJ185" si="1215">DK184-DK185</f>
        <v>0</v>
      </c>
      <c r="DK185" s="166">
        <f>ROUND((DN126-DF126+DH126+DL126/2)*HLOOKUP(DK128,Grund_zins,2,FALSE),2)+ROUND((DP126+DQ126/2)*HLOOKUP(DK128,Grund_zins,2,FALSE),2)</f>
        <v>57541.37</v>
      </c>
      <c r="DM185" s="93" t="s">
        <v>889</v>
      </c>
      <c r="DQ185" s="205"/>
      <c r="DW185" s="374">
        <f t="shared" ref="DW185" si="1216">DX184-DX185</f>
        <v>0</v>
      </c>
      <c r="DX185" s="166">
        <f>ROUND((EA126-DS126+DU126+DY126/2)*HLOOKUP(DX128,Grund_zins,2,FALSE),2)+ROUND((EC126+ED126/2)*HLOOKUP(DX128,Grund_zins,2,FALSE),2)</f>
        <v>53188.65</v>
      </c>
      <c r="DZ185" s="93" t="s">
        <v>889</v>
      </c>
      <c r="ED185" s="205"/>
    </row>
    <row r="186" spans="1:134" x14ac:dyDescent="0.35">
      <c r="Q186" s="205">
        <v>59</v>
      </c>
      <c r="AD186" s="205"/>
      <c r="AQ186" s="205"/>
      <c r="BD186" s="205"/>
      <c r="BQ186" s="205"/>
      <c r="CD186" s="205"/>
      <c r="CQ186" s="205"/>
      <c r="DD186" s="205"/>
      <c r="DQ186" s="205"/>
      <c r="ED186" s="205"/>
    </row>
    <row r="187" spans="1:134" x14ac:dyDescent="0.35">
      <c r="Q187" s="205">
        <v>60</v>
      </c>
      <c r="AD187" s="205"/>
      <c r="AQ187" s="205"/>
      <c r="BD187" s="205"/>
      <c r="BQ187" s="205"/>
      <c r="CD187" s="205"/>
      <c r="CQ187" s="205"/>
      <c r="DD187" s="205"/>
      <c r="DQ187" s="205"/>
      <c r="ED187" s="205"/>
    </row>
    <row r="188" spans="1:134" x14ac:dyDescent="0.35">
      <c r="Q188" s="205">
        <v>61</v>
      </c>
      <c r="AD188" s="205"/>
      <c r="AQ188" s="205"/>
      <c r="BD188" s="205"/>
      <c r="BQ188" s="205"/>
      <c r="CD188" s="205"/>
      <c r="CQ188" s="205"/>
      <c r="DD188" s="205"/>
      <c r="DQ188" s="205"/>
      <c r="ED188" s="205"/>
    </row>
    <row r="189" spans="1:134" x14ac:dyDescent="0.35">
      <c r="Q189" s="205">
        <v>62</v>
      </c>
      <c r="AD189" s="205"/>
      <c r="AQ189" s="205"/>
      <c r="BD189" s="205"/>
      <c r="BQ189" s="205"/>
      <c r="CD189" s="205"/>
      <c r="CQ189" s="205"/>
      <c r="DD189" s="205"/>
      <c r="DQ189" s="205"/>
      <c r="ED189" s="205"/>
    </row>
    <row r="190" spans="1:134" x14ac:dyDescent="0.35">
      <c r="Q190" s="205">
        <v>63</v>
      </c>
      <c r="AD190" s="205"/>
      <c r="AQ190" s="205"/>
      <c r="BD190" s="205"/>
      <c r="BQ190" s="205"/>
      <c r="CD190" s="205"/>
      <c r="CQ190" s="205"/>
      <c r="DD190" s="205"/>
      <c r="DQ190" s="205"/>
      <c r="ED190" s="205"/>
    </row>
    <row r="191" spans="1:134" x14ac:dyDescent="0.35">
      <c r="Q191" s="205">
        <v>64</v>
      </c>
      <c r="AD191" s="205"/>
      <c r="AQ191" s="205"/>
      <c r="BD191" s="205"/>
      <c r="BQ191" s="205"/>
      <c r="CD191" s="205"/>
      <c r="CQ191" s="205"/>
      <c r="DD191" s="205"/>
      <c r="DQ191" s="205"/>
      <c r="ED191" s="205"/>
    </row>
    <row r="192" spans="1:134" x14ac:dyDescent="0.35">
      <c r="Q192" s="205">
        <v>65</v>
      </c>
      <c r="AD192" s="205"/>
      <c r="AQ192" s="205"/>
      <c r="BD192" s="205"/>
      <c r="BQ192" s="205"/>
      <c r="CD192" s="205"/>
      <c r="CQ192" s="205"/>
      <c r="DD192" s="205"/>
      <c r="DQ192" s="205"/>
      <c r="ED192" s="205"/>
    </row>
  </sheetData>
  <mergeCells count="44">
    <mergeCell ref="AC2:AD2"/>
    <mergeCell ref="F3:F4"/>
    <mergeCell ref="I3:I4"/>
    <mergeCell ref="B3:B4"/>
    <mergeCell ref="C3:C4"/>
    <mergeCell ref="D3:D4"/>
    <mergeCell ref="E3:E4"/>
    <mergeCell ref="AE1:AQ1"/>
    <mergeCell ref="AE2:AO2"/>
    <mergeCell ref="AP2:AQ2"/>
    <mergeCell ref="J3:J4"/>
    <mergeCell ref="A1:J1"/>
    <mergeCell ref="K1:L1"/>
    <mergeCell ref="M1:Q1"/>
    <mergeCell ref="R1:AD1"/>
    <mergeCell ref="A2:J2"/>
    <mergeCell ref="K2:K4"/>
    <mergeCell ref="L2:L4"/>
    <mergeCell ref="M2:M3"/>
    <mergeCell ref="A3:A4"/>
    <mergeCell ref="O2:O3"/>
    <mergeCell ref="Q2:Q3"/>
    <mergeCell ref="R2:AB2"/>
    <mergeCell ref="AR1:BD1"/>
    <mergeCell ref="BE1:BQ1"/>
    <mergeCell ref="BR1:CD1"/>
    <mergeCell ref="CE1:CQ1"/>
    <mergeCell ref="BP2:BQ2"/>
    <mergeCell ref="BR2:CB2"/>
    <mergeCell ref="CC2:CD2"/>
    <mergeCell ref="CE2:CO2"/>
    <mergeCell ref="CP2:CQ2"/>
    <mergeCell ref="AR2:BB2"/>
    <mergeCell ref="BC2:BD2"/>
    <mergeCell ref="BE2:BO2"/>
    <mergeCell ref="DP2:DQ2"/>
    <mergeCell ref="DR2:EB2"/>
    <mergeCell ref="EC2:ED2"/>
    <mergeCell ref="CR1:DD1"/>
    <mergeCell ref="DE1:DQ1"/>
    <mergeCell ref="DR1:ED1"/>
    <mergeCell ref="CR2:DB2"/>
    <mergeCell ref="DC2:DD2"/>
    <mergeCell ref="DE2:DO2"/>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D207"/>
  <sheetViews>
    <sheetView topLeftCell="K1" workbookViewId="0">
      <pane ySplit="4" topLeftCell="A123" activePane="bottomLeft" state="frozen"/>
      <selection pane="bottomLeft" activeCell="AE192" sqref="AE192:ED195"/>
    </sheetView>
  </sheetViews>
  <sheetFormatPr baseColWidth="10" defaultRowHeight="14.5" x14ac:dyDescent="0.35"/>
  <cols>
    <col min="1" max="1" width="6.7265625" style="10" customWidth="1"/>
    <col min="2" max="2" width="38.81640625" style="10" customWidth="1"/>
    <col min="3" max="3" width="16.1796875" style="10" customWidth="1"/>
    <col min="4" max="4" width="9.26953125" style="10" customWidth="1"/>
    <col min="5" max="5" width="14.54296875" style="10" customWidth="1"/>
    <col min="6" max="6" width="11.453125" style="10"/>
    <col min="7" max="7" width="8.453125" style="10" customWidth="1"/>
    <col min="8" max="8" width="8.26953125" style="10" customWidth="1"/>
    <col min="9" max="9" width="6.453125" style="10" customWidth="1"/>
    <col min="10" max="10" width="8" style="10" customWidth="1"/>
    <col min="11" max="12" width="11.453125" style="10" customWidth="1"/>
    <col min="13" max="13" width="13.1796875" style="10" customWidth="1"/>
    <col min="14" max="14" width="13.1796875" style="10" hidden="1" customWidth="1"/>
    <col min="15" max="15" width="13.1796875" style="10" customWidth="1"/>
    <col min="16" max="16" width="13.1796875" style="10" hidden="1" customWidth="1"/>
    <col min="17" max="18" width="13.1796875" style="10" customWidth="1"/>
    <col min="19" max="19" width="13.1796875" style="10" hidden="1" customWidth="1"/>
    <col min="20" max="20" width="13.1796875" style="10" customWidth="1"/>
    <col min="21" max="21" width="13.1796875" style="10" hidden="1" customWidth="1"/>
    <col min="22" max="22" width="13.1796875" style="10" customWidth="1"/>
    <col min="23" max="23" width="13.1796875" style="10" hidden="1" customWidth="1"/>
    <col min="24" max="24" width="13.1796875" style="10" customWidth="1"/>
    <col min="25" max="25" width="13.1796875" style="10" hidden="1" customWidth="1"/>
    <col min="26" max="26" width="13.1796875" style="10" customWidth="1"/>
    <col min="27" max="27" width="13.1796875" style="10" hidden="1" customWidth="1"/>
    <col min="28" max="31" width="13.1796875" style="10" customWidth="1"/>
    <col min="32" max="32" width="13.1796875" style="10" hidden="1" customWidth="1"/>
    <col min="33" max="33" width="13.1796875" style="10" customWidth="1"/>
    <col min="34" max="34" width="13.1796875" style="10" hidden="1" customWidth="1"/>
    <col min="35" max="35" width="13.1796875" style="10" customWidth="1"/>
    <col min="36" max="36" width="13.1796875" style="10" hidden="1" customWidth="1"/>
    <col min="37" max="37" width="13.1796875" style="10" customWidth="1"/>
    <col min="38" max="38" width="13.1796875" style="10" hidden="1" customWidth="1"/>
    <col min="39" max="39" width="13.1796875" style="10" customWidth="1"/>
    <col min="40" max="40" width="13.1796875" style="10" hidden="1" customWidth="1"/>
    <col min="41" max="44" width="13.1796875" style="10" customWidth="1"/>
    <col min="45" max="45" width="13.1796875" style="10" hidden="1" customWidth="1"/>
    <col min="46" max="46" width="13.1796875" style="10" customWidth="1"/>
    <col min="47" max="47" width="13.1796875" style="10" hidden="1" customWidth="1"/>
    <col min="48" max="48" width="13.1796875" style="10" customWidth="1"/>
    <col min="49" max="49" width="13.1796875" style="10" hidden="1" customWidth="1"/>
    <col min="50" max="50" width="13.1796875" style="10" customWidth="1"/>
    <col min="51" max="51" width="13.1796875" style="10" hidden="1" customWidth="1"/>
    <col min="52" max="52" width="13.1796875" style="10" customWidth="1"/>
    <col min="53" max="53" width="13.1796875" style="10" hidden="1" customWidth="1"/>
    <col min="54" max="57" width="13.1796875" style="10" customWidth="1"/>
    <col min="58" max="58" width="13.1796875" style="10" hidden="1" customWidth="1"/>
    <col min="59" max="59" width="13.1796875" style="10" customWidth="1"/>
    <col min="60" max="60" width="13.1796875" style="10" hidden="1" customWidth="1"/>
    <col min="61" max="61" width="13.1796875" style="10" customWidth="1"/>
    <col min="62" max="62" width="13.1796875" style="10" hidden="1" customWidth="1"/>
    <col min="63" max="63" width="13.1796875" style="10" customWidth="1"/>
    <col min="64" max="64" width="13.1796875" style="10" hidden="1" customWidth="1"/>
    <col min="65" max="65" width="13.1796875" style="10" customWidth="1"/>
    <col min="66" max="66" width="13.1796875" style="10" hidden="1" customWidth="1"/>
    <col min="67" max="70" width="13.1796875" style="10" customWidth="1"/>
    <col min="71" max="71" width="13.1796875" style="10" hidden="1" customWidth="1"/>
    <col min="72" max="72" width="13.1796875" style="10" customWidth="1"/>
    <col min="73" max="73" width="13.1796875" style="10" hidden="1" customWidth="1"/>
    <col min="74" max="74" width="13.1796875" style="10" customWidth="1"/>
    <col min="75" max="75" width="13.1796875" style="10" hidden="1" customWidth="1"/>
    <col min="76" max="76" width="13.1796875" style="10" customWidth="1"/>
    <col min="77" max="77" width="13.1796875" style="10" hidden="1" customWidth="1"/>
    <col min="78" max="78" width="13.1796875" style="10" customWidth="1"/>
    <col min="79" max="79" width="13.1796875" style="10" hidden="1" customWidth="1"/>
    <col min="80" max="83" width="13.1796875" style="10" customWidth="1"/>
    <col min="84" max="84" width="13.1796875" style="10" hidden="1" customWidth="1"/>
    <col min="85" max="85" width="13.1796875" style="10" customWidth="1"/>
    <col min="86" max="86" width="13.1796875" style="10" hidden="1" customWidth="1"/>
    <col min="87" max="87" width="13.1796875" style="10" customWidth="1"/>
    <col min="88" max="88" width="13.1796875" style="10" hidden="1" customWidth="1"/>
    <col min="89" max="89" width="13.1796875" style="10" customWidth="1"/>
    <col min="90" max="90" width="13.1796875" style="10" hidden="1" customWidth="1"/>
    <col min="91" max="91" width="13.1796875" style="10" customWidth="1"/>
    <col min="92" max="92" width="13.1796875" style="10" hidden="1" customWidth="1"/>
    <col min="93" max="96" width="13.1796875" style="10" customWidth="1"/>
    <col min="97" max="97" width="13.1796875" style="10" hidden="1" customWidth="1"/>
    <col min="98" max="98" width="13.1796875" style="10" customWidth="1"/>
    <col min="99" max="99" width="13.1796875" style="10" hidden="1" customWidth="1"/>
    <col min="100" max="100" width="13.1796875" style="10" customWidth="1"/>
    <col min="101" max="101" width="13.1796875" style="10" hidden="1" customWidth="1"/>
    <col min="102" max="102" width="13.1796875" style="10" customWidth="1"/>
    <col min="103" max="103" width="13.1796875" style="10" hidden="1" customWidth="1"/>
    <col min="104" max="104" width="13.1796875" style="10" customWidth="1"/>
    <col min="105" max="105" width="13.1796875" style="10" hidden="1" customWidth="1"/>
    <col min="106" max="109" width="13.1796875" style="10" customWidth="1"/>
    <col min="110" max="110" width="13.1796875" style="10" hidden="1" customWidth="1"/>
    <col min="111" max="111" width="13.1796875" style="10" customWidth="1"/>
    <col min="112" max="112" width="13.1796875" style="10" hidden="1" customWidth="1"/>
    <col min="113" max="113" width="13.1796875" style="10" customWidth="1"/>
    <col min="114" max="114" width="13.1796875" style="10" hidden="1" customWidth="1"/>
    <col min="115" max="115" width="13.1796875" style="10" customWidth="1"/>
    <col min="116" max="116" width="13.1796875" style="10" hidden="1" customWidth="1"/>
    <col min="117" max="117" width="13.1796875" style="10" customWidth="1"/>
    <col min="118" max="118" width="13.1796875" style="10" hidden="1" customWidth="1"/>
    <col min="119" max="122" width="13.1796875" style="10" customWidth="1"/>
    <col min="123" max="123" width="13.1796875" style="10" hidden="1" customWidth="1"/>
    <col min="124" max="124" width="13.1796875" style="10" customWidth="1"/>
    <col min="125" max="125" width="13.1796875" style="10" hidden="1" customWidth="1"/>
    <col min="126" max="126" width="13.1796875" style="10" customWidth="1"/>
    <col min="127" max="127" width="13.1796875" style="10" hidden="1" customWidth="1"/>
    <col min="128" max="128" width="13.1796875" style="10" customWidth="1"/>
    <col min="129" max="129" width="13.1796875" style="10" hidden="1" customWidth="1"/>
    <col min="130" max="130" width="13.1796875" style="10" customWidth="1"/>
    <col min="131" max="131" width="13.1796875" style="10" hidden="1" customWidth="1"/>
    <col min="132" max="134" width="13.1796875" style="10" customWidth="1"/>
  </cols>
  <sheetData>
    <row r="1" spans="1:134" ht="30" customHeight="1" x14ac:dyDescent="0.35">
      <c r="A1" s="972" t="str">
        <f>Grunddaten!A1 &amp; "   " &amp; Grunddaten!A2</f>
        <v>Gemeinde A   Abwasserbeseitigungseinrichtung</v>
      </c>
      <c r="B1" s="972"/>
      <c r="C1" s="972"/>
      <c r="D1" s="972"/>
      <c r="E1" s="972"/>
      <c r="F1" s="972"/>
      <c r="G1" s="972"/>
      <c r="H1" s="972"/>
      <c r="I1" s="972"/>
      <c r="J1" s="973"/>
      <c r="K1" s="997" t="s">
        <v>575</v>
      </c>
      <c r="L1" s="998"/>
      <c r="M1" s="999" t="s">
        <v>521</v>
      </c>
      <c r="N1" s="999"/>
      <c r="O1" s="1000"/>
      <c r="P1" s="1001"/>
      <c r="Q1" s="1001"/>
      <c r="R1" s="994" t="str">
        <f>"Berechnungen für das Jahr "&amp;U4</f>
        <v>Berechnungen für das Jahr 2012</v>
      </c>
      <c r="S1" s="995"/>
      <c r="T1" s="995"/>
      <c r="U1" s="995"/>
      <c r="V1" s="995"/>
      <c r="W1" s="995"/>
      <c r="X1" s="995"/>
      <c r="Y1" s="995"/>
      <c r="Z1" s="995"/>
      <c r="AA1" s="995"/>
      <c r="AB1" s="995"/>
      <c r="AC1" s="995"/>
      <c r="AD1" s="996"/>
      <c r="AE1" s="994" t="str">
        <f t="shared" ref="AE1" si="0">"Berechnungen für das Jahr "&amp;AH4</f>
        <v>Berechnungen für das Jahr 2013</v>
      </c>
      <c r="AF1" s="995"/>
      <c r="AG1" s="995"/>
      <c r="AH1" s="995"/>
      <c r="AI1" s="995"/>
      <c r="AJ1" s="995"/>
      <c r="AK1" s="995"/>
      <c r="AL1" s="995"/>
      <c r="AM1" s="995"/>
      <c r="AN1" s="995"/>
      <c r="AO1" s="995"/>
      <c r="AP1" s="995"/>
      <c r="AQ1" s="996"/>
      <c r="AR1" s="994" t="str">
        <f t="shared" ref="AR1" si="1">"Berechnungen für das Jahr "&amp;AU4</f>
        <v>Berechnungen für das Jahr 2014</v>
      </c>
      <c r="AS1" s="995"/>
      <c r="AT1" s="995"/>
      <c r="AU1" s="995"/>
      <c r="AV1" s="995"/>
      <c r="AW1" s="995"/>
      <c r="AX1" s="995"/>
      <c r="AY1" s="995"/>
      <c r="AZ1" s="995"/>
      <c r="BA1" s="995"/>
      <c r="BB1" s="995"/>
      <c r="BC1" s="995"/>
      <c r="BD1" s="996"/>
      <c r="BE1" s="994" t="str">
        <f t="shared" ref="BE1" si="2">"Berechnungen für das Jahr "&amp;BH4</f>
        <v>Berechnungen für das Jahr 2015</v>
      </c>
      <c r="BF1" s="995"/>
      <c r="BG1" s="995"/>
      <c r="BH1" s="995"/>
      <c r="BI1" s="995"/>
      <c r="BJ1" s="995"/>
      <c r="BK1" s="995"/>
      <c r="BL1" s="995"/>
      <c r="BM1" s="995"/>
      <c r="BN1" s="995"/>
      <c r="BO1" s="995"/>
      <c r="BP1" s="995"/>
      <c r="BQ1" s="996"/>
      <c r="BR1" s="994" t="str">
        <f t="shared" ref="BR1" si="3">"Berechnungen für das Jahr "&amp;BU4</f>
        <v>Berechnungen für das Jahr 2016</v>
      </c>
      <c r="BS1" s="995"/>
      <c r="BT1" s="995"/>
      <c r="BU1" s="995"/>
      <c r="BV1" s="995"/>
      <c r="BW1" s="995"/>
      <c r="BX1" s="995"/>
      <c r="BY1" s="995"/>
      <c r="BZ1" s="995"/>
      <c r="CA1" s="995"/>
      <c r="CB1" s="995"/>
      <c r="CC1" s="995"/>
      <c r="CD1" s="996"/>
      <c r="CE1" s="994" t="str">
        <f t="shared" ref="CE1" si="4">"Berechnungen für das Jahr "&amp;CH4</f>
        <v>Berechnungen für das Jahr 2017</v>
      </c>
      <c r="CF1" s="995"/>
      <c r="CG1" s="995"/>
      <c r="CH1" s="995"/>
      <c r="CI1" s="995"/>
      <c r="CJ1" s="995"/>
      <c r="CK1" s="995"/>
      <c r="CL1" s="995"/>
      <c r="CM1" s="995"/>
      <c r="CN1" s="995"/>
      <c r="CO1" s="995"/>
      <c r="CP1" s="995"/>
      <c r="CQ1" s="996"/>
      <c r="CR1" s="994" t="str">
        <f t="shared" ref="CR1" si="5">"Berechnungen für das Jahr "&amp;CU4</f>
        <v>Berechnungen für das Jahr 2018</v>
      </c>
      <c r="CS1" s="995"/>
      <c r="CT1" s="995"/>
      <c r="CU1" s="995"/>
      <c r="CV1" s="995"/>
      <c r="CW1" s="995"/>
      <c r="CX1" s="995"/>
      <c r="CY1" s="995"/>
      <c r="CZ1" s="995"/>
      <c r="DA1" s="995"/>
      <c r="DB1" s="995"/>
      <c r="DC1" s="995"/>
      <c r="DD1" s="996"/>
      <c r="DE1" s="994" t="str">
        <f t="shared" ref="DE1" si="6">"Berechnungen für das Jahr "&amp;DH4</f>
        <v>Berechnungen für das Jahr 2019</v>
      </c>
      <c r="DF1" s="995"/>
      <c r="DG1" s="995"/>
      <c r="DH1" s="995"/>
      <c r="DI1" s="995"/>
      <c r="DJ1" s="995"/>
      <c r="DK1" s="995"/>
      <c r="DL1" s="995"/>
      <c r="DM1" s="995"/>
      <c r="DN1" s="995"/>
      <c r="DO1" s="995"/>
      <c r="DP1" s="995"/>
      <c r="DQ1" s="996"/>
      <c r="DR1" s="994" t="str">
        <f t="shared" ref="DR1" si="7">"Berechnungen für das Jahr "&amp;DU4</f>
        <v>Berechnungen für das Jahr 2020</v>
      </c>
      <c r="DS1" s="995"/>
      <c r="DT1" s="995"/>
      <c r="DU1" s="995"/>
      <c r="DV1" s="995"/>
      <c r="DW1" s="995"/>
      <c r="DX1" s="995"/>
      <c r="DY1" s="995"/>
      <c r="DZ1" s="995"/>
      <c r="EA1" s="995"/>
      <c r="EB1" s="995"/>
      <c r="EC1" s="995"/>
      <c r="ED1" s="996"/>
    </row>
    <row r="2" spans="1:134" ht="30" customHeight="1" x14ac:dyDescent="0.35">
      <c r="A2" s="979" t="s">
        <v>1058</v>
      </c>
      <c r="B2" s="979"/>
      <c r="C2" s="979"/>
      <c r="D2" s="979"/>
      <c r="E2" s="979"/>
      <c r="F2" s="979"/>
      <c r="G2" s="979"/>
      <c r="H2" s="979"/>
      <c r="I2" s="979"/>
      <c r="J2" s="980"/>
      <c r="K2" s="1002" t="s">
        <v>522</v>
      </c>
      <c r="L2" s="1004" t="s">
        <v>523</v>
      </c>
      <c r="M2" s="1006" t="s">
        <v>576</v>
      </c>
      <c r="N2" s="209"/>
      <c r="O2" s="1008" t="s">
        <v>577</v>
      </c>
      <c r="P2" s="139"/>
      <c r="Q2" s="1009" t="s">
        <v>1074</v>
      </c>
      <c r="R2" s="993" t="s">
        <v>578</v>
      </c>
      <c r="S2" s="991"/>
      <c r="T2" s="991"/>
      <c r="U2" s="991"/>
      <c r="V2" s="991"/>
      <c r="W2" s="991"/>
      <c r="X2" s="991"/>
      <c r="Y2" s="991"/>
      <c r="Z2" s="991"/>
      <c r="AA2" s="991"/>
      <c r="AB2" s="991"/>
      <c r="AC2" s="991" t="s">
        <v>144</v>
      </c>
      <c r="AD2" s="992"/>
      <c r="AE2" s="993" t="s">
        <v>578</v>
      </c>
      <c r="AF2" s="991"/>
      <c r="AG2" s="991"/>
      <c r="AH2" s="991"/>
      <c r="AI2" s="991"/>
      <c r="AJ2" s="991"/>
      <c r="AK2" s="991"/>
      <c r="AL2" s="991"/>
      <c r="AM2" s="991"/>
      <c r="AN2" s="991"/>
      <c r="AO2" s="991"/>
      <c r="AP2" s="991" t="s">
        <v>144</v>
      </c>
      <c r="AQ2" s="992"/>
      <c r="AR2" s="993" t="s">
        <v>578</v>
      </c>
      <c r="AS2" s="991"/>
      <c r="AT2" s="991"/>
      <c r="AU2" s="991"/>
      <c r="AV2" s="991"/>
      <c r="AW2" s="991"/>
      <c r="AX2" s="991"/>
      <c r="AY2" s="991"/>
      <c r="AZ2" s="991"/>
      <c r="BA2" s="991"/>
      <c r="BB2" s="991"/>
      <c r="BC2" s="991" t="s">
        <v>144</v>
      </c>
      <c r="BD2" s="992"/>
      <c r="BE2" s="993" t="s">
        <v>578</v>
      </c>
      <c r="BF2" s="991"/>
      <c r="BG2" s="991"/>
      <c r="BH2" s="991"/>
      <c r="BI2" s="991"/>
      <c r="BJ2" s="991"/>
      <c r="BK2" s="991"/>
      <c r="BL2" s="991"/>
      <c r="BM2" s="991"/>
      <c r="BN2" s="991"/>
      <c r="BO2" s="991"/>
      <c r="BP2" s="991" t="s">
        <v>144</v>
      </c>
      <c r="BQ2" s="992"/>
      <c r="BR2" s="993" t="s">
        <v>578</v>
      </c>
      <c r="BS2" s="991"/>
      <c r="BT2" s="991"/>
      <c r="BU2" s="991"/>
      <c r="BV2" s="991"/>
      <c r="BW2" s="991"/>
      <c r="BX2" s="991"/>
      <c r="BY2" s="991"/>
      <c r="BZ2" s="991"/>
      <c r="CA2" s="991"/>
      <c r="CB2" s="991"/>
      <c r="CC2" s="991" t="s">
        <v>144</v>
      </c>
      <c r="CD2" s="992"/>
      <c r="CE2" s="993" t="s">
        <v>578</v>
      </c>
      <c r="CF2" s="991"/>
      <c r="CG2" s="991"/>
      <c r="CH2" s="991"/>
      <c r="CI2" s="991"/>
      <c r="CJ2" s="991"/>
      <c r="CK2" s="991"/>
      <c r="CL2" s="991"/>
      <c r="CM2" s="991"/>
      <c r="CN2" s="991"/>
      <c r="CO2" s="991"/>
      <c r="CP2" s="991" t="s">
        <v>144</v>
      </c>
      <c r="CQ2" s="992"/>
      <c r="CR2" s="993" t="s">
        <v>578</v>
      </c>
      <c r="CS2" s="991"/>
      <c r="CT2" s="991"/>
      <c r="CU2" s="991"/>
      <c r="CV2" s="991"/>
      <c r="CW2" s="991"/>
      <c r="CX2" s="991"/>
      <c r="CY2" s="991"/>
      <c r="CZ2" s="991"/>
      <c r="DA2" s="991"/>
      <c r="DB2" s="991"/>
      <c r="DC2" s="991" t="s">
        <v>144</v>
      </c>
      <c r="DD2" s="992"/>
      <c r="DE2" s="993" t="s">
        <v>578</v>
      </c>
      <c r="DF2" s="991"/>
      <c r="DG2" s="991"/>
      <c r="DH2" s="991"/>
      <c r="DI2" s="991"/>
      <c r="DJ2" s="991"/>
      <c r="DK2" s="991"/>
      <c r="DL2" s="991"/>
      <c r="DM2" s="991"/>
      <c r="DN2" s="991"/>
      <c r="DO2" s="991"/>
      <c r="DP2" s="991" t="s">
        <v>144</v>
      </c>
      <c r="DQ2" s="992"/>
      <c r="DR2" s="993" t="s">
        <v>578</v>
      </c>
      <c r="DS2" s="991"/>
      <c r="DT2" s="991"/>
      <c r="DU2" s="991"/>
      <c r="DV2" s="991"/>
      <c r="DW2" s="991"/>
      <c r="DX2" s="991"/>
      <c r="DY2" s="991"/>
      <c r="DZ2" s="991"/>
      <c r="EA2" s="991"/>
      <c r="EB2" s="991"/>
      <c r="EC2" s="991" t="s">
        <v>144</v>
      </c>
      <c r="ED2" s="992"/>
    </row>
    <row r="3" spans="1:134" ht="90" customHeight="1" x14ac:dyDescent="0.35">
      <c r="A3" s="1007" t="s">
        <v>527</v>
      </c>
      <c r="B3" s="1007" t="s">
        <v>147</v>
      </c>
      <c r="C3" s="1007" t="s">
        <v>528</v>
      </c>
      <c r="D3" s="1012" t="s">
        <v>148</v>
      </c>
      <c r="E3" s="1007" t="s">
        <v>579</v>
      </c>
      <c r="F3" s="1007" t="s">
        <v>530</v>
      </c>
      <c r="G3" s="598" t="s">
        <v>1101</v>
      </c>
      <c r="H3" s="598" t="s">
        <v>1102</v>
      </c>
      <c r="I3" s="1011" t="s">
        <v>531</v>
      </c>
      <c r="J3" s="968" t="s">
        <v>1100</v>
      </c>
      <c r="K3" s="1003"/>
      <c r="L3" s="1005"/>
      <c r="M3" s="896"/>
      <c r="N3" s="140" t="s">
        <v>532</v>
      </c>
      <c r="O3" s="944"/>
      <c r="P3" s="140" t="s">
        <v>532</v>
      </c>
      <c r="Q3" s="1010"/>
      <c r="R3" s="141" t="s">
        <v>152</v>
      </c>
      <c r="S3" s="210" t="s">
        <v>533</v>
      </c>
      <c r="T3" s="210" t="s">
        <v>154</v>
      </c>
      <c r="U3" s="210" t="s">
        <v>534</v>
      </c>
      <c r="V3" s="208" t="s">
        <v>580</v>
      </c>
      <c r="W3" s="40" t="s">
        <v>581</v>
      </c>
      <c r="X3" s="210" t="s">
        <v>582</v>
      </c>
      <c r="Y3" s="210" t="s">
        <v>583</v>
      </c>
      <c r="Z3" s="210" t="s">
        <v>584</v>
      </c>
      <c r="AA3" s="210" t="s">
        <v>540</v>
      </c>
      <c r="AB3" s="210" t="s">
        <v>585</v>
      </c>
      <c r="AC3" s="210" t="s">
        <v>586</v>
      </c>
      <c r="AD3" s="144" t="s">
        <v>587</v>
      </c>
      <c r="AE3" s="141" t="s">
        <v>152</v>
      </c>
      <c r="AF3" s="572" t="s">
        <v>533</v>
      </c>
      <c r="AG3" s="572" t="s">
        <v>154</v>
      </c>
      <c r="AH3" s="572" t="s">
        <v>534</v>
      </c>
      <c r="AI3" s="573" t="s">
        <v>580</v>
      </c>
      <c r="AJ3" s="40" t="s">
        <v>581</v>
      </c>
      <c r="AK3" s="572" t="s">
        <v>582</v>
      </c>
      <c r="AL3" s="572" t="s">
        <v>583</v>
      </c>
      <c r="AM3" s="572" t="s">
        <v>584</v>
      </c>
      <c r="AN3" s="572" t="s">
        <v>540</v>
      </c>
      <c r="AO3" s="572" t="s">
        <v>585</v>
      </c>
      <c r="AP3" s="572" t="s">
        <v>586</v>
      </c>
      <c r="AQ3" s="144" t="s">
        <v>587</v>
      </c>
      <c r="AR3" s="141" t="s">
        <v>152</v>
      </c>
      <c r="AS3" s="572" t="s">
        <v>533</v>
      </c>
      <c r="AT3" s="572" t="s">
        <v>154</v>
      </c>
      <c r="AU3" s="572" t="s">
        <v>534</v>
      </c>
      <c r="AV3" s="573" t="s">
        <v>580</v>
      </c>
      <c r="AW3" s="40" t="s">
        <v>581</v>
      </c>
      <c r="AX3" s="572" t="s">
        <v>582</v>
      </c>
      <c r="AY3" s="572" t="s">
        <v>583</v>
      </c>
      <c r="AZ3" s="572" t="s">
        <v>584</v>
      </c>
      <c r="BA3" s="572" t="s">
        <v>540</v>
      </c>
      <c r="BB3" s="572" t="s">
        <v>585</v>
      </c>
      <c r="BC3" s="572" t="s">
        <v>586</v>
      </c>
      <c r="BD3" s="144" t="s">
        <v>587</v>
      </c>
      <c r="BE3" s="141" t="s">
        <v>152</v>
      </c>
      <c r="BF3" s="572" t="s">
        <v>533</v>
      </c>
      <c r="BG3" s="572" t="s">
        <v>154</v>
      </c>
      <c r="BH3" s="572" t="s">
        <v>534</v>
      </c>
      <c r="BI3" s="573" t="s">
        <v>580</v>
      </c>
      <c r="BJ3" s="40" t="s">
        <v>581</v>
      </c>
      <c r="BK3" s="572" t="s">
        <v>582</v>
      </c>
      <c r="BL3" s="572" t="s">
        <v>583</v>
      </c>
      <c r="BM3" s="572" t="s">
        <v>584</v>
      </c>
      <c r="BN3" s="572" t="s">
        <v>540</v>
      </c>
      <c r="BO3" s="572" t="s">
        <v>585</v>
      </c>
      <c r="BP3" s="572" t="s">
        <v>586</v>
      </c>
      <c r="BQ3" s="144" t="s">
        <v>587</v>
      </c>
      <c r="BR3" s="141" t="s">
        <v>152</v>
      </c>
      <c r="BS3" s="572" t="s">
        <v>533</v>
      </c>
      <c r="BT3" s="572" t="s">
        <v>154</v>
      </c>
      <c r="BU3" s="572" t="s">
        <v>534</v>
      </c>
      <c r="BV3" s="573" t="s">
        <v>580</v>
      </c>
      <c r="BW3" s="40" t="s">
        <v>581</v>
      </c>
      <c r="BX3" s="572" t="s">
        <v>582</v>
      </c>
      <c r="BY3" s="572" t="s">
        <v>583</v>
      </c>
      <c r="BZ3" s="572" t="s">
        <v>584</v>
      </c>
      <c r="CA3" s="572" t="s">
        <v>540</v>
      </c>
      <c r="CB3" s="572" t="s">
        <v>585</v>
      </c>
      <c r="CC3" s="572" t="s">
        <v>586</v>
      </c>
      <c r="CD3" s="144" t="s">
        <v>587</v>
      </c>
      <c r="CE3" s="141" t="s">
        <v>152</v>
      </c>
      <c r="CF3" s="572" t="s">
        <v>533</v>
      </c>
      <c r="CG3" s="572" t="s">
        <v>154</v>
      </c>
      <c r="CH3" s="572" t="s">
        <v>534</v>
      </c>
      <c r="CI3" s="573" t="s">
        <v>580</v>
      </c>
      <c r="CJ3" s="40" t="s">
        <v>581</v>
      </c>
      <c r="CK3" s="572" t="s">
        <v>582</v>
      </c>
      <c r="CL3" s="572" t="s">
        <v>583</v>
      </c>
      <c r="CM3" s="572" t="s">
        <v>584</v>
      </c>
      <c r="CN3" s="572" t="s">
        <v>540</v>
      </c>
      <c r="CO3" s="572" t="s">
        <v>585</v>
      </c>
      <c r="CP3" s="572" t="s">
        <v>586</v>
      </c>
      <c r="CQ3" s="144" t="s">
        <v>587</v>
      </c>
      <c r="CR3" s="141" t="s">
        <v>152</v>
      </c>
      <c r="CS3" s="572" t="s">
        <v>533</v>
      </c>
      <c r="CT3" s="572" t="s">
        <v>154</v>
      </c>
      <c r="CU3" s="572" t="s">
        <v>534</v>
      </c>
      <c r="CV3" s="573" t="s">
        <v>580</v>
      </c>
      <c r="CW3" s="40" t="s">
        <v>581</v>
      </c>
      <c r="CX3" s="572" t="s">
        <v>582</v>
      </c>
      <c r="CY3" s="572" t="s">
        <v>583</v>
      </c>
      <c r="CZ3" s="572" t="s">
        <v>584</v>
      </c>
      <c r="DA3" s="572" t="s">
        <v>540</v>
      </c>
      <c r="DB3" s="572" t="s">
        <v>585</v>
      </c>
      <c r="DC3" s="572" t="s">
        <v>586</v>
      </c>
      <c r="DD3" s="144" t="s">
        <v>587</v>
      </c>
      <c r="DE3" s="141" t="s">
        <v>152</v>
      </c>
      <c r="DF3" s="572" t="s">
        <v>533</v>
      </c>
      <c r="DG3" s="572" t="s">
        <v>154</v>
      </c>
      <c r="DH3" s="572" t="s">
        <v>534</v>
      </c>
      <c r="DI3" s="573" t="s">
        <v>580</v>
      </c>
      <c r="DJ3" s="40" t="s">
        <v>581</v>
      </c>
      <c r="DK3" s="572" t="s">
        <v>582</v>
      </c>
      <c r="DL3" s="572" t="s">
        <v>583</v>
      </c>
      <c r="DM3" s="572" t="s">
        <v>584</v>
      </c>
      <c r="DN3" s="572" t="s">
        <v>540</v>
      </c>
      <c r="DO3" s="572" t="s">
        <v>585</v>
      </c>
      <c r="DP3" s="572" t="s">
        <v>586</v>
      </c>
      <c r="DQ3" s="144" t="s">
        <v>587</v>
      </c>
      <c r="DR3" s="141" t="s">
        <v>152</v>
      </c>
      <c r="DS3" s="572" t="s">
        <v>533</v>
      </c>
      <c r="DT3" s="572" t="s">
        <v>154</v>
      </c>
      <c r="DU3" s="572" t="s">
        <v>534</v>
      </c>
      <c r="DV3" s="573" t="s">
        <v>580</v>
      </c>
      <c r="DW3" s="40" t="s">
        <v>581</v>
      </c>
      <c r="DX3" s="572" t="s">
        <v>582</v>
      </c>
      <c r="DY3" s="572" t="s">
        <v>583</v>
      </c>
      <c r="DZ3" s="572" t="s">
        <v>584</v>
      </c>
      <c r="EA3" s="572" t="s">
        <v>540</v>
      </c>
      <c r="EB3" s="572" t="s">
        <v>585</v>
      </c>
      <c r="EC3" s="572" t="s">
        <v>586</v>
      </c>
      <c r="ED3" s="144" t="s">
        <v>587</v>
      </c>
    </row>
    <row r="4" spans="1:134" x14ac:dyDescent="0.35">
      <c r="A4" s="1007"/>
      <c r="B4" s="1007"/>
      <c r="C4" s="1007"/>
      <c r="D4" s="1012"/>
      <c r="E4" s="1007"/>
      <c r="F4" s="1007"/>
      <c r="G4" s="600" t="s">
        <v>164</v>
      </c>
      <c r="H4" s="600" t="s">
        <v>165</v>
      </c>
      <c r="I4" s="1011"/>
      <c r="J4" s="969"/>
      <c r="K4" s="1003"/>
      <c r="L4" s="1005"/>
      <c r="M4" s="145">
        <f>EOMONTH(Grunddaten!$H$6,-1)</f>
        <v>40908</v>
      </c>
      <c r="N4" s="145"/>
      <c r="O4" s="146">
        <f>M4</f>
        <v>40908</v>
      </c>
      <c r="P4" s="139"/>
      <c r="Q4" s="147">
        <f>M4</f>
        <v>40908</v>
      </c>
      <c r="R4" s="148">
        <f>X4</f>
        <v>2012</v>
      </c>
      <c r="S4" s="149">
        <f>X4</f>
        <v>2012</v>
      </c>
      <c r="T4" s="150">
        <f>X4</f>
        <v>2012</v>
      </c>
      <c r="U4" s="149">
        <f>X4</f>
        <v>2012</v>
      </c>
      <c r="V4" s="146">
        <f>Z4</f>
        <v>41274</v>
      </c>
      <c r="W4" s="146">
        <f>V4</f>
        <v>41274</v>
      </c>
      <c r="X4" s="150">
        <f>YEAR(Z4)</f>
        <v>2012</v>
      </c>
      <c r="Y4" s="149">
        <f>X4</f>
        <v>2012</v>
      </c>
      <c r="Z4" s="146">
        <f>EOMONTH(M4,12)</f>
        <v>41274</v>
      </c>
      <c r="AA4" s="146">
        <f>Z4</f>
        <v>41274</v>
      </c>
      <c r="AB4" s="146">
        <f>Z4</f>
        <v>41274</v>
      </c>
      <c r="AC4" s="41">
        <f>Z4</f>
        <v>41274</v>
      </c>
      <c r="AD4" s="151">
        <f>Z4</f>
        <v>41274</v>
      </c>
      <c r="AE4" s="148">
        <f t="shared" ref="AE4" si="8">AK4</f>
        <v>2013</v>
      </c>
      <c r="AF4" s="149">
        <f t="shared" ref="AF4" si="9">AK4</f>
        <v>2013</v>
      </c>
      <c r="AG4" s="150">
        <f t="shared" ref="AG4" si="10">AK4</f>
        <v>2013</v>
      </c>
      <c r="AH4" s="149">
        <f t="shared" ref="AH4" si="11">AK4</f>
        <v>2013</v>
      </c>
      <c r="AI4" s="146">
        <f t="shared" ref="AI4" si="12">AM4</f>
        <v>41639</v>
      </c>
      <c r="AJ4" s="146">
        <f t="shared" ref="AJ4" si="13">AI4</f>
        <v>41639</v>
      </c>
      <c r="AK4" s="150">
        <f t="shared" ref="AK4" si="14">YEAR(AM4)</f>
        <v>2013</v>
      </c>
      <c r="AL4" s="149">
        <f t="shared" ref="AL4" si="15">AK4</f>
        <v>2013</v>
      </c>
      <c r="AM4" s="146">
        <f t="shared" ref="AM4" si="16">EOMONTH(Z4,12)</f>
        <v>41639</v>
      </c>
      <c r="AN4" s="146">
        <f t="shared" ref="AN4" si="17">AM4</f>
        <v>41639</v>
      </c>
      <c r="AO4" s="146">
        <f t="shared" ref="AO4" si="18">AM4</f>
        <v>41639</v>
      </c>
      <c r="AP4" s="41">
        <f t="shared" ref="AP4" si="19">AM4</f>
        <v>41639</v>
      </c>
      <c r="AQ4" s="151">
        <f t="shared" ref="AQ4" si="20">AM4</f>
        <v>41639</v>
      </c>
      <c r="AR4" s="148">
        <f t="shared" ref="AR4" si="21">AX4</f>
        <v>2014</v>
      </c>
      <c r="AS4" s="149">
        <f t="shared" ref="AS4" si="22">AX4</f>
        <v>2014</v>
      </c>
      <c r="AT4" s="150">
        <f t="shared" ref="AT4" si="23">AX4</f>
        <v>2014</v>
      </c>
      <c r="AU4" s="149">
        <f t="shared" ref="AU4" si="24">AX4</f>
        <v>2014</v>
      </c>
      <c r="AV4" s="146">
        <f t="shared" ref="AV4" si="25">AZ4</f>
        <v>42004</v>
      </c>
      <c r="AW4" s="146">
        <f t="shared" ref="AW4" si="26">AV4</f>
        <v>42004</v>
      </c>
      <c r="AX4" s="150">
        <f t="shared" ref="AX4" si="27">YEAR(AZ4)</f>
        <v>2014</v>
      </c>
      <c r="AY4" s="149">
        <f t="shared" ref="AY4" si="28">AX4</f>
        <v>2014</v>
      </c>
      <c r="AZ4" s="146">
        <f t="shared" ref="AZ4" si="29">EOMONTH(AM4,12)</f>
        <v>42004</v>
      </c>
      <c r="BA4" s="146">
        <f t="shared" ref="BA4" si="30">AZ4</f>
        <v>42004</v>
      </c>
      <c r="BB4" s="146">
        <f t="shared" ref="BB4" si="31">AZ4</f>
        <v>42004</v>
      </c>
      <c r="BC4" s="41">
        <f t="shared" ref="BC4" si="32">AZ4</f>
        <v>42004</v>
      </c>
      <c r="BD4" s="151">
        <f t="shared" ref="BD4" si="33">AZ4</f>
        <v>42004</v>
      </c>
      <c r="BE4" s="148">
        <f t="shared" ref="BE4" si="34">BK4</f>
        <v>2015</v>
      </c>
      <c r="BF4" s="149">
        <f t="shared" ref="BF4" si="35">BK4</f>
        <v>2015</v>
      </c>
      <c r="BG4" s="150">
        <f t="shared" ref="BG4" si="36">BK4</f>
        <v>2015</v>
      </c>
      <c r="BH4" s="149">
        <f t="shared" ref="BH4" si="37">BK4</f>
        <v>2015</v>
      </c>
      <c r="BI4" s="146">
        <f t="shared" ref="BI4" si="38">BM4</f>
        <v>42369</v>
      </c>
      <c r="BJ4" s="146">
        <f t="shared" ref="BJ4" si="39">BI4</f>
        <v>42369</v>
      </c>
      <c r="BK4" s="150">
        <f t="shared" ref="BK4" si="40">YEAR(BM4)</f>
        <v>2015</v>
      </c>
      <c r="BL4" s="149">
        <f t="shared" ref="BL4" si="41">BK4</f>
        <v>2015</v>
      </c>
      <c r="BM4" s="146">
        <f t="shared" ref="BM4" si="42">EOMONTH(AZ4,12)</f>
        <v>42369</v>
      </c>
      <c r="BN4" s="146">
        <f t="shared" ref="BN4" si="43">BM4</f>
        <v>42369</v>
      </c>
      <c r="BO4" s="146">
        <f t="shared" ref="BO4" si="44">BM4</f>
        <v>42369</v>
      </c>
      <c r="BP4" s="41">
        <f t="shared" ref="BP4" si="45">BM4</f>
        <v>42369</v>
      </c>
      <c r="BQ4" s="151">
        <f t="shared" ref="BQ4" si="46">BM4</f>
        <v>42369</v>
      </c>
      <c r="BR4" s="148">
        <f t="shared" ref="BR4" si="47">BX4</f>
        <v>2016</v>
      </c>
      <c r="BS4" s="149">
        <f t="shared" ref="BS4" si="48">BX4</f>
        <v>2016</v>
      </c>
      <c r="BT4" s="150">
        <f t="shared" ref="BT4" si="49">BX4</f>
        <v>2016</v>
      </c>
      <c r="BU4" s="149">
        <f t="shared" ref="BU4" si="50">BX4</f>
        <v>2016</v>
      </c>
      <c r="BV4" s="146">
        <f t="shared" ref="BV4" si="51">BZ4</f>
        <v>42735</v>
      </c>
      <c r="BW4" s="146">
        <f t="shared" ref="BW4" si="52">BV4</f>
        <v>42735</v>
      </c>
      <c r="BX4" s="150">
        <f t="shared" ref="BX4" si="53">YEAR(BZ4)</f>
        <v>2016</v>
      </c>
      <c r="BY4" s="149">
        <f t="shared" ref="BY4" si="54">BX4</f>
        <v>2016</v>
      </c>
      <c r="BZ4" s="146">
        <f t="shared" ref="BZ4" si="55">EOMONTH(BM4,12)</f>
        <v>42735</v>
      </c>
      <c r="CA4" s="146">
        <f t="shared" ref="CA4" si="56">BZ4</f>
        <v>42735</v>
      </c>
      <c r="CB4" s="146">
        <f t="shared" ref="CB4" si="57">BZ4</f>
        <v>42735</v>
      </c>
      <c r="CC4" s="41">
        <f t="shared" ref="CC4" si="58">BZ4</f>
        <v>42735</v>
      </c>
      <c r="CD4" s="151">
        <f t="shared" ref="CD4" si="59">BZ4</f>
        <v>42735</v>
      </c>
      <c r="CE4" s="148">
        <f t="shared" ref="CE4" si="60">CK4</f>
        <v>2017</v>
      </c>
      <c r="CF4" s="149">
        <f t="shared" ref="CF4" si="61">CK4</f>
        <v>2017</v>
      </c>
      <c r="CG4" s="150">
        <f t="shared" ref="CG4" si="62">CK4</f>
        <v>2017</v>
      </c>
      <c r="CH4" s="149">
        <f t="shared" ref="CH4" si="63">CK4</f>
        <v>2017</v>
      </c>
      <c r="CI4" s="146">
        <f t="shared" ref="CI4" si="64">CM4</f>
        <v>43100</v>
      </c>
      <c r="CJ4" s="146">
        <f t="shared" ref="CJ4" si="65">CI4</f>
        <v>43100</v>
      </c>
      <c r="CK4" s="150">
        <f t="shared" ref="CK4" si="66">YEAR(CM4)</f>
        <v>2017</v>
      </c>
      <c r="CL4" s="149">
        <f t="shared" ref="CL4" si="67">CK4</f>
        <v>2017</v>
      </c>
      <c r="CM4" s="146">
        <f t="shared" ref="CM4" si="68">EOMONTH(BZ4,12)</f>
        <v>43100</v>
      </c>
      <c r="CN4" s="146">
        <f t="shared" ref="CN4" si="69">CM4</f>
        <v>43100</v>
      </c>
      <c r="CO4" s="146">
        <f t="shared" ref="CO4" si="70">CM4</f>
        <v>43100</v>
      </c>
      <c r="CP4" s="41">
        <f t="shared" ref="CP4" si="71">CM4</f>
        <v>43100</v>
      </c>
      <c r="CQ4" s="151">
        <f t="shared" ref="CQ4" si="72">CM4</f>
        <v>43100</v>
      </c>
      <c r="CR4" s="148">
        <f t="shared" ref="CR4" si="73">CX4</f>
        <v>2018</v>
      </c>
      <c r="CS4" s="149">
        <f t="shared" ref="CS4" si="74">CX4</f>
        <v>2018</v>
      </c>
      <c r="CT4" s="150">
        <f t="shared" ref="CT4" si="75">CX4</f>
        <v>2018</v>
      </c>
      <c r="CU4" s="149">
        <f t="shared" ref="CU4" si="76">CX4</f>
        <v>2018</v>
      </c>
      <c r="CV4" s="146">
        <f t="shared" ref="CV4" si="77">CZ4</f>
        <v>43465</v>
      </c>
      <c r="CW4" s="146">
        <f t="shared" ref="CW4" si="78">CV4</f>
        <v>43465</v>
      </c>
      <c r="CX4" s="150">
        <f t="shared" ref="CX4" si="79">YEAR(CZ4)</f>
        <v>2018</v>
      </c>
      <c r="CY4" s="149">
        <f t="shared" ref="CY4" si="80">CX4</f>
        <v>2018</v>
      </c>
      <c r="CZ4" s="146">
        <f t="shared" ref="CZ4" si="81">EOMONTH(CM4,12)</f>
        <v>43465</v>
      </c>
      <c r="DA4" s="146">
        <f t="shared" ref="DA4" si="82">CZ4</f>
        <v>43465</v>
      </c>
      <c r="DB4" s="146">
        <f t="shared" ref="DB4" si="83">CZ4</f>
        <v>43465</v>
      </c>
      <c r="DC4" s="41">
        <f t="shared" ref="DC4" si="84">CZ4</f>
        <v>43465</v>
      </c>
      <c r="DD4" s="151">
        <f t="shared" ref="DD4" si="85">CZ4</f>
        <v>43465</v>
      </c>
      <c r="DE4" s="148">
        <f t="shared" ref="DE4" si="86">DK4</f>
        <v>2019</v>
      </c>
      <c r="DF4" s="149">
        <f t="shared" ref="DF4" si="87">DK4</f>
        <v>2019</v>
      </c>
      <c r="DG4" s="150">
        <f t="shared" ref="DG4" si="88">DK4</f>
        <v>2019</v>
      </c>
      <c r="DH4" s="149">
        <f t="shared" ref="DH4" si="89">DK4</f>
        <v>2019</v>
      </c>
      <c r="DI4" s="146">
        <f t="shared" ref="DI4" si="90">DM4</f>
        <v>43830</v>
      </c>
      <c r="DJ4" s="146">
        <f t="shared" ref="DJ4" si="91">DI4</f>
        <v>43830</v>
      </c>
      <c r="DK4" s="150">
        <f t="shared" ref="DK4" si="92">YEAR(DM4)</f>
        <v>2019</v>
      </c>
      <c r="DL4" s="149">
        <f t="shared" ref="DL4" si="93">DK4</f>
        <v>2019</v>
      </c>
      <c r="DM4" s="146">
        <f t="shared" ref="DM4" si="94">EOMONTH(CZ4,12)</f>
        <v>43830</v>
      </c>
      <c r="DN4" s="146">
        <f t="shared" ref="DN4" si="95">DM4</f>
        <v>43830</v>
      </c>
      <c r="DO4" s="146">
        <f t="shared" ref="DO4" si="96">DM4</f>
        <v>43830</v>
      </c>
      <c r="DP4" s="41">
        <f t="shared" ref="DP4" si="97">DM4</f>
        <v>43830</v>
      </c>
      <c r="DQ4" s="151">
        <f t="shared" ref="DQ4" si="98">DM4</f>
        <v>43830</v>
      </c>
      <c r="DR4" s="148">
        <f t="shared" ref="DR4" si="99">DX4</f>
        <v>2020</v>
      </c>
      <c r="DS4" s="149">
        <f t="shared" ref="DS4" si="100">DX4</f>
        <v>2020</v>
      </c>
      <c r="DT4" s="150">
        <f t="shared" ref="DT4" si="101">DX4</f>
        <v>2020</v>
      </c>
      <c r="DU4" s="149">
        <f t="shared" ref="DU4" si="102">DX4</f>
        <v>2020</v>
      </c>
      <c r="DV4" s="146">
        <f t="shared" ref="DV4" si="103">DZ4</f>
        <v>44196</v>
      </c>
      <c r="DW4" s="146">
        <f t="shared" ref="DW4" si="104">DV4</f>
        <v>44196</v>
      </c>
      <c r="DX4" s="150">
        <f t="shared" ref="DX4" si="105">YEAR(DZ4)</f>
        <v>2020</v>
      </c>
      <c r="DY4" s="149">
        <f t="shared" ref="DY4" si="106">DX4</f>
        <v>2020</v>
      </c>
      <c r="DZ4" s="146">
        <f t="shared" ref="DZ4" si="107">EOMONTH(DM4,12)</f>
        <v>44196</v>
      </c>
      <c r="EA4" s="146">
        <f t="shared" ref="EA4" si="108">DZ4</f>
        <v>44196</v>
      </c>
      <c r="EB4" s="146">
        <f t="shared" ref="EB4" si="109">DZ4</f>
        <v>44196</v>
      </c>
      <c r="EC4" s="41">
        <f t="shared" ref="EC4" si="110">DZ4</f>
        <v>44196</v>
      </c>
      <c r="ED4" s="151">
        <f t="shared" ref="ED4" si="111">DZ4</f>
        <v>44196</v>
      </c>
    </row>
    <row r="5" spans="1:134" x14ac:dyDescent="0.35">
      <c r="A5" s="172"/>
      <c r="B5" s="173" t="s">
        <v>552</v>
      </c>
      <c r="C5" s="174"/>
      <c r="D5" s="175"/>
      <c r="E5" s="176"/>
      <c r="F5" s="177"/>
      <c r="G5" s="178"/>
      <c r="H5" s="179"/>
      <c r="I5" s="180"/>
      <c r="J5" s="181"/>
      <c r="K5" s="152">
        <f>IF(AND(G5&gt;0,G5&lt;=1,H5=0),1,IF(H5&gt;=1,1,IF(AND(H5&gt;0,H5&lt;1),H5,IF(AND(G5&gt;1,OR(H5=0,H5="")),ROUND(1/G5,4),0))))</f>
        <v>0</v>
      </c>
      <c r="L5" s="153">
        <f>IF(AND(E5&gt;0,F5&gt;0,OR(G5&gt;0,H5&gt;0)),ROUND((E5-I5)*K5,2),IF(AND(E5&lt;0,F5&gt;0,OR(G5&gt;0,H5&gt;0)),ROUND(E5*K5,2),0))</f>
        <v>0</v>
      </c>
      <c r="M5" s="154">
        <f>IF(AND(E5-O5&gt;=0,F5&gt;0,YEAR(M$4)&gt;=YEAR(F5)),E5-O5,IF(AND(E5-O5&lt;0,F5&gt;0,YEAR(M$4)&gt;=YEAR(F5)),E5-O5,0))</f>
        <v>0</v>
      </c>
      <c r="N5" s="154"/>
      <c r="O5" s="154">
        <f>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E5,0)))))</f>
        <v>0</v>
      </c>
      <c r="P5" s="155"/>
      <c r="Q5" s="154">
        <f>IF(AND($F5&gt;0,$F5&lt;=O$4),$E5,0)</f>
        <v>0</v>
      </c>
      <c r="R5" s="156">
        <f>IF(YEAR($F5)=R$4,$E5,0)</f>
        <v>0</v>
      </c>
      <c r="S5" s="154">
        <f>IF($J5&lt;&gt;"H",R5,0)</f>
        <v>0</v>
      </c>
      <c r="T5" s="154">
        <f>IF(R5&lt;&gt;0,ROUND(R5*(DAYS360($F5,Z$4)/DAYS360(M$4,Z$4)),2),0)</f>
        <v>0</v>
      </c>
      <c r="U5" s="154">
        <f>IF($J5&lt;&gt;"H",T5,0)</f>
        <v>0</v>
      </c>
      <c r="V5" s="154">
        <f>IF(AND($F5&gt;0,$F5&lt;=Z$4),$E5,0)</f>
        <v>0</v>
      </c>
      <c r="W5" s="154">
        <f>IF(X5&lt;&gt;0,ROUND(X5/$L5*V5,2),0)</f>
        <v>0</v>
      </c>
      <c r="X5" s="154">
        <f>IF(AND(YEAR($F5)=YEAR(Z$4),$E5&lt;1000,$E5&gt;-1000,$F5&gt;0,$K5=1),$E5-$I5,IF(AND(YEAR($F5)=YEAR(Z$4),$F5&gt;0,$K5&gt;0),ROUND(($L5/12)*(13-MONTH($F5)),2),IF(AND(YEAR($F5)&lt;YEAR(Z$4),$E5&gt;0,$F5&gt;0,$K5&gt;0,M5&gt;$L5+$I5),$L5,IF(AND(YEAR($F5)&lt;YEAR(Z$4),$E5&gt;0,$F5&gt;0,$K5&gt;0,M5&gt;0,M5&lt;=$L5+$I5),M5-$I5,IF(AND(YEAR($F5)&lt;YEAR(Z$4),$E5&lt;0,$F5&gt;0,$K5&gt;0,M5&lt;0,M5&lt;=$L5),$L5,IF(AND(YEAR($F5)&lt;YEAR(Z$4),$E5&lt;0,$F5&gt;0,$K5&gt;0,M5&lt;0,M5&gt;$L5),M5,0))))))</f>
        <v>0</v>
      </c>
      <c r="Y5" s="154">
        <f>IF($J5&lt;&gt;"H",X5,0)</f>
        <v>0</v>
      </c>
      <c r="Z5" s="154">
        <f>IF(AND(YEAR(Z$4)=YEAR($F5),$E5&gt;0,$F5&gt;0,$E5-X5&gt;=0),$E5-X5,IF(AND(YEAR(Z$4)&gt;YEAR($F5),$E5&gt;0,$F5&gt;0,M5-X5&gt;=0),M5-X5,IF(AND(YEAR(Z$4)=YEAR($F5),$E5&lt;0,$F5&gt;0,$E5-X5&lt;0),$E5-X5,IF(AND(YEAR(Z$4)&gt;YEAR($F5),$E5&lt;0,$F5&gt;0,M5-X5&lt;=0),M5-X5,0))))</f>
        <v>0</v>
      </c>
      <c r="AA5" s="154">
        <f>IF($J5&lt;&gt;"H",Z5,0)</f>
        <v>0</v>
      </c>
      <c r="AB5" s="157">
        <f>O5+X5</f>
        <v>0</v>
      </c>
      <c r="AC5" s="154">
        <f>IF(AND(R5&lt;&gt;0,$J5="H",$L5=0),T5,IF(AND(YEAR(Z$4)&gt;YEAR($F5),$J5="H",$F5&gt;0,$L5=0),$E5,0))</f>
        <v>0</v>
      </c>
      <c r="AD5" s="158">
        <f>IF(AND(YEAR(Z$4)&gt;=YEAR($F5),$E5&gt;0,$F5&gt;0,X5&gt;0,$J5="H"),ROUND(X5/$L5*$E5,2),IF(AND(YEAR(Z$4)&gt;=YEAR($F5),$E5&lt;0,$F5&gt;0,X5&lt;0,$J5="H"),ROUND(X5/$L5*$E5,2),0))</f>
        <v>0</v>
      </c>
      <c r="AE5" s="156">
        <f t="shared" ref="AE5:BE20" si="112">IF(YEAR($F5)=AE$4,$E5,0)</f>
        <v>0</v>
      </c>
      <c r="AF5" s="154">
        <f t="shared" ref="AF5:AF20" si="113">IF($J5&lt;&gt;"H",AE5,0)</f>
        <v>0</v>
      </c>
      <c r="AG5" s="154">
        <f t="shared" ref="AG5:AG68" si="114">IF(AE5&lt;&gt;0,ROUND(AE5*(DAYS360($F5,AM$4)/DAYS360(Z$4,AM$4)),2),0)</f>
        <v>0</v>
      </c>
      <c r="AH5" s="154">
        <f t="shared" ref="AH5:AH20" si="115">IF($J5&lt;&gt;"H",AG5,0)</f>
        <v>0</v>
      </c>
      <c r="AI5" s="154">
        <f t="shared" ref="AI5:AI68" si="116">IF(AND($F5&gt;0,$F5&lt;=AM$4),$E5,0)</f>
        <v>0</v>
      </c>
      <c r="AJ5" s="154">
        <f t="shared" ref="AJ5:AJ20" si="117">IF(AK5&lt;&gt;0,ROUND(AK5/$L5*AI5,2),0)</f>
        <v>0</v>
      </c>
      <c r="AK5" s="154">
        <f t="shared" ref="AK5:AK68" si="118">IF(AND(YEAR($F5)=YEAR(AM$4),$E5&lt;1000,$E5&gt;-1000,$F5&gt;0,$K5=1),$E5-$I5,IF(AND(YEAR($F5)=YEAR(AM$4),$F5&gt;0,$K5&gt;0),ROUND(($L5/12)*(13-MONTH($F5)),2),IF(AND(YEAR($F5)&lt;YEAR(AM$4),$E5&gt;0,$F5&gt;0,$K5&gt;0,Z5&gt;$L5+$I5),$L5,IF(AND(YEAR($F5)&lt;YEAR(AM$4),$E5&gt;0,$F5&gt;0,$K5&gt;0,Z5&gt;0,Z5&lt;=$L5+$I5),Z5-$I5,IF(AND(YEAR($F5)&lt;YEAR(AM$4),$E5&lt;0,$F5&gt;0,$K5&gt;0,Z5&lt;0,Z5&lt;=$L5),$L5,IF(AND(YEAR($F5)&lt;YEAR(AM$4),$E5&lt;0,$F5&gt;0,$K5&gt;0,Z5&lt;0,Z5&gt;$L5),Z5,0))))))</f>
        <v>0</v>
      </c>
      <c r="AL5" s="154">
        <f t="shared" ref="AL5:AL20" si="119">IF($J5&lt;&gt;"H",AK5,0)</f>
        <v>0</v>
      </c>
      <c r="AM5" s="154">
        <f t="shared" ref="AM5:AM68" si="120">IF(AND(YEAR(AM$4)=YEAR($F5),$E5&gt;0,$F5&gt;0,$E5-AK5&gt;=0),$E5-AK5,IF(AND(YEAR(AM$4)&gt;YEAR($F5),$E5&gt;0,$F5&gt;0,Z5-AK5&gt;=0),Z5-AK5,IF(AND(YEAR(AM$4)=YEAR($F5),$E5&lt;0,$F5&gt;0,$E5-AK5&lt;0),$E5-AK5,IF(AND(YEAR(AM$4)&gt;YEAR($F5),$E5&lt;0,$F5&gt;0,Z5-AK5&lt;=0),Z5-AK5,0))))</f>
        <v>0</v>
      </c>
      <c r="AN5" s="154">
        <f t="shared" ref="AN5:AN20" si="121">IF($J5&lt;&gt;"H",AM5,0)</f>
        <v>0</v>
      </c>
      <c r="AO5" s="157">
        <f t="shared" ref="AO5:AO68" si="122">AB5+AK5</f>
        <v>0</v>
      </c>
      <c r="AP5" s="154">
        <f t="shared" ref="AP5:AP68" si="123">IF(AND(AE5&lt;&gt;0,$J5="H",$L5=0),AG5,IF(AND(YEAR(AM$4)&gt;YEAR($F5),$J5="H",$F5&gt;0,$L5=0),$E5,0))</f>
        <v>0</v>
      </c>
      <c r="AQ5" s="158">
        <f t="shared" ref="AQ5:AQ68" si="124">IF(AND(YEAR(AM$4)&gt;=YEAR($F5),$E5&gt;0,$F5&gt;0,AK5&gt;0,$J5="H"),ROUND(AK5/$L5*$E5,2),IF(AND(YEAR(AM$4)&gt;=YEAR($F5),$E5&lt;0,$F5&gt;0,AK5&lt;0,$J5="H"),ROUND(AK5/$L5*$E5,2),0))</f>
        <v>0</v>
      </c>
      <c r="AR5" s="156">
        <f t="shared" ref="AR5" si="125">IF(YEAR($F5)=AR$4,$E5,0)</f>
        <v>0</v>
      </c>
      <c r="AS5" s="154">
        <f t="shared" ref="AS5:AS20" si="126">IF($J5&lt;&gt;"H",AR5,0)</f>
        <v>0</v>
      </c>
      <c r="AT5" s="154">
        <f t="shared" ref="AT5:AT68" si="127">IF(AR5&lt;&gt;0,ROUND(AR5*(DAYS360($F5,AZ$4)/DAYS360(AM$4,AZ$4)),2),0)</f>
        <v>0</v>
      </c>
      <c r="AU5" s="154">
        <f t="shared" ref="AU5:AU20" si="128">IF($J5&lt;&gt;"H",AT5,0)</f>
        <v>0</v>
      </c>
      <c r="AV5" s="154">
        <f t="shared" ref="AV5:AV68" si="129">IF(AND($F5&gt;0,$F5&lt;=AZ$4),$E5,0)</f>
        <v>0</v>
      </c>
      <c r="AW5" s="154">
        <f t="shared" ref="AW5:AW20" si="130">IF(AX5&lt;&gt;0,ROUND(AX5/$L5*AV5,2),0)</f>
        <v>0</v>
      </c>
      <c r="AX5" s="154">
        <f t="shared" ref="AX5:AX68" si="131">IF(AND(YEAR($F5)=YEAR(AZ$4),$E5&lt;1000,$E5&gt;-1000,$F5&gt;0,$K5=1),$E5-$I5,IF(AND(YEAR($F5)=YEAR(AZ$4),$F5&gt;0,$K5&gt;0),ROUND(($L5/12)*(13-MONTH($F5)),2),IF(AND(YEAR($F5)&lt;YEAR(AZ$4),$E5&gt;0,$F5&gt;0,$K5&gt;0,AM5&gt;$L5+$I5),$L5,IF(AND(YEAR($F5)&lt;YEAR(AZ$4),$E5&gt;0,$F5&gt;0,$K5&gt;0,AM5&gt;0,AM5&lt;=$L5+$I5),AM5-$I5,IF(AND(YEAR($F5)&lt;YEAR(AZ$4),$E5&lt;0,$F5&gt;0,$K5&gt;0,AM5&lt;0,AM5&lt;=$L5),$L5,IF(AND(YEAR($F5)&lt;YEAR(AZ$4),$E5&lt;0,$F5&gt;0,$K5&gt;0,AM5&lt;0,AM5&gt;$L5),AM5,0))))))</f>
        <v>0</v>
      </c>
      <c r="AY5" s="154">
        <f t="shared" ref="AY5:AY20" si="132">IF($J5&lt;&gt;"H",AX5,0)</f>
        <v>0</v>
      </c>
      <c r="AZ5" s="154">
        <f t="shared" ref="AZ5:AZ68" si="133">IF(AND(YEAR(AZ$4)=YEAR($F5),$E5&gt;0,$F5&gt;0,$E5-AX5&gt;=0),$E5-AX5,IF(AND(YEAR(AZ$4)&gt;YEAR($F5),$E5&gt;0,$F5&gt;0,AM5-AX5&gt;=0),AM5-AX5,IF(AND(YEAR(AZ$4)=YEAR($F5),$E5&lt;0,$F5&gt;0,$E5-AX5&lt;0),$E5-AX5,IF(AND(YEAR(AZ$4)&gt;YEAR($F5),$E5&lt;0,$F5&gt;0,AM5-AX5&lt;=0),AM5-AX5,0))))</f>
        <v>0</v>
      </c>
      <c r="BA5" s="154">
        <f t="shared" ref="BA5:BA20" si="134">IF($J5&lt;&gt;"H",AZ5,0)</f>
        <v>0</v>
      </c>
      <c r="BB5" s="157">
        <f t="shared" ref="BB5:BB68" si="135">AO5+AX5</f>
        <v>0</v>
      </c>
      <c r="BC5" s="154">
        <f t="shared" ref="BC5:BC68" si="136">IF(AND(AR5&lt;&gt;0,$J5="H",$L5=0),AT5,IF(AND(YEAR(AZ$4)&gt;YEAR($F5),$J5="H",$F5&gt;0,$L5=0),$E5,0))</f>
        <v>0</v>
      </c>
      <c r="BD5" s="158">
        <f t="shared" ref="BD5:BD68" si="137">IF(AND(YEAR(AZ$4)&gt;=YEAR($F5),$E5&gt;0,$F5&gt;0,AX5&gt;0,$J5="H"),ROUND(AX5/$L5*$E5,2),IF(AND(YEAR(AZ$4)&gt;=YEAR($F5),$E5&lt;0,$F5&gt;0,AX5&lt;0,$J5="H"),ROUND(AX5/$L5*$E5,2),0))</f>
        <v>0</v>
      </c>
      <c r="BE5" s="156">
        <f t="shared" ref="BE5" si="138">IF(YEAR($F5)=BE$4,$E5,0)</f>
        <v>0</v>
      </c>
      <c r="BF5" s="154">
        <f t="shared" ref="BF5:BF20" si="139">IF($J5&lt;&gt;"H",BE5,0)</f>
        <v>0</v>
      </c>
      <c r="BG5" s="154">
        <f t="shared" ref="BG5:BG68" si="140">IF(BE5&lt;&gt;0,ROUND(BE5*(DAYS360($F5,BM$4)/DAYS360(AZ$4,BM$4)),2),0)</f>
        <v>0</v>
      </c>
      <c r="BH5" s="154">
        <f t="shared" ref="BH5:BH20" si="141">IF($J5&lt;&gt;"H",BG5,0)</f>
        <v>0</v>
      </c>
      <c r="BI5" s="154">
        <f t="shared" ref="BI5:BI68" si="142">IF(AND($F5&gt;0,$F5&lt;=BM$4),$E5,0)</f>
        <v>0</v>
      </c>
      <c r="BJ5" s="154">
        <f t="shared" ref="BJ5:BJ20" si="143">IF(BK5&lt;&gt;0,ROUND(BK5/$L5*BI5,2),0)</f>
        <v>0</v>
      </c>
      <c r="BK5" s="154">
        <f t="shared" ref="BK5:BK68" si="144">IF(AND(YEAR($F5)=YEAR(BM$4),$E5&lt;1000,$E5&gt;-1000,$F5&gt;0,$K5=1),$E5-$I5,IF(AND(YEAR($F5)=YEAR(BM$4),$F5&gt;0,$K5&gt;0),ROUND(($L5/12)*(13-MONTH($F5)),2),IF(AND(YEAR($F5)&lt;YEAR(BM$4),$E5&gt;0,$F5&gt;0,$K5&gt;0,AZ5&gt;$L5+$I5),$L5,IF(AND(YEAR($F5)&lt;YEAR(BM$4),$E5&gt;0,$F5&gt;0,$K5&gt;0,AZ5&gt;0,AZ5&lt;=$L5+$I5),AZ5-$I5,IF(AND(YEAR($F5)&lt;YEAR(BM$4),$E5&lt;0,$F5&gt;0,$K5&gt;0,AZ5&lt;0,AZ5&lt;=$L5),$L5,IF(AND(YEAR($F5)&lt;YEAR(BM$4),$E5&lt;0,$F5&gt;0,$K5&gt;0,AZ5&lt;0,AZ5&gt;$L5),AZ5,0))))))</f>
        <v>0</v>
      </c>
      <c r="BL5" s="154">
        <f t="shared" ref="BL5:BL20" si="145">IF($J5&lt;&gt;"H",BK5,0)</f>
        <v>0</v>
      </c>
      <c r="BM5" s="154">
        <f t="shared" ref="BM5:BM68" si="146">IF(AND(YEAR(BM$4)=YEAR($F5),$E5&gt;0,$F5&gt;0,$E5-BK5&gt;=0),$E5-BK5,IF(AND(YEAR(BM$4)&gt;YEAR($F5),$E5&gt;0,$F5&gt;0,AZ5-BK5&gt;=0),AZ5-BK5,IF(AND(YEAR(BM$4)=YEAR($F5),$E5&lt;0,$F5&gt;0,$E5-BK5&lt;0),$E5-BK5,IF(AND(YEAR(BM$4)&gt;YEAR($F5),$E5&lt;0,$F5&gt;0,AZ5-BK5&lt;=0),AZ5-BK5,0))))</f>
        <v>0</v>
      </c>
      <c r="BN5" s="154">
        <f t="shared" ref="BN5:BN20" si="147">IF($J5&lt;&gt;"H",BM5,0)</f>
        <v>0</v>
      </c>
      <c r="BO5" s="157">
        <f t="shared" ref="BO5:BO68" si="148">BB5+BK5</f>
        <v>0</v>
      </c>
      <c r="BP5" s="154">
        <f t="shared" ref="BP5:BP68" si="149">IF(AND(BE5&lt;&gt;0,$J5="H",$L5=0),BG5,IF(AND(YEAR(BM$4)&gt;YEAR($F5),$J5="H",$F5&gt;0,$L5=0),$E5,0))</f>
        <v>0</v>
      </c>
      <c r="BQ5" s="158">
        <f t="shared" ref="BQ5:BQ68" si="150">IF(AND(YEAR(BM$4)&gt;=YEAR($F5),$E5&gt;0,$F5&gt;0,BK5&gt;0,$J5="H"),ROUND(BK5/$L5*$E5,2),IF(AND(YEAR(BM$4)&gt;=YEAR($F5),$E5&lt;0,$F5&gt;0,BK5&lt;0,$J5="H"),ROUND(BK5/$L5*$E5,2),0))</f>
        <v>0</v>
      </c>
      <c r="BR5" s="156">
        <f t="shared" ref="BR5:CR20" si="151">IF(YEAR($F5)=BR$4,$E5,0)</f>
        <v>0</v>
      </c>
      <c r="BS5" s="154">
        <f t="shared" ref="BS5:BS20" si="152">IF($J5&lt;&gt;"H",BR5,0)</f>
        <v>0</v>
      </c>
      <c r="BT5" s="154">
        <f t="shared" ref="BT5:BT68" si="153">IF(BR5&lt;&gt;0,ROUND(BR5*(DAYS360($F5,BZ$4)/DAYS360(BM$4,BZ$4)),2),0)</f>
        <v>0</v>
      </c>
      <c r="BU5" s="154">
        <f t="shared" ref="BU5:BU20" si="154">IF($J5&lt;&gt;"H",BT5,0)</f>
        <v>0</v>
      </c>
      <c r="BV5" s="154">
        <f t="shared" ref="BV5:BV68" si="155">IF(AND($F5&gt;0,$F5&lt;=BZ$4),$E5,0)</f>
        <v>0</v>
      </c>
      <c r="BW5" s="154">
        <f t="shared" ref="BW5:BW20" si="156">IF(BX5&lt;&gt;0,ROUND(BX5/$L5*BV5,2),0)</f>
        <v>0</v>
      </c>
      <c r="BX5" s="154">
        <f t="shared" ref="BX5:BX68" si="157">IF(AND(YEAR($F5)=YEAR(BZ$4),$E5&lt;1000,$E5&gt;-1000,$F5&gt;0,$K5=1),$E5-$I5,IF(AND(YEAR($F5)=YEAR(BZ$4),$F5&gt;0,$K5&gt;0),ROUND(($L5/12)*(13-MONTH($F5)),2),IF(AND(YEAR($F5)&lt;YEAR(BZ$4),$E5&gt;0,$F5&gt;0,$K5&gt;0,BM5&gt;$L5+$I5),$L5,IF(AND(YEAR($F5)&lt;YEAR(BZ$4),$E5&gt;0,$F5&gt;0,$K5&gt;0,BM5&gt;0,BM5&lt;=$L5+$I5),BM5-$I5,IF(AND(YEAR($F5)&lt;YEAR(BZ$4),$E5&lt;0,$F5&gt;0,$K5&gt;0,BM5&lt;0,BM5&lt;=$L5),$L5,IF(AND(YEAR($F5)&lt;YEAR(BZ$4),$E5&lt;0,$F5&gt;0,$K5&gt;0,BM5&lt;0,BM5&gt;$L5),BM5,0))))))</f>
        <v>0</v>
      </c>
      <c r="BY5" s="154">
        <f t="shared" ref="BY5:BY20" si="158">IF($J5&lt;&gt;"H",BX5,0)</f>
        <v>0</v>
      </c>
      <c r="BZ5" s="154">
        <f t="shared" ref="BZ5:BZ68" si="159">IF(AND(YEAR(BZ$4)=YEAR($F5),$E5&gt;0,$F5&gt;0,$E5-BX5&gt;=0),$E5-BX5,IF(AND(YEAR(BZ$4)&gt;YEAR($F5),$E5&gt;0,$F5&gt;0,BM5-BX5&gt;=0),BM5-BX5,IF(AND(YEAR(BZ$4)=YEAR($F5),$E5&lt;0,$F5&gt;0,$E5-BX5&lt;0),$E5-BX5,IF(AND(YEAR(BZ$4)&gt;YEAR($F5),$E5&lt;0,$F5&gt;0,BM5-BX5&lt;=0),BM5-BX5,0))))</f>
        <v>0</v>
      </c>
      <c r="CA5" s="154">
        <f t="shared" ref="CA5:CA20" si="160">IF($J5&lt;&gt;"H",BZ5,0)</f>
        <v>0</v>
      </c>
      <c r="CB5" s="157">
        <f t="shared" ref="CB5:CB68" si="161">BO5+BX5</f>
        <v>0</v>
      </c>
      <c r="CC5" s="154">
        <f t="shared" ref="CC5:CC68" si="162">IF(AND(BR5&lt;&gt;0,$J5="H",$L5=0),BT5,IF(AND(YEAR(BZ$4)&gt;YEAR($F5),$J5="H",$F5&gt;0,$L5=0),$E5,0))</f>
        <v>0</v>
      </c>
      <c r="CD5" s="158">
        <f t="shared" ref="CD5:CD68" si="163">IF(AND(YEAR(BZ$4)&gt;=YEAR($F5),$E5&gt;0,$F5&gt;0,BX5&gt;0,$J5="H"),ROUND(BX5/$L5*$E5,2),IF(AND(YEAR(BZ$4)&gt;=YEAR($F5),$E5&lt;0,$F5&gt;0,BX5&lt;0,$J5="H"),ROUND(BX5/$L5*$E5,2),0))</f>
        <v>0</v>
      </c>
      <c r="CE5" s="156">
        <f t="shared" ref="CE5" si="164">IF(YEAR($F5)=CE$4,$E5,0)</f>
        <v>0</v>
      </c>
      <c r="CF5" s="154">
        <f t="shared" ref="CF5:CF20" si="165">IF($J5&lt;&gt;"H",CE5,0)</f>
        <v>0</v>
      </c>
      <c r="CG5" s="154">
        <f t="shared" ref="CG5:CG68" si="166">IF(CE5&lt;&gt;0,ROUND(CE5*(DAYS360($F5,CM$4)/DAYS360(BZ$4,CM$4)),2),0)</f>
        <v>0</v>
      </c>
      <c r="CH5" s="154">
        <f t="shared" ref="CH5:CH20" si="167">IF($J5&lt;&gt;"H",CG5,0)</f>
        <v>0</v>
      </c>
      <c r="CI5" s="154">
        <f t="shared" ref="CI5:CI68" si="168">IF(AND($F5&gt;0,$F5&lt;=CM$4),$E5,0)</f>
        <v>0</v>
      </c>
      <c r="CJ5" s="154">
        <f t="shared" ref="CJ5:CJ20" si="169">IF(CK5&lt;&gt;0,ROUND(CK5/$L5*CI5,2),0)</f>
        <v>0</v>
      </c>
      <c r="CK5" s="154">
        <f t="shared" ref="CK5:CK68" si="170">IF(AND(YEAR($F5)=YEAR(CM$4),$E5&lt;1000,$E5&gt;-1000,$F5&gt;0,$K5=1),$E5-$I5,IF(AND(YEAR($F5)=YEAR(CM$4),$F5&gt;0,$K5&gt;0),ROUND(($L5/12)*(13-MONTH($F5)),2),IF(AND(YEAR($F5)&lt;YEAR(CM$4),$E5&gt;0,$F5&gt;0,$K5&gt;0,BZ5&gt;$L5+$I5),$L5,IF(AND(YEAR($F5)&lt;YEAR(CM$4),$E5&gt;0,$F5&gt;0,$K5&gt;0,BZ5&gt;0,BZ5&lt;=$L5+$I5),BZ5-$I5,IF(AND(YEAR($F5)&lt;YEAR(CM$4),$E5&lt;0,$F5&gt;0,$K5&gt;0,BZ5&lt;0,BZ5&lt;=$L5),$L5,IF(AND(YEAR($F5)&lt;YEAR(CM$4),$E5&lt;0,$F5&gt;0,$K5&gt;0,BZ5&lt;0,BZ5&gt;$L5),BZ5,0))))))</f>
        <v>0</v>
      </c>
      <c r="CL5" s="154">
        <f t="shared" ref="CL5:CL20" si="171">IF($J5&lt;&gt;"H",CK5,0)</f>
        <v>0</v>
      </c>
      <c r="CM5" s="154">
        <f t="shared" ref="CM5:CM68" si="172">IF(AND(YEAR(CM$4)=YEAR($F5),$E5&gt;0,$F5&gt;0,$E5-CK5&gt;=0),$E5-CK5,IF(AND(YEAR(CM$4)&gt;YEAR($F5),$E5&gt;0,$F5&gt;0,BZ5-CK5&gt;=0),BZ5-CK5,IF(AND(YEAR(CM$4)=YEAR($F5),$E5&lt;0,$F5&gt;0,$E5-CK5&lt;0),$E5-CK5,IF(AND(YEAR(CM$4)&gt;YEAR($F5),$E5&lt;0,$F5&gt;0,BZ5-CK5&lt;=0),BZ5-CK5,0))))</f>
        <v>0</v>
      </c>
      <c r="CN5" s="154">
        <f t="shared" ref="CN5:CN20" si="173">IF($J5&lt;&gt;"H",CM5,0)</f>
        <v>0</v>
      </c>
      <c r="CO5" s="157">
        <f t="shared" ref="CO5:CO68" si="174">CB5+CK5</f>
        <v>0</v>
      </c>
      <c r="CP5" s="154">
        <f t="shared" ref="CP5:CP68" si="175">IF(AND(CE5&lt;&gt;0,$J5="H",$L5=0),CG5,IF(AND(YEAR(CM$4)&gt;YEAR($F5),$J5="H",$F5&gt;0,$L5=0),$E5,0))</f>
        <v>0</v>
      </c>
      <c r="CQ5" s="158">
        <f t="shared" ref="CQ5:CQ68" si="176">IF(AND(YEAR(CM$4)&gt;=YEAR($F5),$E5&gt;0,$F5&gt;0,CK5&gt;0,$J5="H"),ROUND(CK5/$L5*$E5,2),IF(AND(YEAR(CM$4)&gt;=YEAR($F5),$E5&lt;0,$F5&gt;0,CK5&lt;0,$J5="H"),ROUND(CK5/$L5*$E5,2),0))</f>
        <v>0</v>
      </c>
      <c r="CR5" s="156">
        <f t="shared" ref="CR5" si="177">IF(YEAR($F5)=CR$4,$E5,0)</f>
        <v>0</v>
      </c>
      <c r="CS5" s="154">
        <f t="shared" ref="CS5:CS20" si="178">IF($J5&lt;&gt;"H",CR5,0)</f>
        <v>0</v>
      </c>
      <c r="CT5" s="154">
        <f t="shared" ref="CT5:CT68" si="179">IF(CR5&lt;&gt;0,ROUND(CR5*(DAYS360($F5,CZ$4)/DAYS360(CM$4,CZ$4)),2),0)</f>
        <v>0</v>
      </c>
      <c r="CU5" s="154">
        <f t="shared" ref="CU5:CU20" si="180">IF($J5&lt;&gt;"H",CT5,0)</f>
        <v>0</v>
      </c>
      <c r="CV5" s="154">
        <f t="shared" ref="CV5:CV68" si="181">IF(AND($F5&gt;0,$F5&lt;=CZ$4),$E5,0)</f>
        <v>0</v>
      </c>
      <c r="CW5" s="154">
        <f t="shared" ref="CW5:CW20" si="182">IF(CX5&lt;&gt;0,ROUND(CX5/$L5*CV5,2),0)</f>
        <v>0</v>
      </c>
      <c r="CX5" s="154">
        <f t="shared" ref="CX5:CX68" si="183">IF(AND(YEAR($F5)=YEAR(CZ$4),$E5&lt;1000,$E5&gt;-1000,$F5&gt;0,$K5=1),$E5-$I5,IF(AND(YEAR($F5)=YEAR(CZ$4),$F5&gt;0,$K5&gt;0),ROUND(($L5/12)*(13-MONTH($F5)),2),IF(AND(YEAR($F5)&lt;YEAR(CZ$4),$E5&gt;0,$F5&gt;0,$K5&gt;0,CM5&gt;$L5+$I5),$L5,IF(AND(YEAR($F5)&lt;YEAR(CZ$4),$E5&gt;0,$F5&gt;0,$K5&gt;0,CM5&gt;0,CM5&lt;=$L5+$I5),CM5-$I5,IF(AND(YEAR($F5)&lt;YEAR(CZ$4),$E5&lt;0,$F5&gt;0,$K5&gt;0,CM5&lt;0,CM5&lt;=$L5),$L5,IF(AND(YEAR($F5)&lt;YEAR(CZ$4),$E5&lt;0,$F5&gt;0,$K5&gt;0,CM5&lt;0,CM5&gt;$L5),CM5,0))))))</f>
        <v>0</v>
      </c>
      <c r="CY5" s="154">
        <f t="shared" ref="CY5:CY20" si="184">IF($J5&lt;&gt;"H",CX5,0)</f>
        <v>0</v>
      </c>
      <c r="CZ5" s="154">
        <f t="shared" ref="CZ5:CZ68" si="185">IF(AND(YEAR(CZ$4)=YEAR($F5),$E5&gt;0,$F5&gt;0,$E5-CX5&gt;=0),$E5-CX5,IF(AND(YEAR(CZ$4)&gt;YEAR($F5),$E5&gt;0,$F5&gt;0,CM5-CX5&gt;=0),CM5-CX5,IF(AND(YEAR(CZ$4)=YEAR($F5),$E5&lt;0,$F5&gt;0,$E5-CX5&lt;0),$E5-CX5,IF(AND(YEAR(CZ$4)&gt;YEAR($F5),$E5&lt;0,$F5&gt;0,CM5-CX5&lt;=0),CM5-CX5,0))))</f>
        <v>0</v>
      </c>
      <c r="DA5" s="154">
        <f t="shared" ref="DA5:DA20" si="186">IF($J5&lt;&gt;"H",CZ5,0)</f>
        <v>0</v>
      </c>
      <c r="DB5" s="157">
        <f t="shared" ref="DB5:DB68" si="187">CO5+CX5</f>
        <v>0</v>
      </c>
      <c r="DC5" s="154">
        <f t="shared" ref="DC5:DC68" si="188">IF(AND(CR5&lt;&gt;0,$J5="H",$L5=0),CT5,IF(AND(YEAR(CZ$4)&gt;YEAR($F5),$J5="H",$F5&gt;0,$L5=0),$E5,0))</f>
        <v>0</v>
      </c>
      <c r="DD5" s="158">
        <f t="shared" ref="DD5:DD68" si="189">IF(AND(YEAR(CZ$4)&gt;=YEAR($F5),$E5&gt;0,$F5&gt;0,CX5&gt;0,$J5="H"),ROUND(CX5/$L5*$E5,2),IF(AND(YEAR(CZ$4)&gt;=YEAR($F5),$E5&lt;0,$F5&gt;0,CX5&lt;0,$J5="H"),ROUND(CX5/$L5*$E5,2),0))</f>
        <v>0</v>
      </c>
      <c r="DE5" s="156">
        <f t="shared" ref="DE5:DR20" si="190">IF(YEAR($F5)=DE$4,$E5,0)</f>
        <v>0</v>
      </c>
      <c r="DF5" s="154">
        <f t="shared" ref="DF5:DF20" si="191">IF($J5&lt;&gt;"H",DE5,0)</f>
        <v>0</v>
      </c>
      <c r="DG5" s="154">
        <f t="shared" ref="DG5:DG68" si="192">IF(DE5&lt;&gt;0,ROUND(DE5*(DAYS360($F5,DM$4)/DAYS360(CZ$4,DM$4)),2),0)</f>
        <v>0</v>
      </c>
      <c r="DH5" s="154">
        <f t="shared" ref="DH5:DH20" si="193">IF($J5&lt;&gt;"H",DG5,0)</f>
        <v>0</v>
      </c>
      <c r="DI5" s="154">
        <f t="shared" ref="DI5:DI68" si="194">IF(AND($F5&gt;0,$F5&lt;=DM$4),$E5,0)</f>
        <v>0</v>
      </c>
      <c r="DJ5" s="154">
        <f t="shared" ref="DJ5:DJ20" si="195">IF(DK5&lt;&gt;0,ROUND(DK5/$L5*DI5,2),0)</f>
        <v>0</v>
      </c>
      <c r="DK5" s="154">
        <f t="shared" ref="DK5:DK68" si="196">IF(AND(YEAR($F5)=YEAR(DM$4),$E5&lt;1000,$E5&gt;-1000,$F5&gt;0,$K5=1),$E5-$I5,IF(AND(YEAR($F5)=YEAR(DM$4),$F5&gt;0,$K5&gt;0),ROUND(($L5/12)*(13-MONTH($F5)),2),IF(AND(YEAR($F5)&lt;YEAR(DM$4),$E5&gt;0,$F5&gt;0,$K5&gt;0,CZ5&gt;$L5+$I5),$L5,IF(AND(YEAR($F5)&lt;YEAR(DM$4),$E5&gt;0,$F5&gt;0,$K5&gt;0,CZ5&gt;0,CZ5&lt;=$L5+$I5),CZ5-$I5,IF(AND(YEAR($F5)&lt;YEAR(DM$4),$E5&lt;0,$F5&gt;0,$K5&gt;0,CZ5&lt;0,CZ5&lt;=$L5),$L5,IF(AND(YEAR($F5)&lt;YEAR(DM$4),$E5&lt;0,$F5&gt;0,$K5&gt;0,CZ5&lt;0,CZ5&gt;$L5),CZ5,0))))))</f>
        <v>0</v>
      </c>
      <c r="DL5" s="154">
        <f t="shared" ref="DL5:DL20" si="197">IF($J5&lt;&gt;"H",DK5,0)</f>
        <v>0</v>
      </c>
      <c r="DM5" s="154">
        <f t="shared" ref="DM5:DM68" si="198">IF(AND(YEAR(DM$4)=YEAR($F5),$E5&gt;0,$F5&gt;0,$E5-DK5&gt;=0),$E5-DK5,IF(AND(YEAR(DM$4)&gt;YEAR($F5),$E5&gt;0,$F5&gt;0,CZ5-DK5&gt;=0),CZ5-DK5,IF(AND(YEAR(DM$4)=YEAR($F5),$E5&lt;0,$F5&gt;0,$E5-DK5&lt;0),$E5-DK5,IF(AND(YEAR(DM$4)&gt;YEAR($F5),$E5&lt;0,$F5&gt;0,CZ5-DK5&lt;=0),CZ5-DK5,0))))</f>
        <v>0</v>
      </c>
      <c r="DN5" s="154">
        <f t="shared" ref="DN5:DN20" si="199">IF($J5&lt;&gt;"H",DM5,0)</f>
        <v>0</v>
      </c>
      <c r="DO5" s="157">
        <f t="shared" ref="DO5:DO68" si="200">DB5+DK5</f>
        <v>0</v>
      </c>
      <c r="DP5" s="154">
        <f t="shared" ref="DP5:DP68" si="201">IF(AND(DE5&lt;&gt;0,$J5="H",$L5=0),DG5,IF(AND(YEAR(DM$4)&gt;YEAR($F5),$J5="H",$F5&gt;0,$L5=0),$E5,0))</f>
        <v>0</v>
      </c>
      <c r="DQ5" s="158">
        <f t="shared" ref="DQ5:DQ68" si="202">IF(AND(YEAR(DM$4)&gt;=YEAR($F5),$E5&gt;0,$F5&gt;0,DK5&gt;0,$J5="H"),ROUND(DK5/$L5*$E5,2),IF(AND(YEAR(DM$4)&gt;=YEAR($F5),$E5&lt;0,$F5&gt;0,DK5&lt;0,$J5="H"),ROUND(DK5/$L5*$E5,2),0))</f>
        <v>0</v>
      </c>
      <c r="DR5" s="156">
        <f t="shared" ref="DR5" si="203">IF(YEAR($F5)=DR$4,$E5,0)</f>
        <v>0</v>
      </c>
      <c r="DS5" s="154">
        <f t="shared" ref="DS5:DS20" si="204">IF($J5&lt;&gt;"H",DR5,0)</f>
        <v>0</v>
      </c>
      <c r="DT5" s="154">
        <f t="shared" ref="DT5:DT68" si="205">IF(DR5&lt;&gt;0,ROUND(DR5*(DAYS360($F5,DZ$4)/DAYS360(DM$4,DZ$4)),2),0)</f>
        <v>0</v>
      </c>
      <c r="DU5" s="154">
        <f t="shared" ref="DU5:DU20" si="206">IF($J5&lt;&gt;"H",DT5,0)</f>
        <v>0</v>
      </c>
      <c r="DV5" s="154">
        <f t="shared" ref="DV5:DV68" si="207">IF(AND($F5&gt;0,$F5&lt;=DZ$4),$E5,0)</f>
        <v>0</v>
      </c>
      <c r="DW5" s="154">
        <f t="shared" ref="DW5:DW20" si="208">IF(DX5&lt;&gt;0,ROUND(DX5/$L5*DV5,2),0)</f>
        <v>0</v>
      </c>
      <c r="DX5" s="154">
        <f t="shared" ref="DX5:DX68" si="209">IF(AND(YEAR($F5)=YEAR(DZ$4),$E5&lt;1000,$E5&gt;-1000,$F5&gt;0,$K5=1),$E5-$I5,IF(AND(YEAR($F5)=YEAR(DZ$4),$F5&gt;0,$K5&gt;0),ROUND(($L5/12)*(13-MONTH($F5)),2),IF(AND(YEAR($F5)&lt;YEAR(DZ$4),$E5&gt;0,$F5&gt;0,$K5&gt;0,DM5&gt;$L5+$I5),$L5,IF(AND(YEAR($F5)&lt;YEAR(DZ$4),$E5&gt;0,$F5&gt;0,$K5&gt;0,DM5&gt;0,DM5&lt;=$L5+$I5),DM5-$I5,IF(AND(YEAR($F5)&lt;YEAR(DZ$4),$E5&lt;0,$F5&gt;0,$K5&gt;0,DM5&lt;0,DM5&lt;=$L5),$L5,IF(AND(YEAR($F5)&lt;YEAR(DZ$4),$E5&lt;0,$F5&gt;0,$K5&gt;0,DM5&lt;0,DM5&gt;$L5),DM5,0))))))</f>
        <v>0</v>
      </c>
      <c r="DY5" s="154">
        <f t="shared" ref="DY5:DY20" si="210">IF($J5&lt;&gt;"H",DX5,0)</f>
        <v>0</v>
      </c>
      <c r="DZ5" s="154">
        <f t="shared" ref="DZ5:DZ68" si="211">IF(AND(YEAR(DZ$4)=YEAR($F5),$E5&gt;0,$F5&gt;0,$E5-DX5&gt;=0),$E5-DX5,IF(AND(YEAR(DZ$4)&gt;YEAR($F5),$E5&gt;0,$F5&gt;0,DM5-DX5&gt;=0),DM5-DX5,IF(AND(YEAR(DZ$4)=YEAR($F5),$E5&lt;0,$F5&gt;0,$E5-DX5&lt;0),$E5-DX5,IF(AND(YEAR(DZ$4)&gt;YEAR($F5),$E5&lt;0,$F5&gt;0,DM5-DX5&lt;=0),DM5-DX5,0))))</f>
        <v>0</v>
      </c>
      <c r="EA5" s="154">
        <f t="shared" ref="EA5:EA20" si="212">IF($J5&lt;&gt;"H",DZ5,0)</f>
        <v>0</v>
      </c>
      <c r="EB5" s="157">
        <f t="shared" ref="EB5:EB68" si="213">DO5+DX5</f>
        <v>0</v>
      </c>
      <c r="EC5" s="154">
        <f t="shared" ref="EC5:EC68" si="214">IF(AND(DR5&lt;&gt;0,$J5="H",$L5=0),DT5,IF(AND(YEAR(DZ$4)&gt;YEAR($F5),$J5="H",$F5&gt;0,$L5=0),$E5,0))</f>
        <v>0</v>
      </c>
      <c r="ED5" s="158">
        <f t="shared" ref="ED5:ED68" si="215">IF(AND(YEAR(DZ$4)&gt;=YEAR($F5),$E5&gt;0,$F5&gt;0,DX5&gt;0,$J5="H"),ROUND(DX5/$L5*$E5,2),IF(AND(YEAR(DZ$4)&gt;=YEAR($F5),$E5&lt;0,$F5&gt;0,DX5&lt;0,$J5="H"),ROUND(DX5/$L5*$E5,2),0))</f>
        <v>0</v>
      </c>
    </row>
    <row r="6" spans="1:134" x14ac:dyDescent="0.35">
      <c r="A6" s="172"/>
      <c r="B6" s="173"/>
      <c r="C6" s="174"/>
      <c r="D6" s="175"/>
      <c r="E6" s="176"/>
      <c r="F6" s="177"/>
      <c r="G6" s="178"/>
      <c r="H6" s="179"/>
      <c r="I6" s="180"/>
      <c r="J6" s="181"/>
      <c r="K6" s="152">
        <f t="shared" ref="K6:K69" si="216">IF(AND(G6&gt;0,G6&lt;=1,H6=0),1,IF(H6&gt;=1,1,IF(AND(H6&gt;0,H6&lt;1),H6,IF(AND(G6&gt;1,OR(H6=0,H6="")),ROUND(1/G6,4),0))))</f>
        <v>0</v>
      </c>
      <c r="L6" s="153">
        <f t="shared" ref="L6:L69" si="217">IF(AND(E6&gt;0,F6&gt;0,OR(G6&gt;0,H6&gt;0)),ROUND((E6-I6)*K6,2),IF(AND(E6&lt;0,F6&gt;0,OR(G6&gt;0,H6&gt;0)),ROUND(E6*K6,2),0))</f>
        <v>0</v>
      </c>
      <c r="M6" s="154">
        <f t="shared" ref="M6:M69" si="218">IF(AND(E6-O6&gt;=0,F6&gt;0,YEAR(M$4)&gt;=YEAR(F6)),E6-O6,IF(AND(E6-O6&lt;0,F6&gt;0,YEAR(M$4)&gt;=YEAR(F6)),E6-O6,0))</f>
        <v>0</v>
      </c>
      <c r="N6" s="154"/>
      <c r="O6" s="154">
        <f t="shared" ref="O6:O69" si="219">IF(AND(YEAR(F6)&lt;=YEAR(M$4),E6&lt;1000,E6&gt;-1000,F6&gt;0,K6=1),E6-I6,IF(AND(YEAR(F6)&lt;=YEAR(M$4),E6&gt;0,F6&gt;0,K6&gt;0,E6&gt;L6*(YEAR(M$4)-YEAR(F6))+ROUND((L6/12)*(13-MONTH(F6)),2)+I6),L6*(YEAR(M$4)-YEAR(F6))+ROUND((L6/12)*(13-MONTH(F6)),2),IF(AND(YEAR(F6)&lt;=YEAR(M$4),E6&gt;0,F6&gt;0,K6&gt;0,E6&lt;=(L6*(YEAR(M$4)-YEAR(F6)+ROUND((L6/12)*(13-MONTH(F6)),2)))+I6),E6-I6,IF(AND(YEAR(F6)&lt;=YEAR(M$4),E6&lt;0,F6&gt;0,K6&gt;0,E6&lt;L6*(YEAR(M$4)-YEAR(F6))+ROUND((L6/12)*(13-MONTH(F6)),2)+I6),L6*(YEAR(M$4)-YEAR(F6))+ROUND((L6/12)*(13-MONTH(F6)),2),IF(AND(YEAR(F6)&lt;=YEAR(M$4),E6&lt;0,F6&gt;0,K6&gt;0,E6&lt;=(L6*(YEAR(M$4)-YEAR(F6)+ROUND((L6/12)*(13-MONTH(F6)),2)))),E6,0)))))</f>
        <v>0</v>
      </c>
      <c r="P6" s="155"/>
      <c r="Q6" s="154">
        <f t="shared" ref="Q6:Q69" si="220">IF(AND($F6&gt;0,$F6&lt;=O$4),$E6,0)</f>
        <v>0</v>
      </c>
      <c r="R6" s="156">
        <f t="shared" ref="R6:R69" si="221">IF(YEAR($F6)=R$4,$E6,0)</f>
        <v>0</v>
      </c>
      <c r="S6" s="154">
        <f t="shared" ref="S6:S69" si="222">IF($J6&lt;&gt;"H",R6,0)</f>
        <v>0</v>
      </c>
      <c r="T6" s="154">
        <f t="shared" ref="T6:T69" si="223">IF(R6&lt;&gt;0,ROUND(R6*(DAYS360($F6,Z$4)/DAYS360(M$4,Z$4)),2),0)</f>
        <v>0</v>
      </c>
      <c r="U6" s="154">
        <f t="shared" ref="U6:U69" si="224">IF($J6&lt;&gt;"H",T6,0)</f>
        <v>0</v>
      </c>
      <c r="V6" s="154">
        <f t="shared" ref="V6:V69" si="225">IF(AND($F6&gt;0,$F6&lt;=Z$4),$E6,0)</f>
        <v>0</v>
      </c>
      <c r="W6" s="154">
        <f t="shared" ref="W6:W69" si="226">IF(X6&lt;&gt;0,ROUND(X6/$L6*V6,2),0)</f>
        <v>0</v>
      </c>
      <c r="X6" s="154">
        <f t="shared" ref="X6:X69" si="227">IF(AND(YEAR($F6)=YEAR(Z$4),$E6&lt;1000,$E6&gt;-1000,$F6&gt;0,$K6=1),$E6-$I6,IF(AND(YEAR($F6)=YEAR(Z$4),$F6&gt;0,$K6&gt;0),ROUND(($L6/12)*(13-MONTH($F6)),2),IF(AND(YEAR($F6)&lt;YEAR(Z$4),$E6&gt;0,$F6&gt;0,$K6&gt;0,M6&gt;$L6+$I6),$L6,IF(AND(YEAR($F6)&lt;YEAR(Z$4),$E6&gt;0,$F6&gt;0,$K6&gt;0,M6&gt;0,M6&lt;=$L6+$I6),M6-$I6,IF(AND(YEAR($F6)&lt;YEAR(Z$4),$E6&lt;0,$F6&gt;0,$K6&gt;0,M6&lt;0,M6&lt;=$L6),$L6,IF(AND(YEAR($F6)&lt;YEAR(Z$4),$E6&lt;0,$F6&gt;0,$K6&gt;0,M6&lt;0,M6&gt;$L6),M6,0))))))</f>
        <v>0</v>
      </c>
      <c r="Y6" s="154">
        <f t="shared" ref="Y6:Y69" si="228">IF($J6&lt;&gt;"H",X6,0)</f>
        <v>0</v>
      </c>
      <c r="Z6" s="154">
        <f t="shared" ref="Z6:Z69" si="229">IF(AND(YEAR(Z$4)=YEAR($F6),$E6&gt;0,$F6&gt;0,$E6-X6&gt;=0),$E6-X6,IF(AND(YEAR(Z$4)&gt;YEAR($F6),$E6&gt;0,$F6&gt;0,M6-X6&gt;=0),M6-X6,IF(AND(YEAR(Z$4)=YEAR($F6),$E6&lt;0,$F6&gt;0,$E6-X6&lt;0),$E6-X6,IF(AND(YEAR(Z$4)&gt;YEAR($F6),$E6&lt;0,$F6&gt;0,M6-X6&lt;=0),M6-X6,0))))</f>
        <v>0</v>
      </c>
      <c r="AA6" s="154">
        <f t="shared" ref="AA6:AA69" si="230">IF($J6&lt;&gt;"H",Z6,0)</f>
        <v>0</v>
      </c>
      <c r="AB6" s="157">
        <f t="shared" ref="AB6:AB69" si="231">O6+X6</f>
        <v>0</v>
      </c>
      <c r="AC6" s="154">
        <f t="shared" ref="AC6:AC69" si="232">IF(AND(R6&lt;&gt;0,$J6="H",$L6=0),T6,IF(AND(YEAR(Z$4)&gt;YEAR($F6),$J6="H",$F6&gt;0,$L6=0),$E6,0))</f>
        <v>0</v>
      </c>
      <c r="AD6" s="158">
        <f t="shared" ref="AD6:AD69" si="233">IF(AND(YEAR(Z$4)&gt;=YEAR($F6),$E6&gt;0,$F6&gt;0,X6&gt;0,$J6="H"),ROUND(X6/$L6*$E6,2),IF(AND(YEAR(Z$4)&gt;=YEAR($F6),$E6&lt;0,$F6&gt;0,X6&lt;0,$J6="H"),ROUND(X6/$L6*$E6,2),0))</f>
        <v>0</v>
      </c>
      <c r="AE6" s="156">
        <f t="shared" si="112"/>
        <v>0</v>
      </c>
      <c r="AF6" s="154">
        <f t="shared" si="113"/>
        <v>0</v>
      </c>
      <c r="AG6" s="154">
        <f t="shared" si="114"/>
        <v>0</v>
      </c>
      <c r="AH6" s="154">
        <f t="shared" si="115"/>
        <v>0</v>
      </c>
      <c r="AI6" s="154">
        <f t="shared" si="116"/>
        <v>0</v>
      </c>
      <c r="AJ6" s="154">
        <f t="shared" si="117"/>
        <v>0</v>
      </c>
      <c r="AK6" s="154">
        <f t="shared" si="118"/>
        <v>0</v>
      </c>
      <c r="AL6" s="154">
        <f t="shared" si="119"/>
        <v>0</v>
      </c>
      <c r="AM6" s="154">
        <f t="shared" si="120"/>
        <v>0</v>
      </c>
      <c r="AN6" s="154">
        <f t="shared" si="121"/>
        <v>0</v>
      </c>
      <c r="AO6" s="157">
        <f t="shared" si="122"/>
        <v>0</v>
      </c>
      <c r="AP6" s="154">
        <f t="shared" si="123"/>
        <v>0</v>
      </c>
      <c r="AQ6" s="158">
        <f t="shared" si="124"/>
        <v>0</v>
      </c>
      <c r="AR6" s="156">
        <f t="shared" si="112"/>
        <v>0</v>
      </c>
      <c r="AS6" s="154">
        <f t="shared" si="126"/>
        <v>0</v>
      </c>
      <c r="AT6" s="154">
        <f t="shared" si="127"/>
        <v>0</v>
      </c>
      <c r="AU6" s="154">
        <f t="shared" si="128"/>
        <v>0</v>
      </c>
      <c r="AV6" s="154">
        <f t="shared" si="129"/>
        <v>0</v>
      </c>
      <c r="AW6" s="154">
        <f t="shared" si="130"/>
        <v>0</v>
      </c>
      <c r="AX6" s="154">
        <f t="shared" si="131"/>
        <v>0</v>
      </c>
      <c r="AY6" s="154">
        <f t="shared" si="132"/>
        <v>0</v>
      </c>
      <c r="AZ6" s="154">
        <f t="shared" si="133"/>
        <v>0</v>
      </c>
      <c r="BA6" s="154">
        <f t="shared" si="134"/>
        <v>0</v>
      </c>
      <c r="BB6" s="157">
        <f t="shared" si="135"/>
        <v>0</v>
      </c>
      <c r="BC6" s="154">
        <f t="shared" si="136"/>
        <v>0</v>
      </c>
      <c r="BD6" s="158">
        <f t="shared" si="137"/>
        <v>0</v>
      </c>
      <c r="BE6" s="156">
        <f t="shared" si="112"/>
        <v>0</v>
      </c>
      <c r="BF6" s="154">
        <f t="shared" si="139"/>
        <v>0</v>
      </c>
      <c r="BG6" s="154">
        <f t="shared" si="140"/>
        <v>0</v>
      </c>
      <c r="BH6" s="154">
        <f t="shared" si="141"/>
        <v>0</v>
      </c>
      <c r="BI6" s="154">
        <f t="shared" si="142"/>
        <v>0</v>
      </c>
      <c r="BJ6" s="154">
        <f t="shared" si="143"/>
        <v>0</v>
      </c>
      <c r="BK6" s="154">
        <f t="shared" si="144"/>
        <v>0</v>
      </c>
      <c r="BL6" s="154">
        <f t="shared" si="145"/>
        <v>0</v>
      </c>
      <c r="BM6" s="154">
        <f t="shared" si="146"/>
        <v>0</v>
      </c>
      <c r="BN6" s="154">
        <f t="shared" si="147"/>
        <v>0</v>
      </c>
      <c r="BO6" s="157">
        <f t="shared" si="148"/>
        <v>0</v>
      </c>
      <c r="BP6" s="154">
        <f t="shared" si="149"/>
        <v>0</v>
      </c>
      <c r="BQ6" s="158">
        <f t="shared" si="150"/>
        <v>0</v>
      </c>
      <c r="BR6" s="156">
        <f t="shared" si="151"/>
        <v>0</v>
      </c>
      <c r="BS6" s="154">
        <f t="shared" si="152"/>
        <v>0</v>
      </c>
      <c r="BT6" s="154">
        <f t="shared" si="153"/>
        <v>0</v>
      </c>
      <c r="BU6" s="154">
        <f t="shared" si="154"/>
        <v>0</v>
      </c>
      <c r="BV6" s="154">
        <f t="shared" si="155"/>
        <v>0</v>
      </c>
      <c r="BW6" s="154">
        <f t="shared" si="156"/>
        <v>0</v>
      </c>
      <c r="BX6" s="154">
        <f t="shared" si="157"/>
        <v>0</v>
      </c>
      <c r="BY6" s="154">
        <f t="shared" si="158"/>
        <v>0</v>
      </c>
      <c r="BZ6" s="154">
        <f t="shared" si="159"/>
        <v>0</v>
      </c>
      <c r="CA6" s="154">
        <f t="shared" si="160"/>
        <v>0</v>
      </c>
      <c r="CB6" s="157">
        <f t="shared" si="161"/>
        <v>0</v>
      </c>
      <c r="CC6" s="154">
        <f t="shared" si="162"/>
        <v>0</v>
      </c>
      <c r="CD6" s="158">
        <f t="shared" si="163"/>
        <v>0</v>
      </c>
      <c r="CE6" s="156">
        <f t="shared" si="151"/>
        <v>0</v>
      </c>
      <c r="CF6" s="154">
        <f t="shared" si="165"/>
        <v>0</v>
      </c>
      <c r="CG6" s="154">
        <f t="shared" si="166"/>
        <v>0</v>
      </c>
      <c r="CH6" s="154">
        <f t="shared" si="167"/>
        <v>0</v>
      </c>
      <c r="CI6" s="154">
        <f t="shared" si="168"/>
        <v>0</v>
      </c>
      <c r="CJ6" s="154">
        <f t="shared" si="169"/>
        <v>0</v>
      </c>
      <c r="CK6" s="154">
        <f t="shared" si="170"/>
        <v>0</v>
      </c>
      <c r="CL6" s="154">
        <f t="shared" si="171"/>
        <v>0</v>
      </c>
      <c r="CM6" s="154">
        <f t="shared" si="172"/>
        <v>0</v>
      </c>
      <c r="CN6" s="154">
        <f t="shared" si="173"/>
        <v>0</v>
      </c>
      <c r="CO6" s="157">
        <f t="shared" si="174"/>
        <v>0</v>
      </c>
      <c r="CP6" s="154">
        <f t="shared" si="175"/>
        <v>0</v>
      </c>
      <c r="CQ6" s="158">
        <f t="shared" si="176"/>
        <v>0</v>
      </c>
      <c r="CR6" s="156">
        <f t="shared" si="151"/>
        <v>0</v>
      </c>
      <c r="CS6" s="154">
        <f t="shared" si="178"/>
        <v>0</v>
      </c>
      <c r="CT6" s="154">
        <f t="shared" si="179"/>
        <v>0</v>
      </c>
      <c r="CU6" s="154">
        <f t="shared" si="180"/>
        <v>0</v>
      </c>
      <c r="CV6" s="154">
        <f t="shared" si="181"/>
        <v>0</v>
      </c>
      <c r="CW6" s="154">
        <f t="shared" si="182"/>
        <v>0</v>
      </c>
      <c r="CX6" s="154">
        <f t="shared" si="183"/>
        <v>0</v>
      </c>
      <c r="CY6" s="154">
        <f t="shared" si="184"/>
        <v>0</v>
      </c>
      <c r="CZ6" s="154">
        <f t="shared" si="185"/>
        <v>0</v>
      </c>
      <c r="DA6" s="154">
        <f t="shared" si="186"/>
        <v>0</v>
      </c>
      <c r="DB6" s="157">
        <f t="shared" si="187"/>
        <v>0</v>
      </c>
      <c r="DC6" s="154">
        <f t="shared" si="188"/>
        <v>0</v>
      </c>
      <c r="DD6" s="158">
        <f t="shared" si="189"/>
        <v>0</v>
      </c>
      <c r="DE6" s="156">
        <f t="shared" si="190"/>
        <v>0</v>
      </c>
      <c r="DF6" s="154">
        <f t="shared" si="191"/>
        <v>0</v>
      </c>
      <c r="DG6" s="154">
        <f t="shared" si="192"/>
        <v>0</v>
      </c>
      <c r="DH6" s="154">
        <f t="shared" si="193"/>
        <v>0</v>
      </c>
      <c r="DI6" s="154">
        <f t="shared" si="194"/>
        <v>0</v>
      </c>
      <c r="DJ6" s="154">
        <f t="shared" si="195"/>
        <v>0</v>
      </c>
      <c r="DK6" s="154">
        <f t="shared" si="196"/>
        <v>0</v>
      </c>
      <c r="DL6" s="154">
        <f t="shared" si="197"/>
        <v>0</v>
      </c>
      <c r="DM6" s="154">
        <f t="shared" si="198"/>
        <v>0</v>
      </c>
      <c r="DN6" s="154">
        <f t="shared" si="199"/>
        <v>0</v>
      </c>
      <c r="DO6" s="157">
        <f t="shared" si="200"/>
        <v>0</v>
      </c>
      <c r="DP6" s="154">
        <f t="shared" si="201"/>
        <v>0</v>
      </c>
      <c r="DQ6" s="158">
        <f t="shared" si="202"/>
        <v>0</v>
      </c>
      <c r="DR6" s="156">
        <f t="shared" si="190"/>
        <v>0</v>
      </c>
      <c r="DS6" s="154">
        <f t="shared" si="204"/>
        <v>0</v>
      </c>
      <c r="DT6" s="154">
        <f t="shared" si="205"/>
        <v>0</v>
      </c>
      <c r="DU6" s="154">
        <f t="shared" si="206"/>
        <v>0</v>
      </c>
      <c r="DV6" s="154">
        <f t="shared" si="207"/>
        <v>0</v>
      </c>
      <c r="DW6" s="154">
        <f t="shared" si="208"/>
        <v>0</v>
      </c>
      <c r="DX6" s="154">
        <f t="shared" si="209"/>
        <v>0</v>
      </c>
      <c r="DY6" s="154">
        <f t="shared" si="210"/>
        <v>0</v>
      </c>
      <c r="DZ6" s="154">
        <f t="shared" si="211"/>
        <v>0</v>
      </c>
      <c r="EA6" s="154">
        <f t="shared" si="212"/>
        <v>0</v>
      </c>
      <c r="EB6" s="157">
        <f t="shared" si="213"/>
        <v>0</v>
      </c>
      <c r="EC6" s="154">
        <f t="shared" si="214"/>
        <v>0</v>
      </c>
      <c r="ED6" s="158">
        <f t="shared" si="215"/>
        <v>0</v>
      </c>
    </row>
    <row r="7" spans="1:134" x14ac:dyDescent="0.35">
      <c r="A7" s="172">
        <v>1963</v>
      </c>
      <c r="B7" s="173" t="s">
        <v>571</v>
      </c>
      <c r="C7" s="173"/>
      <c r="D7" s="212" t="s">
        <v>110</v>
      </c>
      <c r="E7" s="176">
        <v>200000</v>
      </c>
      <c r="F7" s="213">
        <v>23193</v>
      </c>
      <c r="G7" s="178">
        <v>50</v>
      </c>
      <c r="H7" s="179"/>
      <c r="I7" s="180"/>
      <c r="J7" s="181"/>
      <c r="K7" s="152">
        <f t="shared" si="216"/>
        <v>0.02</v>
      </c>
      <c r="L7" s="153">
        <f t="shared" si="217"/>
        <v>4000</v>
      </c>
      <c r="M7" s="154">
        <f t="shared" si="218"/>
        <v>6000</v>
      </c>
      <c r="N7" s="154"/>
      <c r="O7" s="154">
        <f t="shared" si="219"/>
        <v>194000</v>
      </c>
      <c r="P7" s="155"/>
      <c r="Q7" s="154">
        <f t="shared" si="220"/>
        <v>200000</v>
      </c>
      <c r="R7" s="156">
        <f t="shared" si="221"/>
        <v>0</v>
      </c>
      <c r="S7" s="154">
        <f t="shared" si="222"/>
        <v>0</v>
      </c>
      <c r="T7" s="154">
        <f t="shared" si="223"/>
        <v>0</v>
      </c>
      <c r="U7" s="154">
        <f t="shared" si="224"/>
        <v>0</v>
      </c>
      <c r="V7" s="154">
        <f t="shared" si="225"/>
        <v>200000</v>
      </c>
      <c r="W7" s="154">
        <f t="shared" si="226"/>
        <v>200000</v>
      </c>
      <c r="X7" s="154">
        <f t="shared" si="227"/>
        <v>4000</v>
      </c>
      <c r="Y7" s="154">
        <f t="shared" si="228"/>
        <v>4000</v>
      </c>
      <c r="Z7" s="154">
        <f t="shared" si="229"/>
        <v>2000</v>
      </c>
      <c r="AA7" s="154">
        <f t="shared" si="230"/>
        <v>2000</v>
      </c>
      <c r="AB7" s="157">
        <f t="shared" si="231"/>
        <v>198000</v>
      </c>
      <c r="AC7" s="154">
        <f t="shared" si="232"/>
        <v>0</v>
      </c>
      <c r="AD7" s="158">
        <f t="shared" si="233"/>
        <v>0</v>
      </c>
      <c r="AE7" s="156">
        <f t="shared" si="112"/>
        <v>0</v>
      </c>
      <c r="AF7" s="154">
        <f t="shared" si="113"/>
        <v>0</v>
      </c>
      <c r="AG7" s="154">
        <f t="shared" si="114"/>
        <v>0</v>
      </c>
      <c r="AH7" s="154">
        <f t="shared" si="115"/>
        <v>0</v>
      </c>
      <c r="AI7" s="154">
        <f t="shared" si="116"/>
        <v>200000</v>
      </c>
      <c r="AJ7" s="154">
        <f t="shared" si="117"/>
        <v>100000</v>
      </c>
      <c r="AK7" s="154">
        <f t="shared" si="118"/>
        <v>2000</v>
      </c>
      <c r="AL7" s="154">
        <f t="shared" si="119"/>
        <v>2000</v>
      </c>
      <c r="AM7" s="154">
        <f t="shared" si="120"/>
        <v>0</v>
      </c>
      <c r="AN7" s="154">
        <f t="shared" si="121"/>
        <v>0</v>
      </c>
      <c r="AO7" s="157">
        <f t="shared" si="122"/>
        <v>200000</v>
      </c>
      <c r="AP7" s="154">
        <f t="shared" si="123"/>
        <v>0</v>
      </c>
      <c r="AQ7" s="158">
        <f t="shared" si="124"/>
        <v>0</v>
      </c>
      <c r="AR7" s="156">
        <f t="shared" si="112"/>
        <v>0</v>
      </c>
      <c r="AS7" s="154">
        <f t="shared" si="126"/>
        <v>0</v>
      </c>
      <c r="AT7" s="154">
        <f t="shared" si="127"/>
        <v>0</v>
      </c>
      <c r="AU7" s="154">
        <f t="shared" si="128"/>
        <v>0</v>
      </c>
      <c r="AV7" s="154">
        <f t="shared" si="129"/>
        <v>200000</v>
      </c>
      <c r="AW7" s="154">
        <f t="shared" si="130"/>
        <v>0</v>
      </c>
      <c r="AX7" s="154">
        <f t="shared" si="131"/>
        <v>0</v>
      </c>
      <c r="AY7" s="154">
        <f t="shared" si="132"/>
        <v>0</v>
      </c>
      <c r="AZ7" s="154">
        <f t="shared" si="133"/>
        <v>0</v>
      </c>
      <c r="BA7" s="154">
        <f t="shared" si="134"/>
        <v>0</v>
      </c>
      <c r="BB7" s="157">
        <f t="shared" si="135"/>
        <v>200000</v>
      </c>
      <c r="BC7" s="154">
        <f t="shared" si="136"/>
        <v>0</v>
      </c>
      <c r="BD7" s="158">
        <f t="shared" si="137"/>
        <v>0</v>
      </c>
      <c r="BE7" s="156">
        <f t="shared" si="112"/>
        <v>0</v>
      </c>
      <c r="BF7" s="154">
        <f t="shared" si="139"/>
        <v>0</v>
      </c>
      <c r="BG7" s="154">
        <f t="shared" si="140"/>
        <v>0</v>
      </c>
      <c r="BH7" s="154">
        <f t="shared" si="141"/>
        <v>0</v>
      </c>
      <c r="BI7" s="154">
        <f t="shared" si="142"/>
        <v>200000</v>
      </c>
      <c r="BJ7" s="154">
        <f t="shared" si="143"/>
        <v>0</v>
      </c>
      <c r="BK7" s="154">
        <f t="shared" si="144"/>
        <v>0</v>
      </c>
      <c r="BL7" s="154">
        <f t="shared" si="145"/>
        <v>0</v>
      </c>
      <c r="BM7" s="154">
        <f t="shared" si="146"/>
        <v>0</v>
      </c>
      <c r="BN7" s="154">
        <f t="shared" si="147"/>
        <v>0</v>
      </c>
      <c r="BO7" s="157">
        <f t="shared" si="148"/>
        <v>200000</v>
      </c>
      <c r="BP7" s="154">
        <f t="shared" si="149"/>
        <v>0</v>
      </c>
      <c r="BQ7" s="158">
        <f t="shared" si="150"/>
        <v>0</v>
      </c>
      <c r="BR7" s="156">
        <f t="shared" si="151"/>
        <v>0</v>
      </c>
      <c r="BS7" s="154">
        <f t="shared" si="152"/>
        <v>0</v>
      </c>
      <c r="BT7" s="154">
        <f t="shared" si="153"/>
        <v>0</v>
      </c>
      <c r="BU7" s="154">
        <f t="shared" si="154"/>
        <v>0</v>
      </c>
      <c r="BV7" s="154">
        <f t="shared" si="155"/>
        <v>200000</v>
      </c>
      <c r="BW7" s="154">
        <f t="shared" si="156"/>
        <v>0</v>
      </c>
      <c r="BX7" s="154">
        <f t="shared" si="157"/>
        <v>0</v>
      </c>
      <c r="BY7" s="154">
        <f t="shared" si="158"/>
        <v>0</v>
      </c>
      <c r="BZ7" s="154">
        <f t="shared" si="159"/>
        <v>0</v>
      </c>
      <c r="CA7" s="154">
        <f t="shared" si="160"/>
        <v>0</v>
      </c>
      <c r="CB7" s="157">
        <f t="shared" si="161"/>
        <v>200000</v>
      </c>
      <c r="CC7" s="154">
        <f t="shared" si="162"/>
        <v>0</v>
      </c>
      <c r="CD7" s="158">
        <f t="shared" si="163"/>
        <v>0</v>
      </c>
      <c r="CE7" s="156">
        <f t="shared" si="151"/>
        <v>0</v>
      </c>
      <c r="CF7" s="154">
        <f t="shared" si="165"/>
        <v>0</v>
      </c>
      <c r="CG7" s="154">
        <f t="shared" si="166"/>
        <v>0</v>
      </c>
      <c r="CH7" s="154">
        <f t="shared" si="167"/>
        <v>0</v>
      </c>
      <c r="CI7" s="154">
        <f t="shared" si="168"/>
        <v>200000</v>
      </c>
      <c r="CJ7" s="154">
        <f t="shared" si="169"/>
        <v>0</v>
      </c>
      <c r="CK7" s="154">
        <f t="shared" si="170"/>
        <v>0</v>
      </c>
      <c r="CL7" s="154">
        <f t="shared" si="171"/>
        <v>0</v>
      </c>
      <c r="CM7" s="154">
        <f t="shared" si="172"/>
        <v>0</v>
      </c>
      <c r="CN7" s="154">
        <f t="shared" si="173"/>
        <v>0</v>
      </c>
      <c r="CO7" s="157">
        <f t="shared" si="174"/>
        <v>200000</v>
      </c>
      <c r="CP7" s="154">
        <f t="shared" si="175"/>
        <v>0</v>
      </c>
      <c r="CQ7" s="158">
        <f t="shared" si="176"/>
        <v>0</v>
      </c>
      <c r="CR7" s="156">
        <f t="shared" si="151"/>
        <v>0</v>
      </c>
      <c r="CS7" s="154">
        <f t="shared" si="178"/>
        <v>0</v>
      </c>
      <c r="CT7" s="154">
        <f t="shared" si="179"/>
        <v>0</v>
      </c>
      <c r="CU7" s="154">
        <f t="shared" si="180"/>
        <v>0</v>
      </c>
      <c r="CV7" s="154">
        <f t="shared" si="181"/>
        <v>200000</v>
      </c>
      <c r="CW7" s="154">
        <f t="shared" si="182"/>
        <v>0</v>
      </c>
      <c r="CX7" s="154">
        <f t="shared" si="183"/>
        <v>0</v>
      </c>
      <c r="CY7" s="154">
        <f t="shared" si="184"/>
        <v>0</v>
      </c>
      <c r="CZ7" s="154">
        <f t="shared" si="185"/>
        <v>0</v>
      </c>
      <c r="DA7" s="154">
        <f t="shared" si="186"/>
        <v>0</v>
      </c>
      <c r="DB7" s="157">
        <f t="shared" si="187"/>
        <v>200000</v>
      </c>
      <c r="DC7" s="154">
        <f t="shared" si="188"/>
        <v>0</v>
      </c>
      <c r="DD7" s="158">
        <f t="shared" si="189"/>
        <v>0</v>
      </c>
      <c r="DE7" s="156">
        <f t="shared" si="190"/>
        <v>0</v>
      </c>
      <c r="DF7" s="154">
        <f t="shared" si="191"/>
        <v>0</v>
      </c>
      <c r="DG7" s="154">
        <f t="shared" si="192"/>
        <v>0</v>
      </c>
      <c r="DH7" s="154">
        <f t="shared" si="193"/>
        <v>0</v>
      </c>
      <c r="DI7" s="154">
        <f t="shared" si="194"/>
        <v>200000</v>
      </c>
      <c r="DJ7" s="154">
        <f t="shared" si="195"/>
        <v>0</v>
      </c>
      <c r="DK7" s="154">
        <f t="shared" si="196"/>
        <v>0</v>
      </c>
      <c r="DL7" s="154">
        <f t="shared" si="197"/>
        <v>0</v>
      </c>
      <c r="DM7" s="154">
        <f t="shared" si="198"/>
        <v>0</v>
      </c>
      <c r="DN7" s="154">
        <f t="shared" si="199"/>
        <v>0</v>
      </c>
      <c r="DO7" s="157">
        <f t="shared" si="200"/>
        <v>200000</v>
      </c>
      <c r="DP7" s="154">
        <f t="shared" si="201"/>
        <v>0</v>
      </c>
      <c r="DQ7" s="158">
        <f t="shared" si="202"/>
        <v>0</v>
      </c>
      <c r="DR7" s="156">
        <f t="shared" si="190"/>
        <v>0</v>
      </c>
      <c r="DS7" s="154">
        <f t="shared" si="204"/>
        <v>0</v>
      </c>
      <c r="DT7" s="154">
        <f t="shared" si="205"/>
        <v>0</v>
      </c>
      <c r="DU7" s="154">
        <f t="shared" si="206"/>
        <v>0</v>
      </c>
      <c r="DV7" s="154">
        <f t="shared" si="207"/>
        <v>200000</v>
      </c>
      <c r="DW7" s="154">
        <f t="shared" si="208"/>
        <v>0</v>
      </c>
      <c r="DX7" s="154">
        <f t="shared" si="209"/>
        <v>0</v>
      </c>
      <c r="DY7" s="154">
        <f t="shared" si="210"/>
        <v>0</v>
      </c>
      <c r="DZ7" s="154">
        <f t="shared" si="211"/>
        <v>0</v>
      </c>
      <c r="EA7" s="154">
        <f t="shared" si="212"/>
        <v>0</v>
      </c>
      <c r="EB7" s="157">
        <f t="shared" si="213"/>
        <v>200000</v>
      </c>
      <c r="EC7" s="154">
        <f t="shared" si="214"/>
        <v>0</v>
      </c>
      <c r="ED7" s="158">
        <f t="shared" si="215"/>
        <v>0</v>
      </c>
    </row>
    <row r="8" spans="1:134" x14ac:dyDescent="0.35">
      <c r="A8" s="183">
        <v>1986</v>
      </c>
      <c r="B8" s="503" t="s">
        <v>571</v>
      </c>
      <c r="C8" s="503"/>
      <c r="D8" s="212" t="s">
        <v>110</v>
      </c>
      <c r="E8" s="176">
        <v>2000000</v>
      </c>
      <c r="F8" s="177">
        <v>30286</v>
      </c>
      <c r="G8" s="178">
        <v>50</v>
      </c>
      <c r="H8" s="179"/>
      <c r="I8" s="180"/>
      <c r="J8" s="181"/>
      <c r="K8" s="152">
        <f t="shared" si="216"/>
        <v>0.02</v>
      </c>
      <c r="L8" s="153">
        <f t="shared" si="217"/>
        <v>40000</v>
      </c>
      <c r="M8" s="154">
        <f t="shared" si="218"/>
        <v>836666.66999999993</v>
      </c>
      <c r="N8" s="154"/>
      <c r="O8" s="154">
        <f t="shared" si="219"/>
        <v>1163333.33</v>
      </c>
      <c r="P8" s="155"/>
      <c r="Q8" s="154">
        <f t="shared" si="220"/>
        <v>2000000</v>
      </c>
      <c r="R8" s="156">
        <f t="shared" si="221"/>
        <v>0</v>
      </c>
      <c r="S8" s="154">
        <f t="shared" si="222"/>
        <v>0</v>
      </c>
      <c r="T8" s="154">
        <f t="shared" si="223"/>
        <v>0</v>
      </c>
      <c r="U8" s="154">
        <f t="shared" si="224"/>
        <v>0</v>
      </c>
      <c r="V8" s="154">
        <f t="shared" si="225"/>
        <v>2000000</v>
      </c>
      <c r="W8" s="154">
        <f t="shared" si="226"/>
        <v>2000000</v>
      </c>
      <c r="X8" s="154">
        <f t="shared" si="227"/>
        <v>40000</v>
      </c>
      <c r="Y8" s="154">
        <f t="shared" si="228"/>
        <v>40000</v>
      </c>
      <c r="Z8" s="154">
        <f t="shared" si="229"/>
        <v>796666.66999999993</v>
      </c>
      <c r="AA8" s="154">
        <f t="shared" si="230"/>
        <v>796666.66999999993</v>
      </c>
      <c r="AB8" s="157">
        <f t="shared" si="231"/>
        <v>1203333.33</v>
      </c>
      <c r="AC8" s="154">
        <f t="shared" si="232"/>
        <v>0</v>
      </c>
      <c r="AD8" s="158">
        <f t="shared" si="233"/>
        <v>0</v>
      </c>
      <c r="AE8" s="156">
        <f t="shared" si="112"/>
        <v>0</v>
      </c>
      <c r="AF8" s="154">
        <f t="shared" si="113"/>
        <v>0</v>
      </c>
      <c r="AG8" s="154">
        <f t="shared" si="114"/>
        <v>0</v>
      </c>
      <c r="AH8" s="154">
        <f t="shared" si="115"/>
        <v>0</v>
      </c>
      <c r="AI8" s="154">
        <f t="shared" si="116"/>
        <v>2000000</v>
      </c>
      <c r="AJ8" s="154">
        <f t="shared" si="117"/>
        <v>2000000</v>
      </c>
      <c r="AK8" s="154">
        <f t="shared" si="118"/>
        <v>40000</v>
      </c>
      <c r="AL8" s="154">
        <f t="shared" si="119"/>
        <v>40000</v>
      </c>
      <c r="AM8" s="154">
        <f t="shared" si="120"/>
        <v>756666.66999999993</v>
      </c>
      <c r="AN8" s="154">
        <f t="shared" si="121"/>
        <v>756666.66999999993</v>
      </c>
      <c r="AO8" s="157">
        <f t="shared" si="122"/>
        <v>1243333.33</v>
      </c>
      <c r="AP8" s="154">
        <f t="shared" si="123"/>
        <v>0</v>
      </c>
      <c r="AQ8" s="158">
        <f t="shared" si="124"/>
        <v>0</v>
      </c>
      <c r="AR8" s="156">
        <f t="shared" si="112"/>
        <v>0</v>
      </c>
      <c r="AS8" s="154">
        <f t="shared" si="126"/>
        <v>0</v>
      </c>
      <c r="AT8" s="154">
        <f t="shared" si="127"/>
        <v>0</v>
      </c>
      <c r="AU8" s="154">
        <f t="shared" si="128"/>
        <v>0</v>
      </c>
      <c r="AV8" s="154">
        <f t="shared" si="129"/>
        <v>2000000</v>
      </c>
      <c r="AW8" s="154">
        <f t="shared" si="130"/>
        <v>2000000</v>
      </c>
      <c r="AX8" s="154">
        <f t="shared" si="131"/>
        <v>40000</v>
      </c>
      <c r="AY8" s="154">
        <f t="shared" si="132"/>
        <v>40000</v>
      </c>
      <c r="AZ8" s="154">
        <f t="shared" si="133"/>
        <v>716666.66999999993</v>
      </c>
      <c r="BA8" s="154">
        <f t="shared" si="134"/>
        <v>716666.66999999993</v>
      </c>
      <c r="BB8" s="157">
        <f t="shared" si="135"/>
        <v>1283333.33</v>
      </c>
      <c r="BC8" s="154">
        <f t="shared" si="136"/>
        <v>0</v>
      </c>
      <c r="BD8" s="158">
        <f t="shared" si="137"/>
        <v>0</v>
      </c>
      <c r="BE8" s="156">
        <f t="shared" si="112"/>
        <v>0</v>
      </c>
      <c r="BF8" s="154">
        <f t="shared" si="139"/>
        <v>0</v>
      </c>
      <c r="BG8" s="154">
        <f t="shared" si="140"/>
        <v>0</v>
      </c>
      <c r="BH8" s="154">
        <f t="shared" si="141"/>
        <v>0</v>
      </c>
      <c r="BI8" s="154">
        <f t="shared" si="142"/>
        <v>2000000</v>
      </c>
      <c r="BJ8" s="154">
        <f t="shared" si="143"/>
        <v>2000000</v>
      </c>
      <c r="BK8" s="154">
        <f t="shared" si="144"/>
        <v>40000</v>
      </c>
      <c r="BL8" s="154">
        <f t="shared" si="145"/>
        <v>40000</v>
      </c>
      <c r="BM8" s="154">
        <f t="shared" si="146"/>
        <v>676666.66999999993</v>
      </c>
      <c r="BN8" s="154">
        <f t="shared" si="147"/>
        <v>676666.66999999993</v>
      </c>
      <c r="BO8" s="157">
        <f t="shared" si="148"/>
        <v>1323333.33</v>
      </c>
      <c r="BP8" s="154">
        <f t="shared" si="149"/>
        <v>0</v>
      </c>
      <c r="BQ8" s="158">
        <f t="shared" si="150"/>
        <v>0</v>
      </c>
      <c r="BR8" s="156">
        <f t="shared" si="151"/>
        <v>0</v>
      </c>
      <c r="BS8" s="154">
        <f t="shared" si="152"/>
        <v>0</v>
      </c>
      <c r="BT8" s="154">
        <f t="shared" si="153"/>
        <v>0</v>
      </c>
      <c r="BU8" s="154">
        <f t="shared" si="154"/>
        <v>0</v>
      </c>
      <c r="BV8" s="154">
        <f t="shared" si="155"/>
        <v>2000000</v>
      </c>
      <c r="BW8" s="154">
        <f t="shared" si="156"/>
        <v>2000000</v>
      </c>
      <c r="BX8" s="154">
        <f t="shared" si="157"/>
        <v>40000</v>
      </c>
      <c r="BY8" s="154">
        <f t="shared" si="158"/>
        <v>40000</v>
      </c>
      <c r="BZ8" s="154">
        <f t="shared" si="159"/>
        <v>636666.66999999993</v>
      </c>
      <c r="CA8" s="154">
        <f t="shared" si="160"/>
        <v>636666.66999999993</v>
      </c>
      <c r="CB8" s="157">
        <f t="shared" si="161"/>
        <v>1363333.33</v>
      </c>
      <c r="CC8" s="154">
        <f t="shared" si="162"/>
        <v>0</v>
      </c>
      <c r="CD8" s="158">
        <f t="shared" si="163"/>
        <v>0</v>
      </c>
      <c r="CE8" s="156">
        <f t="shared" si="151"/>
        <v>0</v>
      </c>
      <c r="CF8" s="154">
        <f t="shared" si="165"/>
        <v>0</v>
      </c>
      <c r="CG8" s="154">
        <f t="shared" si="166"/>
        <v>0</v>
      </c>
      <c r="CH8" s="154">
        <f t="shared" si="167"/>
        <v>0</v>
      </c>
      <c r="CI8" s="154">
        <f t="shared" si="168"/>
        <v>2000000</v>
      </c>
      <c r="CJ8" s="154">
        <f t="shared" si="169"/>
        <v>2000000</v>
      </c>
      <c r="CK8" s="154">
        <f t="shared" si="170"/>
        <v>40000</v>
      </c>
      <c r="CL8" s="154">
        <f t="shared" si="171"/>
        <v>40000</v>
      </c>
      <c r="CM8" s="154">
        <f t="shared" si="172"/>
        <v>596666.66999999993</v>
      </c>
      <c r="CN8" s="154">
        <f t="shared" si="173"/>
        <v>596666.66999999993</v>
      </c>
      <c r="CO8" s="157">
        <f t="shared" si="174"/>
        <v>1403333.33</v>
      </c>
      <c r="CP8" s="154">
        <f t="shared" si="175"/>
        <v>0</v>
      </c>
      <c r="CQ8" s="158">
        <f t="shared" si="176"/>
        <v>0</v>
      </c>
      <c r="CR8" s="156">
        <f t="shared" si="151"/>
        <v>0</v>
      </c>
      <c r="CS8" s="154">
        <f t="shared" si="178"/>
        <v>0</v>
      </c>
      <c r="CT8" s="154">
        <f t="shared" si="179"/>
        <v>0</v>
      </c>
      <c r="CU8" s="154">
        <f t="shared" si="180"/>
        <v>0</v>
      </c>
      <c r="CV8" s="154">
        <f t="shared" si="181"/>
        <v>2000000</v>
      </c>
      <c r="CW8" s="154">
        <f t="shared" si="182"/>
        <v>2000000</v>
      </c>
      <c r="CX8" s="154">
        <f t="shared" si="183"/>
        <v>40000</v>
      </c>
      <c r="CY8" s="154">
        <f t="shared" si="184"/>
        <v>40000</v>
      </c>
      <c r="CZ8" s="154">
        <f t="shared" si="185"/>
        <v>556666.66999999993</v>
      </c>
      <c r="DA8" s="154">
        <f t="shared" si="186"/>
        <v>556666.66999999993</v>
      </c>
      <c r="DB8" s="157">
        <f t="shared" si="187"/>
        <v>1443333.33</v>
      </c>
      <c r="DC8" s="154">
        <f t="shared" si="188"/>
        <v>0</v>
      </c>
      <c r="DD8" s="158">
        <f t="shared" si="189"/>
        <v>0</v>
      </c>
      <c r="DE8" s="156">
        <f t="shared" si="190"/>
        <v>0</v>
      </c>
      <c r="DF8" s="154">
        <f t="shared" si="191"/>
        <v>0</v>
      </c>
      <c r="DG8" s="154">
        <f t="shared" si="192"/>
        <v>0</v>
      </c>
      <c r="DH8" s="154">
        <f t="shared" si="193"/>
        <v>0</v>
      </c>
      <c r="DI8" s="154">
        <f t="shared" si="194"/>
        <v>2000000</v>
      </c>
      <c r="DJ8" s="154">
        <f t="shared" si="195"/>
        <v>2000000</v>
      </c>
      <c r="DK8" s="154">
        <f t="shared" si="196"/>
        <v>40000</v>
      </c>
      <c r="DL8" s="154">
        <f t="shared" si="197"/>
        <v>40000</v>
      </c>
      <c r="DM8" s="154">
        <f t="shared" si="198"/>
        <v>516666.66999999993</v>
      </c>
      <c r="DN8" s="154">
        <f t="shared" si="199"/>
        <v>516666.66999999993</v>
      </c>
      <c r="DO8" s="157">
        <f t="shared" si="200"/>
        <v>1483333.33</v>
      </c>
      <c r="DP8" s="154">
        <f t="shared" si="201"/>
        <v>0</v>
      </c>
      <c r="DQ8" s="158">
        <f t="shared" si="202"/>
        <v>0</v>
      </c>
      <c r="DR8" s="156">
        <f t="shared" si="190"/>
        <v>0</v>
      </c>
      <c r="DS8" s="154">
        <f t="shared" si="204"/>
        <v>0</v>
      </c>
      <c r="DT8" s="154">
        <f t="shared" si="205"/>
        <v>0</v>
      </c>
      <c r="DU8" s="154">
        <f t="shared" si="206"/>
        <v>0</v>
      </c>
      <c r="DV8" s="154">
        <f t="shared" si="207"/>
        <v>2000000</v>
      </c>
      <c r="DW8" s="154">
        <f t="shared" si="208"/>
        <v>2000000</v>
      </c>
      <c r="DX8" s="154">
        <f t="shared" si="209"/>
        <v>40000</v>
      </c>
      <c r="DY8" s="154">
        <f t="shared" si="210"/>
        <v>40000</v>
      </c>
      <c r="DZ8" s="154">
        <f t="shared" si="211"/>
        <v>476666.66999999993</v>
      </c>
      <c r="EA8" s="154">
        <f t="shared" si="212"/>
        <v>476666.66999999993</v>
      </c>
      <c r="EB8" s="157">
        <f t="shared" si="213"/>
        <v>1523333.33</v>
      </c>
      <c r="EC8" s="154">
        <f t="shared" si="214"/>
        <v>0</v>
      </c>
      <c r="ED8" s="158">
        <f t="shared" si="215"/>
        <v>0</v>
      </c>
    </row>
    <row r="9" spans="1:134" x14ac:dyDescent="0.35">
      <c r="A9" s="183">
        <v>1990</v>
      </c>
      <c r="B9" s="503" t="s">
        <v>571</v>
      </c>
      <c r="C9" s="503"/>
      <c r="D9" s="212" t="s">
        <v>110</v>
      </c>
      <c r="E9" s="176">
        <v>580000</v>
      </c>
      <c r="F9" s="177">
        <v>32112</v>
      </c>
      <c r="G9" s="178">
        <v>50</v>
      </c>
      <c r="H9" s="179"/>
      <c r="I9" s="180"/>
      <c r="J9" s="181"/>
      <c r="K9" s="152">
        <f t="shared" si="216"/>
        <v>0.02</v>
      </c>
      <c r="L9" s="153">
        <f t="shared" si="217"/>
        <v>11600</v>
      </c>
      <c r="M9" s="154">
        <f t="shared" si="218"/>
        <v>300633.33</v>
      </c>
      <c r="N9" s="154"/>
      <c r="O9" s="154">
        <f t="shared" si="219"/>
        <v>279366.67</v>
      </c>
      <c r="P9" s="155"/>
      <c r="Q9" s="154">
        <f t="shared" si="220"/>
        <v>580000</v>
      </c>
      <c r="R9" s="156">
        <f t="shared" si="221"/>
        <v>0</v>
      </c>
      <c r="S9" s="154">
        <f t="shared" si="222"/>
        <v>0</v>
      </c>
      <c r="T9" s="154">
        <f t="shared" si="223"/>
        <v>0</v>
      </c>
      <c r="U9" s="154">
        <f t="shared" si="224"/>
        <v>0</v>
      </c>
      <c r="V9" s="154">
        <f t="shared" si="225"/>
        <v>580000</v>
      </c>
      <c r="W9" s="154">
        <f t="shared" si="226"/>
        <v>580000</v>
      </c>
      <c r="X9" s="154">
        <f t="shared" si="227"/>
        <v>11600</v>
      </c>
      <c r="Y9" s="154">
        <f t="shared" si="228"/>
        <v>11600</v>
      </c>
      <c r="Z9" s="154">
        <f t="shared" si="229"/>
        <v>289033.33</v>
      </c>
      <c r="AA9" s="154">
        <f t="shared" si="230"/>
        <v>289033.33</v>
      </c>
      <c r="AB9" s="157">
        <f t="shared" si="231"/>
        <v>290966.67</v>
      </c>
      <c r="AC9" s="154">
        <f t="shared" si="232"/>
        <v>0</v>
      </c>
      <c r="AD9" s="158">
        <f t="shared" si="233"/>
        <v>0</v>
      </c>
      <c r="AE9" s="156">
        <f t="shared" si="112"/>
        <v>0</v>
      </c>
      <c r="AF9" s="154">
        <f t="shared" si="113"/>
        <v>0</v>
      </c>
      <c r="AG9" s="154">
        <f t="shared" si="114"/>
        <v>0</v>
      </c>
      <c r="AH9" s="154">
        <f t="shared" si="115"/>
        <v>0</v>
      </c>
      <c r="AI9" s="154">
        <f t="shared" si="116"/>
        <v>580000</v>
      </c>
      <c r="AJ9" s="154">
        <f t="shared" si="117"/>
        <v>580000</v>
      </c>
      <c r="AK9" s="154">
        <f t="shared" si="118"/>
        <v>11600</v>
      </c>
      <c r="AL9" s="154">
        <f t="shared" si="119"/>
        <v>11600</v>
      </c>
      <c r="AM9" s="154">
        <f t="shared" si="120"/>
        <v>277433.33</v>
      </c>
      <c r="AN9" s="154">
        <f t="shared" si="121"/>
        <v>277433.33</v>
      </c>
      <c r="AO9" s="157">
        <f t="shared" si="122"/>
        <v>302566.67</v>
      </c>
      <c r="AP9" s="154">
        <f t="shared" si="123"/>
        <v>0</v>
      </c>
      <c r="AQ9" s="158">
        <f t="shared" si="124"/>
        <v>0</v>
      </c>
      <c r="AR9" s="156">
        <f t="shared" si="112"/>
        <v>0</v>
      </c>
      <c r="AS9" s="154">
        <f t="shared" si="126"/>
        <v>0</v>
      </c>
      <c r="AT9" s="154">
        <f t="shared" si="127"/>
        <v>0</v>
      </c>
      <c r="AU9" s="154">
        <f t="shared" si="128"/>
        <v>0</v>
      </c>
      <c r="AV9" s="154">
        <f t="shared" si="129"/>
        <v>580000</v>
      </c>
      <c r="AW9" s="154">
        <f t="shared" si="130"/>
        <v>580000</v>
      </c>
      <c r="AX9" s="154">
        <f t="shared" si="131"/>
        <v>11600</v>
      </c>
      <c r="AY9" s="154">
        <f t="shared" si="132"/>
        <v>11600</v>
      </c>
      <c r="AZ9" s="154">
        <f t="shared" si="133"/>
        <v>265833.33</v>
      </c>
      <c r="BA9" s="154">
        <f t="shared" si="134"/>
        <v>265833.33</v>
      </c>
      <c r="BB9" s="157">
        <f t="shared" si="135"/>
        <v>314166.67</v>
      </c>
      <c r="BC9" s="154">
        <f t="shared" si="136"/>
        <v>0</v>
      </c>
      <c r="BD9" s="158">
        <f t="shared" si="137"/>
        <v>0</v>
      </c>
      <c r="BE9" s="156">
        <f t="shared" si="112"/>
        <v>0</v>
      </c>
      <c r="BF9" s="154">
        <f t="shared" si="139"/>
        <v>0</v>
      </c>
      <c r="BG9" s="154">
        <f t="shared" si="140"/>
        <v>0</v>
      </c>
      <c r="BH9" s="154">
        <f t="shared" si="141"/>
        <v>0</v>
      </c>
      <c r="BI9" s="154">
        <f t="shared" si="142"/>
        <v>580000</v>
      </c>
      <c r="BJ9" s="154">
        <f t="shared" si="143"/>
        <v>580000</v>
      </c>
      <c r="BK9" s="154">
        <f t="shared" si="144"/>
        <v>11600</v>
      </c>
      <c r="BL9" s="154">
        <f t="shared" si="145"/>
        <v>11600</v>
      </c>
      <c r="BM9" s="154">
        <f t="shared" si="146"/>
        <v>254233.33000000002</v>
      </c>
      <c r="BN9" s="154">
        <f t="shared" si="147"/>
        <v>254233.33000000002</v>
      </c>
      <c r="BO9" s="157">
        <f t="shared" si="148"/>
        <v>325766.67</v>
      </c>
      <c r="BP9" s="154">
        <f t="shared" si="149"/>
        <v>0</v>
      </c>
      <c r="BQ9" s="158">
        <f t="shared" si="150"/>
        <v>0</v>
      </c>
      <c r="BR9" s="156">
        <f t="shared" si="151"/>
        <v>0</v>
      </c>
      <c r="BS9" s="154">
        <f t="shared" si="152"/>
        <v>0</v>
      </c>
      <c r="BT9" s="154">
        <f t="shared" si="153"/>
        <v>0</v>
      </c>
      <c r="BU9" s="154">
        <f t="shared" si="154"/>
        <v>0</v>
      </c>
      <c r="BV9" s="154">
        <f t="shared" si="155"/>
        <v>580000</v>
      </c>
      <c r="BW9" s="154">
        <f t="shared" si="156"/>
        <v>580000</v>
      </c>
      <c r="BX9" s="154">
        <f t="shared" si="157"/>
        <v>11600</v>
      </c>
      <c r="BY9" s="154">
        <f t="shared" si="158"/>
        <v>11600</v>
      </c>
      <c r="BZ9" s="154">
        <f t="shared" si="159"/>
        <v>242633.33000000002</v>
      </c>
      <c r="CA9" s="154">
        <f t="shared" si="160"/>
        <v>242633.33000000002</v>
      </c>
      <c r="CB9" s="157">
        <f t="shared" si="161"/>
        <v>337366.67</v>
      </c>
      <c r="CC9" s="154">
        <f t="shared" si="162"/>
        <v>0</v>
      </c>
      <c r="CD9" s="158">
        <f t="shared" si="163"/>
        <v>0</v>
      </c>
      <c r="CE9" s="156">
        <f t="shared" si="151"/>
        <v>0</v>
      </c>
      <c r="CF9" s="154">
        <f t="shared" si="165"/>
        <v>0</v>
      </c>
      <c r="CG9" s="154">
        <f t="shared" si="166"/>
        <v>0</v>
      </c>
      <c r="CH9" s="154">
        <f t="shared" si="167"/>
        <v>0</v>
      </c>
      <c r="CI9" s="154">
        <f t="shared" si="168"/>
        <v>580000</v>
      </c>
      <c r="CJ9" s="154">
        <f t="shared" si="169"/>
        <v>580000</v>
      </c>
      <c r="CK9" s="154">
        <f t="shared" si="170"/>
        <v>11600</v>
      </c>
      <c r="CL9" s="154">
        <f t="shared" si="171"/>
        <v>11600</v>
      </c>
      <c r="CM9" s="154">
        <f t="shared" si="172"/>
        <v>231033.33000000002</v>
      </c>
      <c r="CN9" s="154">
        <f t="shared" si="173"/>
        <v>231033.33000000002</v>
      </c>
      <c r="CO9" s="157">
        <f t="shared" si="174"/>
        <v>348966.67</v>
      </c>
      <c r="CP9" s="154">
        <f t="shared" si="175"/>
        <v>0</v>
      </c>
      <c r="CQ9" s="158">
        <f t="shared" si="176"/>
        <v>0</v>
      </c>
      <c r="CR9" s="156">
        <f t="shared" si="151"/>
        <v>0</v>
      </c>
      <c r="CS9" s="154">
        <f t="shared" si="178"/>
        <v>0</v>
      </c>
      <c r="CT9" s="154">
        <f t="shared" si="179"/>
        <v>0</v>
      </c>
      <c r="CU9" s="154">
        <f t="shared" si="180"/>
        <v>0</v>
      </c>
      <c r="CV9" s="154">
        <f t="shared" si="181"/>
        <v>580000</v>
      </c>
      <c r="CW9" s="154">
        <f t="shared" si="182"/>
        <v>580000</v>
      </c>
      <c r="CX9" s="154">
        <f t="shared" si="183"/>
        <v>11600</v>
      </c>
      <c r="CY9" s="154">
        <f t="shared" si="184"/>
        <v>11600</v>
      </c>
      <c r="CZ9" s="154">
        <f t="shared" si="185"/>
        <v>219433.33000000002</v>
      </c>
      <c r="DA9" s="154">
        <f t="shared" si="186"/>
        <v>219433.33000000002</v>
      </c>
      <c r="DB9" s="157">
        <f t="shared" si="187"/>
        <v>360566.67</v>
      </c>
      <c r="DC9" s="154">
        <f t="shared" si="188"/>
        <v>0</v>
      </c>
      <c r="DD9" s="158">
        <f t="shared" si="189"/>
        <v>0</v>
      </c>
      <c r="DE9" s="156">
        <f t="shared" si="190"/>
        <v>0</v>
      </c>
      <c r="DF9" s="154">
        <f t="shared" si="191"/>
        <v>0</v>
      </c>
      <c r="DG9" s="154">
        <f t="shared" si="192"/>
        <v>0</v>
      </c>
      <c r="DH9" s="154">
        <f t="shared" si="193"/>
        <v>0</v>
      </c>
      <c r="DI9" s="154">
        <f t="shared" si="194"/>
        <v>580000</v>
      </c>
      <c r="DJ9" s="154">
        <f t="shared" si="195"/>
        <v>580000</v>
      </c>
      <c r="DK9" s="154">
        <f t="shared" si="196"/>
        <v>11600</v>
      </c>
      <c r="DL9" s="154">
        <f t="shared" si="197"/>
        <v>11600</v>
      </c>
      <c r="DM9" s="154">
        <f t="shared" si="198"/>
        <v>207833.33000000002</v>
      </c>
      <c r="DN9" s="154">
        <f t="shared" si="199"/>
        <v>207833.33000000002</v>
      </c>
      <c r="DO9" s="157">
        <f t="shared" si="200"/>
        <v>372166.67</v>
      </c>
      <c r="DP9" s="154">
        <f t="shared" si="201"/>
        <v>0</v>
      </c>
      <c r="DQ9" s="158">
        <f t="shared" si="202"/>
        <v>0</v>
      </c>
      <c r="DR9" s="156">
        <f t="shared" si="190"/>
        <v>0</v>
      </c>
      <c r="DS9" s="154">
        <f t="shared" si="204"/>
        <v>0</v>
      </c>
      <c r="DT9" s="154">
        <f t="shared" si="205"/>
        <v>0</v>
      </c>
      <c r="DU9" s="154">
        <f t="shared" si="206"/>
        <v>0</v>
      </c>
      <c r="DV9" s="154">
        <f t="shared" si="207"/>
        <v>580000</v>
      </c>
      <c r="DW9" s="154">
        <f t="shared" si="208"/>
        <v>580000</v>
      </c>
      <c r="DX9" s="154">
        <f t="shared" si="209"/>
        <v>11600</v>
      </c>
      <c r="DY9" s="154">
        <f t="shared" si="210"/>
        <v>11600</v>
      </c>
      <c r="DZ9" s="154">
        <f t="shared" si="211"/>
        <v>196233.33000000002</v>
      </c>
      <c r="EA9" s="154">
        <f t="shared" si="212"/>
        <v>196233.33000000002</v>
      </c>
      <c r="EB9" s="157">
        <f t="shared" si="213"/>
        <v>383766.67</v>
      </c>
      <c r="EC9" s="154">
        <f t="shared" si="214"/>
        <v>0</v>
      </c>
      <c r="ED9" s="158">
        <f t="shared" si="215"/>
        <v>0</v>
      </c>
    </row>
    <row r="10" spans="1:134" x14ac:dyDescent="0.35">
      <c r="A10" s="183">
        <v>2000</v>
      </c>
      <c r="B10" s="503" t="s">
        <v>571</v>
      </c>
      <c r="C10" s="503"/>
      <c r="D10" s="212" t="s">
        <v>110</v>
      </c>
      <c r="E10" s="176">
        <v>100000</v>
      </c>
      <c r="F10" s="177">
        <v>36708</v>
      </c>
      <c r="G10" s="178">
        <v>50</v>
      </c>
      <c r="H10" s="179"/>
      <c r="I10" s="180"/>
      <c r="J10" s="181"/>
      <c r="K10" s="152">
        <f t="shared" si="216"/>
        <v>0.02</v>
      </c>
      <c r="L10" s="153">
        <f t="shared" si="217"/>
        <v>2000</v>
      </c>
      <c r="M10" s="154">
        <f t="shared" si="218"/>
        <v>77000</v>
      </c>
      <c r="N10" s="154"/>
      <c r="O10" s="154">
        <f t="shared" si="219"/>
        <v>23000</v>
      </c>
      <c r="P10" s="155"/>
      <c r="Q10" s="154">
        <f t="shared" si="220"/>
        <v>100000</v>
      </c>
      <c r="R10" s="156">
        <f t="shared" si="221"/>
        <v>0</v>
      </c>
      <c r="S10" s="154">
        <f t="shared" si="222"/>
        <v>0</v>
      </c>
      <c r="T10" s="154">
        <f t="shared" si="223"/>
        <v>0</v>
      </c>
      <c r="U10" s="154">
        <f t="shared" si="224"/>
        <v>0</v>
      </c>
      <c r="V10" s="154">
        <f t="shared" si="225"/>
        <v>100000</v>
      </c>
      <c r="W10" s="154">
        <f t="shared" si="226"/>
        <v>100000</v>
      </c>
      <c r="X10" s="154">
        <f t="shared" si="227"/>
        <v>2000</v>
      </c>
      <c r="Y10" s="154">
        <f t="shared" si="228"/>
        <v>2000</v>
      </c>
      <c r="Z10" s="154">
        <f t="shared" si="229"/>
        <v>75000</v>
      </c>
      <c r="AA10" s="154">
        <f t="shared" si="230"/>
        <v>75000</v>
      </c>
      <c r="AB10" s="157">
        <f t="shared" si="231"/>
        <v>25000</v>
      </c>
      <c r="AC10" s="154">
        <f t="shared" si="232"/>
        <v>0</v>
      </c>
      <c r="AD10" s="158">
        <f t="shared" si="233"/>
        <v>0</v>
      </c>
      <c r="AE10" s="156">
        <f t="shared" si="112"/>
        <v>0</v>
      </c>
      <c r="AF10" s="154">
        <f t="shared" si="113"/>
        <v>0</v>
      </c>
      <c r="AG10" s="154">
        <f t="shared" si="114"/>
        <v>0</v>
      </c>
      <c r="AH10" s="154">
        <f t="shared" si="115"/>
        <v>0</v>
      </c>
      <c r="AI10" s="154">
        <f t="shared" si="116"/>
        <v>100000</v>
      </c>
      <c r="AJ10" s="154">
        <f t="shared" si="117"/>
        <v>100000</v>
      </c>
      <c r="AK10" s="154">
        <f t="shared" si="118"/>
        <v>2000</v>
      </c>
      <c r="AL10" s="154">
        <f t="shared" si="119"/>
        <v>2000</v>
      </c>
      <c r="AM10" s="154">
        <f t="shared" si="120"/>
        <v>73000</v>
      </c>
      <c r="AN10" s="154">
        <f t="shared" si="121"/>
        <v>73000</v>
      </c>
      <c r="AO10" s="157">
        <f t="shared" si="122"/>
        <v>27000</v>
      </c>
      <c r="AP10" s="154">
        <f t="shared" si="123"/>
        <v>0</v>
      </c>
      <c r="AQ10" s="158">
        <f t="shared" si="124"/>
        <v>0</v>
      </c>
      <c r="AR10" s="156">
        <f t="shared" si="112"/>
        <v>0</v>
      </c>
      <c r="AS10" s="154">
        <f t="shared" si="126"/>
        <v>0</v>
      </c>
      <c r="AT10" s="154">
        <f t="shared" si="127"/>
        <v>0</v>
      </c>
      <c r="AU10" s="154">
        <f t="shared" si="128"/>
        <v>0</v>
      </c>
      <c r="AV10" s="154">
        <f t="shared" si="129"/>
        <v>100000</v>
      </c>
      <c r="AW10" s="154">
        <f t="shared" si="130"/>
        <v>100000</v>
      </c>
      <c r="AX10" s="154">
        <f t="shared" si="131"/>
        <v>2000</v>
      </c>
      <c r="AY10" s="154">
        <f t="shared" si="132"/>
        <v>2000</v>
      </c>
      <c r="AZ10" s="154">
        <f t="shared" si="133"/>
        <v>71000</v>
      </c>
      <c r="BA10" s="154">
        <f t="shared" si="134"/>
        <v>71000</v>
      </c>
      <c r="BB10" s="157">
        <f t="shared" si="135"/>
        <v>29000</v>
      </c>
      <c r="BC10" s="154">
        <f t="shared" si="136"/>
        <v>0</v>
      </c>
      <c r="BD10" s="158">
        <f t="shared" si="137"/>
        <v>0</v>
      </c>
      <c r="BE10" s="156">
        <f t="shared" si="112"/>
        <v>0</v>
      </c>
      <c r="BF10" s="154">
        <f t="shared" si="139"/>
        <v>0</v>
      </c>
      <c r="BG10" s="154">
        <f t="shared" si="140"/>
        <v>0</v>
      </c>
      <c r="BH10" s="154">
        <f t="shared" si="141"/>
        <v>0</v>
      </c>
      <c r="BI10" s="154">
        <f t="shared" si="142"/>
        <v>100000</v>
      </c>
      <c r="BJ10" s="154">
        <f t="shared" si="143"/>
        <v>100000</v>
      </c>
      <c r="BK10" s="154">
        <f t="shared" si="144"/>
        <v>2000</v>
      </c>
      <c r="BL10" s="154">
        <f t="shared" si="145"/>
        <v>2000</v>
      </c>
      <c r="BM10" s="154">
        <f t="shared" si="146"/>
        <v>69000</v>
      </c>
      <c r="BN10" s="154">
        <f t="shared" si="147"/>
        <v>69000</v>
      </c>
      <c r="BO10" s="157">
        <f t="shared" si="148"/>
        <v>31000</v>
      </c>
      <c r="BP10" s="154">
        <f t="shared" si="149"/>
        <v>0</v>
      </c>
      <c r="BQ10" s="158">
        <f t="shared" si="150"/>
        <v>0</v>
      </c>
      <c r="BR10" s="156">
        <f t="shared" si="151"/>
        <v>0</v>
      </c>
      <c r="BS10" s="154">
        <f t="shared" si="152"/>
        <v>0</v>
      </c>
      <c r="BT10" s="154">
        <f t="shared" si="153"/>
        <v>0</v>
      </c>
      <c r="BU10" s="154">
        <f t="shared" si="154"/>
        <v>0</v>
      </c>
      <c r="BV10" s="154">
        <f t="shared" si="155"/>
        <v>100000</v>
      </c>
      <c r="BW10" s="154">
        <f t="shared" si="156"/>
        <v>100000</v>
      </c>
      <c r="BX10" s="154">
        <f t="shared" si="157"/>
        <v>2000</v>
      </c>
      <c r="BY10" s="154">
        <f t="shared" si="158"/>
        <v>2000</v>
      </c>
      <c r="BZ10" s="154">
        <f t="shared" si="159"/>
        <v>67000</v>
      </c>
      <c r="CA10" s="154">
        <f t="shared" si="160"/>
        <v>67000</v>
      </c>
      <c r="CB10" s="157">
        <f t="shared" si="161"/>
        <v>33000</v>
      </c>
      <c r="CC10" s="154">
        <f t="shared" si="162"/>
        <v>0</v>
      </c>
      <c r="CD10" s="158">
        <f t="shared" si="163"/>
        <v>0</v>
      </c>
      <c r="CE10" s="156">
        <f t="shared" si="151"/>
        <v>0</v>
      </c>
      <c r="CF10" s="154">
        <f t="shared" si="165"/>
        <v>0</v>
      </c>
      <c r="CG10" s="154">
        <f t="shared" si="166"/>
        <v>0</v>
      </c>
      <c r="CH10" s="154">
        <f t="shared" si="167"/>
        <v>0</v>
      </c>
      <c r="CI10" s="154">
        <f t="shared" si="168"/>
        <v>100000</v>
      </c>
      <c r="CJ10" s="154">
        <f t="shared" si="169"/>
        <v>100000</v>
      </c>
      <c r="CK10" s="154">
        <f t="shared" si="170"/>
        <v>2000</v>
      </c>
      <c r="CL10" s="154">
        <f t="shared" si="171"/>
        <v>2000</v>
      </c>
      <c r="CM10" s="154">
        <f t="shared" si="172"/>
        <v>65000</v>
      </c>
      <c r="CN10" s="154">
        <f t="shared" si="173"/>
        <v>65000</v>
      </c>
      <c r="CO10" s="157">
        <f t="shared" si="174"/>
        <v>35000</v>
      </c>
      <c r="CP10" s="154">
        <f t="shared" si="175"/>
        <v>0</v>
      </c>
      <c r="CQ10" s="158">
        <f t="shared" si="176"/>
        <v>0</v>
      </c>
      <c r="CR10" s="156">
        <f t="shared" si="151"/>
        <v>0</v>
      </c>
      <c r="CS10" s="154">
        <f t="shared" si="178"/>
        <v>0</v>
      </c>
      <c r="CT10" s="154">
        <f t="shared" si="179"/>
        <v>0</v>
      </c>
      <c r="CU10" s="154">
        <f t="shared" si="180"/>
        <v>0</v>
      </c>
      <c r="CV10" s="154">
        <f t="shared" si="181"/>
        <v>100000</v>
      </c>
      <c r="CW10" s="154">
        <f t="shared" si="182"/>
        <v>100000</v>
      </c>
      <c r="CX10" s="154">
        <f t="shared" si="183"/>
        <v>2000</v>
      </c>
      <c r="CY10" s="154">
        <f t="shared" si="184"/>
        <v>2000</v>
      </c>
      <c r="CZ10" s="154">
        <f t="shared" si="185"/>
        <v>63000</v>
      </c>
      <c r="DA10" s="154">
        <f t="shared" si="186"/>
        <v>63000</v>
      </c>
      <c r="DB10" s="157">
        <f t="shared" si="187"/>
        <v>37000</v>
      </c>
      <c r="DC10" s="154">
        <f t="shared" si="188"/>
        <v>0</v>
      </c>
      <c r="DD10" s="158">
        <f t="shared" si="189"/>
        <v>0</v>
      </c>
      <c r="DE10" s="156">
        <f t="shared" si="190"/>
        <v>0</v>
      </c>
      <c r="DF10" s="154">
        <f t="shared" si="191"/>
        <v>0</v>
      </c>
      <c r="DG10" s="154">
        <f t="shared" si="192"/>
        <v>0</v>
      </c>
      <c r="DH10" s="154">
        <f t="shared" si="193"/>
        <v>0</v>
      </c>
      <c r="DI10" s="154">
        <f t="shared" si="194"/>
        <v>100000</v>
      </c>
      <c r="DJ10" s="154">
        <f t="shared" si="195"/>
        <v>100000</v>
      </c>
      <c r="DK10" s="154">
        <f t="shared" si="196"/>
        <v>2000</v>
      </c>
      <c r="DL10" s="154">
        <f t="shared" si="197"/>
        <v>2000</v>
      </c>
      <c r="DM10" s="154">
        <f t="shared" si="198"/>
        <v>61000</v>
      </c>
      <c r="DN10" s="154">
        <f t="shared" si="199"/>
        <v>61000</v>
      </c>
      <c r="DO10" s="157">
        <f t="shared" si="200"/>
        <v>39000</v>
      </c>
      <c r="DP10" s="154">
        <f t="shared" si="201"/>
        <v>0</v>
      </c>
      <c r="DQ10" s="158">
        <f t="shared" si="202"/>
        <v>0</v>
      </c>
      <c r="DR10" s="156">
        <f t="shared" si="190"/>
        <v>0</v>
      </c>
      <c r="DS10" s="154">
        <f t="shared" si="204"/>
        <v>0</v>
      </c>
      <c r="DT10" s="154">
        <f t="shared" si="205"/>
        <v>0</v>
      </c>
      <c r="DU10" s="154">
        <f t="shared" si="206"/>
        <v>0</v>
      </c>
      <c r="DV10" s="154">
        <f t="shared" si="207"/>
        <v>100000</v>
      </c>
      <c r="DW10" s="154">
        <f t="shared" si="208"/>
        <v>100000</v>
      </c>
      <c r="DX10" s="154">
        <f t="shared" si="209"/>
        <v>2000</v>
      </c>
      <c r="DY10" s="154">
        <f t="shared" si="210"/>
        <v>2000</v>
      </c>
      <c r="DZ10" s="154">
        <f t="shared" si="211"/>
        <v>59000</v>
      </c>
      <c r="EA10" s="154">
        <f t="shared" si="212"/>
        <v>59000</v>
      </c>
      <c r="EB10" s="157">
        <f t="shared" si="213"/>
        <v>41000</v>
      </c>
      <c r="EC10" s="154">
        <f t="shared" si="214"/>
        <v>0</v>
      </c>
      <c r="ED10" s="158">
        <f t="shared" si="215"/>
        <v>0</v>
      </c>
    </row>
    <row r="11" spans="1:134" x14ac:dyDescent="0.35">
      <c r="A11" s="183">
        <v>2009</v>
      </c>
      <c r="B11" s="503" t="s">
        <v>571</v>
      </c>
      <c r="C11" s="503"/>
      <c r="D11" s="212" t="s">
        <v>110</v>
      </c>
      <c r="E11" s="176">
        <v>100000</v>
      </c>
      <c r="F11" s="177">
        <v>39995</v>
      </c>
      <c r="G11" s="178">
        <v>50</v>
      </c>
      <c r="H11" s="179"/>
      <c r="I11" s="180"/>
      <c r="J11" s="181"/>
      <c r="K11" s="152">
        <f t="shared" si="216"/>
        <v>0.02</v>
      </c>
      <c r="L11" s="153">
        <f t="shared" si="217"/>
        <v>2000</v>
      </c>
      <c r="M11" s="154">
        <f t="shared" si="218"/>
        <v>95000</v>
      </c>
      <c r="N11" s="154"/>
      <c r="O11" s="154">
        <f t="shared" si="219"/>
        <v>5000</v>
      </c>
      <c r="P11" s="155"/>
      <c r="Q11" s="154">
        <f t="shared" si="220"/>
        <v>100000</v>
      </c>
      <c r="R11" s="156">
        <f t="shared" si="221"/>
        <v>0</v>
      </c>
      <c r="S11" s="154">
        <f t="shared" si="222"/>
        <v>0</v>
      </c>
      <c r="T11" s="154">
        <f t="shared" si="223"/>
        <v>0</v>
      </c>
      <c r="U11" s="154">
        <f t="shared" si="224"/>
        <v>0</v>
      </c>
      <c r="V11" s="154">
        <f t="shared" si="225"/>
        <v>100000</v>
      </c>
      <c r="W11" s="154">
        <f t="shared" si="226"/>
        <v>100000</v>
      </c>
      <c r="X11" s="154">
        <f t="shared" si="227"/>
        <v>2000</v>
      </c>
      <c r="Y11" s="154">
        <f t="shared" si="228"/>
        <v>2000</v>
      </c>
      <c r="Z11" s="154">
        <f t="shared" si="229"/>
        <v>93000</v>
      </c>
      <c r="AA11" s="154">
        <f t="shared" si="230"/>
        <v>93000</v>
      </c>
      <c r="AB11" s="157">
        <f t="shared" si="231"/>
        <v>7000</v>
      </c>
      <c r="AC11" s="154">
        <f t="shared" si="232"/>
        <v>0</v>
      </c>
      <c r="AD11" s="158">
        <f t="shared" si="233"/>
        <v>0</v>
      </c>
      <c r="AE11" s="156">
        <f t="shared" si="112"/>
        <v>0</v>
      </c>
      <c r="AF11" s="154">
        <f t="shared" si="113"/>
        <v>0</v>
      </c>
      <c r="AG11" s="154">
        <f t="shared" si="114"/>
        <v>0</v>
      </c>
      <c r="AH11" s="154">
        <f t="shared" si="115"/>
        <v>0</v>
      </c>
      <c r="AI11" s="154">
        <f t="shared" si="116"/>
        <v>100000</v>
      </c>
      <c r="AJ11" s="154">
        <f t="shared" si="117"/>
        <v>100000</v>
      </c>
      <c r="AK11" s="154">
        <f t="shared" si="118"/>
        <v>2000</v>
      </c>
      <c r="AL11" s="154">
        <f t="shared" si="119"/>
        <v>2000</v>
      </c>
      <c r="AM11" s="154">
        <f t="shared" si="120"/>
        <v>91000</v>
      </c>
      <c r="AN11" s="154">
        <f t="shared" si="121"/>
        <v>91000</v>
      </c>
      <c r="AO11" s="157">
        <f t="shared" si="122"/>
        <v>9000</v>
      </c>
      <c r="AP11" s="154">
        <f t="shared" si="123"/>
        <v>0</v>
      </c>
      <c r="AQ11" s="158">
        <f t="shared" si="124"/>
        <v>0</v>
      </c>
      <c r="AR11" s="156">
        <f t="shared" si="112"/>
        <v>0</v>
      </c>
      <c r="AS11" s="154">
        <f t="shared" si="126"/>
        <v>0</v>
      </c>
      <c r="AT11" s="154">
        <f t="shared" si="127"/>
        <v>0</v>
      </c>
      <c r="AU11" s="154">
        <f t="shared" si="128"/>
        <v>0</v>
      </c>
      <c r="AV11" s="154">
        <f t="shared" si="129"/>
        <v>100000</v>
      </c>
      <c r="AW11" s="154">
        <f t="shared" si="130"/>
        <v>100000</v>
      </c>
      <c r="AX11" s="154">
        <f t="shared" si="131"/>
        <v>2000</v>
      </c>
      <c r="AY11" s="154">
        <f t="shared" si="132"/>
        <v>2000</v>
      </c>
      <c r="AZ11" s="154">
        <f t="shared" si="133"/>
        <v>89000</v>
      </c>
      <c r="BA11" s="154">
        <f t="shared" si="134"/>
        <v>89000</v>
      </c>
      <c r="BB11" s="157">
        <f t="shared" si="135"/>
        <v>11000</v>
      </c>
      <c r="BC11" s="154">
        <f t="shared" si="136"/>
        <v>0</v>
      </c>
      <c r="BD11" s="158">
        <f t="shared" si="137"/>
        <v>0</v>
      </c>
      <c r="BE11" s="156">
        <f t="shared" si="112"/>
        <v>0</v>
      </c>
      <c r="BF11" s="154">
        <f t="shared" si="139"/>
        <v>0</v>
      </c>
      <c r="BG11" s="154">
        <f t="shared" si="140"/>
        <v>0</v>
      </c>
      <c r="BH11" s="154">
        <f t="shared" si="141"/>
        <v>0</v>
      </c>
      <c r="BI11" s="154">
        <f t="shared" si="142"/>
        <v>100000</v>
      </c>
      <c r="BJ11" s="154">
        <f t="shared" si="143"/>
        <v>100000</v>
      </c>
      <c r="BK11" s="154">
        <f t="shared" si="144"/>
        <v>2000</v>
      </c>
      <c r="BL11" s="154">
        <f t="shared" si="145"/>
        <v>2000</v>
      </c>
      <c r="BM11" s="154">
        <f t="shared" si="146"/>
        <v>87000</v>
      </c>
      <c r="BN11" s="154">
        <f t="shared" si="147"/>
        <v>87000</v>
      </c>
      <c r="BO11" s="157">
        <f t="shared" si="148"/>
        <v>13000</v>
      </c>
      <c r="BP11" s="154">
        <f t="shared" si="149"/>
        <v>0</v>
      </c>
      <c r="BQ11" s="158">
        <f t="shared" si="150"/>
        <v>0</v>
      </c>
      <c r="BR11" s="156">
        <f t="shared" si="151"/>
        <v>0</v>
      </c>
      <c r="BS11" s="154">
        <f t="shared" si="152"/>
        <v>0</v>
      </c>
      <c r="BT11" s="154">
        <f t="shared" si="153"/>
        <v>0</v>
      </c>
      <c r="BU11" s="154">
        <f t="shared" si="154"/>
        <v>0</v>
      </c>
      <c r="BV11" s="154">
        <f t="shared" si="155"/>
        <v>100000</v>
      </c>
      <c r="BW11" s="154">
        <f t="shared" si="156"/>
        <v>100000</v>
      </c>
      <c r="BX11" s="154">
        <f t="shared" si="157"/>
        <v>2000</v>
      </c>
      <c r="BY11" s="154">
        <f t="shared" si="158"/>
        <v>2000</v>
      </c>
      <c r="BZ11" s="154">
        <f t="shared" si="159"/>
        <v>85000</v>
      </c>
      <c r="CA11" s="154">
        <f t="shared" si="160"/>
        <v>85000</v>
      </c>
      <c r="CB11" s="157">
        <f t="shared" si="161"/>
        <v>15000</v>
      </c>
      <c r="CC11" s="154">
        <f t="shared" si="162"/>
        <v>0</v>
      </c>
      <c r="CD11" s="158">
        <f t="shared" si="163"/>
        <v>0</v>
      </c>
      <c r="CE11" s="156">
        <f t="shared" si="151"/>
        <v>0</v>
      </c>
      <c r="CF11" s="154">
        <f t="shared" si="165"/>
        <v>0</v>
      </c>
      <c r="CG11" s="154">
        <f t="shared" si="166"/>
        <v>0</v>
      </c>
      <c r="CH11" s="154">
        <f t="shared" si="167"/>
        <v>0</v>
      </c>
      <c r="CI11" s="154">
        <f t="shared" si="168"/>
        <v>100000</v>
      </c>
      <c r="CJ11" s="154">
        <f t="shared" si="169"/>
        <v>100000</v>
      </c>
      <c r="CK11" s="154">
        <f t="shared" si="170"/>
        <v>2000</v>
      </c>
      <c r="CL11" s="154">
        <f t="shared" si="171"/>
        <v>2000</v>
      </c>
      <c r="CM11" s="154">
        <f t="shared" si="172"/>
        <v>83000</v>
      </c>
      <c r="CN11" s="154">
        <f t="shared" si="173"/>
        <v>83000</v>
      </c>
      <c r="CO11" s="157">
        <f t="shared" si="174"/>
        <v>17000</v>
      </c>
      <c r="CP11" s="154">
        <f t="shared" si="175"/>
        <v>0</v>
      </c>
      <c r="CQ11" s="158">
        <f t="shared" si="176"/>
        <v>0</v>
      </c>
      <c r="CR11" s="156">
        <f t="shared" si="151"/>
        <v>0</v>
      </c>
      <c r="CS11" s="154">
        <f t="shared" si="178"/>
        <v>0</v>
      </c>
      <c r="CT11" s="154">
        <f t="shared" si="179"/>
        <v>0</v>
      </c>
      <c r="CU11" s="154">
        <f t="shared" si="180"/>
        <v>0</v>
      </c>
      <c r="CV11" s="154">
        <f t="shared" si="181"/>
        <v>100000</v>
      </c>
      <c r="CW11" s="154">
        <f t="shared" si="182"/>
        <v>100000</v>
      </c>
      <c r="CX11" s="154">
        <f t="shared" si="183"/>
        <v>2000</v>
      </c>
      <c r="CY11" s="154">
        <f t="shared" si="184"/>
        <v>2000</v>
      </c>
      <c r="CZ11" s="154">
        <f t="shared" si="185"/>
        <v>81000</v>
      </c>
      <c r="DA11" s="154">
        <f t="shared" si="186"/>
        <v>81000</v>
      </c>
      <c r="DB11" s="157">
        <f t="shared" si="187"/>
        <v>19000</v>
      </c>
      <c r="DC11" s="154">
        <f t="shared" si="188"/>
        <v>0</v>
      </c>
      <c r="DD11" s="158">
        <f t="shared" si="189"/>
        <v>0</v>
      </c>
      <c r="DE11" s="156">
        <f t="shared" si="190"/>
        <v>0</v>
      </c>
      <c r="DF11" s="154">
        <f t="shared" si="191"/>
        <v>0</v>
      </c>
      <c r="DG11" s="154">
        <f t="shared" si="192"/>
        <v>0</v>
      </c>
      <c r="DH11" s="154">
        <f t="shared" si="193"/>
        <v>0</v>
      </c>
      <c r="DI11" s="154">
        <f t="shared" si="194"/>
        <v>100000</v>
      </c>
      <c r="DJ11" s="154">
        <f t="shared" si="195"/>
        <v>100000</v>
      </c>
      <c r="DK11" s="154">
        <f t="shared" si="196"/>
        <v>2000</v>
      </c>
      <c r="DL11" s="154">
        <f t="shared" si="197"/>
        <v>2000</v>
      </c>
      <c r="DM11" s="154">
        <f t="shared" si="198"/>
        <v>79000</v>
      </c>
      <c r="DN11" s="154">
        <f t="shared" si="199"/>
        <v>79000</v>
      </c>
      <c r="DO11" s="157">
        <f t="shared" si="200"/>
        <v>21000</v>
      </c>
      <c r="DP11" s="154">
        <f t="shared" si="201"/>
        <v>0</v>
      </c>
      <c r="DQ11" s="158">
        <f t="shared" si="202"/>
        <v>0</v>
      </c>
      <c r="DR11" s="156">
        <f t="shared" si="190"/>
        <v>0</v>
      </c>
      <c r="DS11" s="154">
        <f t="shared" si="204"/>
        <v>0</v>
      </c>
      <c r="DT11" s="154">
        <f t="shared" si="205"/>
        <v>0</v>
      </c>
      <c r="DU11" s="154">
        <f t="shared" si="206"/>
        <v>0</v>
      </c>
      <c r="DV11" s="154">
        <f t="shared" si="207"/>
        <v>100000</v>
      </c>
      <c r="DW11" s="154">
        <f t="shared" si="208"/>
        <v>100000</v>
      </c>
      <c r="DX11" s="154">
        <f t="shared" si="209"/>
        <v>2000</v>
      </c>
      <c r="DY11" s="154">
        <f t="shared" si="210"/>
        <v>2000</v>
      </c>
      <c r="DZ11" s="154">
        <f t="shared" si="211"/>
        <v>77000</v>
      </c>
      <c r="EA11" s="154">
        <f t="shared" si="212"/>
        <v>77000</v>
      </c>
      <c r="EB11" s="157">
        <f t="shared" si="213"/>
        <v>23000</v>
      </c>
      <c r="EC11" s="154">
        <f t="shared" si="214"/>
        <v>0</v>
      </c>
      <c r="ED11" s="158">
        <f t="shared" si="215"/>
        <v>0</v>
      </c>
    </row>
    <row r="12" spans="1:134" x14ac:dyDescent="0.35">
      <c r="A12" s="183"/>
      <c r="B12" s="173"/>
      <c r="C12" s="173"/>
      <c r="D12" s="175"/>
      <c r="E12" s="176"/>
      <c r="F12" s="177"/>
      <c r="G12" s="178"/>
      <c r="H12" s="179"/>
      <c r="I12" s="180"/>
      <c r="J12" s="181"/>
      <c r="K12" s="152">
        <f t="shared" si="216"/>
        <v>0</v>
      </c>
      <c r="L12" s="153">
        <f t="shared" si="217"/>
        <v>0</v>
      </c>
      <c r="M12" s="154">
        <f t="shared" si="218"/>
        <v>0</v>
      </c>
      <c r="N12" s="154"/>
      <c r="O12" s="154">
        <f t="shared" si="219"/>
        <v>0</v>
      </c>
      <c r="P12" s="155"/>
      <c r="Q12" s="154">
        <f t="shared" si="220"/>
        <v>0</v>
      </c>
      <c r="R12" s="156">
        <f t="shared" si="221"/>
        <v>0</v>
      </c>
      <c r="S12" s="154">
        <f t="shared" si="222"/>
        <v>0</v>
      </c>
      <c r="T12" s="154">
        <f t="shared" si="223"/>
        <v>0</v>
      </c>
      <c r="U12" s="154">
        <f t="shared" si="224"/>
        <v>0</v>
      </c>
      <c r="V12" s="154">
        <f t="shared" si="225"/>
        <v>0</v>
      </c>
      <c r="W12" s="154">
        <f t="shared" si="226"/>
        <v>0</v>
      </c>
      <c r="X12" s="154">
        <f t="shared" si="227"/>
        <v>0</v>
      </c>
      <c r="Y12" s="154">
        <f t="shared" si="228"/>
        <v>0</v>
      </c>
      <c r="Z12" s="154">
        <f t="shared" si="229"/>
        <v>0</v>
      </c>
      <c r="AA12" s="154">
        <f t="shared" si="230"/>
        <v>0</v>
      </c>
      <c r="AB12" s="157">
        <f t="shared" si="231"/>
        <v>0</v>
      </c>
      <c r="AC12" s="154">
        <f t="shared" si="232"/>
        <v>0</v>
      </c>
      <c r="AD12" s="158">
        <f t="shared" si="233"/>
        <v>0</v>
      </c>
      <c r="AE12" s="156">
        <f t="shared" si="112"/>
        <v>0</v>
      </c>
      <c r="AF12" s="154">
        <f t="shared" si="113"/>
        <v>0</v>
      </c>
      <c r="AG12" s="154">
        <f t="shared" si="114"/>
        <v>0</v>
      </c>
      <c r="AH12" s="154">
        <f t="shared" si="115"/>
        <v>0</v>
      </c>
      <c r="AI12" s="154">
        <f t="shared" si="116"/>
        <v>0</v>
      </c>
      <c r="AJ12" s="154">
        <f t="shared" si="117"/>
        <v>0</v>
      </c>
      <c r="AK12" s="154">
        <f t="shared" si="118"/>
        <v>0</v>
      </c>
      <c r="AL12" s="154">
        <f t="shared" si="119"/>
        <v>0</v>
      </c>
      <c r="AM12" s="154">
        <f t="shared" si="120"/>
        <v>0</v>
      </c>
      <c r="AN12" s="154">
        <f t="shared" si="121"/>
        <v>0</v>
      </c>
      <c r="AO12" s="157">
        <f t="shared" si="122"/>
        <v>0</v>
      </c>
      <c r="AP12" s="154">
        <f t="shared" si="123"/>
        <v>0</v>
      </c>
      <c r="AQ12" s="158">
        <f t="shared" si="124"/>
        <v>0</v>
      </c>
      <c r="AR12" s="156">
        <f t="shared" si="112"/>
        <v>0</v>
      </c>
      <c r="AS12" s="154">
        <f t="shared" si="126"/>
        <v>0</v>
      </c>
      <c r="AT12" s="154">
        <f t="shared" si="127"/>
        <v>0</v>
      </c>
      <c r="AU12" s="154">
        <f t="shared" si="128"/>
        <v>0</v>
      </c>
      <c r="AV12" s="154">
        <f t="shared" si="129"/>
        <v>0</v>
      </c>
      <c r="AW12" s="154">
        <f t="shared" si="130"/>
        <v>0</v>
      </c>
      <c r="AX12" s="154">
        <f t="shared" si="131"/>
        <v>0</v>
      </c>
      <c r="AY12" s="154">
        <f t="shared" si="132"/>
        <v>0</v>
      </c>
      <c r="AZ12" s="154">
        <f t="shared" si="133"/>
        <v>0</v>
      </c>
      <c r="BA12" s="154">
        <f t="shared" si="134"/>
        <v>0</v>
      </c>
      <c r="BB12" s="157">
        <f t="shared" si="135"/>
        <v>0</v>
      </c>
      <c r="BC12" s="154">
        <f t="shared" si="136"/>
        <v>0</v>
      </c>
      <c r="BD12" s="158">
        <f t="shared" si="137"/>
        <v>0</v>
      </c>
      <c r="BE12" s="156">
        <f t="shared" si="112"/>
        <v>0</v>
      </c>
      <c r="BF12" s="154">
        <f t="shared" si="139"/>
        <v>0</v>
      </c>
      <c r="BG12" s="154">
        <f t="shared" si="140"/>
        <v>0</v>
      </c>
      <c r="BH12" s="154">
        <f t="shared" si="141"/>
        <v>0</v>
      </c>
      <c r="BI12" s="154">
        <f t="shared" si="142"/>
        <v>0</v>
      </c>
      <c r="BJ12" s="154">
        <f t="shared" si="143"/>
        <v>0</v>
      </c>
      <c r="BK12" s="154">
        <f t="shared" si="144"/>
        <v>0</v>
      </c>
      <c r="BL12" s="154">
        <f t="shared" si="145"/>
        <v>0</v>
      </c>
      <c r="BM12" s="154">
        <f t="shared" si="146"/>
        <v>0</v>
      </c>
      <c r="BN12" s="154">
        <f t="shared" si="147"/>
        <v>0</v>
      </c>
      <c r="BO12" s="157">
        <f t="shared" si="148"/>
        <v>0</v>
      </c>
      <c r="BP12" s="154">
        <f t="shared" si="149"/>
        <v>0</v>
      </c>
      <c r="BQ12" s="158">
        <f t="shared" si="150"/>
        <v>0</v>
      </c>
      <c r="BR12" s="156">
        <f t="shared" si="151"/>
        <v>0</v>
      </c>
      <c r="BS12" s="154">
        <f t="shared" si="152"/>
        <v>0</v>
      </c>
      <c r="BT12" s="154">
        <f t="shared" si="153"/>
        <v>0</v>
      </c>
      <c r="BU12" s="154">
        <f t="shared" si="154"/>
        <v>0</v>
      </c>
      <c r="BV12" s="154">
        <f t="shared" si="155"/>
        <v>0</v>
      </c>
      <c r="BW12" s="154">
        <f t="shared" si="156"/>
        <v>0</v>
      </c>
      <c r="BX12" s="154">
        <f t="shared" si="157"/>
        <v>0</v>
      </c>
      <c r="BY12" s="154">
        <f t="shared" si="158"/>
        <v>0</v>
      </c>
      <c r="BZ12" s="154">
        <f t="shared" si="159"/>
        <v>0</v>
      </c>
      <c r="CA12" s="154">
        <f t="shared" si="160"/>
        <v>0</v>
      </c>
      <c r="CB12" s="157">
        <f t="shared" si="161"/>
        <v>0</v>
      </c>
      <c r="CC12" s="154">
        <f t="shared" si="162"/>
        <v>0</v>
      </c>
      <c r="CD12" s="158">
        <f t="shared" si="163"/>
        <v>0</v>
      </c>
      <c r="CE12" s="156">
        <f t="shared" si="151"/>
        <v>0</v>
      </c>
      <c r="CF12" s="154">
        <f t="shared" si="165"/>
        <v>0</v>
      </c>
      <c r="CG12" s="154">
        <f t="shared" si="166"/>
        <v>0</v>
      </c>
      <c r="CH12" s="154">
        <f t="shared" si="167"/>
        <v>0</v>
      </c>
      <c r="CI12" s="154">
        <f t="shared" si="168"/>
        <v>0</v>
      </c>
      <c r="CJ12" s="154">
        <f t="shared" si="169"/>
        <v>0</v>
      </c>
      <c r="CK12" s="154">
        <f t="shared" si="170"/>
        <v>0</v>
      </c>
      <c r="CL12" s="154">
        <f t="shared" si="171"/>
        <v>0</v>
      </c>
      <c r="CM12" s="154">
        <f t="shared" si="172"/>
        <v>0</v>
      </c>
      <c r="CN12" s="154">
        <f t="shared" si="173"/>
        <v>0</v>
      </c>
      <c r="CO12" s="157">
        <f t="shared" si="174"/>
        <v>0</v>
      </c>
      <c r="CP12" s="154">
        <f t="shared" si="175"/>
        <v>0</v>
      </c>
      <c r="CQ12" s="158">
        <f t="shared" si="176"/>
        <v>0</v>
      </c>
      <c r="CR12" s="156">
        <f t="shared" si="151"/>
        <v>0</v>
      </c>
      <c r="CS12" s="154">
        <f t="shared" si="178"/>
        <v>0</v>
      </c>
      <c r="CT12" s="154">
        <f t="shared" si="179"/>
        <v>0</v>
      </c>
      <c r="CU12" s="154">
        <f t="shared" si="180"/>
        <v>0</v>
      </c>
      <c r="CV12" s="154">
        <f t="shared" si="181"/>
        <v>0</v>
      </c>
      <c r="CW12" s="154">
        <f t="shared" si="182"/>
        <v>0</v>
      </c>
      <c r="CX12" s="154">
        <f t="shared" si="183"/>
        <v>0</v>
      </c>
      <c r="CY12" s="154">
        <f t="shared" si="184"/>
        <v>0</v>
      </c>
      <c r="CZ12" s="154">
        <f t="shared" si="185"/>
        <v>0</v>
      </c>
      <c r="DA12" s="154">
        <f t="shared" si="186"/>
        <v>0</v>
      </c>
      <c r="DB12" s="157">
        <f t="shared" si="187"/>
        <v>0</v>
      </c>
      <c r="DC12" s="154">
        <f t="shared" si="188"/>
        <v>0</v>
      </c>
      <c r="DD12" s="158">
        <f t="shared" si="189"/>
        <v>0</v>
      </c>
      <c r="DE12" s="156">
        <f t="shared" si="190"/>
        <v>0</v>
      </c>
      <c r="DF12" s="154">
        <f t="shared" si="191"/>
        <v>0</v>
      </c>
      <c r="DG12" s="154">
        <f t="shared" si="192"/>
        <v>0</v>
      </c>
      <c r="DH12" s="154">
        <f t="shared" si="193"/>
        <v>0</v>
      </c>
      <c r="DI12" s="154">
        <f t="shared" si="194"/>
        <v>0</v>
      </c>
      <c r="DJ12" s="154">
        <f t="shared" si="195"/>
        <v>0</v>
      </c>
      <c r="DK12" s="154">
        <f t="shared" si="196"/>
        <v>0</v>
      </c>
      <c r="DL12" s="154">
        <f t="shared" si="197"/>
        <v>0</v>
      </c>
      <c r="DM12" s="154">
        <f t="shared" si="198"/>
        <v>0</v>
      </c>
      <c r="DN12" s="154">
        <f t="shared" si="199"/>
        <v>0</v>
      </c>
      <c r="DO12" s="157">
        <f t="shared" si="200"/>
        <v>0</v>
      </c>
      <c r="DP12" s="154">
        <f t="shared" si="201"/>
        <v>0</v>
      </c>
      <c r="DQ12" s="158">
        <f t="shared" si="202"/>
        <v>0</v>
      </c>
      <c r="DR12" s="156">
        <f t="shared" si="190"/>
        <v>0</v>
      </c>
      <c r="DS12" s="154">
        <f t="shared" si="204"/>
        <v>0</v>
      </c>
      <c r="DT12" s="154">
        <f t="shared" si="205"/>
        <v>0</v>
      </c>
      <c r="DU12" s="154">
        <f t="shared" si="206"/>
        <v>0</v>
      </c>
      <c r="DV12" s="154">
        <f t="shared" si="207"/>
        <v>0</v>
      </c>
      <c r="DW12" s="154">
        <f t="shared" si="208"/>
        <v>0</v>
      </c>
      <c r="DX12" s="154">
        <f t="shared" si="209"/>
        <v>0</v>
      </c>
      <c r="DY12" s="154">
        <f t="shared" si="210"/>
        <v>0</v>
      </c>
      <c r="DZ12" s="154">
        <f t="shared" si="211"/>
        <v>0</v>
      </c>
      <c r="EA12" s="154">
        <f t="shared" si="212"/>
        <v>0</v>
      </c>
      <c r="EB12" s="157">
        <f t="shared" si="213"/>
        <v>0</v>
      </c>
      <c r="EC12" s="154">
        <f t="shared" si="214"/>
        <v>0</v>
      </c>
      <c r="ED12" s="158">
        <f t="shared" si="215"/>
        <v>0</v>
      </c>
    </row>
    <row r="13" spans="1:134" x14ac:dyDescent="0.35">
      <c r="A13" s="183"/>
      <c r="B13" s="504" t="s">
        <v>572</v>
      </c>
      <c r="C13" s="504"/>
      <c r="D13" s="175"/>
      <c r="E13" s="176"/>
      <c r="F13" s="177"/>
      <c r="G13" s="178"/>
      <c r="H13" s="179"/>
      <c r="I13" s="180"/>
      <c r="J13" s="181"/>
      <c r="K13" s="152">
        <f t="shared" si="216"/>
        <v>0</v>
      </c>
      <c r="L13" s="153">
        <f t="shared" si="217"/>
        <v>0</v>
      </c>
      <c r="M13" s="154">
        <f t="shared" si="218"/>
        <v>0</v>
      </c>
      <c r="N13" s="154"/>
      <c r="O13" s="154">
        <f t="shared" si="219"/>
        <v>0</v>
      </c>
      <c r="P13" s="155"/>
      <c r="Q13" s="154">
        <f t="shared" si="220"/>
        <v>0</v>
      </c>
      <c r="R13" s="156">
        <f t="shared" si="221"/>
        <v>0</v>
      </c>
      <c r="S13" s="154">
        <f t="shared" si="222"/>
        <v>0</v>
      </c>
      <c r="T13" s="154">
        <f t="shared" si="223"/>
        <v>0</v>
      </c>
      <c r="U13" s="154">
        <f t="shared" si="224"/>
        <v>0</v>
      </c>
      <c r="V13" s="154">
        <f t="shared" si="225"/>
        <v>0</v>
      </c>
      <c r="W13" s="154">
        <f t="shared" si="226"/>
        <v>0</v>
      </c>
      <c r="X13" s="154">
        <f t="shared" si="227"/>
        <v>0</v>
      </c>
      <c r="Y13" s="154">
        <f t="shared" si="228"/>
        <v>0</v>
      </c>
      <c r="Z13" s="154">
        <f t="shared" si="229"/>
        <v>0</v>
      </c>
      <c r="AA13" s="154">
        <f t="shared" si="230"/>
        <v>0</v>
      </c>
      <c r="AB13" s="157">
        <f t="shared" si="231"/>
        <v>0</v>
      </c>
      <c r="AC13" s="154">
        <f t="shared" si="232"/>
        <v>0</v>
      </c>
      <c r="AD13" s="158">
        <f t="shared" si="233"/>
        <v>0</v>
      </c>
      <c r="AE13" s="156">
        <f t="shared" si="112"/>
        <v>0</v>
      </c>
      <c r="AF13" s="154">
        <f t="shared" si="113"/>
        <v>0</v>
      </c>
      <c r="AG13" s="154">
        <f t="shared" si="114"/>
        <v>0</v>
      </c>
      <c r="AH13" s="154">
        <f t="shared" si="115"/>
        <v>0</v>
      </c>
      <c r="AI13" s="154">
        <f t="shared" si="116"/>
        <v>0</v>
      </c>
      <c r="AJ13" s="154">
        <f t="shared" si="117"/>
        <v>0</v>
      </c>
      <c r="AK13" s="154">
        <f t="shared" si="118"/>
        <v>0</v>
      </c>
      <c r="AL13" s="154">
        <f t="shared" si="119"/>
        <v>0</v>
      </c>
      <c r="AM13" s="154">
        <f t="shared" si="120"/>
        <v>0</v>
      </c>
      <c r="AN13" s="154">
        <f t="shared" si="121"/>
        <v>0</v>
      </c>
      <c r="AO13" s="157">
        <f t="shared" si="122"/>
        <v>0</v>
      </c>
      <c r="AP13" s="154">
        <f t="shared" si="123"/>
        <v>0</v>
      </c>
      <c r="AQ13" s="158">
        <f t="shared" si="124"/>
        <v>0</v>
      </c>
      <c r="AR13" s="156">
        <f t="shared" si="112"/>
        <v>0</v>
      </c>
      <c r="AS13" s="154">
        <f t="shared" si="126"/>
        <v>0</v>
      </c>
      <c r="AT13" s="154">
        <f t="shared" si="127"/>
        <v>0</v>
      </c>
      <c r="AU13" s="154">
        <f t="shared" si="128"/>
        <v>0</v>
      </c>
      <c r="AV13" s="154">
        <f t="shared" si="129"/>
        <v>0</v>
      </c>
      <c r="AW13" s="154">
        <f t="shared" si="130"/>
        <v>0</v>
      </c>
      <c r="AX13" s="154">
        <f t="shared" si="131"/>
        <v>0</v>
      </c>
      <c r="AY13" s="154">
        <f t="shared" si="132"/>
        <v>0</v>
      </c>
      <c r="AZ13" s="154">
        <f t="shared" si="133"/>
        <v>0</v>
      </c>
      <c r="BA13" s="154">
        <f t="shared" si="134"/>
        <v>0</v>
      </c>
      <c r="BB13" s="157">
        <f t="shared" si="135"/>
        <v>0</v>
      </c>
      <c r="BC13" s="154">
        <f t="shared" si="136"/>
        <v>0</v>
      </c>
      <c r="BD13" s="158">
        <f t="shared" si="137"/>
        <v>0</v>
      </c>
      <c r="BE13" s="156">
        <f t="shared" si="112"/>
        <v>0</v>
      </c>
      <c r="BF13" s="154">
        <f t="shared" si="139"/>
        <v>0</v>
      </c>
      <c r="BG13" s="154">
        <f t="shared" si="140"/>
        <v>0</v>
      </c>
      <c r="BH13" s="154">
        <f t="shared" si="141"/>
        <v>0</v>
      </c>
      <c r="BI13" s="154">
        <f t="shared" si="142"/>
        <v>0</v>
      </c>
      <c r="BJ13" s="154">
        <f t="shared" si="143"/>
        <v>0</v>
      </c>
      <c r="BK13" s="154">
        <f t="shared" si="144"/>
        <v>0</v>
      </c>
      <c r="BL13" s="154">
        <f t="shared" si="145"/>
        <v>0</v>
      </c>
      <c r="BM13" s="154">
        <f t="shared" si="146"/>
        <v>0</v>
      </c>
      <c r="BN13" s="154">
        <f t="shared" si="147"/>
        <v>0</v>
      </c>
      <c r="BO13" s="157">
        <f t="shared" si="148"/>
        <v>0</v>
      </c>
      <c r="BP13" s="154">
        <f t="shared" si="149"/>
        <v>0</v>
      </c>
      <c r="BQ13" s="158">
        <f t="shared" si="150"/>
        <v>0</v>
      </c>
      <c r="BR13" s="156">
        <f t="shared" si="151"/>
        <v>0</v>
      </c>
      <c r="BS13" s="154">
        <f t="shared" si="152"/>
        <v>0</v>
      </c>
      <c r="BT13" s="154">
        <f t="shared" si="153"/>
        <v>0</v>
      </c>
      <c r="BU13" s="154">
        <f t="shared" si="154"/>
        <v>0</v>
      </c>
      <c r="BV13" s="154">
        <f t="shared" si="155"/>
        <v>0</v>
      </c>
      <c r="BW13" s="154">
        <f t="shared" si="156"/>
        <v>0</v>
      </c>
      <c r="BX13" s="154">
        <f t="shared" si="157"/>
        <v>0</v>
      </c>
      <c r="BY13" s="154">
        <f t="shared" si="158"/>
        <v>0</v>
      </c>
      <c r="BZ13" s="154">
        <f t="shared" si="159"/>
        <v>0</v>
      </c>
      <c r="CA13" s="154">
        <f t="shared" si="160"/>
        <v>0</v>
      </c>
      <c r="CB13" s="157">
        <f t="shared" si="161"/>
        <v>0</v>
      </c>
      <c r="CC13" s="154">
        <f t="shared" si="162"/>
        <v>0</v>
      </c>
      <c r="CD13" s="158">
        <f t="shared" si="163"/>
        <v>0</v>
      </c>
      <c r="CE13" s="156">
        <f t="shared" si="151"/>
        <v>0</v>
      </c>
      <c r="CF13" s="154">
        <f t="shared" si="165"/>
        <v>0</v>
      </c>
      <c r="CG13" s="154">
        <f t="shared" si="166"/>
        <v>0</v>
      </c>
      <c r="CH13" s="154">
        <f t="shared" si="167"/>
        <v>0</v>
      </c>
      <c r="CI13" s="154">
        <f t="shared" si="168"/>
        <v>0</v>
      </c>
      <c r="CJ13" s="154">
        <f t="shared" si="169"/>
        <v>0</v>
      </c>
      <c r="CK13" s="154">
        <f t="shared" si="170"/>
        <v>0</v>
      </c>
      <c r="CL13" s="154">
        <f t="shared" si="171"/>
        <v>0</v>
      </c>
      <c r="CM13" s="154">
        <f t="shared" si="172"/>
        <v>0</v>
      </c>
      <c r="CN13" s="154">
        <f t="shared" si="173"/>
        <v>0</v>
      </c>
      <c r="CO13" s="157">
        <f t="shared" si="174"/>
        <v>0</v>
      </c>
      <c r="CP13" s="154">
        <f t="shared" si="175"/>
        <v>0</v>
      </c>
      <c r="CQ13" s="158">
        <f t="shared" si="176"/>
        <v>0</v>
      </c>
      <c r="CR13" s="156">
        <f t="shared" si="151"/>
        <v>0</v>
      </c>
      <c r="CS13" s="154">
        <f t="shared" si="178"/>
        <v>0</v>
      </c>
      <c r="CT13" s="154">
        <f t="shared" si="179"/>
        <v>0</v>
      </c>
      <c r="CU13" s="154">
        <f t="shared" si="180"/>
        <v>0</v>
      </c>
      <c r="CV13" s="154">
        <f t="shared" si="181"/>
        <v>0</v>
      </c>
      <c r="CW13" s="154">
        <f t="shared" si="182"/>
        <v>0</v>
      </c>
      <c r="CX13" s="154">
        <f t="shared" si="183"/>
        <v>0</v>
      </c>
      <c r="CY13" s="154">
        <f t="shared" si="184"/>
        <v>0</v>
      </c>
      <c r="CZ13" s="154">
        <f t="shared" si="185"/>
        <v>0</v>
      </c>
      <c r="DA13" s="154">
        <f t="shared" si="186"/>
        <v>0</v>
      </c>
      <c r="DB13" s="157">
        <f t="shared" si="187"/>
        <v>0</v>
      </c>
      <c r="DC13" s="154">
        <f t="shared" si="188"/>
        <v>0</v>
      </c>
      <c r="DD13" s="158">
        <f t="shared" si="189"/>
        <v>0</v>
      </c>
      <c r="DE13" s="156">
        <f t="shared" si="190"/>
        <v>0</v>
      </c>
      <c r="DF13" s="154">
        <f t="shared" si="191"/>
        <v>0</v>
      </c>
      <c r="DG13" s="154">
        <f t="shared" si="192"/>
        <v>0</v>
      </c>
      <c r="DH13" s="154">
        <f t="shared" si="193"/>
        <v>0</v>
      </c>
      <c r="DI13" s="154">
        <f t="shared" si="194"/>
        <v>0</v>
      </c>
      <c r="DJ13" s="154">
        <f t="shared" si="195"/>
        <v>0</v>
      </c>
      <c r="DK13" s="154">
        <f t="shared" si="196"/>
        <v>0</v>
      </c>
      <c r="DL13" s="154">
        <f t="shared" si="197"/>
        <v>0</v>
      </c>
      <c r="DM13" s="154">
        <f t="shared" si="198"/>
        <v>0</v>
      </c>
      <c r="DN13" s="154">
        <f t="shared" si="199"/>
        <v>0</v>
      </c>
      <c r="DO13" s="157">
        <f t="shared" si="200"/>
        <v>0</v>
      </c>
      <c r="DP13" s="154">
        <f t="shared" si="201"/>
        <v>0</v>
      </c>
      <c r="DQ13" s="158">
        <f t="shared" si="202"/>
        <v>0</v>
      </c>
      <c r="DR13" s="156">
        <f t="shared" si="190"/>
        <v>0</v>
      </c>
      <c r="DS13" s="154">
        <f t="shared" si="204"/>
        <v>0</v>
      </c>
      <c r="DT13" s="154">
        <f t="shared" si="205"/>
        <v>0</v>
      </c>
      <c r="DU13" s="154">
        <f t="shared" si="206"/>
        <v>0</v>
      </c>
      <c r="DV13" s="154">
        <f t="shared" si="207"/>
        <v>0</v>
      </c>
      <c r="DW13" s="154">
        <f t="shared" si="208"/>
        <v>0</v>
      </c>
      <c r="DX13" s="154">
        <f t="shared" si="209"/>
        <v>0</v>
      </c>
      <c r="DY13" s="154">
        <f t="shared" si="210"/>
        <v>0</v>
      </c>
      <c r="DZ13" s="154">
        <f t="shared" si="211"/>
        <v>0</v>
      </c>
      <c r="EA13" s="154">
        <f t="shared" si="212"/>
        <v>0</v>
      </c>
      <c r="EB13" s="157">
        <f t="shared" si="213"/>
        <v>0</v>
      </c>
      <c r="EC13" s="154">
        <f t="shared" si="214"/>
        <v>0</v>
      </c>
      <c r="ED13" s="158">
        <f t="shared" si="215"/>
        <v>0</v>
      </c>
    </row>
    <row r="14" spans="1:134" x14ac:dyDescent="0.35">
      <c r="A14" s="183">
        <v>1999</v>
      </c>
      <c r="B14" s="183" t="s">
        <v>571</v>
      </c>
      <c r="C14" s="183"/>
      <c r="D14" s="175" t="s">
        <v>113</v>
      </c>
      <c r="E14" s="176">
        <v>40000</v>
      </c>
      <c r="F14" s="177">
        <v>36342</v>
      </c>
      <c r="G14" s="178">
        <v>50</v>
      </c>
      <c r="H14" s="179"/>
      <c r="I14" s="180"/>
      <c r="J14" s="181"/>
      <c r="K14" s="152">
        <f t="shared" si="216"/>
        <v>0.02</v>
      </c>
      <c r="L14" s="153">
        <f t="shared" si="217"/>
        <v>800</v>
      </c>
      <c r="M14" s="154">
        <f t="shared" si="218"/>
        <v>30000</v>
      </c>
      <c r="N14" s="154"/>
      <c r="O14" s="154">
        <f t="shared" si="219"/>
        <v>10000</v>
      </c>
      <c r="P14" s="155"/>
      <c r="Q14" s="154">
        <f t="shared" si="220"/>
        <v>40000</v>
      </c>
      <c r="R14" s="156">
        <f t="shared" si="221"/>
        <v>0</v>
      </c>
      <c r="S14" s="154">
        <f t="shared" si="222"/>
        <v>0</v>
      </c>
      <c r="T14" s="154">
        <f t="shared" si="223"/>
        <v>0</v>
      </c>
      <c r="U14" s="154">
        <f t="shared" si="224"/>
        <v>0</v>
      </c>
      <c r="V14" s="154">
        <f t="shared" si="225"/>
        <v>40000</v>
      </c>
      <c r="W14" s="154">
        <f t="shared" si="226"/>
        <v>40000</v>
      </c>
      <c r="X14" s="154">
        <f t="shared" si="227"/>
        <v>800</v>
      </c>
      <c r="Y14" s="154">
        <f t="shared" si="228"/>
        <v>800</v>
      </c>
      <c r="Z14" s="154">
        <f t="shared" si="229"/>
        <v>29200</v>
      </c>
      <c r="AA14" s="154">
        <f t="shared" si="230"/>
        <v>29200</v>
      </c>
      <c r="AB14" s="157">
        <f t="shared" si="231"/>
        <v>10800</v>
      </c>
      <c r="AC14" s="154">
        <f t="shared" si="232"/>
        <v>0</v>
      </c>
      <c r="AD14" s="158">
        <f t="shared" si="233"/>
        <v>0</v>
      </c>
      <c r="AE14" s="156">
        <f t="shared" si="112"/>
        <v>0</v>
      </c>
      <c r="AF14" s="154">
        <f t="shared" si="113"/>
        <v>0</v>
      </c>
      <c r="AG14" s="154">
        <f t="shared" si="114"/>
        <v>0</v>
      </c>
      <c r="AH14" s="154">
        <f t="shared" si="115"/>
        <v>0</v>
      </c>
      <c r="AI14" s="154">
        <f t="shared" si="116"/>
        <v>40000</v>
      </c>
      <c r="AJ14" s="154">
        <f t="shared" si="117"/>
        <v>40000</v>
      </c>
      <c r="AK14" s="154">
        <f t="shared" si="118"/>
        <v>800</v>
      </c>
      <c r="AL14" s="154">
        <f t="shared" si="119"/>
        <v>800</v>
      </c>
      <c r="AM14" s="154">
        <f t="shared" si="120"/>
        <v>28400</v>
      </c>
      <c r="AN14" s="154">
        <f t="shared" si="121"/>
        <v>28400</v>
      </c>
      <c r="AO14" s="157">
        <f t="shared" si="122"/>
        <v>11600</v>
      </c>
      <c r="AP14" s="154">
        <f t="shared" si="123"/>
        <v>0</v>
      </c>
      <c r="AQ14" s="158">
        <f t="shared" si="124"/>
        <v>0</v>
      </c>
      <c r="AR14" s="156">
        <f t="shared" si="112"/>
        <v>0</v>
      </c>
      <c r="AS14" s="154">
        <f t="shared" si="126"/>
        <v>0</v>
      </c>
      <c r="AT14" s="154">
        <f t="shared" si="127"/>
        <v>0</v>
      </c>
      <c r="AU14" s="154">
        <f t="shared" si="128"/>
        <v>0</v>
      </c>
      <c r="AV14" s="154">
        <f t="shared" si="129"/>
        <v>40000</v>
      </c>
      <c r="AW14" s="154">
        <f t="shared" si="130"/>
        <v>40000</v>
      </c>
      <c r="AX14" s="154">
        <f t="shared" si="131"/>
        <v>800</v>
      </c>
      <c r="AY14" s="154">
        <f t="shared" si="132"/>
        <v>800</v>
      </c>
      <c r="AZ14" s="154">
        <f t="shared" si="133"/>
        <v>27600</v>
      </c>
      <c r="BA14" s="154">
        <f t="shared" si="134"/>
        <v>27600</v>
      </c>
      <c r="BB14" s="157">
        <f t="shared" si="135"/>
        <v>12400</v>
      </c>
      <c r="BC14" s="154">
        <f t="shared" si="136"/>
        <v>0</v>
      </c>
      <c r="BD14" s="158">
        <f t="shared" si="137"/>
        <v>0</v>
      </c>
      <c r="BE14" s="156">
        <f t="shared" si="112"/>
        <v>0</v>
      </c>
      <c r="BF14" s="154">
        <f t="shared" si="139"/>
        <v>0</v>
      </c>
      <c r="BG14" s="154">
        <f t="shared" si="140"/>
        <v>0</v>
      </c>
      <c r="BH14" s="154">
        <f t="shared" si="141"/>
        <v>0</v>
      </c>
      <c r="BI14" s="154">
        <f t="shared" si="142"/>
        <v>40000</v>
      </c>
      <c r="BJ14" s="154">
        <f t="shared" si="143"/>
        <v>40000</v>
      </c>
      <c r="BK14" s="154">
        <f t="shared" si="144"/>
        <v>800</v>
      </c>
      <c r="BL14" s="154">
        <f t="shared" si="145"/>
        <v>800</v>
      </c>
      <c r="BM14" s="154">
        <f t="shared" si="146"/>
        <v>26800</v>
      </c>
      <c r="BN14" s="154">
        <f t="shared" si="147"/>
        <v>26800</v>
      </c>
      <c r="BO14" s="157">
        <f t="shared" si="148"/>
        <v>13200</v>
      </c>
      <c r="BP14" s="154">
        <f t="shared" si="149"/>
        <v>0</v>
      </c>
      <c r="BQ14" s="158">
        <f t="shared" si="150"/>
        <v>0</v>
      </c>
      <c r="BR14" s="156">
        <f t="shared" si="151"/>
        <v>0</v>
      </c>
      <c r="BS14" s="154">
        <f t="shared" si="152"/>
        <v>0</v>
      </c>
      <c r="BT14" s="154">
        <f t="shared" si="153"/>
        <v>0</v>
      </c>
      <c r="BU14" s="154">
        <f t="shared" si="154"/>
        <v>0</v>
      </c>
      <c r="BV14" s="154">
        <f t="shared" si="155"/>
        <v>40000</v>
      </c>
      <c r="BW14" s="154">
        <f t="shared" si="156"/>
        <v>40000</v>
      </c>
      <c r="BX14" s="154">
        <f t="shared" si="157"/>
        <v>800</v>
      </c>
      <c r="BY14" s="154">
        <f t="shared" si="158"/>
        <v>800</v>
      </c>
      <c r="BZ14" s="154">
        <f t="shared" si="159"/>
        <v>26000</v>
      </c>
      <c r="CA14" s="154">
        <f t="shared" si="160"/>
        <v>26000</v>
      </c>
      <c r="CB14" s="157">
        <f t="shared" si="161"/>
        <v>14000</v>
      </c>
      <c r="CC14" s="154">
        <f t="shared" si="162"/>
        <v>0</v>
      </c>
      <c r="CD14" s="158">
        <f t="shared" si="163"/>
        <v>0</v>
      </c>
      <c r="CE14" s="156">
        <f t="shared" si="151"/>
        <v>0</v>
      </c>
      <c r="CF14" s="154">
        <f t="shared" si="165"/>
        <v>0</v>
      </c>
      <c r="CG14" s="154">
        <f t="shared" si="166"/>
        <v>0</v>
      </c>
      <c r="CH14" s="154">
        <f t="shared" si="167"/>
        <v>0</v>
      </c>
      <c r="CI14" s="154">
        <f t="shared" si="168"/>
        <v>40000</v>
      </c>
      <c r="CJ14" s="154">
        <f t="shared" si="169"/>
        <v>40000</v>
      </c>
      <c r="CK14" s="154">
        <f t="shared" si="170"/>
        <v>800</v>
      </c>
      <c r="CL14" s="154">
        <f t="shared" si="171"/>
        <v>800</v>
      </c>
      <c r="CM14" s="154">
        <f t="shared" si="172"/>
        <v>25200</v>
      </c>
      <c r="CN14" s="154">
        <f t="shared" si="173"/>
        <v>25200</v>
      </c>
      <c r="CO14" s="157">
        <f t="shared" si="174"/>
        <v>14800</v>
      </c>
      <c r="CP14" s="154">
        <f t="shared" si="175"/>
        <v>0</v>
      </c>
      <c r="CQ14" s="158">
        <f t="shared" si="176"/>
        <v>0</v>
      </c>
      <c r="CR14" s="156">
        <f t="shared" si="151"/>
        <v>0</v>
      </c>
      <c r="CS14" s="154">
        <f t="shared" si="178"/>
        <v>0</v>
      </c>
      <c r="CT14" s="154">
        <f t="shared" si="179"/>
        <v>0</v>
      </c>
      <c r="CU14" s="154">
        <f t="shared" si="180"/>
        <v>0</v>
      </c>
      <c r="CV14" s="154">
        <f t="shared" si="181"/>
        <v>40000</v>
      </c>
      <c r="CW14" s="154">
        <f t="shared" si="182"/>
        <v>40000</v>
      </c>
      <c r="CX14" s="154">
        <f t="shared" si="183"/>
        <v>800</v>
      </c>
      <c r="CY14" s="154">
        <f t="shared" si="184"/>
        <v>800</v>
      </c>
      <c r="CZ14" s="154">
        <f t="shared" si="185"/>
        <v>24400</v>
      </c>
      <c r="DA14" s="154">
        <f t="shared" si="186"/>
        <v>24400</v>
      </c>
      <c r="DB14" s="157">
        <f t="shared" si="187"/>
        <v>15600</v>
      </c>
      <c r="DC14" s="154">
        <f t="shared" si="188"/>
        <v>0</v>
      </c>
      <c r="DD14" s="158">
        <f t="shared" si="189"/>
        <v>0</v>
      </c>
      <c r="DE14" s="156">
        <f t="shared" si="190"/>
        <v>0</v>
      </c>
      <c r="DF14" s="154">
        <f t="shared" si="191"/>
        <v>0</v>
      </c>
      <c r="DG14" s="154">
        <f t="shared" si="192"/>
        <v>0</v>
      </c>
      <c r="DH14" s="154">
        <f t="shared" si="193"/>
        <v>0</v>
      </c>
      <c r="DI14" s="154">
        <f t="shared" si="194"/>
        <v>40000</v>
      </c>
      <c r="DJ14" s="154">
        <f t="shared" si="195"/>
        <v>40000</v>
      </c>
      <c r="DK14" s="154">
        <f t="shared" si="196"/>
        <v>800</v>
      </c>
      <c r="DL14" s="154">
        <f t="shared" si="197"/>
        <v>800</v>
      </c>
      <c r="DM14" s="154">
        <f t="shared" si="198"/>
        <v>23600</v>
      </c>
      <c r="DN14" s="154">
        <f t="shared" si="199"/>
        <v>23600</v>
      </c>
      <c r="DO14" s="157">
        <f t="shared" si="200"/>
        <v>16400</v>
      </c>
      <c r="DP14" s="154">
        <f t="shared" si="201"/>
        <v>0</v>
      </c>
      <c r="DQ14" s="158">
        <f t="shared" si="202"/>
        <v>0</v>
      </c>
      <c r="DR14" s="156">
        <f t="shared" si="190"/>
        <v>0</v>
      </c>
      <c r="DS14" s="154">
        <f t="shared" si="204"/>
        <v>0</v>
      </c>
      <c r="DT14" s="154">
        <f t="shared" si="205"/>
        <v>0</v>
      </c>
      <c r="DU14" s="154">
        <f t="shared" si="206"/>
        <v>0</v>
      </c>
      <c r="DV14" s="154">
        <f t="shared" si="207"/>
        <v>40000</v>
      </c>
      <c r="DW14" s="154">
        <f t="shared" si="208"/>
        <v>40000</v>
      </c>
      <c r="DX14" s="154">
        <f t="shared" si="209"/>
        <v>800</v>
      </c>
      <c r="DY14" s="154">
        <f t="shared" si="210"/>
        <v>800</v>
      </c>
      <c r="DZ14" s="154">
        <f t="shared" si="211"/>
        <v>22800</v>
      </c>
      <c r="EA14" s="154">
        <f t="shared" si="212"/>
        <v>22800</v>
      </c>
      <c r="EB14" s="157">
        <f t="shared" si="213"/>
        <v>17200</v>
      </c>
      <c r="EC14" s="154">
        <f t="shared" si="214"/>
        <v>0</v>
      </c>
      <c r="ED14" s="158">
        <f t="shared" si="215"/>
        <v>0</v>
      </c>
    </row>
    <row r="15" spans="1:134" x14ac:dyDescent="0.35">
      <c r="A15" s="183">
        <v>2003</v>
      </c>
      <c r="B15" s="183" t="s">
        <v>571</v>
      </c>
      <c r="C15" s="183"/>
      <c r="D15" s="175" t="s">
        <v>113</v>
      </c>
      <c r="E15" s="176">
        <v>50000</v>
      </c>
      <c r="F15" s="177">
        <v>37803</v>
      </c>
      <c r="G15" s="178">
        <v>50</v>
      </c>
      <c r="H15" s="179"/>
      <c r="I15" s="180"/>
      <c r="J15" s="181"/>
      <c r="K15" s="152">
        <f t="shared" si="216"/>
        <v>0.02</v>
      </c>
      <c r="L15" s="153">
        <f t="shared" si="217"/>
        <v>1000</v>
      </c>
      <c r="M15" s="154">
        <f t="shared" si="218"/>
        <v>41500</v>
      </c>
      <c r="N15" s="154"/>
      <c r="O15" s="154">
        <f t="shared" si="219"/>
        <v>8500</v>
      </c>
      <c r="P15" s="155"/>
      <c r="Q15" s="154">
        <f t="shared" si="220"/>
        <v>50000</v>
      </c>
      <c r="R15" s="156">
        <f t="shared" si="221"/>
        <v>0</v>
      </c>
      <c r="S15" s="154">
        <f t="shared" si="222"/>
        <v>0</v>
      </c>
      <c r="T15" s="154">
        <f t="shared" si="223"/>
        <v>0</v>
      </c>
      <c r="U15" s="154">
        <f t="shared" si="224"/>
        <v>0</v>
      </c>
      <c r="V15" s="154">
        <f t="shared" si="225"/>
        <v>50000</v>
      </c>
      <c r="W15" s="154">
        <f t="shared" si="226"/>
        <v>50000</v>
      </c>
      <c r="X15" s="154">
        <f t="shared" si="227"/>
        <v>1000</v>
      </c>
      <c r="Y15" s="154">
        <f t="shared" si="228"/>
        <v>1000</v>
      </c>
      <c r="Z15" s="154">
        <f t="shared" si="229"/>
        <v>40500</v>
      </c>
      <c r="AA15" s="154">
        <f t="shared" si="230"/>
        <v>40500</v>
      </c>
      <c r="AB15" s="157">
        <f t="shared" si="231"/>
        <v>9500</v>
      </c>
      <c r="AC15" s="154">
        <f t="shared" si="232"/>
        <v>0</v>
      </c>
      <c r="AD15" s="158">
        <f t="shared" si="233"/>
        <v>0</v>
      </c>
      <c r="AE15" s="156">
        <f t="shared" si="112"/>
        <v>0</v>
      </c>
      <c r="AF15" s="154">
        <f t="shared" si="113"/>
        <v>0</v>
      </c>
      <c r="AG15" s="154">
        <f t="shared" si="114"/>
        <v>0</v>
      </c>
      <c r="AH15" s="154">
        <f t="shared" si="115"/>
        <v>0</v>
      </c>
      <c r="AI15" s="154">
        <f t="shared" si="116"/>
        <v>50000</v>
      </c>
      <c r="AJ15" s="154">
        <f t="shared" si="117"/>
        <v>50000</v>
      </c>
      <c r="AK15" s="154">
        <f t="shared" si="118"/>
        <v>1000</v>
      </c>
      <c r="AL15" s="154">
        <f t="shared" si="119"/>
        <v>1000</v>
      </c>
      <c r="AM15" s="154">
        <f t="shared" si="120"/>
        <v>39500</v>
      </c>
      <c r="AN15" s="154">
        <f t="shared" si="121"/>
        <v>39500</v>
      </c>
      <c r="AO15" s="157">
        <f t="shared" si="122"/>
        <v>10500</v>
      </c>
      <c r="AP15" s="154">
        <f t="shared" si="123"/>
        <v>0</v>
      </c>
      <c r="AQ15" s="158">
        <f t="shared" si="124"/>
        <v>0</v>
      </c>
      <c r="AR15" s="156">
        <f t="shared" si="112"/>
        <v>0</v>
      </c>
      <c r="AS15" s="154">
        <f t="shared" si="126"/>
        <v>0</v>
      </c>
      <c r="AT15" s="154">
        <f t="shared" si="127"/>
        <v>0</v>
      </c>
      <c r="AU15" s="154">
        <f t="shared" si="128"/>
        <v>0</v>
      </c>
      <c r="AV15" s="154">
        <f t="shared" si="129"/>
        <v>50000</v>
      </c>
      <c r="AW15" s="154">
        <f t="shared" si="130"/>
        <v>50000</v>
      </c>
      <c r="AX15" s="154">
        <f t="shared" si="131"/>
        <v>1000</v>
      </c>
      <c r="AY15" s="154">
        <f t="shared" si="132"/>
        <v>1000</v>
      </c>
      <c r="AZ15" s="154">
        <f t="shared" si="133"/>
        <v>38500</v>
      </c>
      <c r="BA15" s="154">
        <f t="shared" si="134"/>
        <v>38500</v>
      </c>
      <c r="BB15" s="157">
        <f t="shared" si="135"/>
        <v>11500</v>
      </c>
      <c r="BC15" s="154">
        <f t="shared" si="136"/>
        <v>0</v>
      </c>
      <c r="BD15" s="158">
        <f t="shared" si="137"/>
        <v>0</v>
      </c>
      <c r="BE15" s="156">
        <f t="shared" si="112"/>
        <v>0</v>
      </c>
      <c r="BF15" s="154">
        <f t="shared" si="139"/>
        <v>0</v>
      </c>
      <c r="BG15" s="154">
        <f t="shared" si="140"/>
        <v>0</v>
      </c>
      <c r="BH15" s="154">
        <f t="shared" si="141"/>
        <v>0</v>
      </c>
      <c r="BI15" s="154">
        <f t="shared" si="142"/>
        <v>50000</v>
      </c>
      <c r="BJ15" s="154">
        <f t="shared" si="143"/>
        <v>50000</v>
      </c>
      <c r="BK15" s="154">
        <f t="shared" si="144"/>
        <v>1000</v>
      </c>
      <c r="BL15" s="154">
        <f t="shared" si="145"/>
        <v>1000</v>
      </c>
      <c r="BM15" s="154">
        <f t="shared" si="146"/>
        <v>37500</v>
      </c>
      <c r="BN15" s="154">
        <f t="shared" si="147"/>
        <v>37500</v>
      </c>
      <c r="BO15" s="157">
        <f t="shared" si="148"/>
        <v>12500</v>
      </c>
      <c r="BP15" s="154">
        <f t="shared" si="149"/>
        <v>0</v>
      </c>
      <c r="BQ15" s="158">
        <f t="shared" si="150"/>
        <v>0</v>
      </c>
      <c r="BR15" s="156">
        <f t="shared" si="151"/>
        <v>0</v>
      </c>
      <c r="BS15" s="154">
        <f t="shared" si="152"/>
        <v>0</v>
      </c>
      <c r="BT15" s="154">
        <f t="shared" si="153"/>
        <v>0</v>
      </c>
      <c r="BU15" s="154">
        <f t="shared" si="154"/>
        <v>0</v>
      </c>
      <c r="BV15" s="154">
        <f t="shared" si="155"/>
        <v>50000</v>
      </c>
      <c r="BW15" s="154">
        <f t="shared" si="156"/>
        <v>50000</v>
      </c>
      <c r="BX15" s="154">
        <f t="shared" si="157"/>
        <v>1000</v>
      </c>
      <c r="BY15" s="154">
        <f t="shared" si="158"/>
        <v>1000</v>
      </c>
      <c r="BZ15" s="154">
        <f t="shared" si="159"/>
        <v>36500</v>
      </c>
      <c r="CA15" s="154">
        <f t="shared" si="160"/>
        <v>36500</v>
      </c>
      <c r="CB15" s="157">
        <f t="shared" si="161"/>
        <v>13500</v>
      </c>
      <c r="CC15" s="154">
        <f t="shared" si="162"/>
        <v>0</v>
      </c>
      <c r="CD15" s="158">
        <f t="shared" si="163"/>
        <v>0</v>
      </c>
      <c r="CE15" s="156">
        <f t="shared" si="151"/>
        <v>0</v>
      </c>
      <c r="CF15" s="154">
        <f t="shared" si="165"/>
        <v>0</v>
      </c>
      <c r="CG15" s="154">
        <f t="shared" si="166"/>
        <v>0</v>
      </c>
      <c r="CH15" s="154">
        <f t="shared" si="167"/>
        <v>0</v>
      </c>
      <c r="CI15" s="154">
        <f t="shared" si="168"/>
        <v>50000</v>
      </c>
      <c r="CJ15" s="154">
        <f t="shared" si="169"/>
        <v>50000</v>
      </c>
      <c r="CK15" s="154">
        <f t="shared" si="170"/>
        <v>1000</v>
      </c>
      <c r="CL15" s="154">
        <f t="shared" si="171"/>
        <v>1000</v>
      </c>
      <c r="CM15" s="154">
        <f t="shared" si="172"/>
        <v>35500</v>
      </c>
      <c r="CN15" s="154">
        <f t="shared" si="173"/>
        <v>35500</v>
      </c>
      <c r="CO15" s="157">
        <f t="shared" si="174"/>
        <v>14500</v>
      </c>
      <c r="CP15" s="154">
        <f t="shared" si="175"/>
        <v>0</v>
      </c>
      <c r="CQ15" s="158">
        <f t="shared" si="176"/>
        <v>0</v>
      </c>
      <c r="CR15" s="156">
        <f t="shared" si="151"/>
        <v>0</v>
      </c>
      <c r="CS15" s="154">
        <f t="shared" si="178"/>
        <v>0</v>
      </c>
      <c r="CT15" s="154">
        <f t="shared" si="179"/>
        <v>0</v>
      </c>
      <c r="CU15" s="154">
        <f t="shared" si="180"/>
        <v>0</v>
      </c>
      <c r="CV15" s="154">
        <f t="shared" si="181"/>
        <v>50000</v>
      </c>
      <c r="CW15" s="154">
        <f t="shared" si="182"/>
        <v>50000</v>
      </c>
      <c r="CX15" s="154">
        <f t="shared" si="183"/>
        <v>1000</v>
      </c>
      <c r="CY15" s="154">
        <f t="shared" si="184"/>
        <v>1000</v>
      </c>
      <c r="CZ15" s="154">
        <f t="shared" si="185"/>
        <v>34500</v>
      </c>
      <c r="DA15" s="154">
        <f t="shared" si="186"/>
        <v>34500</v>
      </c>
      <c r="DB15" s="157">
        <f t="shared" si="187"/>
        <v>15500</v>
      </c>
      <c r="DC15" s="154">
        <f t="shared" si="188"/>
        <v>0</v>
      </c>
      <c r="DD15" s="158">
        <f t="shared" si="189"/>
        <v>0</v>
      </c>
      <c r="DE15" s="156">
        <f t="shared" si="190"/>
        <v>0</v>
      </c>
      <c r="DF15" s="154">
        <f t="shared" si="191"/>
        <v>0</v>
      </c>
      <c r="DG15" s="154">
        <f t="shared" si="192"/>
        <v>0</v>
      </c>
      <c r="DH15" s="154">
        <f t="shared" si="193"/>
        <v>0</v>
      </c>
      <c r="DI15" s="154">
        <f t="shared" si="194"/>
        <v>50000</v>
      </c>
      <c r="DJ15" s="154">
        <f t="shared" si="195"/>
        <v>50000</v>
      </c>
      <c r="DK15" s="154">
        <f t="shared" si="196"/>
        <v>1000</v>
      </c>
      <c r="DL15" s="154">
        <f t="shared" si="197"/>
        <v>1000</v>
      </c>
      <c r="DM15" s="154">
        <f t="shared" si="198"/>
        <v>33500</v>
      </c>
      <c r="DN15" s="154">
        <f t="shared" si="199"/>
        <v>33500</v>
      </c>
      <c r="DO15" s="157">
        <f t="shared" si="200"/>
        <v>16500</v>
      </c>
      <c r="DP15" s="154">
        <f t="shared" si="201"/>
        <v>0</v>
      </c>
      <c r="DQ15" s="158">
        <f t="shared" si="202"/>
        <v>0</v>
      </c>
      <c r="DR15" s="156">
        <f t="shared" si="190"/>
        <v>0</v>
      </c>
      <c r="DS15" s="154">
        <f t="shared" si="204"/>
        <v>0</v>
      </c>
      <c r="DT15" s="154">
        <f t="shared" si="205"/>
        <v>0</v>
      </c>
      <c r="DU15" s="154">
        <f t="shared" si="206"/>
        <v>0</v>
      </c>
      <c r="DV15" s="154">
        <f t="shared" si="207"/>
        <v>50000</v>
      </c>
      <c r="DW15" s="154">
        <f t="shared" si="208"/>
        <v>50000</v>
      </c>
      <c r="DX15" s="154">
        <f t="shared" si="209"/>
        <v>1000</v>
      </c>
      <c r="DY15" s="154">
        <f t="shared" si="210"/>
        <v>1000</v>
      </c>
      <c r="DZ15" s="154">
        <f t="shared" si="211"/>
        <v>32500</v>
      </c>
      <c r="EA15" s="154">
        <f t="shared" si="212"/>
        <v>32500</v>
      </c>
      <c r="EB15" s="157">
        <f t="shared" si="213"/>
        <v>17500</v>
      </c>
      <c r="EC15" s="154">
        <f t="shared" si="214"/>
        <v>0</v>
      </c>
      <c r="ED15" s="158">
        <f t="shared" si="215"/>
        <v>0</v>
      </c>
    </row>
    <row r="16" spans="1:134" x14ac:dyDescent="0.35">
      <c r="A16" s="183"/>
      <c r="B16" s="183"/>
      <c r="C16" s="183"/>
      <c r="D16" s="175"/>
      <c r="E16" s="176"/>
      <c r="F16" s="177"/>
      <c r="G16" s="178"/>
      <c r="H16" s="179"/>
      <c r="I16" s="180"/>
      <c r="J16" s="181"/>
      <c r="K16" s="152">
        <f t="shared" si="216"/>
        <v>0</v>
      </c>
      <c r="L16" s="153">
        <f t="shared" si="217"/>
        <v>0</v>
      </c>
      <c r="M16" s="154">
        <f t="shared" si="218"/>
        <v>0</v>
      </c>
      <c r="N16" s="154"/>
      <c r="O16" s="154">
        <f t="shared" si="219"/>
        <v>0</v>
      </c>
      <c r="P16" s="155"/>
      <c r="Q16" s="154">
        <f t="shared" si="220"/>
        <v>0</v>
      </c>
      <c r="R16" s="156">
        <f t="shared" si="221"/>
        <v>0</v>
      </c>
      <c r="S16" s="154">
        <f t="shared" si="222"/>
        <v>0</v>
      </c>
      <c r="T16" s="154">
        <f t="shared" si="223"/>
        <v>0</v>
      </c>
      <c r="U16" s="154">
        <f t="shared" si="224"/>
        <v>0</v>
      </c>
      <c r="V16" s="154">
        <f t="shared" si="225"/>
        <v>0</v>
      </c>
      <c r="W16" s="154">
        <f t="shared" si="226"/>
        <v>0</v>
      </c>
      <c r="X16" s="154">
        <f t="shared" si="227"/>
        <v>0</v>
      </c>
      <c r="Y16" s="154">
        <f t="shared" si="228"/>
        <v>0</v>
      </c>
      <c r="Z16" s="154">
        <f t="shared" si="229"/>
        <v>0</v>
      </c>
      <c r="AA16" s="154">
        <f t="shared" si="230"/>
        <v>0</v>
      </c>
      <c r="AB16" s="157">
        <f t="shared" si="231"/>
        <v>0</v>
      </c>
      <c r="AC16" s="154">
        <f t="shared" si="232"/>
        <v>0</v>
      </c>
      <c r="AD16" s="158">
        <f t="shared" si="233"/>
        <v>0</v>
      </c>
      <c r="AE16" s="156">
        <f t="shared" si="112"/>
        <v>0</v>
      </c>
      <c r="AF16" s="154">
        <f t="shared" si="113"/>
        <v>0</v>
      </c>
      <c r="AG16" s="154">
        <f t="shared" si="114"/>
        <v>0</v>
      </c>
      <c r="AH16" s="154">
        <f t="shared" si="115"/>
        <v>0</v>
      </c>
      <c r="AI16" s="154">
        <f t="shared" si="116"/>
        <v>0</v>
      </c>
      <c r="AJ16" s="154">
        <f t="shared" si="117"/>
        <v>0</v>
      </c>
      <c r="AK16" s="154">
        <f t="shared" si="118"/>
        <v>0</v>
      </c>
      <c r="AL16" s="154">
        <f t="shared" si="119"/>
        <v>0</v>
      </c>
      <c r="AM16" s="154">
        <f t="shared" si="120"/>
        <v>0</v>
      </c>
      <c r="AN16" s="154">
        <f t="shared" si="121"/>
        <v>0</v>
      </c>
      <c r="AO16" s="157">
        <f t="shared" si="122"/>
        <v>0</v>
      </c>
      <c r="AP16" s="154">
        <f t="shared" si="123"/>
        <v>0</v>
      </c>
      <c r="AQ16" s="158">
        <f t="shared" si="124"/>
        <v>0</v>
      </c>
      <c r="AR16" s="156">
        <f t="shared" si="112"/>
        <v>0</v>
      </c>
      <c r="AS16" s="154">
        <f t="shared" si="126"/>
        <v>0</v>
      </c>
      <c r="AT16" s="154">
        <f t="shared" si="127"/>
        <v>0</v>
      </c>
      <c r="AU16" s="154">
        <f t="shared" si="128"/>
        <v>0</v>
      </c>
      <c r="AV16" s="154">
        <f t="shared" si="129"/>
        <v>0</v>
      </c>
      <c r="AW16" s="154">
        <f t="shared" si="130"/>
        <v>0</v>
      </c>
      <c r="AX16" s="154">
        <f t="shared" si="131"/>
        <v>0</v>
      </c>
      <c r="AY16" s="154">
        <f t="shared" si="132"/>
        <v>0</v>
      </c>
      <c r="AZ16" s="154">
        <f t="shared" si="133"/>
        <v>0</v>
      </c>
      <c r="BA16" s="154">
        <f t="shared" si="134"/>
        <v>0</v>
      </c>
      <c r="BB16" s="157">
        <f t="shared" si="135"/>
        <v>0</v>
      </c>
      <c r="BC16" s="154">
        <f t="shared" si="136"/>
        <v>0</v>
      </c>
      <c r="BD16" s="158">
        <f t="shared" si="137"/>
        <v>0</v>
      </c>
      <c r="BE16" s="156">
        <f t="shared" si="112"/>
        <v>0</v>
      </c>
      <c r="BF16" s="154">
        <f t="shared" si="139"/>
        <v>0</v>
      </c>
      <c r="BG16" s="154">
        <f t="shared" si="140"/>
        <v>0</v>
      </c>
      <c r="BH16" s="154">
        <f t="shared" si="141"/>
        <v>0</v>
      </c>
      <c r="BI16" s="154">
        <f t="shared" si="142"/>
        <v>0</v>
      </c>
      <c r="BJ16" s="154">
        <f t="shared" si="143"/>
        <v>0</v>
      </c>
      <c r="BK16" s="154">
        <f t="shared" si="144"/>
        <v>0</v>
      </c>
      <c r="BL16" s="154">
        <f t="shared" si="145"/>
        <v>0</v>
      </c>
      <c r="BM16" s="154">
        <f t="shared" si="146"/>
        <v>0</v>
      </c>
      <c r="BN16" s="154">
        <f t="shared" si="147"/>
        <v>0</v>
      </c>
      <c r="BO16" s="157">
        <f t="shared" si="148"/>
        <v>0</v>
      </c>
      <c r="BP16" s="154">
        <f t="shared" si="149"/>
        <v>0</v>
      </c>
      <c r="BQ16" s="158">
        <f t="shared" si="150"/>
        <v>0</v>
      </c>
      <c r="BR16" s="156">
        <f t="shared" si="151"/>
        <v>0</v>
      </c>
      <c r="BS16" s="154">
        <f t="shared" si="152"/>
        <v>0</v>
      </c>
      <c r="BT16" s="154">
        <f t="shared" si="153"/>
        <v>0</v>
      </c>
      <c r="BU16" s="154">
        <f t="shared" si="154"/>
        <v>0</v>
      </c>
      <c r="BV16" s="154">
        <f t="shared" si="155"/>
        <v>0</v>
      </c>
      <c r="BW16" s="154">
        <f t="shared" si="156"/>
        <v>0</v>
      </c>
      <c r="BX16" s="154">
        <f t="shared" si="157"/>
        <v>0</v>
      </c>
      <c r="BY16" s="154">
        <f t="shared" si="158"/>
        <v>0</v>
      </c>
      <c r="BZ16" s="154">
        <f t="shared" si="159"/>
        <v>0</v>
      </c>
      <c r="CA16" s="154">
        <f t="shared" si="160"/>
        <v>0</v>
      </c>
      <c r="CB16" s="157">
        <f t="shared" si="161"/>
        <v>0</v>
      </c>
      <c r="CC16" s="154">
        <f t="shared" si="162"/>
        <v>0</v>
      </c>
      <c r="CD16" s="158">
        <f t="shared" si="163"/>
        <v>0</v>
      </c>
      <c r="CE16" s="156">
        <f t="shared" si="151"/>
        <v>0</v>
      </c>
      <c r="CF16" s="154">
        <f t="shared" si="165"/>
        <v>0</v>
      </c>
      <c r="CG16" s="154">
        <f t="shared" si="166"/>
        <v>0</v>
      </c>
      <c r="CH16" s="154">
        <f t="shared" si="167"/>
        <v>0</v>
      </c>
      <c r="CI16" s="154">
        <f t="shared" si="168"/>
        <v>0</v>
      </c>
      <c r="CJ16" s="154">
        <f t="shared" si="169"/>
        <v>0</v>
      </c>
      <c r="CK16" s="154">
        <f t="shared" si="170"/>
        <v>0</v>
      </c>
      <c r="CL16" s="154">
        <f t="shared" si="171"/>
        <v>0</v>
      </c>
      <c r="CM16" s="154">
        <f t="shared" si="172"/>
        <v>0</v>
      </c>
      <c r="CN16" s="154">
        <f t="shared" si="173"/>
        <v>0</v>
      </c>
      <c r="CO16" s="157">
        <f t="shared" si="174"/>
        <v>0</v>
      </c>
      <c r="CP16" s="154">
        <f t="shared" si="175"/>
        <v>0</v>
      </c>
      <c r="CQ16" s="158">
        <f t="shared" si="176"/>
        <v>0</v>
      </c>
      <c r="CR16" s="156">
        <f t="shared" si="151"/>
        <v>0</v>
      </c>
      <c r="CS16" s="154">
        <f t="shared" si="178"/>
        <v>0</v>
      </c>
      <c r="CT16" s="154">
        <f t="shared" si="179"/>
        <v>0</v>
      </c>
      <c r="CU16" s="154">
        <f t="shared" si="180"/>
        <v>0</v>
      </c>
      <c r="CV16" s="154">
        <f t="shared" si="181"/>
        <v>0</v>
      </c>
      <c r="CW16" s="154">
        <f t="shared" si="182"/>
        <v>0</v>
      </c>
      <c r="CX16" s="154">
        <f t="shared" si="183"/>
        <v>0</v>
      </c>
      <c r="CY16" s="154">
        <f t="shared" si="184"/>
        <v>0</v>
      </c>
      <c r="CZ16" s="154">
        <f t="shared" si="185"/>
        <v>0</v>
      </c>
      <c r="DA16" s="154">
        <f t="shared" si="186"/>
        <v>0</v>
      </c>
      <c r="DB16" s="157">
        <f t="shared" si="187"/>
        <v>0</v>
      </c>
      <c r="DC16" s="154">
        <f t="shared" si="188"/>
        <v>0</v>
      </c>
      <c r="DD16" s="158">
        <f t="shared" si="189"/>
        <v>0</v>
      </c>
      <c r="DE16" s="156">
        <f t="shared" si="190"/>
        <v>0</v>
      </c>
      <c r="DF16" s="154">
        <f t="shared" si="191"/>
        <v>0</v>
      </c>
      <c r="DG16" s="154">
        <f t="shared" si="192"/>
        <v>0</v>
      </c>
      <c r="DH16" s="154">
        <f t="shared" si="193"/>
        <v>0</v>
      </c>
      <c r="DI16" s="154">
        <f t="shared" si="194"/>
        <v>0</v>
      </c>
      <c r="DJ16" s="154">
        <f t="shared" si="195"/>
        <v>0</v>
      </c>
      <c r="DK16" s="154">
        <f t="shared" si="196"/>
        <v>0</v>
      </c>
      <c r="DL16" s="154">
        <f t="shared" si="197"/>
        <v>0</v>
      </c>
      <c r="DM16" s="154">
        <f t="shared" si="198"/>
        <v>0</v>
      </c>
      <c r="DN16" s="154">
        <f t="shared" si="199"/>
        <v>0</v>
      </c>
      <c r="DO16" s="157">
        <f t="shared" si="200"/>
        <v>0</v>
      </c>
      <c r="DP16" s="154">
        <f t="shared" si="201"/>
        <v>0</v>
      </c>
      <c r="DQ16" s="158">
        <f t="shared" si="202"/>
        <v>0</v>
      </c>
      <c r="DR16" s="156">
        <f t="shared" si="190"/>
        <v>0</v>
      </c>
      <c r="DS16" s="154">
        <f t="shared" si="204"/>
        <v>0</v>
      </c>
      <c r="DT16" s="154">
        <f t="shared" si="205"/>
        <v>0</v>
      </c>
      <c r="DU16" s="154">
        <f t="shared" si="206"/>
        <v>0</v>
      </c>
      <c r="DV16" s="154">
        <f t="shared" si="207"/>
        <v>0</v>
      </c>
      <c r="DW16" s="154">
        <f t="shared" si="208"/>
        <v>0</v>
      </c>
      <c r="DX16" s="154">
        <f t="shared" si="209"/>
        <v>0</v>
      </c>
      <c r="DY16" s="154">
        <f t="shared" si="210"/>
        <v>0</v>
      </c>
      <c r="DZ16" s="154">
        <f t="shared" si="211"/>
        <v>0</v>
      </c>
      <c r="EA16" s="154">
        <f t="shared" si="212"/>
        <v>0</v>
      </c>
      <c r="EB16" s="157">
        <f t="shared" si="213"/>
        <v>0</v>
      </c>
      <c r="EC16" s="154">
        <f t="shared" si="214"/>
        <v>0</v>
      </c>
      <c r="ED16" s="158">
        <f t="shared" si="215"/>
        <v>0</v>
      </c>
    </row>
    <row r="17" spans="1:134" x14ac:dyDescent="0.35">
      <c r="A17" s="183"/>
      <c r="B17" s="183" t="s">
        <v>573</v>
      </c>
      <c r="C17" s="183"/>
      <c r="D17" s="175"/>
      <c r="E17" s="176"/>
      <c r="F17" s="177"/>
      <c r="G17" s="178"/>
      <c r="H17" s="179"/>
      <c r="I17" s="180"/>
      <c r="J17" s="181"/>
      <c r="K17" s="152">
        <f t="shared" si="216"/>
        <v>0</v>
      </c>
      <c r="L17" s="153">
        <f t="shared" si="217"/>
        <v>0</v>
      </c>
      <c r="M17" s="154">
        <f t="shared" si="218"/>
        <v>0</v>
      </c>
      <c r="N17" s="154"/>
      <c r="O17" s="154">
        <f t="shared" si="219"/>
        <v>0</v>
      </c>
      <c r="P17" s="155"/>
      <c r="Q17" s="154">
        <f t="shared" si="220"/>
        <v>0</v>
      </c>
      <c r="R17" s="156">
        <f t="shared" si="221"/>
        <v>0</v>
      </c>
      <c r="S17" s="154">
        <f t="shared" si="222"/>
        <v>0</v>
      </c>
      <c r="T17" s="154">
        <f t="shared" si="223"/>
        <v>0</v>
      </c>
      <c r="U17" s="154">
        <f t="shared" si="224"/>
        <v>0</v>
      </c>
      <c r="V17" s="154">
        <f t="shared" si="225"/>
        <v>0</v>
      </c>
      <c r="W17" s="154">
        <f t="shared" si="226"/>
        <v>0</v>
      </c>
      <c r="X17" s="154">
        <f t="shared" si="227"/>
        <v>0</v>
      </c>
      <c r="Y17" s="154">
        <f t="shared" si="228"/>
        <v>0</v>
      </c>
      <c r="Z17" s="154">
        <f t="shared" si="229"/>
        <v>0</v>
      </c>
      <c r="AA17" s="154">
        <f t="shared" si="230"/>
        <v>0</v>
      </c>
      <c r="AB17" s="157">
        <f t="shared" si="231"/>
        <v>0</v>
      </c>
      <c r="AC17" s="154">
        <f t="shared" si="232"/>
        <v>0</v>
      </c>
      <c r="AD17" s="158">
        <f t="shared" si="233"/>
        <v>0</v>
      </c>
      <c r="AE17" s="156">
        <f t="shared" si="112"/>
        <v>0</v>
      </c>
      <c r="AF17" s="154">
        <f t="shared" si="113"/>
        <v>0</v>
      </c>
      <c r="AG17" s="154">
        <f t="shared" si="114"/>
        <v>0</v>
      </c>
      <c r="AH17" s="154">
        <f t="shared" si="115"/>
        <v>0</v>
      </c>
      <c r="AI17" s="154">
        <f t="shared" si="116"/>
        <v>0</v>
      </c>
      <c r="AJ17" s="154">
        <f t="shared" si="117"/>
        <v>0</v>
      </c>
      <c r="AK17" s="154">
        <f t="shared" si="118"/>
        <v>0</v>
      </c>
      <c r="AL17" s="154">
        <f t="shared" si="119"/>
        <v>0</v>
      </c>
      <c r="AM17" s="154">
        <f t="shared" si="120"/>
        <v>0</v>
      </c>
      <c r="AN17" s="154">
        <f t="shared" si="121"/>
        <v>0</v>
      </c>
      <c r="AO17" s="157">
        <f t="shared" si="122"/>
        <v>0</v>
      </c>
      <c r="AP17" s="154">
        <f t="shared" si="123"/>
        <v>0</v>
      </c>
      <c r="AQ17" s="158">
        <f t="shared" si="124"/>
        <v>0</v>
      </c>
      <c r="AR17" s="156">
        <f t="shared" si="112"/>
        <v>0</v>
      </c>
      <c r="AS17" s="154">
        <f t="shared" si="126"/>
        <v>0</v>
      </c>
      <c r="AT17" s="154">
        <f t="shared" si="127"/>
        <v>0</v>
      </c>
      <c r="AU17" s="154">
        <f t="shared" si="128"/>
        <v>0</v>
      </c>
      <c r="AV17" s="154">
        <f t="shared" si="129"/>
        <v>0</v>
      </c>
      <c r="AW17" s="154">
        <f t="shared" si="130"/>
        <v>0</v>
      </c>
      <c r="AX17" s="154">
        <f t="shared" si="131"/>
        <v>0</v>
      </c>
      <c r="AY17" s="154">
        <f t="shared" si="132"/>
        <v>0</v>
      </c>
      <c r="AZ17" s="154">
        <f t="shared" si="133"/>
        <v>0</v>
      </c>
      <c r="BA17" s="154">
        <f t="shared" si="134"/>
        <v>0</v>
      </c>
      <c r="BB17" s="157">
        <f t="shared" si="135"/>
        <v>0</v>
      </c>
      <c r="BC17" s="154">
        <f t="shared" si="136"/>
        <v>0</v>
      </c>
      <c r="BD17" s="158">
        <f t="shared" si="137"/>
        <v>0</v>
      </c>
      <c r="BE17" s="156">
        <f t="shared" si="112"/>
        <v>0</v>
      </c>
      <c r="BF17" s="154">
        <f t="shared" si="139"/>
        <v>0</v>
      </c>
      <c r="BG17" s="154">
        <f t="shared" si="140"/>
        <v>0</v>
      </c>
      <c r="BH17" s="154">
        <f t="shared" si="141"/>
        <v>0</v>
      </c>
      <c r="BI17" s="154">
        <f t="shared" si="142"/>
        <v>0</v>
      </c>
      <c r="BJ17" s="154">
        <f t="shared" si="143"/>
        <v>0</v>
      </c>
      <c r="BK17" s="154">
        <f t="shared" si="144"/>
        <v>0</v>
      </c>
      <c r="BL17" s="154">
        <f t="shared" si="145"/>
        <v>0</v>
      </c>
      <c r="BM17" s="154">
        <f t="shared" si="146"/>
        <v>0</v>
      </c>
      <c r="BN17" s="154">
        <f t="shared" si="147"/>
        <v>0</v>
      </c>
      <c r="BO17" s="157">
        <f t="shared" si="148"/>
        <v>0</v>
      </c>
      <c r="BP17" s="154">
        <f t="shared" si="149"/>
        <v>0</v>
      </c>
      <c r="BQ17" s="158">
        <f t="shared" si="150"/>
        <v>0</v>
      </c>
      <c r="BR17" s="156">
        <f t="shared" si="151"/>
        <v>0</v>
      </c>
      <c r="BS17" s="154">
        <f t="shared" si="152"/>
        <v>0</v>
      </c>
      <c r="BT17" s="154">
        <f t="shared" si="153"/>
        <v>0</v>
      </c>
      <c r="BU17" s="154">
        <f t="shared" si="154"/>
        <v>0</v>
      </c>
      <c r="BV17" s="154">
        <f t="shared" si="155"/>
        <v>0</v>
      </c>
      <c r="BW17" s="154">
        <f t="shared" si="156"/>
        <v>0</v>
      </c>
      <c r="BX17" s="154">
        <f t="shared" si="157"/>
        <v>0</v>
      </c>
      <c r="BY17" s="154">
        <f t="shared" si="158"/>
        <v>0</v>
      </c>
      <c r="BZ17" s="154">
        <f t="shared" si="159"/>
        <v>0</v>
      </c>
      <c r="CA17" s="154">
        <f t="shared" si="160"/>
        <v>0</v>
      </c>
      <c r="CB17" s="157">
        <f t="shared" si="161"/>
        <v>0</v>
      </c>
      <c r="CC17" s="154">
        <f t="shared" si="162"/>
        <v>0</v>
      </c>
      <c r="CD17" s="158">
        <f t="shared" si="163"/>
        <v>0</v>
      </c>
      <c r="CE17" s="156">
        <f t="shared" si="151"/>
        <v>0</v>
      </c>
      <c r="CF17" s="154">
        <f t="shared" si="165"/>
        <v>0</v>
      </c>
      <c r="CG17" s="154">
        <f t="shared" si="166"/>
        <v>0</v>
      </c>
      <c r="CH17" s="154">
        <f t="shared" si="167"/>
        <v>0</v>
      </c>
      <c r="CI17" s="154">
        <f t="shared" si="168"/>
        <v>0</v>
      </c>
      <c r="CJ17" s="154">
        <f t="shared" si="169"/>
        <v>0</v>
      </c>
      <c r="CK17" s="154">
        <f t="shared" si="170"/>
        <v>0</v>
      </c>
      <c r="CL17" s="154">
        <f t="shared" si="171"/>
        <v>0</v>
      </c>
      <c r="CM17" s="154">
        <f t="shared" si="172"/>
        <v>0</v>
      </c>
      <c r="CN17" s="154">
        <f t="shared" si="173"/>
        <v>0</v>
      </c>
      <c r="CO17" s="157">
        <f t="shared" si="174"/>
        <v>0</v>
      </c>
      <c r="CP17" s="154">
        <f t="shared" si="175"/>
        <v>0</v>
      </c>
      <c r="CQ17" s="158">
        <f t="shared" si="176"/>
        <v>0</v>
      </c>
      <c r="CR17" s="156">
        <f t="shared" si="151"/>
        <v>0</v>
      </c>
      <c r="CS17" s="154">
        <f t="shared" si="178"/>
        <v>0</v>
      </c>
      <c r="CT17" s="154">
        <f t="shared" si="179"/>
        <v>0</v>
      </c>
      <c r="CU17" s="154">
        <f t="shared" si="180"/>
        <v>0</v>
      </c>
      <c r="CV17" s="154">
        <f t="shared" si="181"/>
        <v>0</v>
      </c>
      <c r="CW17" s="154">
        <f t="shared" si="182"/>
        <v>0</v>
      </c>
      <c r="CX17" s="154">
        <f t="shared" si="183"/>
        <v>0</v>
      </c>
      <c r="CY17" s="154">
        <f t="shared" si="184"/>
        <v>0</v>
      </c>
      <c r="CZ17" s="154">
        <f t="shared" si="185"/>
        <v>0</v>
      </c>
      <c r="DA17" s="154">
        <f t="shared" si="186"/>
        <v>0</v>
      </c>
      <c r="DB17" s="157">
        <f t="shared" si="187"/>
        <v>0</v>
      </c>
      <c r="DC17" s="154">
        <f t="shared" si="188"/>
        <v>0</v>
      </c>
      <c r="DD17" s="158">
        <f t="shared" si="189"/>
        <v>0</v>
      </c>
      <c r="DE17" s="156">
        <f t="shared" si="190"/>
        <v>0</v>
      </c>
      <c r="DF17" s="154">
        <f t="shared" si="191"/>
        <v>0</v>
      </c>
      <c r="DG17" s="154">
        <f t="shared" si="192"/>
        <v>0</v>
      </c>
      <c r="DH17" s="154">
        <f t="shared" si="193"/>
        <v>0</v>
      </c>
      <c r="DI17" s="154">
        <f t="shared" si="194"/>
        <v>0</v>
      </c>
      <c r="DJ17" s="154">
        <f t="shared" si="195"/>
        <v>0</v>
      </c>
      <c r="DK17" s="154">
        <f t="shared" si="196"/>
        <v>0</v>
      </c>
      <c r="DL17" s="154">
        <f t="shared" si="197"/>
        <v>0</v>
      </c>
      <c r="DM17" s="154">
        <f t="shared" si="198"/>
        <v>0</v>
      </c>
      <c r="DN17" s="154">
        <f t="shared" si="199"/>
        <v>0</v>
      </c>
      <c r="DO17" s="157">
        <f t="shared" si="200"/>
        <v>0</v>
      </c>
      <c r="DP17" s="154">
        <f t="shared" si="201"/>
        <v>0</v>
      </c>
      <c r="DQ17" s="158">
        <f t="shared" si="202"/>
        <v>0</v>
      </c>
      <c r="DR17" s="156">
        <f t="shared" si="190"/>
        <v>0</v>
      </c>
      <c r="DS17" s="154">
        <f t="shared" si="204"/>
        <v>0</v>
      </c>
      <c r="DT17" s="154">
        <f t="shared" si="205"/>
        <v>0</v>
      </c>
      <c r="DU17" s="154">
        <f t="shared" si="206"/>
        <v>0</v>
      </c>
      <c r="DV17" s="154">
        <f t="shared" si="207"/>
        <v>0</v>
      </c>
      <c r="DW17" s="154">
        <f t="shared" si="208"/>
        <v>0</v>
      </c>
      <c r="DX17" s="154">
        <f t="shared" si="209"/>
        <v>0</v>
      </c>
      <c r="DY17" s="154">
        <f t="shared" si="210"/>
        <v>0</v>
      </c>
      <c r="DZ17" s="154">
        <f t="shared" si="211"/>
        <v>0</v>
      </c>
      <c r="EA17" s="154">
        <f t="shared" si="212"/>
        <v>0</v>
      </c>
      <c r="EB17" s="157">
        <f t="shared" si="213"/>
        <v>0</v>
      </c>
      <c r="EC17" s="154">
        <f t="shared" si="214"/>
        <v>0</v>
      </c>
      <c r="ED17" s="158">
        <f t="shared" si="215"/>
        <v>0</v>
      </c>
    </row>
    <row r="18" spans="1:134" x14ac:dyDescent="0.35">
      <c r="A18" s="183">
        <v>1999</v>
      </c>
      <c r="B18" s="183" t="s">
        <v>571</v>
      </c>
      <c r="C18" s="183"/>
      <c r="D18" s="175" t="s">
        <v>107</v>
      </c>
      <c r="E18" s="176">
        <v>50000</v>
      </c>
      <c r="F18" s="177">
        <v>36342</v>
      </c>
      <c r="G18" s="178">
        <v>50</v>
      </c>
      <c r="H18" s="179"/>
      <c r="I18" s="180"/>
      <c r="J18" s="181"/>
      <c r="K18" s="152">
        <f t="shared" si="216"/>
        <v>0.02</v>
      </c>
      <c r="L18" s="153">
        <f t="shared" si="217"/>
        <v>1000</v>
      </c>
      <c r="M18" s="154">
        <f t="shared" si="218"/>
        <v>37500</v>
      </c>
      <c r="N18" s="154"/>
      <c r="O18" s="154">
        <f t="shared" si="219"/>
        <v>12500</v>
      </c>
      <c r="P18" s="155"/>
      <c r="Q18" s="154">
        <f t="shared" si="220"/>
        <v>50000</v>
      </c>
      <c r="R18" s="156">
        <f t="shared" si="221"/>
        <v>0</v>
      </c>
      <c r="S18" s="154">
        <f t="shared" si="222"/>
        <v>0</v>
      </c>
      <c r="T18" s="154">
        <f t="shared" si="223"/>
        <v>0</v>
      </c>
      <c r="U18" s="154">
        <f t="shared" si="224"/>
        <v>0</v>
      </c>
      <c r="V18" s="154">
        <f t="shared" si="225"/>
        <v>50000</v>
      </c>
      <c r="W18" s="154">
        <f t="shared" si="226"/>
        <v>50000</v>
      </c>
      <c r="X18" s="154">
        <f t="shared" si="227"/>
        <v>1000</v>
      </c>
      <c r="Y18" s="154">
        <f t="shared" si="228"/>
        <v>1000</v>
      </c>
      <c r="Z18" s="154">
        <f t="shared" si="229"/>
        <v>36500</v>
      </c>
      <c r="AA18" s="154">
        <f t="shared" si="230"/>
        <v>36500</v>
      </c>
      <c r="AB18" s="157">
        <f t="shared" si="231"/>
        <v>13500</v>
      </c>
      <c r="AC18" s="154">
        <f t="shared" si="232"/>
        <v>0</v>
      </c>
      <c r="AD18" s="158">
        <f t="shared" si="233"/>
        <v>0</v>
      </c>
      <c r="AE18" s="156">
        <f t="shared" si="112"/>
        <v>0</v>
      </c>
      <c r="AF18" s="154">
        <f t="shared" si="113"/>
        <v>0</v>
      </c>
      <c r="AG18" s="154">
        <f t="shared" si="114"/>
        <v>0</v>
      </c>
      <c r="AH18" s="154">
        <f t="shared" si="115"/>
        <v>0</v>
      </c>
      <c r="AI18" s="154">
        <f t="shared" si="116"/>
        <v>50000</v>
      </c>
      <c r="AJ18" s="154">
        <f t="shared" si="117"/>
        <v>50000</v>
      </c>
      <c r="AK18" s="154">
        <f t="shared" si="118"/>
        <v>1000</v>
      </c>
      <c r="AL18" s="154">
        <f t="shared" si="119"/>
        <v>1000</v>
      </c>
      <c r="AM18" s="154">
        <f t="shared" si="120"/>
        <v>35500</v>
      </c>
      <c r="AN18" s="154">
        <f t="shared" si="121"/>
        <v>35500</v>
      </c>
      <c r="AO18" s="157">
        <f t="shared" si="122"/>
        <v>14500</v>
      </c>
      <c r="AP18" s="154">
        <f t="shared" si="123"/>
        <v>0</v>
      </c>
      <c r="AQ18" s="158">
        <f t="shared" si="124"/>
        <v>0</v>
      </c>
      <c r="AR18" s="156">
        <f t="shared" si="112"/>
        <v>0</v>
      </c>
      <c r="AS18" s="154">
        <f t="shared" si="126"/>
        <v>0</v>
      </c>
      <c r="AT18" s="154">
        <f t="shared" si="127"/>
        <v>0</v>
      </c>
      <c r="AU18" s="154">
        <f t="shared" si="128"/>
        <v>0</v>
      </c>
      <c r="AV18" s="154">
        <f t="shared" si="129"/>
        <v>50000</v>
      </c>
      <c r="AW18" s="154">
        <f t="shared" si="130"/>
        <v>50000</v>
      </c>
      <c r="AX18" s="154">
        <f t="shared" si="131"/>
        <v>1000</v>
      </c>
      <c r="AY18" s="154">
        <f t="shared" si="132"/>
        <v>1000</v>
      </c>
      <c r="AZ18" s="154">
        <f t="shared" si="133"/>
        <v>34500</v>
      </c>
      <c r="BA18" s="154">
        <f t="shared" si="134"/>
        <v>34500</v>
      </c>
      <c r="BB18" s="157">
        <f t="shared" si="135"/>
        <v>15500</v>
      </c>
      <c r="BC18" s="154">
        <f t="shared" si="136"/>
        <v>0</v>
      </c>
      <c r="BD18" s="158">
        <f t="shared" si="137"/>
        <v>0</v>
      </c>
      <c r="BE18" s="156">
        <f t="shared" si="112"/>
        <v>0</v>
      </c>
      <c r="BF18" s="154">
        <f t="shared" si="139"/>
        <v>0</v>
      </c>
      <c r="BG18" s="154">
        <f t="shared" si="140"/>
        <v>0</v>
      </c>
      <c r="BH18" s="154">
        <f t="shared" si="141"/>
        <v>0</v>
      </c>
      <c r="BI18" s="154">
        <f t="shared" si="142"/>
        <v>50000</v>
      </c>
      <c r="BJ18" s="154">
        <f t="shared" si="143"/>
        <v>50000</v>
      </c>
      <c r="BK18" s="154">
        <f t="shared" si="144"/>
        <v>1000</v>
      </c>
      <c r="BL18" s="154">
        <f t="shared" si="145"/>
        <v>1000</v>
      </c>
      <c r="BM18" s="154">
        <f t="shared" si="146"/>
        <v>33500</v>
      </c>
      <c r="BN18" s="154">
        <f t="shared" si="147"/>
        <v>33500</v>
      </c>
      <c r="BO18" s="157">
        <f t="shared" si="148"/>
        <v>16500</v>
      </c>
      <c r="BP18" s="154">
        <f t="shared" si="149"/>
        <v>0</v>
      </c>
      <c r="BQ18" s="158">
        <f t="shared" si="150"/>
        <v>0</v>
      </c>
      <c r="BR18" s="156">
        <f t="shared" si="151"/>
        <v>0</v>
      </c>
      <c r="BS18" s="154">
        <f t="shared" si="152"/>
        <v>0</v>
      </c>
      <c r="BT18" s="154">
        <f t="shared" si="153"/>
        <v>0</v>
      </c>
      <c r="BU18" s="154">
        <f t="shared" si="154"/>
        <v>0</v>
      </c>
      <c r="BV18" s="154">
        <f t="shared" si="155"/>
        <v>50000</v>
      </c>
      <c r="BW18" s="154">
        <f t="shared" si="156"/>
        <v>50000</v>
      </c>
      <c r="BX18" s="154">
        <f t="shared" si="157"/>
        <v>1000</v>
      </c>
      <c r="BY18" s="154">
        <f t="shared" si="158"/>
        <v>1000</v>
      </c>
      <c r="BZ18" s="154">
        <f t="shared" si="159"/>
        <v>32500</v>
      </c>
      <c r="CA18" s="154">
        <f t="shared" si="160"/>
        <v>32500</v>
      </c>
      <c r="CB18" s="157">
        <f t="shared" si="161"/>
        <v>17500</v>
      </c>
      <c r="CC18" s="154">
        <f t="shared" si="162"/>
        <v>0</v>
      </c>
      <c r="CD18" s="158">
        <f t="shared" si="163"/>
        <v>0</v>
      </c>
      <c r="CE18" s="156">
        <f t="shared" si="151"/>
        <v>0</v>
      </c>
      <c r="CF18" s="154">
        <f t="shared" si="165"/>
        <v>0</v>
      </c>
      <c r="CG18" s="154">
        <f t="shared" si="166"/>
        <v>0</v>
      </c>
      <c r="CH18" s="154">
        <f t="shared" si="167"/>
        <v>0</v>
      </c>
      <c r="CI18" s="154">
        <f t="shared" si="168"/>
        <v>50000</v>
      </c>
      <c r="CJ18" s="154">
        <f t="shared" si="169"/>
        <v>50000</v>
      </c>
      <c r="CK18" s="154">
        <f t="shared" si="170"/>
        <v>1000</v>
      </c>
      <c r="CL18" s="154">
        <f t="shared" si="171"/>
        <v>1000</v>
      </c>
      <c r="CM18" s="154">
        <f t="shared" si="172"/>
        <v>31500</v>
      </c>
      <c r="CN18" s="154">
        <f t="shared" si="173"/>
        <v>31500</v>
      </c>
      <c r="CO18" s="157">
        <f t="shared" si="174"/>
        <v>18500</v>
      </c>
      <c r="CP18" s="154">
        <f t="shared" si="175"/>
        <v>0</v>
      </c>
      <c r="CQ18" s="158">
        <f t="shared" si="176"/>
        <v>0</v>
      </c>
      <c r="CR18" s="156">
        <f t="shared" si="151"/>
        <v>0</v>
      </c>
      <c r="CS18" s="154">
        <f t="shared" si="178"/>
        <v>0</v>
      </c>
      <c r="CT18" s="154">
        <f t="shared" si="179"/>
        <v>0</v>
      </c>
      <c r="CU18" s="154">
        <f t="shared" si="180"/>
        <v>0</v>
      </c>
      <c r="CV18" s="154">
        <f t="shared" si="181"/>
        <v>50000</v>
      </c>
      <c r="CW18" s="154">
        <f t="shared" si="182"/>
        <v>50000</v>
      </c>
      <c r="CX18" s="154">
        <f t="shared" si="183"/>
        <v>1000</v>
      </c>
      <c r="CY18" s="154">
        <f t="shared" si="184"/>
        <v>1000</v>
      </c>
      <c r="CZ18" s="154">
        <f t="shared" si="185"/>
        <v>30500</v>
      </c>
      <c r="DA18" s="154">
        <f t="shared" si="186"/>
        <v>30500</v>
      </c>
      <c r="DB18" s="157">
        <f t="shared" si="187"/>
        <v>19500</v>
      </c>
      <c r="DC18" s="154">
        <f t="shared" si="188"/>
        <v>0</v>
      </c>
      <c r="DD18" s="158">
        <f t="shared" si="189"/>
        <v>0</v>
      </c>
      <c r="DE18" s="156">
        <f t="shared" si="190"/>
        <v>0</v>
      </c>
      <c r="DF18" s="154">
        <f t="shared" si="191"/>
        <v>0</v>
      </c>
      <c r="DG18" s="154">
        <f t="shared" si="192"/>
        <v>0</v>
      </c>
      <c r="DH18" s="154">
        <f t="shared" si="193"/>
        <v>0</v>
      </c>
      <c r="DI18" s="154">
        <f t="shared" si="194"/>
        <v>50000</v>
      </c>
      <c r="DJ18" s="154">
        <f t="shared" si="195"/>
        <v>50000</v>
      </c>
      <c r="DK18" s="154">
        <f t="shared" si="196"/>
        <v>1000</v>
      </c>
      <c r="DL18" s="154">
        <f t="shared" si="197"/>
        <v>1000</v>
      </c>
      <c r="DM18" s="154">
        <f t="shared" si="198"/>
        <v>29500</v>
      </c>
      <c r="DN18" s="154">
        <f t="shared" si="199"/>
        <v>29500</v>
      </c>
      <c r="DO18" s="157">
        <f t="shared" si="200"/>
        <v>20500</v>
      </c>
      <c r="DP18" s="154">
        <f t="shared" si="201"/>
        <v>0</v>
      </c>
      <c r="DQ18" s="158">
        <f t="shared" si="202"/>
        <v>0</v>
      </c>
      <c r="DR18" s="156">
        <f t="shared" si="190"/>
        <v>0</v>
      </c>
      <c r="DS18" s="154">
        <f t="shared" si="204"/>
        <v>0</v>
      </c>
      <c r="DT18" s="154">
        <f t="shared" si="205"/>
        <v>0</v>
      </c>
      <c r="DU18" s="154">
        <f t="shared" si="206"/>
        <v>0</v>
      </c>
      <c r="DV18" s="154">
        <f t="shared" si="207"/>
        <v>50000</v>
      </c>
      <c r="DW18" s="154">
        <f t="shared" si="208"/>
        <v>50000</v>
      </c>
      <c r="DX18" s="154">
        <f t="shared" si="209"/>
        <v>1000</v>
      </c>
      <c r="DY18" s="154">
        <f t="shared" si="210"/>
        <v>1000</v>
      </c>
      <c r="DZ18" s="154">
        <f t="shared" si="211"/>
        <v>28500</v>
      </c>
      <c r="EA18" s="154">
        <f t="shared" si="212"/>
        <v>28500</v>
      </c>
      <c r="EB18" s="157">
        <f t="shared" si="213"/>
        <v>21500</v>
      </c>
      <c r="EC18" s="154">
        <f t="shared" si="214"/>
        <v>0</v>
      </c>
      <c r="ED18" s="158">
        <f t="shared" si="215"/>
        <v>0</v>
      </c>
    </row>
    <row r="19" spans="1:134" x14ac:dyDescent="0.35">
      <c r="A19" s="183">
        <v>2003</v>
      </c>
      <c r="B19" s="183" t="s">
        <v>571</v>
      </c>
      <c r="C19" s="183"/>
      <c r="D19" s="175" t="s">
        <v>107</v>
      </c>
      <c r="E19" s="176">
        <v>81000</v>
      </c>
      <c r="F19" s="177">
        <v>37803</v>
      </c>
      <c r="G19" s="178">
        <v>50</v>
      </c>
      <c r="H19" s="179"/>
      <c r="I19" s="180"/>
      <c r="J19" s="181"/>
      <c r="K19" s="152">
        <f t="shared" si="216"/>
        <v>0.02</v>
      </c>
      <c r="L19" s="153">
        <f t="shared" si="217"/>
        <v>1620</v>
      </c>
      <c r="M19" s="154">
        <f t="shared" si="218"/>
        <v>67230</v>
      </c>
      <c r="N19" s="154"/>
      <c r="O19" s="154">
        <f t="shared" si="219"/>
        <v>13770</v>
      </c>
      <c r="P19" s="155"/>
      <c r="Q19" s="154">
        <f t="shared" si="220"/>
        <v>81000</v>
      </c>
      <c r="R19" s="156">
        <f t="shared" si="221"/>
        <v>0</v>
      </c>
      <c r="S19" s="154">
        <f t="shared" si="222"/>
        <v>0</v>
      </c>
      <c r="T19" s="154">
        <f t="shared" si="223"/>
        <v>0</v>
      </c>
      <c r="U19" s="154">
        <f t="shared" si="224"/>
        <v>0</v>
      </c>
      <c r="V19" s="154">
        <f t="shared" si="225"/>
        <v>81000</v>
      </c>
      <c r="W19" s="154">
        <f t="shared" si="226"/>
        <v>81000</v>
      </c>
      <c r="X19" s="154">
        <f t="shared" si="227"/>
        <v>1620</v>
      </c>
      <c r="Y19" s="154">
        <f t="shared" si="228"/>
        <v>1620</v>
      </c>
      <c r="Z19" s="154">
        <f t="shared" si="229"/>
        <v>65610</v>
      </c>
      <c r="AA19" s="154">
        <f t="shared" si="230"/>
        <v>65610</v>
      </c>
      <c r="AB19" s="157">
        <f t="shared" si="231"/>
        <v>15390</v>
      </c>
      <c r="AC19" s="154">
        <f t="shared" si="232"/>
        <v>0</v>
      </c>
      <c r="AD19" s="158">
        <f t="shared" si="233"/>
        <v>0</v>
      </c>
      <c r="AE19" s="156">
        <f t="shared" si="112"/>
        <v>0</v>
      </c>
      <c r="AF19" s="154">
        <f t="shared" si="113"/>
        <v>0</v>
      </c>
      <c r="AG19" s="154">
        <f t="shared" si="114"/>
        <v>0</v>
      </c>
      <c r="AH19" s="154">
        <f t="shared" si="115"/>
        <v>0</v>
      </c>
      <c r="AI19" s="154">
        <f t="shared" si="116"/>
        <v>81000</v>
      </c>
      <c r="AJ19" s="154">
        <f t="shared" si="117"/>
        <v>81000</v>
      </c>
      <c r="AK19" s="154">
        <f t="shared" si="118"/>
        <v>1620</v>
      </c>
      <c r="AL19" s="154">
        <f t="shared" si="119"/>
        <v>1620</v>
      </c>
      <c r="AM19" s="154">
        <f t="shared" si="120"/>
        <v>63990</v>
      </c>
      <c r="AN19" s="154">
        <f t="shared" si="121"/>
        <v>63990</v>
      </c>
      <c r="AO19" s="157">
        <f t="shared" si="122"/>
        <v>17010</v>
      </c>
      <c r="AP19" s="154">
        <f t="shared" si="123"/>
        <v>0</v>
      </c>
      <c r="AQ19" s="158">
        <f t="shared" si="124"/>
        <v>0</v>
      </c>
      <c r="AR19" s="156">
        <f t="shared" si="112"/>
        <v>0</v>
      </c>
      <c r="AS19" s="154">
        <f t="shared" si="126"/>
        <v>0</v>
      </c>
      <c r="AT19" s="154">
        <f t="shared" si="127"/>
        <v>0</v>
      </c>
      <c r="AU19" s="154">
        <f t="shared" si="128"/>
        <v>0</v>
      </c>
      <c r="AV19" s="154">
        <f t="shared" si="129"/>
        <v>81000</v>
      </c>
      <c r="AW19" s="154">
        <f t="shared" si="130"/>
        <v>81000</v>
      </c>
      <c r="AX19" s="154">
        <f t="shared" si="131"/>
        <v>1620</v>
      </c>
      <c r="AY19" s="154">
        <f t="shared" si="132"/>
        <v>1620</v>
      </c>
      <c r="AZ19" s="154">
        <f t="shared" si="133"/>
        <v>62370</v>
      </c>
      <c r="BA19" s="154">
        <f t="shared" si="134"/>
        <v>62370</v>
      </c>
      <c r="BB19" s="157">
        <f t="shared" si="135"/>
        <v>18630</v>
      </c>
      <c r="BC19" s="154">
        <f t="shared" si="136"/>
        <v>0</v>
      </c>
      <c r="BD19" s="158">
        <f t="shared" si="137"/>
        <v>0</v>
      </c>
      <c r="BE19" s="156">
        <f t="shared" si="112"/>
        <v>0</v>
      </c>
      <c r="BF19" s="154">
        <f t="shared" si="139"/>
        <v>0</v>
      </c>
      <c r="BG19" s="154">
        <f t="shared" si="140"/>
        <v>0</v>
      </c>
      <c r="BH19" s="154">
        <f t="shared" si="141"/>
        <v>0</v>
      </c>
      <c r="BI19" s="154">
        <f t="shared" si="142"/>
        <v>81000</v>
      </c>
      <c r="BJ19" s="154">
        <f t="shared" si="143"/>
        <v>81000</v>
      </c>
      <c r="BK19" s="154">
        <f t="shared" si="144"/>
        <v>1620</v>
      </c>
      <c r="BL19" s="154">
        <f t="shared" si="145"/>
        <v>1620</v>
      </c>
      <c r="BM19" s="154">
        <f t="shared" si="146"/>
        <v>60750</v>
      </c>
      <c r="BN19" s="154">
        <f t="shared" si="147"/>
        <v>60750</v>
      </c>
      <c r="BO19" s="157">
        <f t="shared" si="148"/>
        <v>20250</v>
      </c>
      <c r="BP19" s="154">
        <f t="shared" si="149"/>
        <v>0</v>
      </c>
      <c r="BQ19" s="158">
        <f t="shared" si="150"/>
        <v>0</v>
      </c>
      <c r="BR19" s="156">
        <f t="shared" si="151"/>
        <v>0</v>
      </c>
      <c r="BS19" s="154">
        <f t="shared" si="152"/>
        <v>0</v>
      </c>
      <c r="BT19" s="154">
        <f t="shared" si="153"/>
        <v>0</v>
      </c>
      <c r="BU19" s="154">
        <f t="shared" si="154"/>
        <v>0</v>
      </c>
      <c r="BV19" s="154">
        <f t="shared" si="155"/>
        <v>81000</v>
      </c>
      <c r="BW19" s="154">
        <f t="shared" si="156"/>
        <v>81000</v>
      </c>
      <c r="BX19" s="154">
        <f t="shared" si="157"/>
        <v>1620</v>
      </c>
      <c r="BY19" s="154">
        <f t="shared" si="158"/>
        <v>1620</v>
      </c>
      <c r="BZ19" s="154">
        <f t="shared" si="159"/>
        <v>59130</v>
      </c>
      <c r="CA19" s="154">
        <f t="shared" si="160"/>
        <v>59130</v>
      </c>
      <c r="CB19" s="157">
        <f t="shared" si="161"/>
        <v>21870</v>
      </c>
      <c r="CC19" s="154">
        <f t="shared" si="162"/>
        <v>0</v>
      </c>
      <c r="CD19" s="158">
        <f t="shared" si="163"/>
        <v>0</v>
      </c>
      <c r="CE19" s="156">
        <f t="shared" si="151"/>
        <v>0</v>
      </c>
      <c r="CF19" s="154">
        <f t="shared" si="165"/>
        <v>0</v>
      </c>
      <c r="CG19" s="154">
        <f t="shared" si="166"/>
        <v>0</v>
      </c>
      <c r="CH19" s="154">
        <f t="shared" si="167"/>
        <v>0</v>
      </c>
      <c r="CI19" s="154">
        <f t="shared" si="168"/>
        <v>81000</v>
      </c>
      <c r="CJ19" s="154">
        <f t="shared" si="169"/>
        <v>81000</v>
      </c>
      <c r="CK19" s="154">
        <f t="shared" si="170"/>
        <v>1620</v>
      </c>
      <c r="CL19" s="154">
        <f t="shared" si="171"/>
        <v>1620</v>
      </c>
      <c r="CM19" s="154">
        <f t="shared" si="172"/>
        <v>57510</v>
      </c>
      <c r="CN19" s="154">
        <f t="shared" si="173"/>
        <v>57510</v>
      </c>
      <c r="CO19" s="157">
        <f t="shared" si="174"/>
        <v>23490</v>
      </c>
      <c r="CP19" s="154">
        <f t="shared" si="175"/>
        <v>0</v>
      </c>
      <c r="CQ19" s="158">
        <f t="shared" si="176"/>
        <v>0</v>
      </c>
      <c r="CR19" s="156">
        <f t="shared" si="151"/>
        <v>0</v>
      </c>
      <c r="CS19" s="154">
        <f t="shared" si="178"/>
        <v>0</v>
      </c>
      <c r="CT19" s="154">
        <f t="shared" si="179"/>
        <v>0</v>
      </c>
      <c r="CU19" s="154">
        <f t="shared" si="180"/>
        <v>0</v>
      </c>
      <c r="CV19" s="154">
        <f t="shared" si="181"/>
        <v>81000</v>
      </c>
      <c r="CW19" s="154">
        <f t="shared" si="182"/>
        <v>81000</v>
      </c>
      <c r="CX19" s="154">
        <f t="shared" si="183"/>
        <v>1620</v>
      </c>
      <c r="CY19" s="154">
        <f t="shared" si="184"/>
        <v>1620</v>
      </c>
      <c r="CZ19" s="154">
        <f t="shared" si="185"/>
        <v>55890</v>
      </c>
      <c r="DA19" s="154">
        <f t="shared" si="186"/>
        <v>55890</v>
      </c>
      <c r="DB19" s="157">
        <f t="shared" si="187"/>
        <v>25110</v>
      </c>
      <c r="DC19" s="154">
        <f t="shared" si="188"/>
        <v>0</v>
      </c>
      <c r="DD19" s="158">
        <f t="shared" si="189"/>
        <v>0</v>
      </c>
      <c r="DE19" s="156">
        <f t="shared" si="190"/>
        <v>0</v>
      </c>
      <c r="DF19" s="154">
        <f t="shared" si="191"/>
        <v>0</v>
      </c>
      <c r="DG19" s="154">
        <f t="shared" si="192"/>
        <v>0</v>
      </c>
      <c r="DH19" s="154">
        <f t="shared" si="193"/>
        <v>0</v>
      </c>
      <c r="DI19" s="154">
        <f t="shared" si="194"/>
        <v>81000</v>
      </c>
      <c r="DJ19" s="154">
        <f t="shared" si="195"/>
        <v>81000</v>
      </c>
      <c r="DK19" s="154">
        <f t="shared" si="196"/>
        <v>1620</v>
      </c>
      <c r="DL19" s="154">
        <f t="shared" si="197"/>
        <v>1620</v>
      </c>
      <c r="DM19" s="154">
        <f t="shared" si="198"/>
        <v>54270</v>
      </c>
      <c r="DN19" s="154">
        <f t="shared" si="199"/>
        <v>54270</v>
      </c>
      <c r="DO19" s="157">
        <f t="shared" si="200"/>
        <v>26730</v>
      </c>
      <c r="DP19" s="154">
        <f t="shared" si="201"/>
        <v>0</v>
      </c>
      <c r="DQ19" s="158">
        <f t="shared" si="202"/>
        <v>0</v>
      </c>
      <c r="DR19" s="156">
        <f t="shared" si="190"/>
        <v>0</v>
      </c>
      <c r="DS19" s="154">
        <f t="shared" si="204"/>
        <v>0</v>
      </c>
      <c r="DT19" s="154">
        <f t="shared" si="205"/>
        <v>0</v>
      </c>
      <c r="DU19" s="154">
        <f t="shared" si="206"/>
        <v>0</v>
      </c>
      <c r="DV19" s="154">
        <f t="shared" si="207"/>
        <v>81000</v>
      </c>
      <c r="DW19" s="154">
        <f t="shared" si="208"/>
        <v>81000</v>
      </c>
      <c r="DX19" s="154">
        <f t="shared" si="209"/>
        <v>1620</v>
      </c>
      <c r="DY19" s="154">
        <f t="shared" si="210"/>
        <v>1620</v>
      </c>
      <c r="DZ19" s="154">
        <f t="shared" si="211"/>
        <v>52650</v>
      </c>
      <c r="EA19" s="154">
        <f t="shared" si="212"/>
        <v>52650</v>
      </c>
      <c r="EB19" s="157">
        <f t="shared" si="213"/>
        <v>28350</v>
      </c>
      <c r="EC19" s="154">
        <f t="shared" si="214"/>
        <v>0</v>
      </c>
      <c r="ED19" s="158">
        <f t="shared" si="215"/>
        <v>0</v>
      </c>
    </row>
    <row r="20" spans="1:134" x14ac:dyDescent="0.35">
      <c r="A20" s="183"/>
      <c r="B20" s="183"/>
      <c r="C20" s="183"/>
      <c r="D20" s="175"/>
      <c r="E20" s="176"/>
      <c r="F20" s="177"/>
      <c r="G20" s="178"/>
      <c r="H20" s="179"/>
      <c r="I20" s="180"/>
      <c r="J20" s="181"/>
      <c r="K20" s="152">
        <f t="shared" si="216"/>
        <v>0</v>
      </c>
      <c r="L20" s="153">
        <f t="shared" si="217"/>
        <v>0</v>
      </c>
      <c r="M20" s="154">
        <f t="shared" si="218"/>
        <v>0</v>
      </c>
      <c r="N20" s="154"/>
      <c r="O20" s="154">
        <f t="shared" si="219"/>
        <v>0</v>
      </c>
      <c r="P20" s="155"/>
      <c r="Q20" s="154">
        <f t="shared" si="220"/>
        <v>0</v>
      </c>
      <c r="R20" s="156">
        <f t="shared" si="221"/>
        <v>0</v>
      </c>
      <c r="S20" s="154">
        <f t="shared" si="222"/>
        <v>0</v>
      </c>
      <c r="T20" s="154">
        <f t="shared" si="223"/>
        <v>0</v>
      </c>
      <c r="U20" s="154">
        <f t="shared" si="224"/>
        <v>0</v>
      </c>
      <c r="V20" s="154">
        <f t="shared" si="225"/>
        <v>0</v>
      </c>
      <c r="W20" s="154">
        <f t="shared" si="226"/>
        <v>0</v>
      </c>
      <c r="X20" s="154">
        <f t="shared" si="227"/>
        <v>0</v>
      </c>
      <c r="Y20" s="154">
        <f t="shared" si="228"/>
        <v>0</v>
      </c>
      <c r="Z20" s="154">
        <f t="shared" si="229"/>
        <v>0</v>
      </c>
      <c r="AA20" s="154">
        <f t="shared" si="230"/>
        <v>0</v>
      </c>
      <c r="AB20" s="157">
        <f t="shared" si="231"/>
        <v>0</v>
      </c>
      <c r="AC20" s="154">
        <f t="shared" si="232"/>
        <v>0</v>
      </c>
      <c r="AD20" s="158">
        <f t="shared" si="233"/>
        <v>0</v>
      </c>
      <c r="AE20" s="156">
        <f t="shared" si="112"/>
        <v>0</v>
      </c>
      <c r="AF20" s="154">
        <f t="shared" si="113"/>
        <v>0</v>
      </c>
      <c r="AG20" s="154">
        <f t="shared" si="114"/>
        <v>0</v>
      </c>
      <c r="AH20" s="154">
        <f t="shared" si="115"/>
        <v>0</v>
      </c>
      <c r="AI20" s="154">
        <f t="shared" si="116"/>
        <v>0</v>
      </c>
      <c r="AJ20" s="154">
        <f t="shared" si="117"/>
        <v>0</v>
      </c>
      <c r="AK20" s="154">
        <f t="shared" si="118"/>
        <v>0</v>
      </c>
      <c r="AL20" s="154">
        <f t="shared" si="119"/>
        <v>0</v>
      </c>
      <c r="AM20" s="154">
        <f t="shared" si="120"/>
        <v>0</v>
      </c>
      <c r="AN20" s="154">
        <f t="shared" si="121"/>
        <v>0</v>
      </c>
      <c r="AO20" s="157">
        <f t="shared" si="122"/>
        <v>0</v>
      </c>
      <c r="AP20" s="154">
        <f t="shared" si="123"/>
        <v>0</v>
      </c>
      <c r="AQ20" s="158">
        <f t="shared" si="124"/>
        <v>0</v>
      </c>
      <c r="AR20" s="156">
        <f t="shared" si="112"/>
        <v>0</v>
      </c>
      <c r="AS20" s="154">
        <f t="shared" si="126"/>
        <v>0</v>
      </c>
      <c r="AT20" s="154">
        <f t="shared" si="127"/>
        <v>0</v>
      </c>
      <c r="AU20" s="154">
        <f t="shared" si="128"/>
        <v>0</v>
      </c>
      <c r="AV20" s="154">
        <f t="shared" si="129"/>
        <v>0</v>
      </c>
      <c r="AW20" s="154">
        <f t="shared" si="130"/>
        <v>0</v>
      </c>
      <c r="AX20" s="154">
        <f t="shared" si="131"/>
        <v>0</v>
      </c>
      <c r="AY20" s="154">
        <f t="shared" si="132"/>
        <v>0</v>
      </c>
      <c r="AZ20" s="154">
        <f t="shared" si="133"/>
        <v>0</v>
      </c>
      <c r="BA20" s="154">
        <f t="shared" si="134"/>
        <v>0</v>
      </c>
      <c r="BB20" s="157">
        <f t="shared" si="135"/>
        <v>0</v>
      </c>
      <c r="BC20" s="154">
        <f t="shared" si="136"/>
        <v>0</v>
      </c>
      <c r="BD20" s="158">
        <f t="shared" si="137"/>
        <v>0</v>
      </c>
      <c r="BE20" s="156">
        <f t="shared" si="112"/>
        <v>0</v>
      </c>
      <c r="BF20" s="154">
        <f t="shared" si="139"/>
        <v>0</v>
      </c>
      <c r="BG20" s="154">
        <f t="shared" si="140"/>
        <v>0</v>
      </c>
      <c r="BH20" s="154">
        <f t="shared" si="141"/>
        <v>0</v>
      </c>
      <c r="BI20" s="154">
        <f t="shared" si="142"/>
        <v>0</v>
      </c>
      <c r="BJ20" s="154">
        <f t="shared" si="143"/>
        <v>0</v>
      </c>
      <c r="BK20" s="154">
        <f t="shared" si="144"/>
        <v>0</v>
      </c>
      <c r="BL20" s="154">
        <f t="shared" si="145"/>
        <v>0</v>
      </c>
      <c r="BM20" s="154">
        <f t="shared" si="146"/>
        <v>0</v>
      </c>
      <c r="BN20" s="154">
        <f t="shared" si="147"/>
        <v>0</v>
      </c>
      <c r="BO20" s="157">
        <f t="shared" si="148"/>
        <v>0</v>
      </c>
      <c r="BP20" s="154">
        <f t="shared" si="149"/>
        <v>0</v>
      </c>
      <c r="BQ20" s="158">
        <f t="shared" si="150"/>
        <v>0</v>
      </c>
      <c r="BR20" s="156">
        <f t="shared" si="151"/>
        <v>0</v>
      </c>
      <c r="BS20" s="154">
        <f t="shared" si="152"/>
        <v>0</v>
      </c>
      <c r="BT20" s="154">
        <f t="shared" si="153"/>
        <v>0</v>
      </c>
      <c r="BU20" s="154">
        <f t="shared" si="154"/>
        <v>0</v>
      </c>
      <c r="BV20" s="154">
        <f t="shared" si="155"/>
        <v>0</v>
      </c>
      <c r="BW20" s="154">
        <f t="shared" si="156"/>
        <v>0</v>
      </c>
      <c r="BX20" s="154">
        <f t="shared" si="157"/>
        <v>0</v>
      </c>
      <c r="BY20" s="154">
        <f t="shared" si="158"/>
        <v>0</v>
      </c>
      <c r="BZ20" s="154">
        <f t="shared" si="159"/>
        <v>0</v>
      </c>
      <c r="CA20" s="154">
        <f t="shared" si="160"/>
        <v>0</v>
      </c>
      <c r="CB20" s="157">
        <f t="shared" si="161"/>
        <v>0</v>
      </c>
      <c r="CC20" s="154">
        <f t="shared" si="162"/>
        <v>0</v>
      </c>
      <c r="CD20" s="158">
        <f t="shared" si="163"/>
        <v>0</v>
      </c>
      <c r="CE20" s="156">
        <f t="shared" si="151"/>
        <v>0</v>
      </c>
      <c r="CF20" s="154">
        <f t="shared" si="165"/>
        <v>0</v>
      </c>
      <c r="CG20" s="154">
        <f t="shared" si="166"/>
        <v>0</v>
      </c>
      <c r="CH20" s="154">
        <f t="shared" si="167"/>
        <v>0</v>
      </c>
      <c r="CI20" s="154">
        <f t="shared" si="168"/>
        <v>0</v>
      </c>
      <c r="CJ20" s="154">
        <f t="shared" si="169"/>
        <v>0</v>
      </c>
      <c r="CK20" s="154">
        <f t="shared" si="170"/>
        <v>0</v>
      </c>
      <c r="CL20" s="154">
        <f t="shared" si="171"/>
        <v>0</v>
      </c>
      <c r="CM20" s="154">
        <f t="shared" si="172"/>
        <v>0</v>
      </c>
      <c r="CN20" s="154">
        <f t="shared" si="173"/>
        <v>0</v>
      </c>
      <c r="CO20" s="157">
        <f t="shared" si="174"/>
        <v>0</v>
      </c>
      <c r="CP20" s="154">
        <f t="shared" si="175"/>
        <v>0</v>
      </c>
      <c r="CQ20" s="158">
        <f t="shared" si="176"/>
        <v>0</v>
      </c>
      <c r="CR20" s="156">
        <f t="shared" si="151"/>
        <v>0</v>
      </c>
      <c r="CS20" s="154">
        <f t="shared" si="178"/>
        <v>0</v>
      </c>
      <c r="CT20" s="154">
        <f t="shared" si="179"/>
        <v>0</v>
      </c>
      <c r="CU20" s="154">
        <f t="shared" si="180"/>
        <v>0</v>
      </c>
      <c r="CV20" s="154">
        <f t="shared" si="181"/>
        <v>0</v>
      </c>
      <c r="CW20" s="154">
        <f t="shared" si="182"/>
        <v>0</v>
      </c>
      <c r="CX20" s="154">
        <f t="shared" si="183"/>
        <v>0</v>
      </c>
      <c r="CY20" s="154">
        <f t="shared" si="184"/>
        <v>0</v>
      </c>
      <c r="CZ20" s="154">
        <f t="shared" si="185"/>
        <v>0</v>
      </c>
      <c r="DA20" s="154">
        <f t="shared" si="186"/>
        <v>0</v>
      </c>
      <c r="DB20" s="157">
        <f t="shared" si="187"/>
        <v>0</v>
      </c>
      <c r="DC20" s="154">
        <f t="shared" si="188"/>
        <v>0</v>
      </c>
      <c r="DD20" s="158">
        <f t="shared" si="189"/>
        <v>0</v>
      </c>
      <c r="DE20" s="156">
        <f t="shared" si="190"/>
        <v>0</v>
      </c>
      <c r="DF20" s="154">
        <f t="shared" si="191"/>
        <v>0</v>
      </c>
      <c r="DG20" s="154">
        <f t="shared" si="192"/>
        <v>0</v>
      </c>
      <c r="DH20" s="154">
        <f t="shared" si="193"/>
        <v>0</v>
      </c>
      <c r="DI20" s="154">
        <f t="shared" si="194"/>
        <v>0</v>
      </c>
      <c r="DJ20" s="154">
        <f t="shared" si="195"/>
        <v>0</v>
      </c>
      <c r="DK20" s="154">
        <f t="shared" si="196"/>
        <v>0</v>
      </c>
      <c r="DL20" s="154">
        <f t="shared" si="197"/>
        <v>0</v>
      </c>
      <c r="DM20" s="154">
        <f t="shared" si="198"/>
        <v>0</v>
      </c>
      <c r="DN20" s="154">
        <f t="shared" si="199"/>
        <v>0</v>
      </c>
      <c r="DO20" s="157">
        <f t="shared" si="200"/>
        <v>0</v>
      </c>
      <c r="DP20" s="154">
        <f t="shared" si="201"/>
        <v>0</v>
      </c>
      <c r="DQ20" s="158">
        <f t="shared" si="202"/>
        <v>0</v>
      </c>
      <c r="DR20" s="156">
        <f t="shared" si="190"/>
        <v>0</v>
      </c>
      <c r="DS20" s="154">
        <f t="shared" si="204"/>
        <v>0</v>
      </c>
      <c r="DT20" s="154">
        <f t="shared" si="205"/>
        <v>0</v>
      </c>
      <c r="DU20" s="154">
        <f t="shared" si="206"/>
        <v>0</v>
      </c>
      <c r="DV20" s="154">
        <f t="shared" si="207"/>
        <v>0</v>
      </c>
      <c r="DW20" s="154">
        <f t="shared" si="208"/>
        <v>0</v>
      </c>
      <c r="DX20" s="154">
        <f t="shared" si="209"/>
        <v>0</v>
      </c>
      <c r="DY20" s="154">
        <f t="shared" si="210"/>
        <v>0</v>
      </c>
      <c r="DZ20" s="154">
        <f t="shared" si="211"/>
        <v>0</v>
      </c>
      <c r="EA20" s="154">
        <f t="shared" si="212"/>
        <v>0</v>
      </c>
      <c r="EB20" s="157">
        <f t="shared" si="213"/>
        <v>0</v>
      </c>
      <c r="EC20" s="154">
        <f t="shared" si="214"/>
        <v>0</v>
      </c>
      <c r="ED20" s="158">
        <f t="shared" si="215"/>
        <v>0</v>
      </c>
    </row>
    <row r="21" spans="1:134" x14ac:dyDescent="0.35">
      <c r="A21" s="183"/>
      <c r="B21" s="183" t="s">
        <v>26</v>
      </c>
      <c r="C21" s="183"/>
      <c r="D21" s="175"/>
      <c r="E21" s="176"/>
      <c r="F21" s="177"/>
      <c r="G21" s="178"/>
      <c r="H21" s="179"/>
      <c r="I21" s="180"/>
      <c r="J21" s="181"/>
      <c r="K21" s="152">
        <f t="shared" si="216"/>
        <v>0</v>
      </c>
      <c r="L21" s="153">
        <f t="shared" si="217"/>
        <v>0</v>
      </c>
      <c r="M21" s="154">
        <f t="shared" si="218"/>
        <v>0</v>
      </c>
      <c r="N21" s="154"/>
      <c r="O21" s="154">
        <f t="shared" si="219"/>
        <v>0</v>
      </c>
      <c r="P21" s="155"/>
      <c r="Q21" s="154">
        <f t="shared" si="220"/>
        <v>0</v>
      </c>
      <c r="R21" s="156">
        <f t="shared" si="221"/>
        <v>0</v>
      </c>
      <c r="S21" s="154">
        <f t="shared" si="222"/>
        <v>0</v>
      </c>
      <c r="T21" s="154">
        <f t="shared" si="223"/>
        <v>0</v>
      </c>
      <c r="U21" s="154">
        <f t="shared" si="224"/>
        <v>0</v>
      </c>
      <c r="V21" s="154">
        <f t="shared" si="225"/>
        <v>0</v>
      </c>
      <c r="W21" s="154">
        <f t="shared" si="226"/>
        <v>0</v>
      </c>
      <c r="X21" s="154">
        <f t="shared" si="227"/>
        <v>0</v>
      </c>
      <c r="Y21" s="154">
        <f t="shared" si="228"/>
        <v>0</v>
      </c>
      <c r="Z21" s="154">
        <f t="shared" si="229"/>
        <v>0</v>
      </c>
      <c r="AA21" s="154">
        <f t="shared" si="230"/>
        <v>0</v>
      </c>
      <c r="AB21" s="157">
        <f t="shared" si="231"/>
        <v>0</v>
      </c>
      <c r="AC21" s="154">
        <f t="shared" si="232"/>
        <v>0</v>
      </c>
      <c r="AD21" s="158">
        <f t="shared" si="233"/>
        <v>0</v>
      </c>
      <c r="AE21" s="156">
        <f t="shared" ref="AE21:CE36" si="234">IF(YEAR($F21)=AE$4,$E21,0)</f>
        <v>0</v>
      </c>
      <c r="AF21" s="154">
        <f t="shared" ref="AF21:AF84" si="235">IF($J21&lt;&gt;"H",AE21,0)</f>
        <v>0</v>
      </c>
      <c r="AG21" s="154">
        <f t="shared" si="114"/>
        <v>0</v>
      </c>
      <c r="AH21" s="154">
        <f t="shared" ref="AH21:AH84" si="236">IF($J21&lt;&gt;"H",AG21,0)</f>
        <v>0</v>
      </c>
      <c r="AI21" s="154">
        <f t="shared" si="116"/>
        <v>0</v>
      </c>
      <c r="AJ21" s="154">
        <f t="shared" ref="AJ21:AJ84" si="237">IF(AK21&lt;&gt;0,ROUND(AK21/$L21*AI21,2),0)</f>
        <v>0</v>
      </c>
      <c r="AK21" s="154">
        <f t="shared" si="118"/>
        <v>0</v>
      </c>
      <c r="AL21" s="154">
        <f t="shared" ref="AL21:AL84" si="238">IF($J21&lt;&gt;"H",AK21,0)</f>
        <v>0</v>
      </c>
      <c r="AM21" s="154">
        <f t="shared" si="120"/>
        <v>0</v>
      </c>
      <c r="AN21" s="154">
        <f t="shared" ref="AN21:AN84" si="239">IF($J21&lt;&gt;"H",AM21,0)</f>
        <v>0</v>
      </c>
      <c r="AO21" s="157">
        <f t="shared" si="122"/>
        <v>0</v>
      </c>
      <c r="AP21" s="154">
        <f t="shared" si="123"/>
        <v>0</v>
      </c>
      <c r="AQ21" s="158">
        <f t="shared" si="124"/>
        <v>0</v>
      </c>
      <c r="AR21" s="156">
        <f t="shared" si="234"/>
        <v>0</v>
      </c>
      <c r="AS21" s="154">
        <f t="shared" ref="AS21:AS84" si="240">IF($J21&lt;&gt;"H",AR21,0)</f>
        <v>0</v>
      </c>
      <c r="AT21" s="154">
        <f t="shared" si="127"/>
        <v>0</v>
      </c>
      <c r="AU21" s="154">
        <f t="shared" ref="AU21:AU84" si="241">IF($J21&lt;&gt;"H",AT21,0)</f>
        <v>0</v>
      </c>
      <c r="AV21" s="154">
        <f t="shared" si="129"/>
        <v>0</v>
      </c>
      <c r="AW21" s="154">
        <f t="shared" ref="AW21:AW84" si="242">IF(AX21&lt;&gt;0,ROUND(AX21/$L21*AV21,2),0)</f>
        <v>0</v>
      </c>
      <c r="AX21" s="154">
        <f t="shared" si="131"/>
        <v>0</v>
      </c>
      <c r="AY21" s="154">
        <f t="shared" ref="AY21:AY84" si="243">IF($J21&lt;&gt;"H",AX21,0)</f>
        <v>0</v>
      </c>
      <c r="AZ21" s="154">
        <f t="shared" si="133"/>
        <v>0</v>
      </c>
      <c r="BA21" s="154">
        <f t="shared" ref="BA21:BA84" si="244">IF($J21&lt;&gt;"H",AZ21,0)</f>
        <v>0</v>
      </c>
      <c r="BB21" s="157">
        <f t="shared" si="135"/>
        <v>0</v>
      </c>
      <c r="BC21" s="154">
        <f t="shared" si="136"/>
        <v>0</v>
      </c>
      <c r="BD21" s="158">
        <f t="shared" si="137"/>
        <v>0</v>
      </c>
      <c r="BE21" s="156">
        <f t="shared" si="234"/>
        <v>0</v>
      </c>
      <c r="BF21" s="154">
        <f t="shared" ref="BF21:BF84" si="245">IF($J21&lt;&gt;"H",BE21,0)</f>
        <v>0</v>
      </c>
      <c r="BG21" s="154">
        <f t="shared" si="140"/>
        <v>0</v>
      </c>
      <c r="BH21" s="154">
        <f t="shared" ref="BH21:BH84" si="246">IF($J21&lt;&gt;"H",BG21,0)</f>
        <v>0</v>
      </c>
      <c r="BI21" s="154">
        <f t="shared" si="142"/>
        <v>0</v>
      </c>
      <c r="BJ21" s="154">
        <f t="shared" ref="BJ21:BJ84" si="247">IF(BK21&lt;&gt;0,ROUND(BK21/$L21*BI21,2),0)</f>
        <v>0</v>
      </c>
      <c r="BK21" s="154">
        <f t="shared" si="144"/>
        <v>0</v>
      </c>
      <c r="BL21" s="154">
        <f t="shared" ref="BL21:BL84" si="248">IF($J21&lt;&gt;"H",BK21,0)</f>
        <v>0</v>
      </c>
      <c r="BM21" s="154">
        <f t="shared" si="146"/>
        <v>0</v>
      </c>
      <c r="BN21" s="154">
        <f t="shared" ref="BN21:BN84" si="249">IF($J21&lt;&gt;"H",BM21,0)</f>
        <v>0</v>
      </c>
      <c r="BO21" s="157">
        <f t="shared" si="148"/>
        <v>0</v>
      </c>
      <c r="BP21" s="154">
        <f t="shared" si="149"/>
        <v>0</v>
      </c>
      <c r="BQ21" s="158">
        <f t="shared" si="150"/>
        <v>0</v>
      </c>
      <c r="BR21" s="156">
        <f t="shared" si="234"/>
        <v>0</v>
      </c>
      <c r="BS21" s="154">
        <f t="shared" ref="BS21:BS84" si="250">IF($J21&lt;&gt;"H",BR21,0)</f>
        <v>0</v>
      </c>
      <c r="BT21" s="154">
        <f t="shared" si="153"/>
        <v>0</v>
      </c>
      <c r="BU21" s="154">
        <f t="shared" ref="BU21:BU84" si="251">IF($J21&lt;&gt;"H",BT21,0)</f>
        <v>0</v>
      </c>
      <c r="BV21" s="154">
        <f t="shared" si="155"/>
        <v>0</v>
      </c>
      <c r="BW21" s="154">
        <f t="shared" ref="BW21:BW84" si="252">IF(BX21&lt;&gt;0,ROUND(BX21/$L21*BV21,2),0)</f>
        <v>0</v>
      </c>
      <c r="BX21" s="154">
        <f t="shared" si="157"/>
        <v>0</v>
      </c>
      <c r="BY21" s="154">
        <f t="shared" ref="BY21:BY84" si="253">IF($J21&lt;&gt;"H",BX21,0)</f>
        <v>0</v>
      </c>
      <c r="BZ21" s="154">
        <f t="shared" si="159"/>
        <v>0</v>
      </c>
      <c r="CA21" s="154">
        <f t="shared" ref="CA21:CA84" si="254">IF($J21&lt;&gt;"H",BZ21,0)</f>
        <v>0</v>
      </c>
      <c r="CB21" s="157">
        <f t="shared" si="161"/>
        <v>0</v>
      </c>
      <c r="CC21" s="154">
        <f t="shared" si="162"/>
        <v>0</v>
      </c>
      <c r="CD21" s="158">
        <f t="shared" si="163"/>
        <v>0</v>
      </c>
      <c r="CE21" s="156">
        <f t="shared" si="234"/>
        <v>0</v>
      </c>
      <c r="CF21" s="154">
        <f t="shared" ref="CF21:CF84" si="255">IF($J21&lt;&gt;"H",CE21,0)</f>
        <v>0</v>
      </c>
      <c r="CG21" s="154">
        <f t="shared" si="166"/>
        <v>0</v>
      </c>
      <c r="CH21" s="154">
        <f t="shared" ref="CH21:CH84" si="256">IF($J21&lt;&gt;"H",CG21,0)</f>
        <v>0</v>
      </c>
      <c r="CI21" s="154">
        <f t="shared" si="168"/>
        <v>0</v>
      </c>
      <c r="CJ21" s="154">
        <f t="shared" ref="CJ21:CJ84" si="257">IF(CK21&lt;&gt;0,ROUND(CK21/$L21*CI21,2),0)</f>
        <v>0</v>
      </c>
      <c r="CK21" s="154">
        <f t="shared" si="170"/>
        <v>0</v>
      </c>
      <c r="CL21" s="154">
        <f t="shared" ref="CL21:CL84" si="258">IF($J21&lt;&gt;"H",CK21,0)</f>
        <v>0</v>
      </c>
      <c r="CM21" s="154">
        <f t="shared" si="172"/>
        <v>0</v>
      </c>
      <c r="CN21" s="154">
        <f t="shared" ref="CN21:CN84" si="259">IF($J21&lt;&gt;"H",CM21,0)</f>
        <v>0</v>
      </c>
      <c r="CO21" s="157">
        <f t="shared" si="174"/>
        <v>0</v>
      </c>
      <c r="CP21" s="154">
        <f t="shared" si="175"/>
        <v>0</v>
      </c>
      <c r="CQ21" s="158">
        <f t="shared" si="176"/>
        <v>0</v>
      </c>
      <c r="CR21" s="156">
        <f t="shared" ref="CR21:DR36" si="260">IF(YEAR($F21)=CR$4,$E21,0)</f>
        <v>0</v>
      </c>
      <c r="CS21" s="154">
        <f t="shared" ref="CS21:CS84" si="261">IF($J21&lt;&gt;"H",CR21,0)</f>
        <v>0</v>
      </c>
      <c r="CT21" s="154">
        <f t="shared" si="179"/>
        <v>0</v>
      </c>
      <c r="CU21" s="154">
        <f t="shared" ref="CU21:CU84" si="262">IF($J21&lt;&gt;"H",CT21,0)</f>
        <v>0</v>
      </c>
      <c r="CV21" s="154">
        <f t="shared" si="181"/>
        <v>0</v>
      </c>
      <c r="CW21" s="154">
        <f t="shared" ref="CW21:CW84" si="263">IF(CX21&lt;&gt;0,ROUND(CX21/$L21*CV21,2),0)</f>
        <v>0</v>
      </c>
      <c r="CX21" s="154">
        <f t="shared" si="183"/>
        <v>0</v>
      </c>
      <c r="CY21" s="154">
        <f t="shared" ref="CY21:CY84" si="264">IF($J21&lt;&gt;"H",CX21,0)</f>
        <v>0</v>
      </c>
      <c r="CZ21" s="154">
        <f t="shared" si="185"/>
        <v>0</v>
      </c>
      <c r="DA21" s="154">
        <f t="shared" ref="DA21:DA84" si="265">IF($J21&lt;&gt;"H",CZ21,0)</f>
        <v>0</v>
      </c>
      <c r="DB21" s="157">
        <f t="shared" si="187"/>
        <v>0</v>
      </c>
      <c r="DC21" s="154">
        <f t="shared" si="188"/>
        <v>0</v>
      </c>
      <c r="DD21" s="158">
        <f t="shared" si="189"/>
        <v>0</v>
      </c>
      <c r="DE21" s="156">
        <f t="shared" si="260"/>
        <v>0</v>
      </c>
      <c r="DF21" s="154">
        <f t="shared" ref="DF21:DF84" si="266">IF($J21&lt;&gt;"H",DE21,0)</f>
        <v>0</v>
      </c>
      <c r="DG21" s="154">
        <f t="shared" si="192"/>
        <v>0</v>
      </c>
      <c r="DH21" s="154">
        <f t="shared" ref="DH21:DH84" si="267">IF($J21&lt;&gt;"H",DG21,0)</f>
        <v>0</v>
      </c>
      <c r="DI21" s="154">
        <f t="shared" si="194"/>
        <v>0</v>
      </c>
      <c r="DJ21" s="154">
        <f t="shared" ref="DJ21:DJ84" si="268">IF(DK21&lt;&gt;0,ROUND(DK21/$L21*DI21,2),0)</f>
        <v>0</v>
      </c>
      <c r="DK21" s="154">
        <f t="shared" si="196"/>
        <v>0</v>
      </c>
      <c r="DL21" s="154">
        <f t="shared" ref="DL21:DL84" si="269">IF($J21&lt;&gt;"H",DK21,0)</f>
        <v>0</v>
      </c>
      <c r="DM21" s="154">
        <f t="shared" si="198"/>
        <v>0</v>
      </c>
      <c r="DN21" s="154">
        <f t="shared" ref="DN21:DN84" si="270">IF($J21&lt;&gt;"H",DM21,0)</f>
        <v>0</v>
      </c>
      <c r="DO21" s="157">
        <f t="shared" si="200"/>
        <v>0</v>
      </c>
      <c r="DP21" s="154">
        <f t="shared" si="201"/>
        <v>0</v>
      </c>
      <c r="DQ21" s="158">
        <f t="shared" si="202"/>
        <v>0</v>
      </c>
      <c r="DR21" s="156">
        <f t="shared" si="260"/>
        <v>0</v>
      </c>
      <c r="DS21" s="154">
        <f t="shared" ref="DS21:DS84" si="271">IF($J21&lt;&gt;"H",DR21,0)</f>
        <v>0</v>
      </c>
      <c r="DT21" s="154">
        <f t="shared" si="205"/>
        <v>0</v>
      </c>
      <c r="DU21" s="154">
        <f t="shared" ref="DU21:DU84" si="272">IF($J21&lt;&gt;"H",DT21,0)</f>
        <v>0</v>
      </c>
      <c r="DV21" s="154">
        <f t="shared" si="207"/>
        <v>0</v>
      </c>
      <c r="DW21" s="154">
        <f t="shared" ref="DW21:DW84" si="273">IF(DX21&lt;&gt;0,ROUND(DX21/$L21*DV21,2),0)</f>
        <v>0</v>
      </c>
      <c r="DX21" s="154">
        <f t="shared" si="209"/>
        <v>0</v>
      </c>
      <c r="DY21" s="154">
        <f t="shared" ref="DY21:DY84" si="274">IF($J21&lt;&gt;"H",DX21,0)</f>
        <v>0</v>
      </c>
      <c r="DZ21" s="154">
        <f t="shared" si="211"/>
        <v>0</v>
      </c>
      <c r="EA21" s="154">
        <f t="shared" ref="EA21:EA84" si="275">IF($J21&lt;&gt;"H",DZ21,0)</f>
        <v>0</v>
      </c>
      <c r="EB21" s="157">
        <f t="shared" si="213"/>
        <v>0</v>
      </c>
      <c r="EC21" s="154">
        <f t="shared" si="214"/>
        <v>0</v>
      </c>
      <c r="ED21" s="158">
        <f t="shared" si="215"/>
        <v>0</v>
      </c>
    </row>
    <row r="22" spans="1:134" x14ac:dyDescent="0.35">
      <c r="A22" s="183">
        <v>1985</v>
      </c>
      <c r="B22" s="183" t="s">
        <v>571</v>
      </c>
      <c r="C22" s="183"/>
      <c r="D22" s="175" t="s">
        <v>116</v>
      </c>
      <c r="E22" s="176">
        <v>2100000</v>
      </c>
      <c r="F22" s="177">
        <v>33270</v>
      </c>
      <c r="G22" s="178">
        <v>25.6</v>
      </c>
      <c r="H22" s="179"/>
      <c r="I22" s="180"/>
      <c r="J22" s="181"/>
      <c r="K22" s="152">
        <f t="shared" si="216"/>
        <v>3.9100000000000003E-2</v>
      </c>
      <c r="L22" s="153">
        <f t="shared" si="217"/>
        <v>82110</v>
      </c>
      <c r="M22" s="154">
        <f t="shared" si="218"/>
        <v>382532.5</v>
      </c>
      <c r="N22" s="154"/>
      <c r="O22" s="154">
        <f t="shared" si="219"/>
        <v>1717467.5</v>
      </c>
      <c r="P22" s="155"/>
      <c r="Q22" s="154">
        <f t="shared" si="220"/>
        <v>2100000</v>
      </c>
      <c r="R22" s="156">
        <f t="shared" si="221"/>
        <v>0</v>
      </c>
      <c r="S22" s="154">
        <f t="shared" si="222"/>
        <v>0</v>
      </c>
      <c r="T22" s="154">
        <f t="shared" si="223"/>
        <v>0</v>
      </c>
      <c r="U22" s="154">
        <f t="shared" si="224"/>
        <v>0</v>
      </c>
      <c r="V22" s="154">
        <f t="shared" si="225"/>
        <v>2100000</v>
      </c>
      <c r="W22" s="154">
        <f t="shared" si="226"/>
        <v>2100000</v>
      </c>
      <c r="X22" s="154">
        <f t="shared" si="227"/>
        <v>82110</v>
      </c>
      <c r="Y22" s="154">
        <f t="shared" si="228"/>
        <v>82110</v>
      </c>
      <c r="Z22" s="154">
        <f t="shared" si="229"/>
        <v>300422.5</v>
      </c>
      <c r="AA22" s="154">
        <f t="shared" si="230"/>
        <v>300422.5</v>
      </c>
      <c r="AB22" s="157">
        <f t="shared" si="231"/>
        <v>1799577.5</v>
      </c>
      <c r="AC22" s="154">
        <f t="shared" si="232"/>
        <v>0</v>
      </c>
      <c r="AD22" s="158">
        <f t="shared" si="233"/>
        <v>0</v>
      </c>
      <c r="AE22" s="156">
        <f t="shared" si="234"/>
        <v>0</v>
      </c>
      <c r="AF22" s="154">
        <f t="shared" si="235"/>
        <v>0</v>
      </c>
      <c r="AG22" s="154">
        <f t="shared" si="114"/>
        <v>0</v>
      </c>
      <c r="AH22" s="154">
        <f t="shared" si="236"/>
        <v>0</v>
      </c>
      <c r="AI22" s="154">
        <f t="shared" si="116"/>
        <v>2100000</v>
      </c>
      <c r="AJ22" s="154">
        <f t="shared" si="237"/>
        <v>2100000</v>
      </c>
      <c r="AK22" s="154">
        <f t="shared" si="118"/>
        <v>82110</v>
      </c>
      <c r="AL22" s="154">
        <f t="shared" si="238"/>
        <v>82110</v>
      </c>
      <c r="AM22" s="154">
        <f t="shared" si="120"/>
        <v>218312.5</v>
      </c>
      <c r="AN22" s="154">
        <f t="shared" si="239"/>
        <v>218312.5</v>
      </c>
      <c r="AO22" s="157">
        <f t="shared" si="122"/>
        <v>1881687.5</v>
      </c>
      <c r="AP22" s="154">
        <f t="shared" si="123"/>
        <v>0</v>
      </c>
      <c r="AQ22" s="158">
        <f t="shared" si="124"/>
        <v>0</v>
      </c>
      <c r="AR22" s="156">
        <f t="shared" si="234"/>
        <v>0</v>
      </c>
      <c r="AS22" s="154">
        <f t="shared" si="240"/>
        <v>0</v>
      </c>
      <c r="AT22" s="154">
        <f t="shared" si="127"/>
        <v>0</v>
      </c>
      <c r="AU22" s="154">
        <f t="shared" si="241"/>
        <v>0</v>
      </c>
      <c r="AV22" s="154">
        <f t="shared" si="129"/>
        <v>2100000</v>
      </c>
      <c r="AW22" s="154">
        <f t="shared" si="242"/>
        <v>2100000</v>
      </c>
      <c r="AX22" s="154">
        <f t="shared" si="131"/>
        <v>82110</v>
      </c>
      <c r="AY22" s="154">
        <f t="shared" si="243"/>
        <v>82110</v>
      </c>
      <c r="AZ22" s="154">
        <f t="shared" si="133"/>
        <v>136202.5</v>
      </c>
      <c r="BA22" s="154">
        <f t="shared" si="244"/>
        <v>136202.5</v>
      </c>
      <c r="BB22" s="157">
        <f t="shared" si="135"/>
        <v>1963797.5</v>
      </c>
      <c r="BC22" s="154">
        <f t="shared" si="136"/>
        <v>0</v>
      </c>
      <c r="BD22" s="158">
        <f t="shared" si="137"/>
        <v>0</v>
      </c>
      <c r="BE22" s="156">
        <f t="shared" si="234"/>
        <v>0</v>
      </c>
      <c r="BF22" s="154">
        <f t="shared" si="245"/>
        <v>0</v>
      </c>
      <c r="BG22" s="154">
        <f t="shared" si="140"/>
        <v>0</v>
      </c>
      <c r="BH22" s="154">
        <f t="shared" si="246"/>
        <v>0</v>
      </c>
      <c r="BI22" s="154">
        <f t="shared" si="142"/>
        <v>2100000</v>
      </c>
      <c r="BJ22" s="154">
        <f t="shared" si="247"/>
        <v>2100000</v>
      </c>
      <c r="BK22" s="154">
        <f t="shared" si="144"/>
        <v>82110</v>
      </c>
      <c r="BL22" s="154">
        <f t="shared" si="248"/>
        <v>82110</v>
      </c>
      <c r="BM22" s="154">
        <f t="shared" si="146"/>
        <v>54092.5</v>
      </c>
      <c r="BN22" s="154">
        <f t="shared" si="249"/>
        <v>54092.5</v>
      </c>
      <c r="BO22" s="157">
        <f t="shared" si="148"/>
        <v>2045907.5</v>
      </c>
      <c r="BP22" s="154">
        <f t="shared" si="149"/>
        <v>0</v>
      </c>
      <c r="BQ22" s="158">
        <f t="shared" si="150"/>
        <v>0</v>
      </c>
      <c r="BR22" s="156">
        <f t="shared" si="234"/>
        <v>0</v>
      </c>
      <c r="BS22" s="154">
        <f t="shared" si="250"/>
        <v>0</v>
      </c>
      <c r="BT22" s="154">
        <f t="shared" si="153"/>
        <v>0</v>
      </c>
      <c r="BU22" s="154">
        <f t="shared" si="251"/>
        <v>0</v>
      </c>
      <c r="BV22" s="154">
        <f t="shared" si="155"/>
        <v>2100000</v>
      </c>
      <c r="BW22" s="154">
        <f t="shared" si="252"/>
        <v>1383439.9</v>
      </c>
      <c r="BX22" s="154">
        <f t="shared" si="157"/>
        <v>54092.5</v>
      </c>
      <c r="BY22" s="154">
        <f t="shared" si="253"/>
        <v>54092.5</v>
      </c>
      <c r="BZ22" s="154">
        <f t="shared" si="159"/>
        <v>0</v>
      </c>
      <c r="CA22" s="154">
        <f t="shared" si="254"/>
        <v>0</v>
      </c>
      <c r="CB22" s="157">
        <f t="shared" si="161"/>
        <v>2100000</v>
      </c>
      <c r="CC22" s="154">
        <f t="shared" si="162"/>
        <v>0</v>
      </c>
      <c r="CD22" s="158">
        <f t="shared" si="163"/>
        <v>0</v>
      </c>
      <c r="CE22" s="156">
        <f t="shared" si="234"/>
        <v>0</v>
      </c>
      <c r="CF22" s="154">
        <f t="shared" si="255"/>
        <v>0</v>
      </c>
      <c r="CG22" s="154">
        <f t="shared" si="166"/>
        <v>0</v>
      </c>
      <c r="CH22" s="154">
        <f t="shared" si="256"/>
        <v>0</v>
      </c>
      <c r="CI22" s="154">
        <f t="shared" si="168"/>
        <v>2100000</v>
      </c>
      <c r="CJ22" s="154">
        <f t="shared" si="257"/>
        <v>0</v>
      </c>
      <c r="CK22" s="154">
        <f t="shared" si="170"/>
        <v>0</v>
      </c>
      <c r="CL22" s="154">
        <f t="shared" si="258"/>
        <v>0</v>
      </c>
      <c r="CM22" s="154">
        <f t="shared" si="172"/>
        <v>0</v>
      </c>
      <c r="CN22" s="154">
        <f t="shared" si="259"/>
        <v>0</v>
      </c>
      <c r="CO22" s="157">
        <f t="shared" si="174"/>
        <v>2100000</v>
      </c>
      <c r="CP22" s="154">
        <f t="shared" si="175"/>
        <v>0</v>
      </c>
      <c r="CQ22" s="158">
        <f t="shared" si="176"/>
        <v>0</v>
      </c>
      <c r="CR22" s="156">
        <f t="shared" si="260"/>
        <v>0</v>
      </c>
      <c r="CS22" s="154">
        <f t="shared" si="261"/>
        <v>0</v>
      </c>
      <c r="CT22" s="154">
        <f t="shared" si="179"/>
        <v>0</v>
      </c>
      <c r="CU22" s="154">
        <f t="shared" si="262"/>
        <v>0</v>
      </c>
      <c r="CV22" s="154">
        <f t="shared" si="181"/>
        <v>2100000</v>
      </c>
      <c r="CW22" s="154">
        <f t="shared" si="263"/>
        <v>0</v>
      </c>
      <c r="CX22" s="154">
        <f t="shared" si="183"/>
        <v>0</v>
      </c>
      <c r="CY22" s="154">
        <f t="shared" si="264"/>
        <v>0</v>
      </c>
      <c r="CZ22" s="154">
        <f t="shared" si="185"/>
        <v>0</v>
      </c>
      <c r="DA22" s="154">
        <f t="shared" si="265"/>
        <v>0</v>
      </c>
      <c r="DB22" s="157">
        <f t="shared" si="187"/>
        <v>2100000</v>
      </c>
      <c r="DC22" s="154">
        <f t="shared" si="188"/>
        <v>0</v>
      </c>
      <c r="DD22" s="158">
        <f t="shared" si="189"/>
        <v>0</v>
      </c>
      <c r="DE22" s="156">
        <f t="shared" si="260"/>
        <v>0</v>
      </c>
      <c r="DF22" s="154">
        <f t="shared" si="266"/>
        <v>0</v>
      </c>
      <c r="DG22" s="154">
        <f t="shared" si="192"/>
        <v>0</v>
      </c>
      <c r="DH22" s="154">
        <f t="shared" si="267"/>
        <v>0</v>
      </c>
      <c r="DI22" s="154">
        <f t="shared" si="194"/>
        <v>2100000</v>
      </c>
      <c r="DJ22" s="154">
        <f t="shared" si="268"/>
        <v>0</v>
      </c>
      <c r="DK22" s="154">
        <f t="shared" si="196"/>
        <v>0</v>
      </c>
      <c r="DL22" s="154">
        <f t="shared" si="269"/>
        <v>0</v>
      </c>
      <c r="DM22" s="154">
        <f t="shared" si="198"/>
        <v>0</v>
      </c>
      <c r="DN22" s="154">
        <f t="shared" si="270"/>
        <v>0</v>
      </c>
      <c r="DO22" s="157">
        <f t="shared" si="200"/>
        <v>2100000</v>
      </c>
      <c r="DP22" s="154">
        <f t="shared" si="201"/>
        <v>0</v>
      </c>
      <c r="DQ22" s="158">
        <f t="shared" si="202"/>
        <v>0</v>
      </c>
      <c r="DR22" s="156">
        <f t="shared" si="260"/>
        <v>0</v>
      </c>
      <c r="DS22" s="154">
        <f t="shared" si="271"/>
        <v>0</v>
      </c>
      <c r="DT22" s="154">
        <f t="shared" si="205"/>
        <v>0</v>
      </c>
      <c r="DU22" s="154">
        <f t="shared" si="272"/>
        <v>0</v>
      </c>
      <c r="DV22" s="154">
        <f t="shared" si="207"/>
        <v>2100000</v>
      </c>
      <c r="DW22" s="154">
        <f t="shared" si="273"/>
        <v>0</v>
      </c>
      <c r="DX22" s="154">
        <f t="shared" si="209"/>
        <v>0</v>
      </c>
      <c r="DY22" s="154">
        <f t="shared" si="274"/>
        <v>0</v>
      </c>
      <c r="DZ22" s="154">
        <f t="shared" si="211"/>
        <v>0</v>
      </c>
      <c r="EA22" s="154">
        <f t="shared" si="275"/>
        <v>0</v>
      </c>
      <c r="EB22" s="157">
        <f t="shared" si="213"/>
        <v>2100000</v>
      </c>
      <c r="EC22" s="154">
        <f t="shared" si="214"/>
        <v>0</v>
      </c>
      <c r="ED22" s="158">
        <f t="shared" si="215"/>
        <v>0</v>
      </c>
    </row>
    <row r="23" spans="1:134" x14ac:dyDescent="0.35">
      <c r="A23" s="183">
        <v>2000</v>
      </c>
      <c r="B23" s="183" t="s">
        <v>571</v>
      </c>
      <c r="C23" s="183"/>
      <c r="D23" s="175" t="s">
        <v>116</v>
      </c>
      <c r="E23" s="176">
        <v>650000</v>
      </c>
      <c r="F23" s="177">
        <v>36770</v>
      </c>
      <c r="G23" s="178">
        <v>25.64</v>
      </c>
      <c r="H23" s="179"/>
      <c r="I23" s="180"/>
      <c r="J23" s="181"/>
      <c r="K23" s="152">
        <f t="shared" si="216"/>
        <v>3.9E-2</v>
      </c>
      <c r="L23" s="153">
        <f t="shared" si="217"/>
        <v>25350</v>
      </c>
      <c r="M23" s="154">
        <f t="shared" si="218"/>
        <v>362700</v>
      </c>
      <c r="N23" s="154"/>
      <c r="O23" s="154">
        <f t="shared" si="219"/>
        <v>287300</v>
      </c>
      <c r="P23" s="155"/>
      <c r="Q23" s="154">
        <f t="shared" si="220"/>
        <v>650000</v>
      </c>
      <c r="R23" s="156">
        <f t="shared" si="221"/>
        <v>0</v>
      </c>
      <c r="S23" s="154">
        <f t="shared" si="222"/>
        <v>0</v>
      </c>
      <c r="T23" s="154">
        <f t="shared" si="223"/>
        <v>0</v>
      </c>
      <c r="U23" s="154">
        <f t="shared" si="224"/>
        <v>0</v>
      </c>
      <c r="V23" s="154">
        <f t="shared" si="225"/>
        <v>650000</v>
      </c>
      <c r="W23" s="154">
        <f t="shared" si="226"/>
        <v>650000</v>
      </c>
      <c r="X23" s="154">
        <f t="shared" si="227"/>
        <v>25350</v>
      </c>
      <c r="Y23" s="154">
        <f t="shared" si="228"/>
        <v>25350</v>
      </c>
      <c r="Z23" s="154">
        <f t="shared" si="229"/>
        <v>337350</v>
      </c>
      <c r="AA23" s="154">
        <f t="shared" si="230"/>
        <v>337350</v>
      </c>
      <c r="AB23" s="157">
        <f t="shared" si="231"/>
        <v>312650</v>
      </c>
      <c r="AC23" s="154">
        <f t="shared" si="232"/>
        <v>0</v>
      </c>
      <c r="AD23" s="158">
        <f t="shared" si="233"/>
        <v>0</v>
      </c>
      <c r="AE23" s="156">
        <f t="shared" si="234"/>
        <v>0</v>
      </c>
      <c r="AF23" s="154">
        <f t="shared" si="235"/>
        <v>0</v>
      </c>
      <c r="AG23" s="154">
        <f t="shared" si="114"/>
        <v>0</v>
      </c>
      <c r="AH23" s="154">
        <f t="shared" si="236"/>
        <v>0</v>
      </c>
      <c r="AI23" s="154">
        <f t="shared" si="116"/>
        <v>650000</v>
      </c>
      <c r="AJ23" s="154">
        <f t="shared" si="237"/>
        <v>650000</v>
      </c>
      <c r="AK23" s="154">
        <f t="shared" si="118"/>
        <v>25350</v>
      </c>
      <c r="AL23" s="154">
        <f t="shared" si="238"/>
        <v>25350</v>
      </c>
      <c r="AM23" s="154">
        <f t="shared" si="120"/>
        <v>312000</v>
      </c>
      <c r="AN23" s="154">
        <f t="shared" si="239"/>
        <v>312000</v>
      </c>
      <c r="AO23" s="157">
        <f t="shared" si="122"/>
        <v>338000</v>
      </c>
      <c r="AP23" s="154">
        <f t="shared" si="123"/>
        <v>0</v>
      </c>
      <c r="AQ23" s="158">
        <f t="shared" si="124"/>
        <v>0</v>
      </c>
      <c r="AR23" s="156">
        <f t="shared" si="234"/>
        <v>0</v>
      </c>
      <c r="AS23" s="154">
        <f t="shared" si="240"/>
        <v>0</v>
      </c>
      <c r="AT23" s="154">
        <f t="shared" si="127"/>
        <v>0</v>
      </c>
      <c r="AU23" s="154">
        <f t="shared" si="241"/>
        <v>0</v>
      </c>
      <c r="AV23" s="154">
        <f t="shared" si="129"/>
        <v>650000</v>
      </c>
      <c r="AW23" s="154">
        <f t="shared" si="242"/>
        <v>650000</v>
      </c>
      <c r="AX23" s="154">
        <f t="shared" si="131"/>
        <v>25350</v>
      </c>
      <c r="AY23" s="154">
        <f t="shared" si="243"/>
        <v>25350</v>
      </c>
      <c r="AZ23" s="154">
        <f t="shared" si="133"/>
        <v>286650</v>
      </c>
      <c r="BA23" s="154">
        <f t="shared" si="244"/>
        <v>286650</v>
      </c>
      <c r="BB23" s="157">
        <f t="shared" si="135"/>
        <v>363350</v>
      </c>
      <c r="BC23" s="154">
        <f t="shared" si="136"/>
        <v>0</v>
      </c>
      <c r="BD23" s="158">
        <f t="shared" si="137"/>
        <v>0</v>
      </c>
      <c r="BE23" s="156">
        <f t="shared" si="234"/>
        <v>0</v>
      </c>
      <c r="BF23" s="154">
        <f t="shared" si="245"/>
        <v>0</v>
      </c>
      <c r="BG23" s="154">
        <f t="shared" si="140"/>
        <v>0</v>
      </c>
      <c r="BH23" s="154">
        <f t="shared" si="246"/>
        <v>0</v>
      </c>
      <c r="BI23" s="154">
        <f t="shared" si="142"/>
        <v>650000</v>
      </c>
      <c r="BJ23" s="154">
        <f t="shared" si="247"/>
        <v>650000</v>
      </c>
      <c r="BK23" s="154">
        <f t="shared" si="144"/>
        <v>25350</v>
      </c>
      <c r="BL23" s="154">
        <f t="shared" si="248"/>
        <v>25350</v>
      </c>
      <c r="BM23" s="154">
        <f t="shared" si="146"/>
        <v>261300</v>
      </c>
      <c r="BN23" s="154">
        <f t="shared" si="249"/>
        <v>261300</v>
      </c>
      <c r="BO23" s="157">
        <f t="shared" si="148"/>
        <v>388700</v>
      </c>
      <c r="BP23" s="154">
        <f t="shared" si="149"/>
        <v>0</v>
      </c>
      <c r="BQ23" s="158">
        <f t="shared" si="150"/>
        <v>0</v>
      </c>
      <c r="BR23" s="156">
        <f t="shared" si="234"/>
        <v>0</v>
      </c>
      <c r="BS23" s="154">
        <f t="shared" si="250"/>
        <v>0</v>
      </c>
      <c r="BT23" s="154">
        <f t="shared" si="153"/>
        <v>0</v>
      </c>
      <c r="BU23" s="154">
        <f t="shared" si="251"/>
        <v>0</v>
      </c>
      <c r="BV23" s="154">
        <f t="shared" si="155"/>
        <v>650000</v>
      </c>
      <c r="BW23" s="154">
        <f t="shared" si="252"/>
        <v>650000</v>
      </c>
      <c r="BX23" s="154">
        <f t="shared" si="157"/>
        <v>25350</v>
      </c>
      <c r="BY23" s="154">
        <f t="shared" si="253"/>
        <v>25350</v>
      </c>
      <c r="BZ23" s="154">
        <f t="shared" si="159"/>
        <v>235950</v>
      </c>
      <c r="CA23" s="154">
        <f t="shared" si="254"/>
        <v>235950</v>
      </c>
      <c r="CB23" s="157">
        <f t="shared" si="161"/>
        <v>414050</v>
      </c>
      <c r="CC23" s="154">
        <f t="shared" si="162"/>
        <v>0</v>
      </c>
      <c r="CD23" s="158">
        <f t="shared" si="163"/>
        <v>0</v>
      </c>
      <c r="CE23" s="156">
        <f t="shared" si="234"/>
        <v>0</v>
      </c>
      <c r="CF23" s="154">
        <f t="shared" si="255"/>
        <v>0</v>
      </c>
      <c r="CG23" s="154">
        <f t="shared" si="166"/>
        <v>0</v>
      </c>
      <c r="CH23" s="154">
        <f t="shared" si="256"/>
        <v>0</v>
      </c>
      <c r="CI23" s="154">
        <f t="shared" si="168"/>
        <v>650000</v>
      </c>
      <c r="CJ23" s="154">
        <f t="shared" si="257"/>
        <v>650000</v>
      </c>
      <c r="CK23" s="154">
        <f t="shared" si="170"/>
        <v>25350</v>
      </c>
      <c r="CL23" s="154">
        <f t="shared" si="258"/>
        <v>25350</v>
      </c>
      <c r="CM23" s="154">
        <f t="shared" si="172"/>
        <v>210600</v>
      </c>
      <c r="CN23" s="154">
        <f t="shared" si="259"/>
        <v>210600</v>
      </c>
      <c r="CO23" s="157">
        <f t="shared" si="174"/>
        <v>439400</v>
      </c>
      <c r="CP23" s="154">
        <f t="shared" si="175"/>
        <v>0</v>
      </c>
      <c r="CQ23" s="158">
        <f t="shared" si="176"/>
        <v>0</v>
      </c>
      <c r="CR23" s="156">
        <f t="shared" si="260"/>
        <v>0</v>
      </c>
      <c r="CS23" s="154">
        <f t="shared" si="261"/>
        <v>0</v>
      </c>
      <c r="CT23" s="154">
        <f t="shared" si="179"/>
        <v>0</v>
      </c>
      <c r="CU23" s="154">
        <f t="shared" si="262"/>
        <v>0</v>
      </c>
      <c r="CV23" s="154">
        <f t="shared" si="181"/>
        <v>650000</v>
      </c>
      <c r="CW23" s="154">
        <f t="shared" si="263"/>
        <v>650000</v>
      </c>
      <c r="CX23" s="154">
        <f t="shared" si="183"/>
        <v>25350</v>
      </c>
      <c r="CY23" s="154">
        <f t="shared" si="264"/>
        <v>25350</v>
      </c>
      <c r="CZ23" s="154">
        <f t="shared" si="185"/>
        <v>185250</v>
      </c>
      <c r="DA23" s="154">
        <f t="shared" si="265"/>
        <v>185250</v>
      </c>
      <c r="DB23" s="157">
        <f t="shared" si="187"/>
        <v>464750</v>
      </c>
      <c r="DC23" s="154">
        <f t="shared" si="188"/>
        <v>0</v>
      </c>
      <c r="DD23" s="158">
        <f t="shared" si="189"/>
        <v>0</v>
      </c>
      <c r="DE23" s="156">
        <f t="shared" si="260"/>
        <v>0</v>
      </c>
      <c r="DF23" s="154">
        <f t="shared" si="266"/>
        <v>0</v>
      </c>
      <c r="DG23" s="154">
        <f t="shared" si="192"/>
        <v>0</v>
      </c>
      <c r="DH23" s="154">
        <f t="shared" si="267"/>
        <v>0</v>
      </c>
      <c r="DI23" s="154">
        <f t="shared" si="194"/>
        <v>650000</v>
      </c>
      <c r="DJ23" s="154">
        <f t="shared" si="268"/>
        <v>650000</v>
      </c>
      <c r="DK23" s="154">
        <f t="shared" si="196"/>
        <v>25350</v>
      </c>
      <c r="DL23" s="154">
        <f t="shared" si="269"/>
        <v>25350</v>
      </c>
      <c r="DM23" s="154">
        <f t="shared" si="198"/>
        <v>159900</v>
      </c>
      <c r="DN23" s="154">
        <f t="shared" si="270"/>
        <v>159900</v>
      </c>
      <c r="DO23" s="157">
        <f t="shared" si="200"/>
        <v>490100</v>
      </c>
      <c r="DP23" s="154">
        <f t="shared" si="201"/>
        <v>0</v>
      </c>
      <c r="DQ23" s="158">
        <f t="shared" si="202"/>
        <v>0</v>
      </c>
      <c r="DR23" s="156">
        <f t="shared" si="260"/>
        <v>0</v>
      </c>
      <c r="DS23" s="154">
        <f t="shared" si="271"/>
        <v>0</v>
      </c>
      <c r="DT23" s="154">
        <f t="shared" si="205"/>
        <v>0</v>
      </c>
      <c r="DU23" s="154">
        <f t="shared" si="272"/>
        <v>0</v>
      </c>
      <c r="DV23" s="154">
        <f t="shared" si="207"/>
        <v>650000</v>
      </c>
      <c r="DW23" s="154">
        <f t="shared" si="273"/>
        <v>650000</v>
      </c>
      <c r="DX23" s="154">
        <f t="shared" si="209"/>
        <v>25350</v>
      </c>
      <c r="DY23" s="154">
        <f t="shared" si="274"/>
        <v>25350</v>
      </c>
      <c r="DZ23" s="154">
        <f t="shared" si="211"/>
        <v>134550</v>
      </c>
      <c r="EA23" s="154">
        <f t="shared" si="275"/>
        <v>134550</v>
      </c>
      <c r="EB23" s="157">
        <f t="shared" si="213"/>
        <v>515450</v>
      </c>
      <c r="EC23" s="154">
        <f t="shared" si="214"/>
        <v>0</v>
      </c>
      <c r="ED23" s="158">
        <f t="shared" si="215"/>
        <v>0</v>
      </c>
    </row>
    <row r="24" spans="1:134" x14ac:dyDescent="0.35">
      <c r="A24" s="183"/>
      <c r="B24" s="173"/>
      <c r="C24" s="173"/>
      <c r="D24" s="175"/>
      <c r="E24" s="176"/>
      <c r="F24" s="177"/>
      <c r="G24" s="178"/>
      <c r="H24" s="179"/>
      <c r="I24" s="180"/>
      <c r="J24" s="181"/>
      <c r="K24" s="152">
        <f t="shared" si="216"/>
        <v>0</v>
      </c>
      <c r="L24" s="153">
        <f t="shared" si="217"/>
        <v>0</v>
      </c>
      <c r="M24" s="154">
        <f t="shared" si="218"/>
        <v>0</v>
      </c>
      <c r="N24" s="154"/>
      <c r="O24" s="154">
        <f t="shared" si="219"/>
        <v>0</v>
      </c>
      <c r="P24" s="155"/>
      <c r="Q24" s="154">
        <f t="shared" si="220"/>
        <v>0</v>
      </c>
      <c r="R24" s="156">
        <f t="shared" si="221"/>
        <v>0</v>
      </c>
      <c r="S24" s="154">
        <f t="shared" si="222"/>
        <v>0</v>
      </c>
      <c r="T24" s="154">
        <f t="shared" si="223"/>
        <v>0</v>
      </c>
      <c r="U24" s="154">
        <f t="shared" si="224"/>
        <v>0</v>
      </c>
      <c r="V24" s="154">
        <f t="shared" si="225"/>
        <v>0</v>
      </c>
      <c r="W24" s="154">
        <f t="shared" si="226"/>
        <v>0</v>
      </c>
      <c r="X24" s="154">
        <f t="shared" si="227"/>
        <v>0</v>
      </c>
      <c r="Y24" s="154">
        <f t="shared" si="228"/>
        <v>0</v>
      </c>
      <c r="Z24" s="154">
        <f t="shared" si="229"/>
        <v>0</v>
      </c>
      <c r="AA24" s="154">
        <f t="shared" si="230"/>
        <v>0</v>
      </c>
      <c r="AB24" s="157">
        <f t="shared" si="231"/>
        <v>0</v>
      </c>
      <c r="AC24" s="154">
        <f t="shared" si="232"/>
        <v>0</v>
      </c>
      <c r="AD24" s="158">
        <f t="shared" si="233"/>
        <v>0</v>
      </c>
      <c r="AE24" s="156">
        <f t="shared" si="234"/>
        <v>0</v>
      </c>
      <c r="AF24" s="154">
        <f t="shared" si="235"/>
        <v>0</v>
      </c>
      <c r="AG24" s="154">
        <f t="shared" si="114"/>
        <v>0</v>
      </c>
      <c r="AH24" s="154">
        <f t="shared" si="236"/>
        <v>0</v>
      </c>
      <c r="AI24" s="154">
        <f t="shared" si="116"/>
        <v>0</v>
      </c>
      <c r="AJ24" s="154">
        <f t="shared" si="237"/>
        <v>0</v>
      </c>
      <c r="AK24" s="154">
        <f t="shared" si="118"/>
        <v>0</v>
      </c>
      <c r="AL24" s="154">
        <f t="shared" si="238"/>
        <v>0</v>
      </c>
      <c r="AM24" s="154">
        <f t="shared" si="120"/>
        <v>0</v>
      </c>
      <c r="AN24" s="154">
        <f t="shared" si="239"/>
        <v>0</v>
      </c>
      <c r="AO24" s="157">
        <f t="shared" si="122"/>
        <v>0</v>
      </c>
      <c r="AP24" s="154">
        <f t="shared" si="123"/>
        <v>0</v>
      </c>
      <c r="AQ24" s="158">
        <f t="shared" si="124"/>
        <v>0</v>
      </c>
      <c r="AR24" s="156">
        <f t="shared" si="234"/>
        <v>0</v>
      </c>
      <c r="AS24" s="154">
        <f t="shared" si="240"/>
        <v>0</v>
      </c>
      <c r="AT24" s="154">
        <f t="shared" si="127"/>
        <v>0</v>
      </c>
      <c r="AU24" s="154">
        <f t="shared" si="241"/>
        <v>0</v>
      </c>
      <c r="AV24" s="154">
        <f t="shared" si="129"/>
        <v>0</v>
      </c>
      <c r="AW24" s="154">
        <f t="shared" si="242"/>
        <v>0</v>
      </c>
      <c r="AX24" s="154">
        <f t="shared" si="131"/>
        <v>0</v>
      </c>
      <c r="AY24" s="154">
        <f t="shared" si="243"/>
        <v>0</v>
      </c>
      <c r="AZ24" s="154">
        <f t="shared" si="133"/>
        <v>0</v>
      </c>
      <c r="BA24" s="154">
        <f t="shared" si="244"/>
        <v>0</v>
      </c>
      <c r="BB24" s="157">
        <f t="shared" si="135"/>
        <v>0</v>
      </c>
      <c r="BC24" s="154">
        <f t="shared" si="136"/>
        <v>0</v>
      </c>
      <c r="BD24" s="158">
        <f t="shared" si="137"/>
        <v>0</v>
      </c>
      <c r="BE24" s="156">
        <f t="shared" si="234"/>
        <v>0</v>
      </c>
      <c r="BF24" s="154">
        <f t="shared" si="245"/>
        <v>0</v>
      </c>
      <c r="BG24" s="154">
        <f t="shared" si="140"/>
        <v>0</v>
      </c>
      <c r="BH24" s="154">
        <f t="shared" si="246"/>
        <v>0</v>
      </c>
      <c r="BI24" s="154">
        <f t="shared" si="142"/>
        <v>0</v>
      </c>
      <c r="BJ24" s="154">
        <f t="shared" si="247"/>
        <v>0</v>
      </c>
      <c r="BK24" s="154">
        <f t="shared" si="144"/>
        <v>0</v>
      </c>
      <c r="BL24" s="154">
        <f t="shared" si="248"/>
        <v>0</v>
      </c>
      <c r="BM24" s="154">
        <f t="shared" si="146"/>
        <v>0</v>
      </c>
      <c r="BN24" s="154">
        <f t="shared" si="249"/>
        <v>0</v>
      </c>
      <c r="BO24" s="157">
        <f t="shared" si="148"/>
        <v>0</v>
      </c>
      <c r="BP24" s="154">
        <f t="shared" si="149"/>
        <v>0</v>
      </c>
      <c r="BQ24" s="158">
        <f t="shared" si="150"/>
        <v>0</v>
      </c>
      <c r="BR24" s="156">
        <f t="shared" si="234"/>
        <v>0</v>
      </c>
      <c r="BS24" s="154">
        <f t="shared" si="250"/>
        <v>0</v>
      </c>
      <c r="BT24" s="154">
        <f t="shared" si="153"/>
        <v>0</v>
      </c>
      <c r="BU24" s="154">
        <f t="shared" si="251"/>
        <v>0</v>
      </c>
      <c r="BV24" s="154">
        <f t="shared" si="155"/>
        <v>0</v>
      </c>
      <c r="BW24" s="154">
        <f t="shared" si="252"/>
        <v>0</v>
      </c>
      <c r="BX24" s="154">
        <f t="shared" si="157"/>
        <v>0</v>
      </c>
      <c r="BY24" s="154">
        <f t="shared" si="253"/>
        <v>0</v>
      </c>
      <c r="BZ24" s="154">
        <f t="shared" si="159"/>
        <v>0</v>
      </c>
      <c r="CA24" s="154">
        <f t="shared" si="254"/>
        <v>0</v>
      </c>
      <c r="CB24" s="157">
        <f t="shared" si="161"/>
        <v>0</v>
      </c>
      <c r="CC24" s="154">
        <f t="shared" si="162"/>
        <v>0</v>
      </c>
      <c r="CD24" s="158">
        <f t="shared" si="163"/>
        <v>0</v>
      </c>
      <c r="CE24" s="156">
        <f t="shared" si="234"/>
        <v>0</v>
      </c>
      <c r="CF24" s="154">
        <f t="shared" si="255"/>
        <v>0</v>
      </c>
      <c r="CG24" s="154">
        <f t="shared" si="166"/>
        <v>0</v>
      </c>
      <c r="CH24" s="154">
        <f t="shared" si="256"/>
        <v>0</v>
      </c>
      <c r="CI24" s="154">
        <f t="shared" si="168"/>
        <v>0</v>
      </c>
      <c r="CJ24" s="154">
        <f t="shared" si="257"/>
        <v>0</v>
      </c>
      <c r="CK24" s="154">
        <f t="shared" si="170"/>
        <v>0</v>
      </c>
      <c r="CL24" s="154">
        <f t="shared" si="258"/>
        <v>0</v>
      </c>
      <c r="CM24" s="154">
        <f t="shared" si="172"/>
        <v>0</v>
      </c>
      <c r="CN24" s="154">
        <f t="shared" si="259"/>
        <v>0</v>
      </c>
      <c r="CO24" s="157">
        <f t="shared" si="174"/>
        <v>0</v>
      </c>
      <c r="CP24" s="154">
        <f t="shared" si="175"/>
        <v>0</v>
      </c>
      <c r="CQ24" s="158">
        <f t="shared" si="176"/>
        <v>0</v>
      </c>
      <c r="CR24" s="156">
        <f t="shared" si="260"/>
        <v>0</v>
      </c>
      <c r="CS24" s="154">
        <f t="shared" si="261"/>
        <v>0</v>
      </c>
      <c r="CT24" s="154">
        <f t="shared" si="179"/>
        <v>0</v>
      </c>
      <c r="CU24" s="154">
        <f t="shared" si="262"/>
        <v>0</v>
      </c>
      <c r="CV24" s="154">
        <f t="shared" si="181"/>
        <v>0</v>
      </c>
      <c r="CW24" s="154">
        <f t="shared" si="263"/>
        <v>0</v>
      </c>
      <c r="CX24" s="154">
        <f t="shared" si="183"/>
        <v>0</v>
      </c>
      <c r="CY24" s="154">
        <f t="shared" si="264"/>
        <v>0</v>
      </c>
      <c r="CZ24" s="154">
        <f t="shared" si="185"/>
        <v>0</v>
      </c>
      <c r="DA24" s="154">
        <f t="shared" si="265"/>
        <v>0</v>
      </c>
      <c r="DB24" s="157">
        <f t="shared" si="187"/>
        <v>0</v>
      </c>
      <c r="DC24" s="154">
        <f t="shared" si="188"/>
        <v>0</v>
      </c>
      <c r="DD24" s="158">
        <f t="shared" si="189"/>
        <v>0</v>
      </c>
      <c r="DE24" s="156">
        <f t="shared" si="260"/>
        <v>0</v>
      </c>
      <c r="DF24" s="154">
        <f t="shared" si="266"/>
        <v>0</v>
      </c>
      <c r="DG24" s="154">
        <f t="shared" si="192"/>
        <v>0</v>
      </c>
      <c r="DH24" s="154">
        <f t="shared" si="267"/>
        <v>0</v>
      </c>
      <c r="DI24" s="154">
        <f t="shared" si="194"/>
        <v>0</v>
      </c>
      <c r="DJ24" s="154">
        <f t="shared" si="268"/>
        <v>0</v>
      </c>
      <c r="DK24" s="154">
        <f t="shared" si="196"/>
        <v>0</v>
      </c>
      <c r="DL24" s="154">
        <f t="shared" si="269"/>
        <v>0</v>
      </c>
      <c r="DM24" s="154">
        <f t="shared" si="198"/>
        <v>0</v>
      </c>
      <c r="DN24" s="154">
        <f t="shared" si="270"/>
        <v>0</v>
      </c>
      <c r="DO24" s="157">
        <f t="shared" si="200"/>
        <v>0</v>
      </c>
      <c r="DP24" s="154">
        <f t="shared" si="201"/>
        <v>0</v>
      </c>
      <c r="DQ24" s="158">
        <f t="shared" si="202"/>
        <v>0</v>
      </c>
      <c r="DR24" s="156">
        <f t="shared" si="260"/>
        <v>0</v>
      </c>
      <c r="DS24" s="154">
        <f t="shared" si="271"/>
        <v>0</v>
      </c>
      <c r="DT24" s="154">
        <f t="shared" si="205"/>
        <v>0</v>
      </c>
      <c r="DU24" s="154">
        <f t="shared" si="272"/>
        <v>0</v>
      </c>
      <c r="DV24" s="154">
        <f t="shared" si="207"/>
        <v>0</v>
      </c>
      <c r="DW24" s="154">
        <f t="shared" si="273"/>
        <v>0</v>
      </c>
      <c r="DX24" s="154">
        <f t="shared" si="209"/>
        <v>0</v>
      </c>
      <c r="DY24" s="154">
        <f t="shared" si="274"/>
        <v>0</v>
      </c>
      <c r="DZ24" s="154">
        <f t="shared" si="211"/>
        <v>0</v>
      </c>
      <c r="EA24" s="154">
        <f t="shared" si="275"/>
        <v>0</v>
      </c>
      <c r="EB24" s="157">
        <f t="shared" si="213"/>
        <v>0</v>
      </c>
      <c r="EC24" s="154">
        <f t="shared" si="214"/>
        <v>0</v>
      </c>
      <c r="ED24" s="158">
        <f t="shared" si="215"/>
        <v>0</v>
      </c>
    </row>
    <row r="25" spans="1:134" x14ac:dyDescent="0.35">
      <c r="A25" s="183"/>
      <c r="B25" s="183" t="s">
        <v>574</v>
      </c>
      <c r="C25" s="183"/>
      <c r="D25" s="175"/>
      <c r="E25" s="176"/>
      <c r="F25" s="177"/>
      <c r="G25" s="178"/>
      <c r="H25" s="179"/>
      <c r="I25" s="180"/>
      <c r="J25" s="181"/>
      <c r="K25" s="152">
        <f t="shared" si="216"/>
        <v>0</v>
      </c>
      <c r="L25" s="153">
        <f t="shared" si="217"/>
        <v>0</v>
      </c>
      <c r="M25" s="154">
        <f t="shared" si="218"/>
        <v>0</v>
      </c>
      <c r="N25" s="154"/>
      <c r="O25" s="154">
        <f t="shared" si="219"/>
        <v>0</v>
      </c>
      <c r="P25" s="155"/>
      <c r="Q25" s="154">
        <f t="shared" si="220"/>
        <v>0</v>
      </c>
      <c r="R25" s="156">
        <f t="shared" si="221"/>
        <v>0</v>
      </c>
      <c r="S25" s="154">
        <f t="shared" si="222"/>
        <v>0</v>
      </c>
      <c r="T25" s="154">
        <f t="shared" si="223"/>
        <v>0</v>
      </c>
      <c r="U25" s="154">
        <f t="shared" si="224"/>
        <v>0</v>
      </c>
      <c r="V25" s="154">
        <f t="shared" si="225"/>
        <v>0</v>
      </c>
      <c r="W25" s="154">
        <f t="shared" si="226"/>
        <v>0</v>
      </c>
      <c r="X25" s="154">
        <f t="shared" si="227"/>
        <v>0</v>
      </c>
      <c r="Y25" s="154">
        <f t="shared" si="228"/>
        <v>0</v>
      </c>
      <c r="Z25" s="154">
        <f t="shared" si="229"/>
        <v>0</v>
      </c>
      <c r="AA25" s="154">
        <f t="shared" si="230"/>
        <v>0</v>
      </c>
      <c r="AB25" s="157">
        <f t="shared" si="231"/>
        <v>0</v>
      </c>
      <c r="AC25" s="154">
        <f t="shared" si="232"/>
        <v>0</v>
      </c>
      <c r="AD25" s="158">
        <f t="shared" si="233"/>
        <v>0</v>
      </c>
      <c r="AE25" s="156">
        <f t="shared" si="234"/>
        <v>0</v>
      </c>
      <c r="AF25" s="154">
        <f t="shared" si="235"/>
        <v>0</v>
      </c>
      <c r="AG25" s="154">
        <f t="shared" si="114"/>
        <v>0</v>
      </c>
      <c r="AH25" s="154">
        <f t="shared" si="236"/>
        <v>0</v>
      </c>
      <c r="AI25" s="154">
        <f t="shared" si="116"/>
        <v>0</v>
      </c>
      <c r="AJ25" s="154">
        <f t="shared" si="237"/>
        <v>0</v>
      </c>
      <c r="AK25" s="154">
        <f t="shared" si="118"/>
        <v>0</v>
      </c>
      <c r="AL25" s="154">
        <f t="shared" si="238"/>
        <v>0</v>
      </c>
      <c r="AM25" s="154">
        <f t="shared" si="120"/>
        <v>0</v>
      </c>
      <c r="AN25" s="154">
        <f t="shared" si="239"/>
        <v>0</v>
      </c>
      <c r="AO25" s="157">
        <f t="shared" si="122"/>
        <v>0</v>
      </c>
      <c r="AP25" s="154">
        <f t="shared" si="123"/>
        <v>0</v>
      </c>
      <c r="AQ25" s="158">
        <f t="shared" si="124"/>
        <v>0</v>
      </c>
      <c r="AR25" s="156">
        <f t="shared" si="234"/>
        <v>0</v>
      </c>
      <c r="AS25" s="154">
        <f t="shared" si="240"/>
        <v>0</v>
      </c>
      <c r="AT25" s="154">
        <f t="shared" si="127"/>
        <v>0</v>
      </c>
      <c r="AU25" s="154">
        <f t="shared" si="241"/>
        <v>0</v>
      </c>
      <c r="AV25" s="154">
        <f t="shared" si="129"/>
        <v>0</v>
      </c>
      <c r="AW25" s="154">
        <f t="shared" si="242"/>
        <v>0</v>
      </c>
      <c r="AX25" s="154">
        <f t="shared" si="131"/>
        <v>0</v>
      </c>
      <c r="AY25" s="154">
        <f t="shared" si="243"/>
        <v>0</v>
      </c>
      <c r="AZ25" s="154">
        <f t="shared" si="133"/>
        <v>0</v>
      </c>
      <c r="BA25" s="154">
        <f t="shared" si="244"/>
        <v>0</v>
      </c>
      <c r="BB25" s="157">
        <f t="shared" si="135"/>
        <v>0</v>
      </c>
      <c r="BC25" s="154">
        <f t="shared" si="136"/>
        <v>0</v>
      </c>
      <c r="BD25" s="158">
        <f t="shared" si="137"/>
        <v>0</v>
      </c>
      <c r="BE25" s="156">
        <f t="shared" si="234"/>
        <v>0</v>
      </c>
      <c r="BF25" s="154">
        <f t="shared" si="245"/>
        <v>0</v>
      </c>
      <c r="BG25" s="154">
        <f t="shared" si="140"/>
        <v>0</v>
      </c>
      <c r="BH25" s="154">
        <f t="shared" si="246"/>
        <v>0</v>
      </c>
      <c r="BI25" s="154">
        <f t="shared" si="142"/>
        <v>0</v>
      </c>
      <c r="BJ25" s="154">
        <f t="shared" si="247"/>
        <v>0</v>
      </c>
      <c r="BK25" s="154">
        <f t="shared" si="144"/>
        <v>0</v>
      </c>
      <c r="BL25" s="154">
        <f t="shared" si="248"/>
        <v>0</v>
      </c>
      <c r="BM25" s="154">
        <f t="shared" si="146"/>
        <v>0</v>
      </c>
      <c r="BN25" s="154">
        <f t="shared" si="249"/>
        <v>0</v>
      </c>
      <c r="BO25" s="157">
        <f t="shared" si="148"/>
        <v>0</v>
      </c>
      <c r="BP25" s="154">
        <f t="shared" si="149"/>
        <v>0</v>
      </c>
      <c r="BQ25" s="158">
        <f t="shared" si="150"/>
        <v>0</v>
      </c>
      <c r="BR25" s="156">
        <f t="shared" si="234"/>
        <v>0</v>
      </c>
      <c r="BS25" s="154">
        <f t="shared" si="250"/>
        <v>0</v>
      </c>
      <c r="BT25" s="154">
        <f t="shared" si="153"/>
        <v>0</v>
      </c>
      <c r="BU25" s="154">
        <f t="shared" si="251"/>
        <v>0</v>
      </c>
      <c r="BV25" s="154">
        <f t="shared" si="155"/>
        <v>0</v>
      </c>
      <c r="BW25" s="154">
        <f t="shared" si="252"/>
        <v>0</v>
      </c>
      <c r="BX25" s="154">
        <f t="shared" si="157"/>
        <v>0</v>
      </c>
      <c r="BY25" s="154">
        <f t="shared" si="253"/>
        <v>0</v>
      </c>
      <c r="BZ25" s="154">
        <f t="shared" si="159"/>
        <v>0</v>
      </c>
      <c r="CA25" s="154">
        <f t="shared" si="254"/>
        <v>0</v>
      </c>
      <c r="CB25" s="157">
        <f t="shared" si="161"/>
        <v>0</v>
      </c>
      <c r="CC25" s="154">
        <f t="shared" si="162"/>
        <v>0</v>
      </c>
      <c r="CD25" s="158">
        <f t="shared" si="163"/>
        <v>0</v>
      </c>
      <c r="CE25" s="156">
        <f t="shared" si="234"/>
        <v>0</v>
      </c>
      <c r="CF25" s="154">
        <f t="shared" si="255"/>
        <v>0</v>
      </c>
      <c r="CG25" s="154">
        <f t="shared" si="166"/>
        <v>0</v>
      </c>
      <c r="CH25" s="154">
        <f t="shared" si="256"/>
        <v>0</v>
      </c>
      <c r="CI25" s="154">
        <f t="shared" si="168"/>
        <v>0</v>
      </c>
      <c r="CJ25" s="154">
        <f t="shared" si="257"/>
        <v>0</v>
      </c>
      <c r="CK25" s="154">
        <f t="shared" si="170"/>
        <v>0</v>
      </c>
      <c r="CL25" s="154">
        <f t="shared" si="258"/>
        <v>0</v>
      </c>
      <c r="CM25" s="154">
        <f t="shared" si="172"/>
        <v>0</v>
      </c>
      <c r="CN25" s="154">
        <f t="shared" si="259"/>
        <v>0</v>
      </c>
      <c r="CO25" s="157">
        <f t="shared" si="174"/>
        <v>0</v>
      </c>
      <c r="CP25" s="154">
        <f t="shared" si="175"/>
        <v>0</v>
      </c>
      <c r="CQ25" s="158">
        <f t="shared" si="176"/>
        <v>0</v>
      </c>
      <c r="CR25" s="156">
        <f t="shared" si="260"/>
        <v>0</v>
      </c>
      <c r="CS25" s="154">
        <f t="shared" si="261"/>
        <v>0</v>
      </c>
      <c r="CT25" s="154">
        <f t="shared" si="179"/>
        <v>0</v>
      </c>
      <c r="CU25" s="154">
        <f t="shared" si="262"/>
        <v>0</v>
      </c>
      <c r="CV25" s="154">
        <f t="shared" si="181"/>
        <v>0</v>
      </c>
      <c r="CW25" s="154">
        <f t="shared" si="263"/>
        <v>0</v>
      </c>
      <c r="CX25" s="154">
        <f t="shared" si="183"/>
        <v>0</v>
      </c>
      <c r="CY25" s="154">
        <f t="shared" si="264"/>
        <v>0</v>
      </c>
      <c r="CZ25" s="154">
        <f t="shared" si="185"/>
        <v>0</v>
      </c>
      <c r="DA25" s="154">
        <f t="shared" si="265"/>
        <v>0</v>
      </c>
      <c r="DB25" s="157">
        <f t="shared" si="187"/>
        <v>0</v>
      </c>
      <c r="DC25" s="154">
        <f t="shared" si="188"/>
        <v>0</v>
      </c>
      <c r="DD25" s="158">
        <f t="shared" si="189"/>
        <v>0</v>
      </c>
      <c r="DE25" s="156">
        <f t="shared" si="260"/>
        <v>0</v>
      </c>
      <c r="DF25" s="154">
        <f t="shared" si="266"/>
        <v>0</v>
      </c>
      <c r="DG25" s="154">
        <f t="shared" si="192"/>
        <v>0</v>
      </c>
      <c r="DH25" s="154">
        <f t="shared" si="267"/>
        <v>0</v>
      </c>
      <c r="DI25" s="154">
        <f t="shared" si="194"/>
        <v>0</v>
      </c>
      <c r="DJ25" s="154">
        <f t="shared" si="268"/>
        <v>0</v>
      </c>
      <c r="DK25" s="154">
        <f t="shared" si="196"/>
        <v>0</v>
      </c>
      <c r="DL25" s="154">
        <f t="shared" si="269"/>
        <v>0</v>
      </c>
      <c r="DM25" s="154">
        <f t="shared" si="198"/>
        <v>0</v>
      </c>
      <c r="DN25" s="154">
        <f t="shared" si="270"/>
        <v>0</v>
      </c>
      <c r="DO25" s="157">
        <f t="shared" si="200"/>
        <v>0</v>
      </c>
      <c r="DP25" s="154">
        <f t="shared" si="201"/>
        <v>0</v>
      </c>
      <c r="DQ25" s="158">
        <f t="shared" si="202"/>
        <v>0</v>
      </c>
      <c r="DR25" s="156">
        <f t="shared" si="260"/>
        <v>0</v>
      </c>
      <c r="DS25" s="154">
        <f t="shared" si="271"/>
        <v>0</v>
      </c>
      <c r="DT25" s="154">
        <f t="shared" si="205"/>
        <v>0</v>
      </c>
      <c r="DU25" s="154">
        <f t="shared" si="272"/>
        <v>0</v>
      </c>
      <c r="DV25" s="154">
        <f t="shared" si="207"/>
        <v>0</v>
      </c>
      <c r="DW25" s="154">
        <f t="shared" si="273"/>
        <v>0</v>
      </c>
      <c r="DX25" s="154">
        <f t="shared" si="209"/>
        <v>0</v>
      </c>
      <c r="DY25" s="154">
        <f t="shared" si="274"/>
        <v>0</v>
      </c>
      <c r="DZ25" s="154">
        <f t="shared" si="211"/>
        <v>0</v>
      </c>
      <c r="EA25" s="154">
        <f t="shared" si="275"/>
        <v>0</v>
      </c>
      <c r="EB25" s="157">
        <f t="shared" si="213"/>
        <v>0</v>
      </c>
      <c r="EC25" s="154">
        <f t="shared" si="214"/>
        <v>0</v>
      </c>
      <c r="ED25" s="158">
        <f t="shared" si="215"/>
        <v>0</v>
      </c>
    </row>
    <row r="26" spans="1:134" x14ac:dyDescent="0.35">
      <c r="A26" s="183">
        <v>1996</v>
      </c>
      <c r="B26" s="183" t="s">
        <v>571</v>
      </c>
      <c r="C26" s="183"/>
      <c r="D26" s="175" t="s">
        <v>113</v>
      </c>
      <c r="E26" s="176">
        <v>400000</v>
      </c>
      <c r="F26" s="177">
        <v>35612</v>
      </c>
      <c r="G26" s="178">
        <v>29</v>
      </c>
      <c r="H26" s="179"/>
      <c r="I26" s="180"/>
      <c r="J26" s="181"/>
      <c r="K26" s="152">
        <f t="shared" si="216"/>
        <v>3.4500000000000003E-2</v>
      </c>
      <c r="L26" s="153">
        <f t="shared" si="217"/>
        <v>13800</v>
      </c>
      <c r="M26" s="154">
        <f t="shared" si="218"/>
        <v>199900</v>
      </c>
      <c r="N26" s="154"/>
      <c r="O26" s="154">
        <f t="shared" si="219"/>
        <v>200100</v>
      </c>
      <c r="P26" s="155"/>
      <c r="Q26" s="154">
        <f t="shared" si="220"/>
        <v>400000</v>
      </c>
      <c r="R26" s="156">
        <f t="shared" si="221"/>
        <v>0</v>
      </c>
      <c r="S26" s="154">
        <f t="shared" si="222"/>
        <v>0</v>
      </c>
      <c r="T26" s="154">
        <f t="shared" si="223"/>
        <v>0</v>
      </c>
      <c r="U26" s="154">
        <f t="shared" si="224"/>
        <v>0</v>
      </c>
      <c r="V26" s="154">
        <f t="shared" si="225"/>
        <v>400000</v>
      </c>
      <c r="W26" s="154">
        <f t="shared" si="226"/>
        <v>400000</v>
      </c>
      <c r="X26" s="154">
        <f t="shared" si="227"/>
        <v>13800</v>
      </c>
      <c r="Y26" s="154">
        <f t="shared" si="228"/>
        <v>13800</v>
      </c>
      <c r="Z26" s="154">
        <f t="shared" si="229"/>
        <v>186100</v>
      </c>
      <c r="AA26" s="154">
        <f t="shared" si="230"/>
        <v>186100</v>
      </c>
      <c r="AB26" s="157">
        <f t="shared" si="231"/>
        <v>213900</v>
      </c>
      <c r="AC26" s="154">
        <f t="shared" si="232"/>
        <v>0</v>
      </c>
      <c r="AD26" s="158">
        <f t="shared" si="233"/>
        <v>0</v>
      </c>
      <c r="AE26" s="156">
        <f t="shared" si="234"/>
        <v>0</v>
      </c>
      <c r="AF26" s="154">
        <f t="shared" si="235"/>
        <v>0</v>
      </c>
      <c r="AG26" s="154">
        <f t="shared" si="114"/>
        <v>0</v>
      </c>
      <c r="AH26" s="154">
        <f t="shared" si="236"/>
        <v>0</v>
      </c>
      <c r="AI26" s="154">
        <f t="shared" si="116"/>
        <v>400000</v>
      </c>
      <c r="AJ26" s="154">
        <f t="shared" si="237"/>
        <v>400000</v>
      </c>
      <c r="AK26" s="154">
        <f t="shared" si="118"/>
        <v>13800</v>
      </c>
      <c r="AL26" s="154">
        <f t="shared" si="238"/>
        <v>13800</v>
      </c>
      <c r="AM26" s="154">
        <f t="shared" si="120"/>
        <v>172300</v>
      </c>
      <c r="AN26" s="154">
        <f t="shared" si="239"/>
        <v>172300</v>
      </c>
      <c r="AO26" s="157">
        <f t="shared" si="122"/>
        <v>227700</v>
      </c>
      <c r="AP26" s="154">
        <f t="shared" si="123"/>
        <v>0</v>
      </c>
      <c r="AQ26" s="158">
        <f t="shared" si="124"/>
        <v>0</v>
      </c>
      <c r="AR26" s="156">
        <f t="shared" si="234"/>
        <v>0</v>
      </c>
      <c r="AS26" s="154">
        <f t="shared" si="240"/>
        <v>0</v>
      </c>
      <c r="AT26" s="154">
        <f t="shared" si="127"/>
        <v>0</v>
      </c>
      <c r="AU26" s="154">
        <f t="shared" si="241"/>
        <v>0</v>
      </c>
      <c r="AV26" s="154">
        <f t="shared" si="129"/>
        <v>400000</v>
      </c>
      <c r="AW26" s="154">
        <f t="shared" si="242"/>
        <v>400000</v>
      </c>
      <c r="AX26" s="154">
        <f t="shared" si="131"/>
        <v>13800</v>
      </c>
      <c r="AY26" s="154">
        <f t="shared" si="243"/>
        <v>13800</v>
      </c>
      <c r="AZ26" s="154">
        <f t="shared" si="133"/>
        <v>158500</v>
      </c>
      <c r="BA26" s="154">
        <f t="shared" si="244"/>
        <v>158500</v>
      </c>
      <c r="BB26" s="157">
        <f t="shared" si="135"/>
        <v>241500</v>
      </c>
      <c r="BC26" s="154">
        <f t="shared" si="136"/>
        <v>0</v>
      </c>
      <c r="BD26" s="158">
        <f t="shared" si="137"/>
        <v>0</v>
      </c>
      <c r="BE26" s="156">
        <f t="shared" si="234"/>
        <v>0</v>
      </c>
      <c r="BF26" s="154">
        <f t="shared" si="245"/>
        <v>0</v>
      </c>
      <c r="BG26" s="154">
        <f t="shared" si="140"/>
        <v>0</v>
      </c>
      <c r="BH26" s="154">
        <f t="shared" si="246"/>
        <v>0</v>
      </c>
      <c r="BI26" s="154">
        <f t="shared" si="142"/>
        <v>400000</v>
      </c>
      <c r="BJ26" s="154">
        <f t="shared" si="247"/>
        <v>400000</v>
      </c>
      <c r="BK26" s="154">
        <f t="shared" si="144"/>
        <v>13800</v>
      </c>
      <c r="BL26" s="154">
        <f t="shared" si="248"/>
        <v>13800</v>
      </c>
      <c r="BM26" s="154">
        <f t="shared" si="146"/>
        <v>144700</v>
      </c>
      <c r="BN26" s="154">
        <f t="shared" si="249"/>
        <v>144700</v>
      </c>
      <c r="BO26" s="157">
        <f t="shared" si="148"/>
        <v>255300</v>
      </c>
      <c r="BP26" s="154">
        <f t="shared" si="149"/>
        <v>0</v>
      </c>
      <c r="BQ26" s="158">
        <f t="shared" si="150"/>
        <v>0</v>
      </c>
      <c r="BR26" s="156">
        <f t="shared" si="234"/>
        <v>0</v>
      </c>
      <c r="BS26" s="154">
        <f t="shared" si="250"/>
        <v>0</v>
      </c>
      <c r="BT26" s="154">
        <f t="shared" si="153"/>
        <v>0</v>
      </c>
      <c r="BU26" s="154">
        <f t="shared" si="251"/>
        <v>0</v>
      </c>
      <c r="BV26" s="154">
        <f t="shared" si="155"/>
        <v>400000</v>
      </c>
      <c r="BW26" s="154">
        <f t="shared" si="252"/>
        <v>400000</v>
      </c>
      <c r="BX26" s="154">
        <f t="shared" si="157"/>
        <v>13800</v>
      </c>
      <c r="BY26" s="154">
        <f t="shared" si="253"/>
        <v>13800</v>
      </c>
      <c r="BZ26" s="154">
        <f t="shared" si="159"/>
        <v>130900</v>
      </c>
      <c r="CA26" s="154">
        <f t="shared" si="254"/>
        <v>130900</v>
      </c>
      <c r="CB26" s="157">
        <f t="shared" si="161"/>
        <v>269100</v>
      </c>
      <c r="CC26" s="154">
        <f t="shared" si="162"/>
        <v>0</v>
      </c>
      <c r="CD26" s="158">
        <f t="shared" si="163"/>
        <v>0</v>
      </c>
      <c r="CE26" s="156">
        <f t="shared" si="234"/>
        <v>0</v>
      </c>
      <c r="CF26" s="154">
        <f t="shared" si="255"/>
        <v>0</v>
      </c>
      <c r="CG26" s="154">
        <f t="shared" si="166"/>
        <v>0</v>
      </c>
      <c r="CH26" s="154">
        <f t="shared" si="256"/>
        <v>0</v>
      </c>
      <c r="CI26" s="154">
        <f t="shared" si="168"/>
        <v>400000</v>
      </c>
      <c r="CJ26" s="154">
        <f t="shared" si="257"/>
        <v>400000</v>
      </c>
      <c r="CK26" s="154">
        <f t="shared" si="170"/>
        <v>13800</v>
      </c>
      <c r="CL26" s="154">
        <f t="shared" si="258"/>
        <v>13800</v>
      </c>
      <c r="CM26" s="154">
        <f t="shared" si="172"/>
        <v>117100</v>
      </c>
      <c r="CN26" s="154">
        <f t="shared" si="259"/>
        <v>117100</v>
      </c>
      <c r="CO26" s="157">
        <f t="shared" si="174"/>
        <v>282900</v>
      </c>
      <c r="CP26" s="154">
        <f t="shared" si="175"/>
        <v>0</v>
      </c>
      <c r="CQ26" s="158">
        <f t="shared" si="176"/>
        <v>0</v>
      </c>
      <c r="CR26" s="156">
        <f t="shared" si="260"/>
        <v>0</v>
      </c>
      <c r="CS26" s="154">
        <f t="shared" si="261"/>
        <v>0</v>
      </c>
      <c r="CT26" s="154">
        <f t="shared" si="179"/>
        <v>0</v>
      </c>
      <c r="CU26" s="154">
        <f t="shared" si="262"/>
        <v>0</v>
      </c>
      <c r="CV26" s="154">
        <f t="shared" si="181"/>
        <v>400000</v>
      </c>
      <c r="CW26" s="154">
        <f t="shared" si="263"/>
        <v>400000</v>
      </c>
      <c r="CX26" s="154">
        <f t="shared" si="183"/>
        <v>13800</v>
      </c>
      <c r="CY26" s="154">
        <f t="shared" si="264"/>
        <v>13800</v>
      </c>
      <c r="CZ26" s="154">
        <f t="shared" si="185"/>
        <v>103300</v>
      </c>
      <c r="DA26" s="154">
        <f t="shared" si="265"/>
        <v>103300</v>
      </c>
      <c r="DB26" s="157">
        <f t="shared" si="187"/>
        <v>296700</v>
      </c>
      <c r="DC26" s="154">
        <f t="shared" si="188"/>
        <v>0</v>
      </c>
      <c r="DD26" s="158">
        <f t="shared" si="189"/>
        <v>0</v>
      </c>
      <c r="DE26" s="156">
        <f t="shared" si="260"/>
        <v>0</v>
      </c>
      <c r="DF26" s="154">
        <f t="shared" si="266"/>
        <v>0</v>
      </c>
      <c r="DG26" s="154">
        <f t="shared" si="192"/>
        <v>0</v>
      </c>
      <c r="DH26" s="154">
        <f t="shared" si="267"/>
        <v>0</v>
      </c>
      <c r="DI26" s="154">
        <f t="shared" si="194"/>
        <v>400000</v>
      </c>
      <c r="DJ26" s="154">
        <f t="shared" si="268"/>
        <v>400000</v>
      </c>
      <c r="DK26" s="154">
        <f t="shared" si="196"/>
        <v>13800</v>
      </c>
      <c r="DL26" s="154">
        <f t="shared" si="269"/>
        <v>13800</v>
      </c>
      <c r="DM26" s="154">
        <f t="shared" si="198"/>
        <v>89500</v>
      </c>
      <c r="DN26" s="154">
        <f t="shared" si="270"/>
        <v>89500</v>
      </c>
      <c r="DO26" s="157">
        <f t="shared" si="200"/>
        <v>310500</v>
      </c>
      <c r="DP26" s="154">
        <f t="shared" si="201"/>
        <v>0</v>
      </c>
      <c r="DQ26" s="158">
        <f t="shared" si="202"/>
        <v>0</v>
      </c>
      <c r="DR26" s="156">
        <f t="shared" si="260"/>
        <v>0</v>
      </c>
      <c r="DS26" s="154">
        <f t="shared" si="271"/>
        <v>0</v>
      </c>
      <c r="DT26" s="154">
        <f t="shared" si="205"/>
        <v>0</v>
      </c>
      <c r="DU26" s="154">
        <f t="shared" si="272"/>
        <v>0</v>
      </c>
      <c r="DV26" s="154">
        <f t="shared" si="207"/>
        <v>400000</v>
      </c>
      <c r="DW26" s="154">
        <f t="shared" si="273"/>
        <v>400000</v>
      </c>
      <c r="DX26" s="154">
        <f t="shared" si="209"/>
        <v>13800</v>
      </c>
      <c r="DY26" s="154">
        <f t="shared" si="274"/>
        <v>13800</v>
      </c>
      <c r="DZ26" s="154">
        <f t="shared" si="211"/>
        <v>75700</v>
      </c>
      <c r="EA26" s="154">
        <f t="shared" si="275"/>
        <v>75700</v>
      </c>
      <c r="EB26" s="157">
        <f t="shared" si="213"/>
        <v>324300</v>
      </c>
      <c r="EC26" s="154">
        <f t="shared" si="214"/>
        <v>0</v>
      </c>
      <c r="ED26" s="158">
        <f t="shared" si="215"/>
        <v>0</v>
      </c>
    </row>
    <row r="27" spans="1:134" x14ac:dyDescent="0.35">
      <c r="A27" s="183"/>
      <c r="B27" s="173"/>
      <c r="C27" s="173"/>
      <c r="D27" s="175"/>
      <c r="E27" s="176"/>
      <c r="F27" s="177"/>
      <c r="G27" s="178"/>
      <c r="H27" s="179"/>
      <c r="I27" s="180"/>
      <c r="J27" s="181"/>
      <c r="K27" s="152">
        <f t="shared" si="216"/>
        <v>0</v>
      </c>
      <c r="L27" s="153">
        <f t="shared" si="217"/>
        <v>0</v>
      </c>
      <c r="M27" s="154">
        <f t="shared" si="218"/>
        <v>0</v>
      </c>
      <c r="N27" s="154"/>
      <c r="O27" s="154">
        <f t="shared" si="219"/>
        <v>0</v>
      </c>
      <c r="P27" s="155"/>
      <c r="Q27" s="154">
        <f t="shared" si="220"/>
        <v>0</v>
      </c>
      <c r="R27" s="156">
        <f t="shared" si="221"/>
        <v>0</v>
      </c>
      <c r="S27" s="154">
        <f t="shared" si="222"/>
        <v>0</v>
      </c>
      <c r="T27" s="154">
        <f t="shared" si="223"/>
        <v>0</v>
      </c>
      <c r="U27" s="154">
        <f t="shared" si="224"/>
        <v>0</v>
      </c>
      <c r="V27" s="154">
        <f t="shared" si="225"/>
        <v>0</v>
      </c>
      <c r="W27" s="154">
        <f t="shared" si="226"/>
        <v>0</v>
      </c>
      <c r="X27" s="154">
        <f t="shared" si="227"/>
        <v>0</v>
      </c>
      <c r="Y27" s="154">
        <f t="shared" si="228"/>
        <v>0</v>
      </c>
      <c r="Z27" s="154">
        <f t="shared" si="229"/>
        <v>0</v>
      </c>
      <c r="AA27" s="154">
        <f t="shared" si="230"/>
        <v>0</v>
      </c>
      <c r="AB27" s="157">
        <f t="shared" si="231"/>
        <v>0</v>
      </c>
      <c r="AC27" s="154">
        <f t="shared" si="232"/>
        <v>0</v>
      </c>
      <c r="AD27" s="158">
        <f t="shared" si="233"/>
        <v>0</v>
      </c>
      <c r="AE27" s="156">
        <f t="shared" si="234"/>
        <v>0</v>
      </c>
      <c r="AF27" s="154">
        <f t="shared" si="235"/>
        <v>0</v>
      </c>
      <c r="AG27" s="154">
        <f t="shared" si="114"/>
        <v>0</v>
      </c>
      <c r="AH27" s="154">
        <f t="shared" si="236"/>
        <v>0</v>
      </c>
      <c r="AI27" s="154">
        <f t="shared" si="116"/>
        <v>0</v>
      </c>
      <c r="AJ27" s="154">
        <f t="shared" si="237"/>
        <v>0</v>
      </c>
      <c r="AK27" s="154">
        <f t="shared" si="118"/>
        <v>0</v>
      </c>
      <c r="AL27" s="154">
        <f t="shared" si="238"/>
        <v>0</v>
      </c>
      <c r="AM27" s="154">
        <f t="shared" si="120"/>
        <v>0</v>
      </c>
      <c r="AN27" s="154">
        <f t="shared" si="239"/>
        <v>0</v>
      </c>
      <c r="AO27" s="157">
        <f t="shared" si="122"/>
        <v>0</v>
      </c>
      <c r="AP27" s="154">
        <f t="shared" si="123"/>
        <v>0</v>
      </c>
      <c r="AQ27" s="158">
        <f t="shared" si="124"/>
        <v>0</v>
      </c>
      <c r="AR27" s="156">
        <f t="shared" si="234"/>
        <v>0</v>
      </c>
      <c r="AS27" s="154">
        <f t="shared" si="240"/>
        <v>0</v>
      </c>
      <c r="AT27" s="154">
        <f t="shared" si="127"/>
        <v>0</v>
      </c>
      <c r="AU27" s="154">
        <f t="shared" si="241"/>
        <v>0</v>
      </c>
      <c r="AV27" s="154">
        <f t="shared" si="129"/>
        <v>0</v>
      </c>
      <c r="AW27" s="154">
        <f t="shared" si="242"/>
        <v>0</v>
      </c>
      <c r="AX27" s="154">
        <f t="shared" si="131"/>
        <v>0</v>
      </c>
      <c r="AY27" s="154">
        <f t="shared" si="243"/>
        <v>0</v>
      </c>
      <c r="AZ27" s="154">
        <f t="shared" si="133"/>
        <v>0</v>
      </c>
      <c r="BA27" s="154">
        <f t="shared" si="244"/>
        <v>0</v>
      </c>
      <c r="BB27" s="157">
        <f t="shared" si="135"/>
        <v>0</v>
      </c>
      <c r="BC27" s="154">
        <f t="shared" si="136"/>
        <v>0</v>
      </c>
      <c r="BD27" s="158">
        <f t="shared" si="137"/>
        <v>0</v>
      </c>
      <c r="BE27" s="156">
        <f t="shared" si="234"/>
        <v>0</v>
      </c>
      <c r="BF27" s="154">
        <f t="shared" si="245"/>
        <v>0</v>
      </c>
      <c r="BG27" s="154">
        <f t="shared" si="140"/>
        <v>0</v>
      </c>
      <c r="BH27" s="154">
        <f t="shared" si="246"/>
        <v>0</v>
      </c>
      <c r="BI27" s="154">
        <f t="shared" si="142"/>
        <v>0</v>
      </c>
      <c r="BJ27" s="154">
        <f t="shared" si="247"/>
        <v>0</v>
      </c>
      <c r="BK27" s="154">
        <f t="shared" si="144"/>
        <v>0</v>
      </c>
      <c r="BL27" s="154">
        <f t="shared" si="248"/>
        <v>0</v>
      </c>
      <c r="BM27" s="154">
        <f t="shared" si="146"/>
        <v>0</v>
      </c>
      <c r="BN27" s="154">
        <f t="shared" si="249"/>
        <v>0</v>
      </c>
      <c r="BO27" s="157">
        <f t="shared" si="148"/>
        <v>0</v>
      </c>
      <c r="BP27" s="154">
        <f t="shared" si="149"/>
        <v>0</v>
      </c>
      <c r="BQ27" s="158">
        <f t="shared" si="150"/>
        <v>0</v>
      </c>
      <c r="BR27" s="156">
        <f t="shared" si="234"/>
        <v>0</v>
      </c>
      <c r="BS27" s="154">
        <f t="shared" si="250"/>
        <v>0</v>
      </c>
      <c r="BT27" s="154">
        <f t="shared" si="153"/>
        <v>0</v>
      </c>
      <c r="BU27" s="154">
        <f t="shared" si="251"/>
        <v>0</v>
      </c>
      <c r="BV27" s="154">
        <f t="shared" si="155"/>
        <v>0</v>
      </c>
      <c r="BW27" s="154">
        <f t="shared" si="252"/>
        <v>0</v>
      </c>
      <c r="BX27" s="154">
        <f t="shared" si="157"/>
        <v>0</v>
      </c>
      <c r="BY27" s="154">
        <f t="shared" si="253"/>
        <v>0</v>
      </c>
      <c r="BZ27" s="154">
        <f t="shared" si="159"/>
        <v>0</v>
      </c>
      <c r="CA27" s="154">
        <f t="shared" si="254"/>
        <v>0</v>
      </c>
      <c r="CB27" s="157">
        <f t="shared" si="161"/>
        <v>0</v>
      </c>
      <c r="CC27" s="154">
        <f t="shared" si="162"/>
        <v>0</v>
      </c>
      <c r="CD27" s="158">
        <f t="shared" si="163"/>
        <v>0</v>
      </c>
      <c r="CE27" s="156">
        <f t="shared" si="234"/>
        <v>0</v>
      </c>
      <c r="CF27" s="154">
        <f t="shared" si="255"/>
        <v>0</v>
      </c>
      <c r="CG27" s="154">
        <f t="shared" si="166"/>
        <v>0</v>
      </c>
      <c r="CH27" s="154">
        <f t="shared" si="256"/>
        <v>0</v>
      </c>
      <c r="CI27" s="154">
        <f t="shared" si="168"/>
        <v>0</v>
      </c>
      <c r="CJ27" s="154">
        <f t="shared" si="257"/>
        <v>0</v>
      </c>
      <c r="CK27" s="154">
        <f t="shared" si="170"/>
        <v>0</v>
      </c>
      <c r="CL27" s="154">
        <f t="shared" si="258"/>
        <v>0</v>
      </c>
      <c r="CM27" s="154">
        <f t="shared" si="172"/>
        <v>0</v>
      </c>
      <c r="CN27" s="154">
        <f t="shared" si="259"/>
        <v>0</v>
      </c>
      <c r="CO27" s="157">
        <f t="shared" si="174"/>
        <v>0</v>
      </c>
      <c r="CP27" s="154">
        <f t="shared" si="175"/>
        <v>0</v>
      </c>
      <c r="CQ27" s="158">
        <f t="shared" si="176"/>
        <v>0</v>
      </c>
      <c r="CR27" s="156">
        <f t="shared" si="260"/>
        <v>0</v>
      </c>
      <c r="CS27" s="154">
        <f t="shared" si="261"/>
        <v>0</v>
      </c>
      <c r="CT27" s="154">
        <f t="shared" si="179"/>
        <v>0</v>
      </c>
      <c r="CU27" s="154">
        <f t="shared" si="262"/>
        <v>0</v>
      </c>
      <c r="CV27" s="154">
        <f t="shared" si="181"/>
        <v>0</v>
      </c>
      <c r="CW27" s="154">
        <f t="shared" si="263"/>
        <v>0</v>
      </c>
      <c r="CX27" s="154">
        <f t="shared" si="183"/>
        <v>0</v>
      </c>
      <c r="CY27" s="154">
        <f t="shared" si="264"/>
        <v>0</v>
      </c>
      <c r="CZ27" s="154">
        <f t="shared" si="185"/>
        <v>0</v>
      </c>
      <c r="DA27" s="154">
        <f t="shared" si="265"/>
        <v>0</v>
      </c>
      <c r="DB27" s="157">
        <f t="shared" si="187"/>
        <v>0</v>
      </c>
      <c r="DC27" s="154">
        <f t="shared" si="188"/>
        <v>0</v>
      </c>
      <c r="DD27" s="158">
        <f t="shared" si="189"/>
        <v>0</v>
      </c>
      <c r="DE27" s="156">
        <f t="shared" si="260"/>
        <v>0</v>
      </c>
      <c r="DF27" s="154">
        <f t="shared" si="266"/>
        <v>0</v>
      </c>
      <c r="DG27" s="154">
        <f t="shared" si="192"/>
        <v>0</v>
      </c>
      <c r="DH27" s="154">
        <f t="shared" si="267"/>
        <v>0</v>
      </c>
      <c r="DI27" s="154">
        <f t="shared" si="194"/>
        <v>0</v>
      </c>
      <c r="DJ27" s="154">
        <f t="shared" si="268"/>
        <v>0</v>
      </c>
      <c r="DK27" s="154">
        <f t="shared" si="196"/>
        <v>0</v>
      </c>
      <c r="DL27" s="154">
        <f t="shared" si="269"/>
        <v>0</v>
      </c>
      <c r="DM27" s="154">
        <f t="shared" si="198"/>
        <v>0</v>
      </c>
      <c r="DN27" s="154">
        <f t="shared" si="270"/>
        <v>0</v>
      </c>
      <c r="DO27" s="157">
        <f t="shared" si="200"/>
        <v>0</v>
      </c>
      <c r="DP27" s="154">
        <f t="shared" si="201"/>
        <v>0</v>
      </c>
      <c r="DQ27" s="158">
        <f t="shared" si="202"/>
        <v>0</v>
      </c>
      <c r="DR27" s="156">
        <f t="shared" si="260"/>
        <v>0</v>
      </c>
      <c r="DS27" s="154">
        <f t="shared" si="271"/>
        <v>0</v>
      </c>
      <c r="DT27" s="154">
        <f t="shared" si="205"/>
        <v>0</v>
      </c>
      <c r="DU27" s="154">
        <f t="shared" si="272"/>
        <v>0</v>
      </c>
      <c r="DV27" s="154">
        <f t="shared" si="207"/>
        <v>0</v>
      </c>
      <c r="DW27" s="154">
        <f t="shared" si="273"/>
        <v>0</v>
      </c>
      <c r="DX27" s="154">
        <f t="shared" si="209"/>
        <v>0</v>
      </c>
      <c r="DY27" s="154">
        <f t="shared" si="274"/>
        <v>0</v>
      </c>
      <c r="DZ27" s="154">
        <f t="shared" si="211"/>
        <v>0</v>
      </c>
      <c r="EA27" s="154">
        <f t="shared" si="275"/>
        <v>0</v>
      </c>
      <c r="EB27" s="157">
        <f t="shared" si="213"/>
        <v>0</v>
      </c>
      <c r="EC27" s="154">
        <f t="shared" si="214"/>
        <v>0</v>
      </c>
      <c r="ED27" s="158">
        <f t="shared" si="215"/>
        <v>0</v>
      </c>
    </row>
    <row r="28" spans="1:134" x14ac:dyDescent="0.35">
      <c r="A28" s="183">
        <v>1996</v>
      </c>
      <c r="B28" s="183" t="s">
        <v>571</v>
      </c>
      <c r="C28" s="183"/>
      <c r="D28" s="175" t="s">
        <v>119</v>
      </c>
      <c r="E28" s="176">
        <v>400000</v>
      </c>
      <c r="F28" s="177">
        <v>40725</v>
      </c>
      <c r="G28" s="178">
        <v>29</v>
      </c>
      <c r="H28" s="179"/>
      <c r="I28" s="180"/>
      <c r="J28" s="181"/>
      <c r="K28" s="152">
        <f t="shared" si="216"/>
        <v>3.4500000000000003E-2</v>
      </c>
      <c r="L28" s="153">
        <f t="shared" si="217"/>
        <v>13800</v>
      </c>
      <c r="M28" s="154">
        <f t="shared" si="218"/>
        <v>393100</v>
      </c>
      <c r="N28" s="154"/>
      <c r="O28" s="154">
        <f t="shared" si="219"/>
        <v>6900</v>
      </c>
      <c r="P28" s="155"/>
      <c r="Q28" s="154">
        <f t="shared" si="220"/>
        <v>400000</v>
      </c>
      <c r="R28" s="156">
        <f t="shared" si="221"/>
        <v>0</v>
      </c>
      <c r="S28" s="154">
        <f t="shared" si="222"/>
        <v>0</v>
      </c>
      <c r="T28" s="154">
        <f t="shared" si="223"/>
        <v>0</v>
      </c>
      <c r="U28" s="154">
        <f t="shared" si="224"/>
        <v>0</v>
      </c>
      <c r="V28" s="154">
        <f t="shared" si="225"/>
        <v>400000</v>
      </c>
      <c r="W28" s="154">
        <f t="shared" si="226"/>
        <v>400000</v>
      </c>
      <c r="X28" s="154">
        <f t="shared" si="227"/>
        <v>13800</v>
      </c>
      <c r="Y28" s="154">
        <f t="shared" si="228"/>
        <v>13800</v>
      </c>
      <c r="Z28" s="154">
        <f t="shared" si="229"/>
        <v>379300</v>
      </c>
      <c r="AA28" s="154">
        <f t="shared" si="230"/>
        <v>379300</v>
      </c>
      <c r="AB28" s="157">
        <f t="shared" si="231"/>
        <v>20700</v>
      </c>
      <c r="AC28" s="154">
        <f t="shared" si="232"/>
        <v>0</v>
      </c>
      <c r="AD28" s="158">
        <f t="shared" si="233"/>
        <v>0</v>
      </c>
      <c r="AE28" s="156">
        <f t="shared" si="234"/>
        <v>0</v>
      </c>
      <c r="AF28" s="154">
        <f t="shared" si="235"/>
        <v>0</v>
      </c>
      <c r="AG28" s="154">
        <f t="shared" si="114"/>
        <v>0</v>
      </c>
      <c r="AH28" s="154">
        <f t="shared" si="236"/>
        <v>0</v>
      </c>
      <c r="AI28" s="154">
        <f t="shared" si="116"/>
        <v>400000</v>
      </c>
      <c r="AJ28" s="154">
        <f t="shared" si="237"/>
        <v>400000</v>
      </c>
      <c r="AK28" s="154">
        <f t="shared" si="118"/>
        <v>13800</v>
      </c>
      <c r="AL28" s="154">
        <f t="shared" si="238"/>
        <v>13800</v>
      </c>
      <c r="AM28" s="154">
        <f t="shared" si="120"/>
        <v>365500</v>
      </c>
      <c r="AN28" s="154">
        <f t="shared" si="239"/>
        <v>365500</v>
      </c>
      <c r="AO28" s="157">
        <f t="shared" si="122"/>
        <v>34500</v>
      </c>
      <c r="AP28" s="154">
        <f t="shared" si="123"/>
        <v>0</v>
      </c>
      <c r="AQ28" s="158">
        <f t="shared" si="124"/>
        <v>0</v>
      </c>
      <c r="AR28" s="156">
        <f t="shared" si="234"/>
        <v>0</v>
      </c>
      <c r="AS28" s="154">
        <f t="shared" si="240"/>
        <v>0</v>
      </c>
      <c r="AT28" s="154">
        <f t="shared" si="127"/>
        <v>0</v>
      </c>
      <c r="AU28" s="154">
        <f t="shared" si="241"/>
        <v>0</v>
      </c>
      <c r="AV28" s="154">
        <f t="shared" si="129"/>
        <v>400000</v>
      </c>
      <c r="AW28" s="154">
        <f t="shared" si="242"/>
        <v>400000</v>
      </c>
      <c r="AX28" s="154">
        <f t="shared" si="131"/>
        <v>13800</v>
      </c>
      <c r="AY28" s="154">
        <f t="shared" si="243"/>
        <v>13800</v>
      </c>
      <c r="AZ28" s="154">
        <f t="shared" si="133"/>
        <v>351700</v>
      </c>
      <c r="BA28" s="154">
        <f t="shared" si="244"/>
        <v>351700</v>
      </c>
      <c r="BB28" s="157">
        <f t="shared" si="135"/>
        <v>48300</v>
      </c>
      <c r="BC28" s="154">
        <f t="shared" si="136"/>
        <v>0</v>
      </c>
      <c r="BD28" s="158">
        <f t="shared" si="137"/>
        <v>0</v>
      </c>
      <c r="BE28" s="156">
        <f t="shared" si="234"/>
        <v>0</v>
      </c>
      <c r="BF28" s="154">
        <f t="shared" si="245"/>
        <v>0</v>
      </c>
      <c r="BG28" s="154">
        <f t="shared" si="140"/>
        <v>0</v>
      </c>
      <c r="BH28" s="154">
        <f t="shared" si="246"/>
        <v>0</v>
      </c>
      <c r="BI28" s="154">
        <f t="shared" si="142"/>
        <v>400000</v>
      </c>
      <c r="BJ28" s="154">
        <f t="shared" si="247"/>
        <v>400000</v>
      </c>
      <c r="BK28" s="154">
        <f t="shared" si="144"/>
        <v>13800</v>
      </c>
      <c r="BL28" s="154">
        <f t="shared" si="248"/>
        <v>13800</v>
      </c>
      <c r="BM28" s="154">
        <f t="shared" si="146"/>
        <v>337900</v>
      </c>
      <c r="BN28" s="154">
        <f t="shared" si="249"/>
        <v>337900</v>
      </c>
      <c r="BO28" s="157">
        <f t="shared" si="148"/>
        <v>62100</v>
      </c>
      <c r="BP28" s="154">
        <f t="shared" si="149"/>
        <v>0</v>
      </c>
      <c r="BQ28" s="158">
        <f t="shared" si="150"/>
        <v>0</v>
      </c>
      <c r="BR28" s="156">
        <f t="shared" si="234"/>
        <v>0</v>
      </c>
      <c r="BS28" s="154">
        <f t="shared" si="250"/>
        <v>0</v>
      </c>
      <c r="BT28" s="154">
        <f t="shared" si="153"/>
        <v>0</v>
      </c>
      <c r="BU28" s="154">
        <f t="shared" si="251"/>
        <v>0</v>
      </c>
      <c r="BV28" s="154">
        <f t="shared" si="155"/>
        <v>400000</v>
      </c>
      <c r="BW28" s="154">
        <f t="shared" si="252"/>
        <v>400000</v>
      </c>
      <c r="BX28" s="154">
        <f t="shared" si="157"/>
        <v>13800</v>
      </c>
      <c r="BY28" s="154">
        <f t="shared" si="253"/>
        <v>13800</v>
      </c>
      <c r="BZ28" s="154">
        <f t="shared" si="159"/>
        <v>324100</v>
      </c>
      <c r="CA28" s="154">
        <f t="shared" si="254"/>
        <v>324100</v>
      </c>
      <c r="CB28" s="157">
        <f t="shared" si="161"/>
        <v>75900</v>
      </c>
      <c r="CC28" s="154">
        <f t="shared" si="162"/>
        <v>0</v>
      </c>
      <c r="CD28" s="158">
        <f t="shared" si="163"/>
        <v>0</v>
      </c>
      <c r="CE28" s="156">
        <f t="shared" si="234"/>
        <v>0</v>
      </c>
      <c r="CF28" s="154">
        <f t="shared" si="255"/>
        <v>0</v>
      </c>
      <c r="CG28" s="154">
        <f t="shared" si="166"/>
        <v>0</v>
      </c>
      <c r="CH28" s="154">
        <f t="shared" si="256"/>
        <v>0</v>
      </c>
      <c r="CI28" s="154">
        <f t="shared" si="168"/>
        <v>400000</v>
      </c>
      <c r="CJ28" s="154">
        <f t="shared" si="257"/>
        <v>400000</v>
      </c>
      <c r="CK28" s="154">
        <f t="shared" si="170"/>
        <v>13800</v>
      </c>
      <c r="CL28" s="154">
        <f t="shared" si="258"/>
        <v>13800</v>
      </c>
      <c r="CM28" s="154">
        <f t="shared" si="172"/>
        <v>310300</v>
      </c>
      <c r="CN28" s="154">
        <f t="shared" si="259"/>
        <v>310300</v>
      </c>
      <c r="CO28" s="157">
        <f t="shared" si="174"/>
        <v>89700</v>
      </c>
      <c r="CP28" s="154">
        <f t="shared" si="175"/>
        <v>0</v>
      </c>
      <c r="CQ28" s="158">
        <f t="shared" si="176"/>
        <v>0</v>
      </c>
      <c r="CR28" s="156">
        <f t="shared" si="260"/>
        <v>0</v>
      </c>
      <c r="CS28" s="154">
        <f t="shared" si="261"/>
        <v>0</v>
      </c>
      <c r="CT28" s="154">
        <f t="shared" si="179"/>
        <v>0</v>
      </c>
      <c r="CU28" s="154">
        <f t="shared" si="262"/>
        <v>0</v>
      </c>
      <c r="CV28" s="154">
        <f t="shared" si="181"/>
        <v>400000</v>
      </c>
      <c r="CW28" s="154">
        <f t="shared" si="263"/>
        <v>400000</v>
      </c>
      <c r="CX28" s="154">
        <f t="shared" si="183"/>
        <v>13800</v>
      </c>
      <c r="CY28" s="154">
        <f t="shared" si="264"/>
        <v>13800</v>
      </c>
      <c r="CZ28" s="154">
        <f t="shared" si="185"/>
        <v>296500</v>
      </c>
      <c r="DA28" s="154">
        <f t="shared" si="265"/>
        <v>296500</v>
      </c>
      <c r="DB28" s="157">
        <f t="shared" si="187"/>
        <v>103500</v>
      </c>
      <c r="DC28" s="154">
        <f t="shared" si="188"/>
        <v>0</v>
      </c>
      <c r="DD28" s="158">
        <f t="shared" si="189"/>
        <v>0</v>
      </c>
      <c r="DE28" s="156">
        <f t="shared" si="260"/>
        <v>0</v>
      </c>
      <c r="DF28" s="154">
        <f t="shared" si="266"/>
        <v>0</v>
      </c>
      <c r="DG28" s="154">
        <f t="shared" si="192"/>
        <v>0</v>
      </c>
      <c r="DH28" s="154">
        <f t="shared" si="267"/>
        <v>0</v>
      </c>
      <c r="DI28" s="154">
        <f t="shared" si="194"/>
        <v>400000</v>
      </c>
      <c r="DJ28" s="154">
        <f t="shared" si="268"/>
        <v>400000</v>
      </c>
      <c r="DK28" s="154">
        <f t="shared" si="196"/>
        <v>13800</v>
      </c>
      <c r="DL28" s="154">
        <f t="shared" si="269"/>
        <v>13800</v>
      </c>
      <c r="DM28" s="154">
        <f t="shared" si="198"/>
        <v>282700</v>
      </c>
      <c r="DN28" s="154">
        <f t="shared" si="270"/>
        <v>282700</v>
      </c>
      <c r="DO28" s="157">
        <f t="shared" si="200"/>
        <v>117300</v>
      </c>
      <c r="DP28" s="154">
        <f t="shared" si="201"/>
        <v>0</v>
      </c>
      <c r="DQ28" s="158">
        <f t="shared" si="202"/>
        <v>0</v>
      </c>
      <c r="DR28" s="156">
        <f t="shared" si="260"/>
        <v>0</v>
      </c>
      <c r="DS28" s="154">
        <f t="shared" si="271"/>
        <v>0</v>
      </c>
      <c r="DT28" s="154">
        <f t="shared" si="205"/>
        <v>0</v>
      </c>
      <c r="DU28" s="154">
        <f t="shared" si="272"/>
        <v>0</v>
      </c>
      <c r="DV28" s="154">
        <f t="shared" si="207"/>
        <v>400000</v>
      </c>
      <c r="DW28" s="154">
        <f t="shared" si="273"/>
        <v>400000</v>
      </c>
      <c r="DX28" s="154">
        <f t="shared" si="209"/>
        <v>13800</v>
      </c>
      <c r="DY28" s="154">
        <f t="shared" si="274"/>
        <v>13800</v>
      </c>
      <c r="DZ28" s="154">
        <f t="shared" si="211"/>
        <v>268900</v>
      </c>
      <c r="EA28" s="154">
        <f t="shared" si="275"/>
        <v>268900</v>
      </c>
      <c r="EB28" s="157">
        <f t="shared" si="213"/>
        <v>131100</v>
      </c>
      <c r="EC28" s="154">
        <f t="shared" si="214"/>
        <v>0</v>
      </c>
      <c r="ED28" s="158">
        <f t="shared" si="215"/>
        <v>0</v>
      </c>
    </row>
    <row r="29" spans="1:134" x14ac:dyDescent="0.35">
      <c r="A29" s="183"/>
      <c r="B29" s="183"/>
      <c r="C29" s="183"/>
      <c r="D29" s="175"/>
      <c r="E29" s="176"/>
      <c r="F29" s="177"/>
      <c r="G29" s="178"/>
      <c r="H29" s="179"/>
      <c r="I29" s="180"/>
      <c r="J29" s="181"/>
      <c r="K29" s="152">
        <f t="shared" si="216"/>
        <v>0</v>
      </c>
      <c r="L29" s="153">
        <f t="shared" si="217"/>
        <v>0</v>
      </c>
      <c r="M29" s="154">
        <f t="shared" si="218"/>
        <v>0</v>
      </c>
      <c r="N29" s="154"/>
      <c r="O29" s="154">
        <f t="shared" si="219"/>
        <v>0</v>
      </c>
      <c r="P29" s="155"/>
      <c r="Q29" s="154">
        <f t="shared" si="220"/>
        <v>0</v>
      </c>
      <c r="R29" s="156">
        <f t="shared" si="221"/>
        <v>0</v>
      </c>
      <c r="S29" s="154">
        <f t="shared" si="222"/>
        <v>0</v>
      </c>
      <c r="T29" s="154">
        <f t="shared" si="223"/>
        <v>0</v>
      </c>
      <c r="U29" s="154">
        <f t="shared" si="224"/>
        <v>0</v>
      </c>
      <c r="V29" s="154">
        <f t="shared" si="225"/>
        <v>0</v>
      </c>
      <c r="W29" s="154">
        <f t="shared" si="226"/>
        <v>0</v>
      </c>
      <c r="X29" s="154">
        <f t="shared" si="227"/>
        <v>0</v>
      </c>
      <c r="Y29" s="154">
        <f t="shared" si="228"/>
        <v>0</v>
      </c>
      <c r="Z29" s="154">
        <f t="shared" si="229"/>
        <v>0</v>
      </c>
      <c r="AA29" s="154">
        <f t="shared" si="230"/>
        <v>0</v>
      </c>
      <c r="AB29" s="157">
        <f t="shared" si="231"/>
        <v>0</v>
      </c>
      <c r="AC29" s="154">
        <f t="shared" si="232"/>
        <v>0</v>
      </c>
      <c r="AD29" s="158">
        <f t="shared" si="233"/>
        <v>0</v>
      </c>
      <c r="AE29" s="156">
        <f t="shared" si="234"/>
        <v>0</v>
      </c>
      <c r="AF29" s="154">
        <f t="shared" si="235"/>
        <v>0</v>
      </c>
      <c r="AG29" s="154">
        <f t="shared" si="114"/>
        <v>0</v>
      </c>
      <c r="AH29" s="154">
        <f t="shared" si="236"/>
        <v>0</v>
      </c>
      <c r="AI29" s="154">
        <f t="shared" si="116"/>
        <v>0</v>
      </c>
      <c r="AJ29" s="154">
        <f t="shared" si="237"/>
        <v>0</v>
      </c>
      <c r="AK29" s="154">
        <f t="shared" si="118"/>
        <v>0</v>
      </c>
      <c r="AL29" s="154">
        <f t="shared" si="238"/>
        <v>0</v>
      </c>
      <c r="AM29" s="154">
        <f t="shared" si="120"/>
        <v>0</v>
      </c>
      <c r="AN29" s="154">
        <f t="shared" si="239"/>
        <v>0</v>
      </c>
      <c r="AO29" s="157">
        <f t="shared" si="122"/>
        <v>0</v>
      </c>
      <c r="AP29" s="154">
        <f t="shared" si="123"/>
        <v>0</v>
      </c>
      <c r="AQ29" s="158">
        <f t="shared" si="124"/>
        <v>0</v>
      </c>
      <c r="AR29" s="156">
        <f t="shared" si="234"/>
        <v>0</v>
      </c>
      <c r="AS29" s="154">
        <f t="shared" si="240"/>
        <v>0</v>
      </c>
      <c r="AT29" s="154">
        <f t="shared" si="127"/>
        <v>0</v>
      </c>
      <c r="AU29" s="154">
        <f t="shared" si="241"/>
        <v>0</v>
      </c>
      <c r="AV29" s="154">
        <f t="shared" si="129"/>
        <v>0</v>
      </c>
      <c r="AW29" s="154">
        <f t="shared" si="242"/>
        <v>0</v>
      </c>
      <c r="AX29" s="154">
        <f t="shared" si="131"/>
        <v>0</v>
      </c>
      <c r="AY29" s="154">
        <f t="shared" si="243"/>
        <v>0</v>
      </c>
      <c r="AZ29" s="154">
        <f t="shared" si="133"/>
        <v>0</v>
      </c>
      <c r="BA29" s="154">
        <f t="shared" si="244"/>
        <v>0</v>
      </c>
      <c r="BB29" s="157">
        <f t="shared" si="135"/>
        <v>0</v>
      </c>
      <c r="BC29" s="154">
        <f t="shared" si="136"/>
        <v>0</v>
      </c>
      <c r="BD29" s="158">
        <f t="shared" si="137"/>
        <v>0</v>
      </c>
      <c r="BE29" s="156">
        <f t="shared" si="234"/>
        <v>0</v>
      </c>
      <c r="BF29" s="154">
        <f t="shared" si="245"/>
        <v>0</v>
      </c>
      <c r="BG29" s="154">
        <f t="shared" si="140"/>
        <v>0</v>
      </c>
      <c r="BH29" s="154">
        <f t="shared" si="246"/>
        <v>0</v>
      </c>
      <c r="BI29" s="154">
        <f t="shared" si="142"/>
        <v>0</v>
      </c>
      <c r="BJ29" s="154">
        <f t="shared" si="247"/>
        <v>0</v>
      </c>
      <c r="BK29" s="154">
        <f t="shared" si="144"/>
        <v>0</v>
      </c>
      <c r="BL29" s="154">
        <f t="shared" si="248"/>
        <v>0</v>
      </c>
      <c r="BM29" s="154">
        <f t="shared" si="146"/>
        <v>0</v>
      </c>
      <c r="BN29" s="154">
        <f t="shared" si="249"/>
        <v>0</v>
      </c>
      <c r="BO29" s="157">
        <f t="shared" si="148"/>
        <v>0</v>
      </c>
      <c r="BP29" s="154">
        <f t="shared" si="149"/>
        <v>0</v>
      </c>
      <c r="BQ29" s="158">
        <f t="shared" si="150"/>
        <v>0</v>
      </c>
      <c r="BR29" s="156">
        <f t="shared" si="234"/>
        <v>0</v>
      </c>
      <c r="BS29" s="154">
        <f t="shared" si="250"/>
        <v>0</v>
      </c>
      <c r="BT29" s="154">
        <f t="shared" si="153"/>
        <v>0</v>
      </c>
      <c r="BU29" s="154">
        <f t="shared" si="251"/>
        <v>0</v>
      </c>
      <c r="BV29" s="154">
        <f t="shared" si="155"/>
        <v>0</v>
      </c>
      <c r="BW29" s="154">
        <f t="shared" si="252"/>
        <v>0</v>
      </c>
      <c r="BX29" s="154">
        <f t="shared" si="157"/>
        <v>0</v>
      </c>
      <c r="BY29" s="154">
        <f t="shared" si="253"/>
        <v>0</v>
      </c>
      <c r="BZ29" s="154">
        <f t="shared" si="159"/>
        <v>0</v>
      </c>
      <c r="CA29" s="154">
        <f t="shared" si="254"/>
        <v>0</v>
      </c>
      <c r="CB29" s="157">
        <f t="shared" si="161"/>
        <v>0</v>
      </c>
      <c r="CC29" s="154">
        <f t="shared" si="162"/>
        <v>0</v>
      </c>
      <c r="CD29" s="158">
        <f t="shared" si="163"/>
        <v>0</v>
      </c>
      <c r="CE29" s="156">
        <f t="shared" si="234"/>
        <v>0</v>
      </c>
      <c r="CF29" s="154">
        <f t="shared" si="255"/>
        <v>0</v>
      </c>
      <c r="CG29" s="154">
        <f t="shared" si="166"/>
        <v>0</v>
      </c>
      <c r="CH29" s="154">
        <f t="shared" si="256"/>
        <v>0</v>
      </c>
      <c r="CI29" s="154">
        <f t="shared" si="168"/>
        <v>0</v>
      </c>
      <c r="CJ29" s="154">
        <f t="shared" si="257"/>
        <v>0</v>
      </c>
      <c r="CK29" s="154">
        <f t="shared" si="170"/>
        <v>0</v>
      </c>
      <c r="CL29" s="154">
        <f t="shared" si="258"/>
        <v>0</v>
      </c>
      <c r="CM29" s="154">
        <f t="shared" si="172"/>
        <v>0</v>
      </c>
      <c r="CN29" s="154">
        <f t="shared" si="259"/>
        <v>0</v>
      </c>
      <c r="CO29" s="157">
        <f t="shared" si="174"/>
        <v>0</v>
      </c>
      <c r="CP29" s="154">
        <f t="shared" si="175"/>
        <v>0</v>
      </c>
      <c r="CQ29" s="158">
        <f t="shared" si="176"/>
        <v>0</v>
      </c>
      <c r="CR29" s="156">
        <f t="shared" si="260"/>
        <v>0</v>
      </c>
      <c r="CS29" s="154">
        <f t="shared" si="261"/>
        <v>0</v>
      </c>
      <c r="CT29" s="154">
        <f t="shared" si="179"/>
        <v>0</v>
      </c>
      <c r="CU29" s="154">
        <f t="shared" si="262"/>
        <v>0</v>
      </c>
      <c r="CV29" s="154">
        <f t="shared" si="181"/>
        <v>0</v>
      </c>
      <c r="CW29" s="154">
        <f t="shared" si="263"/>
        <v>0</v>
      </c>
      <c r="CX29" s="154">
        <f t="shared" si="183"/>
        <v>0</v>
      </c>
      <c r="CY29" s="154">
        <f t="shared" si="264"/>
        <v>0</v>
      </c>
      <c r="CZ29" s="154">
        <f t="shared" si="185"/>
        <v>0</v>
      </c>
      <c r="DA29" s="154">
        <f t="shared" si="265"/>
        <v>0</v>
      </c>
      <c r="DB29" s="157">
        <f t="shared" si="187"/>
        <v>0</v>
      </c>
      <c r="DC29" s="154">
        <f t="shared" si="188"/>
        <v>0</v>
      </c>
      <c r="DD29" s="158">
        <f t="shared" si="189"/>
        <v>0</v>
      </c>
      <c r="DE29" s="156">
        <f t="shared" si="260"/>
        <v>0</v>
      </c>
      <c r="DF29" s="154">
        <f t="shared" si="266"/>
        <v>0</v>
      </c>
      <c r="DG29" s="154">
        <f t="shared" si="192"/>
        <v>0</v>
      </c>
      <c r="DH29" s="154">
        <f t="shared" si="267"/>
        <v>0</v>
      </c>
      <c r="DI29" s="154">
        <f t="shared" si="194"/>
        <v>0</v>
      </c>
      <c r="DJ29" s="154">
        <f t="shared" si="268"/>
        <v>0</v>
      </c>
      <c r="DK29" s="154">
        <f t="shared" si="196"/>
        <v>0</v>
      </c>
      <c r="DL29" s="154">
        <f t="shared" si="269"/>
        <v>0</v>
      </c>
      <c r="DM29" s="154">
        <f t="shared" si="198"/>
        <v>0</v>
      </c>
      <c r="DN29" s="154">
        <f t="shared" si="270"/>
        <v>0</v>
      </c>
      <c r="DO29" s="157">
        <f t="shared" si="200"/>
        <v>0</v>
      </c>
      <c r="DP29" s="154">
        <f t="shared" si="201"/>
        <v>0</v>
      </c>
      <c r="DQ29" s="158">
        <f t="shared" si="202"/>
        <v>0</v>
      </c>
      <c r="DR29" s="156">
        <f t="shared" si="260"/>
        <v>0</v>
      </c>
      <c r="DS29" s="154">
        <f t="shared" si="271"/>
        <v>0</v>
      </c>
      <c r="DT29" s="154">
        <f t="shared" si="205"/>
        <v>0</v>
      </c>
      <c r="DU29" s="154">
        <f t="shared" si="272"/>
        <v>0</v>
      </c>
      <c r="DV29" s="154">
        <f t="shared" si="207"/>
        <v>0</v>
      </c>
      <c r="DW29" s="154">
        <f t="shared" si="273"/>
        <v>0</v>
      </c>
      <c r="DX29" s="154">
        <f t="shared" si="209"/>
        <v>0</v>
      </c>
      <c r="DY29" s="154">
        <f t="shared" si="274"/>
        <v>0</v>
      </c>
      <c r="DZ29" s="154">
        <f t="shared" si="211"/>
        <v>0</v>
      </c>
      <c r="EA29" s="154">
        <f t="shared" si="275"/>
        <v>0</v>
      </c>
      <c r="EB29" s="157">
        <f t="shared" si="213"/>
        <v>0</v>
      </c>
      <c r="EC29" s="154">
        <f t="shared" si="214"/>
        <v>0</v>
      </c>
      <c r="ED29" s="158">
        <f t="shared" si="215"/>
        <v>0</v>
      </c>
    </row>
    <row r="30" spans="1:134" x14ac:dyDescent="0.35">
      <c r="A30" s="183"/>
      <c r="B30" s="173"/>
      <c r="C30" s="173"/>
      <c r="D30" s="175"/>
      <c r="E30" s="176"/>
      <c r="F30" s="177"/>
      <c r="G30" s="178"/>
      <c r="H30" s="179"/>
      <c r="I30" s="180"/>
      <c r="J30" s="181"/>
      <c r="K30" s="152">
        <f t="shared" si="216"/>
        <v>0</v>
      </c>
      <c r="L30" s="153">
        <f t="shared" si="217"/>
        <v>0</v>
      </c>
      <c r="M30" s="154">
        <f t="shared" si="218"/>
        <v>0</v>
      </c>
      <c r="N30" s="154"/>
      <c r="O30" s="154">
        <f t="shared" si="219"/>
        <v>0</v>
      </c>
      <c r="P30" s="155"/>
      <c r="Q30" s="154">
        <f t="shared" si="220"/>
        <v>0</v>
      </c>
      <c r="R30" s="156">
        <f t="shared" si="221"/>
        <v>0</v>
      </c>
      <c r="S30" s="154">
        <f t="shared" si="222"/>
        <v>0</v>
      </c>
      <c r="T30" s="154">
        <f t="shared" si="223"/>
        <v>0</v>
      </c>
      <c r="U30" s="154">
        <f t="shared" si="224"/>
        <v>0</v>
      </c>
      <c r="V30" s="154">
        <f t="shared" si="225"/>
        <v>0</v>
      </c>
      <c r="W30" s="154">
        <f t="shared" si="226"/>
        <v>0</v>
      </c>
      <c r="X30" s="154">
        <f t="shared" si="227"/>
        <v>0</v>
      </c>
      <c r="Y30" s="154">
        <f t="shared" si="228"/>
        <v>0</v>
      </c>
      <c r="Z30" s="154">
        <f t="shared" si="229"/>
        <v>0</v>
      </c>
      <c r="AA30" s="154">
        <f t="shared" si="230"/>
        <v>0</v>
      </c>
      <c r="AB30" s="157">
        <f t="shared" si="231"/>
        <v>0</v>
      </c>
      <c r="AC30" s="154">
        <f t="shared" si="232"/>
        <v>0</v>
      </c>
      <c r="AD30" s="158">
        <f t="shared" si="233"/>
        <v>0</v>
      </c>
      <c r="AE30" s="156">
        <f t="shared" si="234"/>
        <v>0</v>
      </c>
      <c r="AF30" s="154">
        <f t="shared" si="235"/>
        <v>0</v>
      </c>
      <c r="AG30" s="154">
        <f t="shared" si="114"/>
        <v>0</v>
      </c>
      <c r="AH30" s="154">
        <f t="shared" si="236"/>
        <v>0</v>
      </c>
      <c r="AI30" s="154">
        <f t="shared" si="116"/>
        <v>0</v>
      </c>
      <c r="AJ30" s="154">
        <f t="shared" si="237"/>
        <v>0</v>
      </c>
      <c r="AK30" s="154">
        <f t="shared" si="118"/>
        <v>0</v>
      </c>
      <c r="AL30" s="154">
        <f t="shared" si="238"/>
        <v>0</v>
      </c>
      <c r="AM30" s="154">
        <f t="shared" si="120"/>
        <v>0</v>
      </c>
      <c r="AN30" s="154">
        <f t="shared" si="239"/>
        <v>0</v>
      </c>
      <c r="AO30" s="157">
        <f t="shared" si="122"/>
        <v>0</v>
      </c>
      <c r="AP30" s="154">
        <f t="shared" si="123"/>
        <v>0</v>
      </c>
      <c r="AQ30" s="158">
        <f t="shared" si="124"/>
        <v>0</v>
      </c>
      <c r="AR30" s="156">
        <f t="shared" si="234"/>
        <v>0</v>
      </c>
      <c r="AS30" s="154">
        <f t="shared" si="240"/>
        <v>0</v>
      </c>
      <c r="AT30" s="154">
        <f t="shared" si="127"/>
        <v>0</v>
      </c>
      <c r="AU30" s="154">
        <f t="shared" si="241"/>
        <v>0</v>
      </c>
      <c r="AV30" s="154">
        <f t="shared" si="129"/>
        <v>0</v>
      </c>
      <c r="AW30" s="154">
        <f t="shared" si="242"/>
        <v>0</v>
      </c>
      <c r="AX30" s="154">
        <f t="shared" si="131"/>
        <v>0</v>
      </c>
      <c r="AY30" s="154">
        <f t="shared" si="243"/>
        <v>0</v>
      </c>
      <c r="AZ30" s="154">
        <f t="shared" si="133"/>
        <v>0</v>
      </c>
      <c r="BA30" s="154">
        <f t="shared" si="244"/>
        <v>0</v>
      </c>
      <c r="BB30" s="157">
        <f t="shared" si="135"/>
        <v>0</v>
      </c>
      <c r="BC30" s="154">
        <f t="shared" si="136"/>
        <v>0</v>
      </c>
      <c r="BD30" s="158">
        <f t="shared" si="137"/>
        <v>0</v>
      </c>
      <c r="BE30" s="156">
        <f t="shared" si="234"/>
        <v>0</v>
      </c>
      <c r="BF30" s="154">
        <f t="shared" si="245"/>
        <v>0</v>
      </c>
      <c r="BG30" s="154">
        <f t="shared" si="140"/>
        <v>0</v>
      </c>
      <c r="BH30" s="154">
        <f t="shared" si="246"/>
        <v>0</v>
      </c>
      <c r="BI30" s="154">
        <f t="shared" si="142"/>
        <v>0</v>
      </c>
      <c r="BJ30" s="154">
        <f t="shared" si="247"/>
        <v>0</v>
      </c>
      <c r="BK30" s="154">
        <f t="shared" si="144"/>
        <v>0</v>
      </c>
      <c r="BL30" s="154">
        <f t="shared" si="248"/>
        <v>0</v>
      </c>
      <c r="BM30" s="154">
        <f t="shared" si="146"/>
        <v>0</v>
      </c>
      <c r="BN30" s="154">
        <f t="shared" si="249"/>
        <v>0</v>
      </c>
      <c r="BO30" s="157">
        <f t="shared" si="148"/>
        <v>0</v>
      </c>
      <c r="BP30" s="154">
        <f t="shared" si="149"/>
        <v>0</v>
      </c>
      <c r="BQ30" s="158">
        <f t="shared" si="150"/>
        <v>0</v>
      </c>
      <c r="BR30" s="156">
        <f t="shared" si="234"/>
        <v>0</v>
      </c>
      <c r="BS30" s="154">
        <f t="shared" si="250"/>
        <v>0</v>
      </c>
      <c r="BT30" s="154">
        <f t="shared" si="153"/>
        <v>0</v>
      </c>
      <c r="BU30" s="154">
        <f t="shared" si="251"/>
        <v>0</v>
      </c>
      <c r="BV30" s="154">
        <f t="shared" si="155"/>
        <v>0</v>
      </c>
      <c r="BW30" s="154">
        <f t="shared" si="252"/>
        <v>0</v>
      </c>
      <c r="BX30" s="154">
        <f t="shared" si="157"/>
        <v>0</v>
      </c>
      <c r="BY30" s="154">
        <f t="shared" si="253"/>
        <v>0</v>
      </c>
      <c r="BZ30" s="154">
        <f t="shared" si="159"/>
        <v>0</v>
      </c>
      <c r="CA30" s="154">
        <f t="shared" si="254"/>
        <v>0</v>
      </c>
      <c r="CB30" s="157">
        <f t="shared" si="161"/>
        <v>0</v>
      </c>
      <c r="CC30" s="154">
        <f t="shared" si="162"/>
        <v>0</v>
      </c>
      <c r="CD30" s="158">
        <f t="shared" si="163"/>
        <v>0</v>
      </c>
      <c r="CE30" s="156">
        <f t="shared" si="234"/>
        <v>0</v>
      </c>
      <c r="CF30" s="154">
        <f t="shared" si="255"/>
        <v>0</v>
      </c>
      <c r="CG30" s="154">
        <f t="shared" si="166"/>
        <v>0</v>
      </c>
      <c r="CH30" s="154">
        <f t="shared" si="256"/>
        <v>0</v>
      </c>
      <c r="CI30" s="154">
        <f t="shared" si="168"/>
        <v>0</v>
      </c>
      <c r="CJ30" s="154">
        <f t="shared" si="257"/>
        <v>0</v>
      </c>
      <c r="CK30" s="154">
        <f t="shared" si="170"/>
        <v>0</v>
      </c>
      <c r="CL30" s="154">
        <f t="shared" si="258"/>
        <v>0</v>
      </c>
      <c r="CM30" s="154">
        <f t="shared" si="172"/>
        <v>0</v>
      </c>
      <c r="CN30" s="154">
        <f t="shared" si="259"/>
        <v>0</v>
      </c>
      <c r="CO30" s="157">
        <f t="shared" si="174"/>
        <v>0</v>
      </c>
      <c r="CP30" s="154">
        <f t="shared" si="175"/>
        <v>0</v>
      </c>
      <c r="CQ30" s="158">
        <f t="shared" si="176"/>
        <v>0</v>
      </c>
      <c r="CR30" s="156">
        <f t="shared" si="260"/>
        <v>0</v>
      </c>
      <c r="CS30" s="154">
        <f t="shared" si="261"/>
        <v>0</v>
      </c>
      <c r="CT30" s="154">
        <f t="shared" si="179"/>
        <v>0</v>
      </c>
      <c r="CU30" s="154">
        <f t="shared" si="262"/>
        <v>0</v>
      </c>
      <c r="CV30" s="154">
        <f t="shared" si="181"/>
        <v>0</v>
      </c>
      <c r="CW30" s="154">
        <f t="shared" si="263"/>
        <v>0</v>
      </c>
      <c r="CX30" s="154">
        <f t="shared" si="183"/>
        <v>0</v>
      </c>
      <c r="CY30" s="154">
        <f t="shared" si="264"/>
        <v>0</v>
      </c>
      <c r="CZ30" s="154">
        <f t="shared" si="185"/>
        <v>0</v>
      </c>
      <c r="DA30" s="154">
        <f t="shared" si="265"/>
        <v>0</v>
      </c>
      <c r="DB30" s="157">
        <f t="shared" si="187"/>
        <v>0</v>
      </c>
      <c r="DC30" s="154">
        <f t="shared" si="188"/>
        <v>0</v>
      </c>
      <c r="DD30" s="158">
        <f t="shared" si="189"/>
        <v>0</v>
      </c>
      <c r="DE30" s="156">
        <f t="shared" si="260"/>
        <v>0</v>
      </c>
      <c r="DF30" s="154">
        <f t="shared" si="266"/>
        <v>0</v>
      </c>
      <c r="DG30" s="154">
        <f t="shared" si="192"/>
        <v>0</v>
      </c>
      <c r="DH30" s="154">
        <f t="shared" si="267"/>
        <v>0</v>
      </c>
      <c r="DI30" s="154">
        <f t="shared" si="194"/>
        <v>0</v>
      </c>
      <c r="DJ30" s="154">
        <f t="shared" si="268"/>
        <v>0</v>
      </c>
      <c r="DK30" s="154">
        <f t="shared" si="196"/>
        <v>0</v>
      </c>
      <c r="DL30" s="154">
        <f t="shared" si="269"/>
        <v>0</v>
      </c>
      <c r="DM30" s="154">
        <f t="shared" si="198"/>
        <v>0</v>
      </c>
      <c r="DN30" s="154">
        <f t="shared" si="270"/>
        <v>0</v>
      </c>
      <c r="DO30" s="157">
        <f t="shared" si="200"/>
        <v>0</v>
      </c>
      <c r="DP30" s="154">
        <f t="shared" si="201"/>
        <v>0</v>
      </c>
      <c r="DQ30" s="158">
        <f t="shared" si="202"/>
        <v>0</v>
      </c>
      <c r="DR30" s="156">
        <f t="shared" si="260"/>
        <v>0</v>
      </c>
      <c r="DS30" s="154">
        <f t="shared" si="271"/>
        <v>0</v>
      </c>
      <c r="DT30" s="154">
        <f t="shared" si="205"/>
        <v>0</v>
      </c>
      <c r="DU30" s="154">
        <f t="shared" si="272"/>
        <v>0</v>
      </c>
      <c r="DV30" s="154">
        <f t="shared" si="207"/>
        <v>0</v>
      </c>
      <c r="DW30" s="154">
        <f t="shared" si="273"/>
        <v>0</v>
      </c>
      <c r="DX30" s="154">
        <f t="shared" si="209"/>
        <v>0</v>
      </c>
      <c r="DY30" s="154">
        <f t="shared" si="274"/>
        <v>0</v>
      </c>
      <c r="DZ30" s="154">
        <f t="shared" si="211"/>
        <v>0</v>
      </c>
      <c r="EA30" s="154">
        <f t="shared" si="275"/>
        <v>0</v>
      </c>
      <c r="EB30" s="157">
        <f t="shared" si="213"/>
        <v>0</v>
      </c>
      <c r="EC30" s="154">
        <f t="shared" si="214"/>
        <v>0</v>
      </c>
      <c r="ED30" s="158">
        <f t="shared" si="215"/>
        <v>0</v>
      </c>
    </row>
    <row r="31" spans="1:134" x14ac:dyDescent="0.35">
      <c r="A31" s="183"/>
      <c r="B31" s="173"/>
      <c r="C31" s="173"/>
      <c r="D31" s="175"/>
      <c r="E31" s="176"/>
      <c r="F31" s="177"/>
      <c r="G31" s="178"/>
      <c r="H31" s="179"/>
      <c r="I31" s="180"/>
      <c r="J31" s="181"/>
      <c r="K31" s="152">
        <f t="shared" si="216"/>
        <v>0</v>
      </c>
      <c r="L31" s="153">
        <f t="shared" si="217"/>
        <v>0</v>
      </c>
      <c r="M31" s="154">
        <f t="shared" si="218"/>
        <v>0</v>
      </c>
      <c r="N31" s="154"/>
      <c r="O31" s="154">
        <f t="shared" si="219"/>
        <v>0</v>
      </c>
      <c r="P31" s="155"/>
      <c r="Q31" s="154">
        <f t="shared" si="220"/>
        <v>0</v>
      </c>
      <c r="R31" s="156">
        <f t="shared" si="221"/>
        <v>0</v>
      </c>
      <c r="S31" s="154">
        <f t="shared" si="222"/>
        <v>0</v>
      </c>
      <c r="T31" s="154">
        <f t="shared" si="223"/>
        <v>0</v>
      </c>
      <c r="U31" s="154">
        <f t="shared" si="224"/>
        <v>0</v>
      </c>
      <c r="V31" s="154">
        <f t="shared" si="225"/>
        <v>0</v>
      </c>
      <c r="W31" s="154">
        <f t="shared" si="226"/>
        <v>0</v>
      </c>
      <c r="X31" s="154">
        <f t="shared" si="227"/>
        <v>0</v>
      </c>
      <c r="Y31" s="154">
        <f t="shared" si="228"/>
        <v>0</v>
      </c>
      <c r="Z31" s="154">
        <f t="shared" si="229"/>
        <v>0</v>
      </c>
      <c r="AA31" s="154">
        <f t="shared" si="230"/>
        <v>0</v>
      </c>
      <c r="AB31" s="157">
        <f t="shared" si="231"/>
        <v>0</v>
      </c>
      <c r="AC31" s="154">
        <f t="shared" si="232"/>
        <v>0</v>
      </c>
      <c r="AD31" s="158">
        <f t="shared" si="233"/>
        <v>0</v>
      </c>
      <c r="AE31" s="156">
        <f t="shared" si="234"/>
        <v>0</v>
      </c>
      <c r="AF31" s="154">
        <f t="shared" si="235"/>
        <v>0</v>
      </c>
      <c r="AG31" s="154">
        <f t="shared" si="114"/>
        <v>0</v>
      </c>
      <c r="AH31" s="154">
        <f t="shared" si="236"/>
        <v>0</v>
      </c>
      <c r="AI31" s="154">
        <f t="shared" si="116"/>
        <v>0</v>
      </c>
      <c r="AJ31" s="154">
        <f t="shared" si="237"/>
        <v>0</v>
      </c>
      <c r="AK31" s="154">
        <f t="shared" si="118"/>
        <v>0</v>
      </c>
      <c r="AL31" s="154">
        <f t="shared" si="238"/>
        <v>0</v>
      </c>
      <c r="AM31" s="154">
        <f t="shared" si="120"/>
        <v>0</v>
      </c>
      <c r="AN31" s="154">
        <f t="shared" si="239"/>
        <v>0</v>
      </c>
      <c r="AO31" s="157">
        <f t="shared" si="122"/>
        <v>0</v>
      </c>
      <c r="AP31" s="154">
        <f t="shared" si="123"/>
        <v>0</v>
      </c>
      <c r="AQ31" s="158">
        <f t="shared" si="124"/>
        <v>0</v>
      </c>
      <c r="AR31" s="156">
        <f t="shared" si="234"/>
        <v>0</v>
      </c>
      <c r="AS31" s="154">
        <f t="shared" si="240"/>
        <v>0</v>
      </c>
      <c r="AT31" s="154">
        <f t="shared" si="127"/>
        <v>0</v>
      </c>
      <c r="AU31" s="154">
        <f t="shared" si="241"/>
        <v>0</v>
      </c>
      <c r="AV31" s="154">
        <f t="shared" si="129"/>
        <v>0</v>
      </c>
      <c r="AW31" s="154">
        <f t="shared" si="242"/>
        <v>0</v>
      </c>
      <c r="AX31" s="154">
        <f t="shared" si="131"/>
        <v>0</v>
      </c>
      <c r="AY31" s="154">
        <f t="shared" si="243"/>
        <v>0</v>
      </c>
      <c r="AZ31" s="154">
        <f t="shared" si="133"/>
        <v>0</v>
      </c>
      <c r="BA31" s="154">
        <f t="shared" si="244"/>
        <v>0</v>
      </c>
      <c r="BB31" s="157">
        <f t="shared" si="135"/>
        <v>0</v>
      </c>
      <c r="BC31" s="154">
        <f t="shared" si="136"/>
        <v>0</v>
      </c>
      <c r="BD31" s="158">
        <f t="shared" si="137"/>
        <v>0</v>
      </c>
      <c r="BE31" s="156">
        <f t="shared" si="234"/>
        <v>0</v>
      </c>
      <c r="BF31" s="154">
        <f t="shared" si="245"/>
        <v>0</v>
      </c>
      <c r="BG31" s="154">
        <f t="shared" si="140"/>
        <v>0</v>
      </c>
      <c r="BH31" s="154">
        <f t="shared" si="246"/>
        <v>0</v>
      </c>
      <c r="BI31" s="154">
        <f t="shared" si="142"/>
        <v>0</v>
      </c>
      <c r="BJ31" s="154">
        <f t="shared" si="247"/>
        <v>0</v>
      </c>
      <c r="BK31" s="154">
        <f t="shared" si="144"/>
        <v>0</v>
      </c>
      <c r="BL31" s="154">
        <f t="shared" si="248"/>
        <v>0</v>
      </c>
      <c r="BM31" s="154">
        <f t="shared" si="146"/>
        <v>0</v>
      </c>
      <c r="BN31" s="154">
        <f t="shared" si="249"/>
        <v>0</v>
      </c>
      <c r="BO31" s="157">
        <f t="shared" si="148"/>
        <v>0</v>
      </c>
      <c r="BP31" s="154">
        <f t="shared" si="149"/>
        <v>0</v>
      </c>
      <c r="BQ31" s="158">
        <f t="shared" si="150"/>
        <v>0</v>
      </c>
      <c r="BR31" s="156">
        <f t="shared" si="234"/>
        <v>0</v>
      </c>
      <c r="BS31" s="154">
        <f t="shared" si="250"/>
        <v>0</v>
      </c>
      <c r="BT31" s="154">
        <f t="shared" si="153"/>
        <v>0</v>
      </c>
      <c r="BU31" s="154">
        <f t="shared" si="251"/>
        <v>0</v>
      </c>
      <c r="BV31" s="154">
        <f t="shared" si="155"/>
        <v>0</v>
      </c>
      <c r="BW31" s="154">
        <f t="shared" si="252"/>
        <v>0</v>
      </c>
      <c r="BX31" s="154">
        <f t="shared" si="157"/>
        <v>0</v>
      </c>
      <c r="BY31" s="154">
        <f t="shared" si="253"/>
        <v>0</v>
      </c>
      <c r="BZ31" s="154">
        <f t="shared" si="159"/>
        <v>0</v>
      </c>
      <c r="CA31" s="154">
        <f t="shared" si="254"/>
        <v>0</v>
      </c>
      <c r="CB31" s="157">
        <f t="shared" si="161"/>
        <v>0</v>
      </c>
      <c r="CC31" s="154">
        <f t="shared" si="162"/>
        <v>0</v>
      </c>
      <c r="CD31" s="158">
        <f t="shared" si="163"/>
        <v>0</v>
      </c>
      <c r="CE31" s="156">
        <f t="shared" si="234"/>
        <v>0</v>
      </c>
      <c r="CF31" s="154">
        <f t="shared" si="255"/>
        <v>0</v>
      </c>
      <c r="CG31" s="154">
        <f t="shared" si="166"/>
        <v>0</v>
      </c>
      <c r="CH31" s="154">
        <f t="shared" si="256"/>
        <v>0</v>
      </c>
      <c r="CI31" s="154">
        <f t="shared" si="168"/>
        <v>0</v>
      </c>
      <c r="CJ31" s="154">
        <f t="shared" si="257"/>
        <v>0</v>
      </c>
      <c r="CK31" s="154">
        <f t="shared" si="170"/>
        <v>0</v>
      </c>
      <c r="CL31" s="154">
        <f t="shared" si="258"/>
        <v>0</v>
      </c>
      <c r="CM31" s="154">
        <f t="shared" si="172"/>
        <v>0</v>
      </c>
      <c r="CN31" s="154">
        <f t="shared" si="259"/>
        <v>0</v>
      </c>
      <c r="CO31" s="157">
        <f t="shared" si="174"/>
        <v>0</v>
      </c>
      <c r="CP31" s="154">
        <f t="shared" si="175"/>
        <v>0</v>
      </c>
      <c r="CQ31" s="158">
        <f t="shared" si="176"/>
        <v>0</v>
      </c>
      <c r="CR31" s="156">
        <f t="shared" si="260"/>
        <v>0</v>
      </c>
      <c r="CS31" s="154">
        <f t="shared" si="261"/>
        <v>0</v>
      </c>
      <c r="CT31" s="154">
        <f t="shared" si="179"/>
        <v>0</v>
      </c>
      <c r="CU31" s="154">
        <f t="shared" si="262"/>
        <v>0</v>
      </c>
      <c r="CV31" s="154">
        <f t="shared" si="181"/>
        <v>0</v>
      </c>
      <c r="CW31" s="154">
        <f t="shared" si="263"/>
        <v>0</v>
      </c>
      <c r="CX31" s="154">
        <f t="shared" si="183"/>
        <v>0</v>
      </c>
      <c r="CY31" s="154">
        <f t="shared" si="264"/>
        <v>0</v>
      </c>
      <c r="CZ31" s="154">
        <f t="shared" si="185"/>
        <v>0</v>
      </c>
      <c r="DA31" s="154">
        <f t="shared" si="265"/>
        <v>0</v>
      </c>
      <c r="DB31" s="157">
        <f t="shared" si="187"/>
        <v>0</v>
      </c>
      <c r="DC31" s="154">
        <f t="shared" si="188"/>
        <v>0</v>
      </c>
      <c r="DD31" s="158">
        <f t="shared" si="189"/>
        <v>0</v>
      </c>
      <c r="DE31" s="156">
        <f t="shared" si="260"/>
        <v>0</v>
      </c>
      <c r="DF31" s="154">
        <f t="shared" si="266"/>
        <v>0</v>
      </c>
      <c r="DG31" s="154">
        <f t="shared" si="192"/>
        <v>0</v>
      </c>
      <c r="DH31" s="154">
        <f t="shared" si="267"/>
        <v>0</v>
      </c>
      <c r="DI31" s="154">
        <f t="shared" si="194"/>
        <v>0</v>
      </c>
      <c r="DJ31" s="154">
        <f t="shared" si="268"/>
        <v>0</v>
      </c>
      <c r="DK31" s="154">
        <f t="shared" si="196"/>
        <v>0</v>
      </c>
      <c r="DL31" s="154">
        <f t="shared" si="269"/>
        <v>0</v>
      </c>
      <c r="DM31" s="154">
        <f t="shared" si="198"/>
        <v>0</v>
      </c>
      <c r="DN31" s="154">
        <f t="shared" si="270"/>
        <v>0</v>
      </c>
      <c r="DO31" s="157">
        <f t="shared" si="200"/>
        <v>0</v>
      </c>
      <c r="DP31" s="154">
        <f t="shared" si="201"/>
        <v>0</v>
      </c>
      <c r="DQ31" s="158">
        <f t="shared" si="202"/>
        <v>0</v>
      </c>
      <c r="DR31" s="156">
        <f t="shared" si="260"/>
        <v>0</v>
      </c>
      <c r="DS31" s="154">
        <f t="shared" si="271"/>
        <v>0</v>
      </c>
      <c r="DT31" s="154">
        <f t="shared" si="205"/>
        <v>0</v>
      </c>
      <c r="DU31" s="154">
        <f t="shared" si="272"/>
        <v>0</v>
      </c>
      <c r="DV31" s="154">
        <f t="shared" si="207"/>
        <v>0</v>
      </c>
      <c r="DW31" s="154">
        <f t="shared" si="273"/>
        <v>0</v>
      </c>
      <c r="DX31" s="154">
        <f t="shared" si="209"/>
        <v>0</v>
      </c>
      <c r="DY31" s="154">
        <f t="shared" si="274"/>
        <v>0</v>
      </c>
      <c r="DZ31" s="154">
        <f t="shared" si="211"/>
        <v>0</v>
      </c>
      <c r="EA31" s="154">
        <f t="shared" si="275"/>
        <v>0</v>
      </c>
      <c r="EB31" s="157">
        <f t="shared" si="213"/>
        <v>0</v>
      </c>
      <c r="EC31" s="154">
        <f t="shared" si="214"/>
        <v>0</v>
      </c>
      <c r="ED31" s="158">
        <f t="shared" si="215"/>
        <v>0</v>
      </c>
    </row>
    <row r="32" spans="1:134" x14ac:dyDescent="0.35">
      <c r="A32" s="183"/>
      <c r="B32" s="173"/>
      <c r="C32" s="173"/>
      <c r="D32" s="175"/>
      <c r="E32" s="176"/>
      <c r="F32" s="177"/>
      <c r="G32" s="178"/>
      <c r="H32" s="179"/>
      <c r="I32" s="180"/>
      <c r="J32" s="181"/>
      <c r="K32" s="152">
        <f t="shared" si="216"/>
        <v>0</v>
      </c>
      <c r="L32" s="153">
        <f t="shared" si="217"/>
        <v>0</v>
      </c>
      <c r="M32" s="154">
        <f t="shared" si="218"/>
        <v>0</v>
      </c>
      <c r="N32" s="154"/>
      <c r="O32" s="154">
        <f t="shared" si="219"/>
        <v>0</v>
      </c>
      <c r="P32" s="155"/>
      <c r="Q32" s="154">
        <f t="shared" si="220"/>
        <v>0</v>
      </c>
      <c r="R32" s="156">
        <f t="shared" si="221"/>
        <v>0</v>
      </c>
      <c r="S32" s="154">
        <f t="shared" si="222"/>
        <v>0</v>
      </c>
      <c r="T32" s="154">
        <f t="shared" si="223"/>
        <v>0</v>
      </c>
      <c r="U32" s="154">
        <f t="shared" si="224"/>
        <v>0</v>
      </c>
      <c r="V32" s="154">
        <f t="shared" si="225"/>
        <v>0</v>
      </c>
      <c r="W32" s="154">
        <f t="shared" si="226"/>
        <v>0</v>
      </c>
      <c r="X32" s="154">
        <f t="shared" si="227"/>
        <v>0</v>
      </c>
      <c r="Y32" s="154">
        <f t="shared" si="228"/>
        <v>0</v>
      </c>
      <c r="Z32" s="154">
        <f t="shared" si="229"/>
        <v>0</v>
      </c>
      <c r="AA32" s="154">
        <f t="shared" si="230"/>
        <v>0</v>
      </c>
      <c r="AB32" s="157">
        <f t="shared" si="231"/>
        <v>0</v>
      </c>
      <c r="AC32" s="154">
        <f t="shared" si="232"/>
        <v>0</v>
      </c>
      <c r="AD32" s="158">
        <f t="shared" si="233"/>
        <v>0</v>
      </c>
      <c r="AE32" s="156">
        <f t="shared" si="234"/>
        <v>0</v>
      </c>
      <c r="AF32" s="154">
        <f t="shared" si="235"/>
        <v>0</v>
      </c>
      <c r="AG32" s="154">
        <f t="shared" si="114"/>
        <v>0</v>
      </c>
      <c r="AH32" s="154">
        <f t="shared" si="236"/>
        <v>0</v>
      </c>
      <c r="AI32" s="154">
        <f t="shared" si="116"/>
        <v>0</v>
      </c>
      <c r="AJ32" s="154">
        <f t="shared" si="237"/>
        <v>0</v>
      </c>
      <c r="AK32" s="154">
        <f t="shared" si="118"/>
        <v>0</v>
      </c>
      <c r="AL32" s="154">
        <f t="shared" si="238"/>
        <v>0</v>
      </c>
      <c r="AM32" s="154">
        <f t="shared" si="120"/>
        <v>0</v>
      </c>
      <c r="AN32" s="154">
        <f t="shared" si="239"/>
        <v>0</v>
      </c>
      <c r="AO32" s="157">
        <f t="shared" si="122"/>
        <v>0</v>
      </c>
      <c r="AP32" s="154">
        <f t="shared" si="123"/>
        <v>0</v>
      </c>
      <c r="AQ32" s="158">
        <f t="shared" si="124"/>
        <v>0</v>
      </c>
      <c r="AR32" s="156">
        <f t="shared" si="234"/>
        <v>0</v>
      </c>
      <c r="AS32" s="154">
        <f t="shared" si="240"/>
        <v>0</v>
      </c>
      <c r="AT32" s="154">
        <f t="shared" si="127"/>
        <v>0</v>
      </c>
      <c r="AU32" s="154">
        <f t="shared" si="241"/>
        <v>0</v>
      </c>
      <c r="AV32" s="154">
        <f t="shared" si="129"/>
        <v>0</v>
      </c>
      <c r="AW32" s="154">
        <f t="shared" si="242"/>
        <v>0</v>
      </c>
      <c r="AX32" s="154">
        <f t="shared" si="131"/>
        <v>0</v>
      </c>
      <c r="AY32" s="154">
        <f t="shared" si="243"/>
        <v>0</v>
      </c>
      <c r="AZ32" s="154">
        <f t="shared" si="133"/>
        <v>0</v>
      </c>
      <c r="BA32" s="154">
        <f t="shared" si="244"/>
        <v>0</v>
      </c>
      <c r="BB32" s="157">
        <f t="shared" si="135"/>
        <v>0</v>
      </c>
      <c r="BC32" s="154">
        <f t="shared" si="136"/>
        <v>0</v>
      </c>
      <c r="BD32" s="158">
        <f t="shared" si="137"/>
        <v>0</v>
      </c>
      <c r="BE32" s="156">
        <f t="shared" si="234"/>
        <v>0</v>
      </c>
      <c r="BF32" s="154">
        <f t="shared" si="245"/>
        <v>0</v>
      </c>
      <c r="BG32" s="154">
        <f t="shared" si="140"/>
        <v>0</v>
      </c>
      <c r="BH32" s="154">
        <f t="shared" si="246"/>
        <v>0</v>
      </c>
      <c r="BI32" s="154">
        <f t="shared" si="142"/>
        <v>0</v>
      </c>
      <c r="BJ32" s="154">
        <f t="shared" si="247"/>
        <v>0</v>
      </c>
      <c r="BK32" s="154">
        <f t="shared" si="144"/>
        <v>0</v>
      </c>
      <c r="BL32" s="154">
        <f t="shared" si="248"/>
        <v>0</v>
      </c>
      <c r="BM32" s="154">
        <f t="shared" si="146"/>
        <v>0</v>
      </c>
      <c r="BN32" s="154">
        <f t="shared" si="249"/>
        <v>0</v>
      </c>
      <c r="BO32" s="157">
        <f t="shared" si="148"/>
        <v>0</v>
      </c>
      <c r="BP32" s="154">
        <f t="shared" si="149"/>
        <v>0</v>
      </c>
      <c r="BQ32" s="158">
        <f t="shared" si="150"/>
        <v>0</v>
      </c>
      <c r="BR32" s="156">
        <f t="shared" si="234"/>
        <v>0</v>
      </c>
      <c r="BS32" s="154">
        <f t="shared" si="250"/>
        <v>0</v>
      </c>
      <c r="BT32" s="154">
        <f t="shared" si="153"/>
        <v>0</v>
      </c>
      <c r="BU32" s="154">
        <f t="shared" si="251"/>
        <v>0</v>
      </c>
      <c r="BV32" s="154">
        <f t="shared" si="155"/>
        <v>0</v>
      </c>
      <c r="BW32" s="154">
        <f t="shared" si="252"/>
        <v>0</v>
      </c>
      <c r="BX32" s="154">
        <f t="shared" si="157"/>
        <v>0</v>
      </c>
      <c r="BY32" s="154">
        <f t="shared" si="253"/>
        <v>0</v>
      </c>
      <c r="BZ32" s="154">
        <f t="shared" si="159"/>
        <v>0</v>
      </c>
      <c r="CA32" s="154">
        <f t="shared" si="254"/>
        <v>0</v>
      </c>
      <c r="CB32" s="157">
        <f t="shared" si="161"/>
        <v>0</v>
      </c>
      <c r="CC32" s="154">
        <f t="shared" si="162"/>
        <v>0</v>
      </c>
      <c r="CD32" s="158">
        <f t="shared" si="163"/>
        <v>0</v>
      </c>
      <c r="CE32" s="156">
        <f t="shared" si="234"/>
        <v>0</v>
      </c>
      <c r="CF32" s="154">
        <f t="shared" si="255"/>
        <v>0</v>
      </c>
      <c r="CG32" s="154">
        <f t="shared" si="166"/>
        <v>0</v>
      </c>
      <c r="CH32" s="154">
        <f t="shared" si="256"/>
        <v>0</v>
      </c>
      <c r="CI32" s="154">
        <f t="shared" si="168"/>
        <v>0</v>
      </c>
      <c r="CJ32" s="154">
        <f t="shared" si="257"/>
        <v>0</v>
      </c>
      <c r="CK32" s="154">
        <f t="shared" si="170"/>
        <v>0</v>
      </c>
      <c r="CL32" s="154">
        <f t="shared" si="258"/>
        <v>0</v>
      </c>
      <c r="CM32" s="154">
        <f t="shared" si="172"/>
        <v>0</v>
      </c>
      <c r="CN32" s="154">
        <f t="shared" si="259"/>
        <v>0</v>
      </c>
      <c r="CO32" s="157">
        <f t="shared" si="174"/>
        <v>0</v>
      </c>
      <c r="CP32" s="154">
        <f t="shared" si="175"/>
        <v>0</v>
      </c>
      <c r="CQ32" s="158">
        <f t="shared" si="176"/>
        <v>0</v>
      </c>
      <c r="CR32" s="156">
        <f t="shared" si="260"/>
        <v>0</v>
      </c>
      <c r="CS32" s="154">
        <f t="shared" si="261"/>
        <v>0</v>
      </c>
      <c r="CT32" s="154">
        <f t="shared" si="179"/>
        <v>0</v>
      </c>
      <c r="CU32" s="154">
        <f t="shared" si="262"/>
        <v>0</v>
      </c>
      <c r="CV32" s="154">
        <f t="shared" si="181"/>
        <v>0</v>
      </c>
      <c r="CW32" s="154">
        <f t="shared" si="263"/>
        <v>0</v>
      </c>
      <c r="CX32" s="154">
        <f t="shared" si="183"/>
        <v>0</v>
      </c>
      <c r="CY32" s="154">
        <f t="shared" si="264"/>
        <v>0</v>
      </c>
      <c r="CZ32" s="154">
        <f t="shared" si="185"/>
        <v>0</v>
      </c>
      <c r="DA32" s="154">
        <f t="shared" si="265"/>
        <v>0</v>
      </c>
      <c r="DB32" s="157">
        <f t="shared" si="187"/>
        <v>0</v>
      </c>
      <c r="DC32" s="154">
        <f t="shared" si="188"/>
        <v>0</v>
      </c>
      <c r="DD32" s="158">
        <f t="shared" si="189"/>
        <v>0</v>
      </c>
      <c r="DE32" s="156">
        <f t="shared" si="260"/>
        <v>0</v>
      </c>
      <c r="DF32" s="154">
        <f t="shared" si="266"/>
        <v>0</v>
      </c>
      <c r="DG32" s="154">
        <f t="shared" si="192"/>
        <v>0</v>
      </c>
      <c r="DH32" s="154">
        <f t="shared" si="267"/>
        <v>0</v>
      </c>
      <c r="DI32" s="154">
        <f t="shared" si="194"/>
        <v>0</v>
      </c>
      <c r="DJ32" s="154">
        <f t="shared" si="268"/>
        <v>0</v>
      </c>
      <c r="DK32" s="154">
        <f t="shared" si="196"/>
        <v>0</v>
      </c>
      <c r="DL32" s="154">
        <f t="shared" si="269"/>
        <v>0</v>
      </c>
      <c r="DM32" s="154">
        <f t="shared" si="198"/>
        <v>0</v>
      </c>
      <c r="DN32" s="154">
        <f t="shared" si="270"/>
        <v>0</v>
      </c>
      <c r="DO32" s="157">
        <f t="shared" si="200"/>
        <v>0</v>
      </c>
      <c r="DP32" s="154">
        <f t="shared" si="201"/>
        <v>0</v>
      </c>
      <c r="DQ32" s="158">
        <f t="shared" si="202"/>
        <v>0</v>
      </c>
      <c r="DR32" s="156">
        <f t="shared" si="260"/>
        <v>0</v>
      </c>
      <c r="DS32" s="154">
        <f t="shared" si="271"/>
        <v>0</v>
      </c>
      <c r="DT32" s="154">
        <f t="shared" si="205"/>
        <v>0</v>
      </c>
      <c r="DU32" s="154">
        <f t="shared" si="272"/>
        <v>0</v>
      </c>
      <c r="DV32" s="154">
        <f t="shared" si="207"/>
        <v>0</v>
      </c>
      <c r="DW32" s="154">
        <f t="shared" si="273"/>
        <v>0</v>
      </c>
      <c r="DX32" s="154">
        <f t="shared" si="209"/>
        <v>0</v>
      </c>
      <c r="DY32" s="154">
        <f t="shared" si="274"/>
        <v>0</v>
      </c>
      <c r="DZ32" s="154">
        <f t="shared" si="211"/>
        <v>0</v>
      </c>
      <c r="EA32" s="154">
        <f t="shared" si="275"/>
        <v>0</v>
      </c>
      <c r="EB32" s="157">
        <f t="shared" si="213"/>
        <v>0</v>
      </c>
      <c r="EC32" s="154">
        <f t="shared" si="214"/>
        <v>0</v>
      </c>
      <c r="ED32" s="158">
        <f t="shared" si="215"/>
        <v>0</v>
      </c>
    </row>
    <row r="33" spans="1:134" x14ac:dyDescent="0.35">
      <c r="A33" s="172"/>
      <c r="B33" s="173"/>
      <c r="C33" s="173"/>
      <c r="D33" s="212"/>
      <c r="E33" s="176"/>
      <c r="F33" s="213"/>
      <c r="G33" s="178"/>
      <c r="H33" s="179"/>
      <c r="I33" s="180"/>
      <c r="J33" s="181"/>
      <c r="K33" s="152">
        <f t="shared" si="216"/>
        <v>0</v>
      </c>
      <c r="L33" s="153">
        <f t="shared" si="217"/>
        <v>0</v>
      </c>
      <c r="M33" s="154">
        <f t="shared" si="218"/>
        <v>0</v>
      </c>
      <c r="N33" s="154"/>
      <c r="O33" s="154">
        <f t="shared" si="219"/>
        <v>0</v>
      </c>
      <c r="P33" s="155"/>
      <c r="Q33" s="154">
        <f t="shared" si="220"/>
        <v>0</v>
      </c>
      <c r="R33" s="156">
        <f t="shared" si="221"/>
        <v>0</v>
      </c>
      <c r="S33" s="154">
        <f t="shared" si="222"/>
        <v>0</v>
      </c>
      <c r="T33" s="154">
        <f t="shared" si="223"/>
        <v>0</v>
      </c>
      <c r="U33" s="154">
        <f t="shared" si="224"/>
        <v>0</v>
      </c>
      <c r="V33" s="154">
        <f t="shared" si="225"/>
        <v>0</v>
      </c>
      <c r="W33" s="154">
        <f t="shared" si="226"/>
        <v>0</v>
      </c>
      <c r="X33" s="154">
        <f t="shared" si="227"/>
        <v>0</v>
      </c>
      <c r="Y33" s="154">
        <f t="shared" si="228"/>
        <v>0</v>
      </c>
      <c r="Z33" s="154">
        <f t="shared" si="229"/>
        <v>0</v>
      </c>
      <c r="AA33" s="154">
        <f t="shared" si="230"/>
        <v>0</v>
      </c>
      <c r="AB33" s="157">
        <f t="shared" si="231"/>
        <v>0</v>
      </c>
      <c r="AC33" s="154">
        <f t="shared" si="232"/>
        <v>0</v>
      </c>
      <c r="AD33" s="158">
        <f t="shared" si="233"/>
        <v>0</v>
      </c>
      <c r="AE33" s="156">
        <f t="shared" si="234"/>
        <v>0</v>
      </c>
      <c r="AF33" s="154">
        <f t="shared" si="235"/>
        <v>0</v>
      </c>
      <c r="AG33" s="154">
        <f t="shared" si="114"/>
        <v>0</v>
      </c>
      <c r="AH33" s="154">
        <f t="shared" si="236"/>
        <v>0</v>
      </c>
      <c r="AI33" s="154">
        <f t="shared" si="116"/>
        <v>0</v>
      </c>
      <c r="AJ33" s="154">
        <f t="shared" si="237"/>
        <v>0</v>
      </c>
      <c r="AK33" s="154">
        <f t="shared" si="118"/>
        <v>0</v>
      </c>
      <c r="AL33" s="154">
        <f t="shared" si="238"/>
        <v>0</v>
      </c>
      <c r="AM33" s="154">
        <f t="shared" si="120"/>
        <v>0</v>
      </c>
      <c r="AN33" s="154">
        <f t="shared" si="239"/>
        <v>0</v>
      </c>
      <c r="AO33" s="157">
        <f t="shared" si="122"/>
        <v>0</v>
      </c>
      <c r="AP33" s="154">
        <f t="shared" si="123"/>
        <v>0</v>
      </c>
      <c r="AQ33" s="158">
        <f t="shared" si="124"/>
        <v>0</v>
      </c>
      <c r="AR33" s="156">
        <f t="shared" si="234"/>
        <v>0</v>
      </c>
      <c r="AS33" s="154">
        <f t="shared" si="240"/>
        <v>0</v>
      </c>
      <c r="AT33" s="154">
        <f t="shared" si="127"/>
        <v>0</v>
      </c>
      <c r="AU33" s="154">
        <f t="shared" si="241"/>
        <v>0</v>
      </c>
      <c r="AV33" s="154">
        <f t="shared" si="129"/>
        <v>0</v>
      </c>
      <c r="AW33" s="154">
        <f t="shared" si="242"/>
        <v>0</v>
      </c>
      <c r="AX33" s="154">
        <f t="shared" si="131"/>
        <v>0</v>
      </c>
      <c r="AY33" s="154">
        <f t="shared" si="243"/>
        <v>0</v>
      </c>
      <c r="AZ33" s="154">
        <f t="shared" si="133"/>
        <v>0</v>
      </c>
      <c r="BA33" s="154">
        <f t="shared" si="244"/>
        <v>0</v>
      </c>
      <c r="BB33" s="157">
        <f t="shared" si="135"/>
        <v>0</v>
      </c>
      <c r="BC33" s="154">
        <f t="shared" si="136"/>
        <v>0</v>
      </c>
      <c r="BD33" s="158">
        <f t="shared" si="137"/>
        <v>0</v>
      </c>
      <c r="BE33" s="156">
        <f t="shared" si="234"/>
        <v>0</v>
      </c>
      <c r="BF33" s="154">
        <f t="shared" si="245"/>
        <v>0</v>
      </c>
      <c r="BG33" s="154">
        <f t="shared" si="140"/>
        <v>0</v>
      </c>
      <c r="BH33" s="154">
        <f t="shared" si="246"/>
        <v>0</v>
      </c>
      <c r="BI33" s="154">
        <f t="shared" si="142"/>
        <v>0</v>
      </c>
      <c r="BJ33" s="154">
        <f t="shared" si="247"/>
        <v>0</v>
      </c>
      <c r="BK33" s="154">
        <f t="shared" si="144"/>
        <v>0</v>
      </c>
      <c r="BL33" s="154">
        <f t="shared" si="248"/>
        <v>0</v>
      </c>
      <c r="BM33" s="154">
        <f t="shared" si="146"/>
        <v>0</v>
      </c>
      <c r="BN33" s="154">
        <f t="shared" si="249"/>
        <v>0</v>
      </c>
      <c r="BO33" s="157">
        <f t="shared" si="148"/>
        <v>0</v>
      </c>
      <c r="BP33" s="154">
        <f t="shared" si="149"/>
        <v>0</v>
      </c>
      <c r="BQ33" s="158">
        <f t="shared" si="150"/>
        <v>0</v>
      </c>
      <c r="BR33" s="156">
        <f t="shared" si="234"/>
        <v>0</v>
      </c>
      <c r="BS33" s="154">
        <f t="shared" si="250"/>
        <v>0</v>
      </c>
      <c r="BT33" s="154">
        <f t="shared" si="153"/>
        <v>0</v>
      </c>
      <c r="BU33" s="154">
        <f t="shared" si="251"/>
        <v>0</v>
      </c>
      <c r="BV33" s="154">
        <f t="shared" si="155"/>
        <v>0</v>
      </c>
      <c r="BW33" s="154">
        <f t="shared" si="252"/>
        <v>0</v>
      </c>
      <c r="BX33" s="154">
        <f t="shared" si="157"/>
        <v>0</v>
      </c>
      <c r="BY33" s="154">
        <f t="shared" si="253"/>
        <v>0</v>
      </c>
      <c r="BZ33" s="154">
        <f t="shared" si="159"/>
        <v>0</v>
      </c>
      <c r="CA33" s="154">
        <f t="shared" si="254"/>
        <v>0</v>
      </c>
      <c r="CB33" s="157">
        <f t="shared" si="161"/>
        <v>0</v>
      </c>
      <c r="CC33" s="154">
        <f t="shared" si="162"/>
        <v>0</v>
      </c>
      <c r="CD33" s="158">
        <f t="shared" si="163"/>
        <v>0</v>
      </c>
      <c r="CE33" s="156">
        <f t="shared" si="234"/>
        <v>0</v>
      </c>
      <c r="CF33" s="154">
        <f t="shared" si="255"/>
        <v>0</v>
      </c>
      <c r="CG33" s="154">
        <f t="shared" si="166"/>
        <v>0</v>
      </c>
      <c r="CH33" s="154">
        <f t="shared" si="256"/>
        <v>0</v>
      </c>
      <c r="CI33" s="154">
        <f t="shared" si="168"/>
        <v>0</v>
      </c>
      <c r="CJ33" s="154">
        <f t="shared" si="257"/>
        <v>0</v>
      </c>
      <c r="CK33" s="154">
        <f t="shared" si="170"/>
        <v>0</v>
      </c>
      <c r="CL33" s="154">
        <f t="shared" si="258"/>
        <v>0</v>
      </c>
      <c r="CM33" s="154">
        <f t="shared" si="172"/>
        <v>0</v>
      </c>
      <c r="CN33" s="154">
        <f t="shared" si="259"/>
        <v>0</v>
      </c>
      <c r="CO33" s="157">
        <f t="shared" si="174"/>
        <v>0</v>
      </c>
      <c r="CP33" s="154">
        <f t="shared" si="175"/>
        <v>0</v>
      </c>
      <c r="CQ33" s="158">
        <f t="shared" si="176"/>
        <v>0</v>
      </c>
      <c r="CR33" s="156">
        <f t="shared" si="260"/>
        <v>0</v>
      </c>
      <c r="CS33" s="154">
        <f t="shared" si="261"/>
        <v>0</v>
      </c>
      <c r="CT33" s="154">
        <f t="shared" si="179"/>
        <v>0</v>
      </c>
      <c r="CU33" s="154">
        <f t="shared" si="262"/>
        <v>0</v>
      </c>
      <c r="CV33" s="154">
        <f t="shared" si="181"/>
        <v>0</v>
      </c>
      <c r="CW33" s="154">
        <f t="shared" si="263"/>
        <v>0</v>
      </c>
      <c r="CX33" s="154">
        <f t="shared" si="183"/>
        <v>0</v>
      </c>
      <c r="CY33" s="154">
        <f t="shared" si="264"/>
        <v>0</v>
      </c>
      <c r="CZ33" s="154">
        <f t="shared" si="185"/>
        <v>0</v>
      </c>
      <c r="DA33" s="154">
        <f t="shared" si="265"/>
        <v>0</v>
      </c>
      <c r="DB33" s="157">
        <f t="shared" si="187"/>
        <v>0</v>
      </c>
      <c r="DC33" s="154">
        <f t="shared" si="188"/>
        <v>0</v>
      </c>
      <c r="DD33" s="158">
        <f t="shared" si="189"/>
        <v>0</v>
      </c>
      <c r="DE33" s="156">
        <f t="shared" si="260"/>
        <v>0</v>
      </c>
      <c r="DF33" s="154">
        <f t="shared" si="266"/>
        <v>0</v>
      </c>
      <c r="DG33" s="154">
        <f t="shared" si="192"/>
        <v>0</v>
      </c>
      <c r="DH33" s="154">
        <f t="shared" si="267"/>
        <v>0</v>
      </c>
      <c r="DI33" s="154">
        <f t="shared" si="194"/>
        <v>0</v>
      </c>
      <c r="DJ33" s="154">
        <f t="shared" si="268"/>
        <v>0</v>
      </c>
      <c r="DK33" s="154">
        <f t="shared" si="196"/>
        <v>0</v>
      </c>
      <c r="DL33" s="154">
        <f t="shared" si="269"/>
        <v>0</v>
      </c>
      <c r="DM33" s="154">
        <f t="shared" si="198"/>
        <v>0</v>
      </c>
      <c r="DN33" s="154">
        <f t="shared" si="270"/>
        <v>0</v>
      </c>
      <c r="DO33" s="157">
        <f t="shared" si="200"/>
        <v>0</v>
      </c>
      <c r="DP33" s="154">
        <f t="shared" si="201"/>
        <v>0</v>
      </c>
      <c r="DQ33" s="158">
        <f t="shared" si="202"/>
        <v>0</v>
      </c>
      <c r="DR33" s="156">
        <f t="shared" si="260"/>
        <v>0</v>
      </c>
      <c r="DS33" s="154">
        <f t="shared" si="271"/>
        <v>0</v>
      </c>
      <c r="DT33" s="154">
        <f t="shared" si="205"/>
        <v>0</v>
      </c>
      <c r="DU33" s="154">
        <f t="shared" si="272"/>
        <v>0</v>
      </c>
      <c r="DV33" s="154">
        <f t="shared" si="207"/>
        <v>0</v>
      </c>
      <c r="DW33" s="154">
        <f t="shared" si="273"/>
        <v>0</v>
      </c>
      <c r="DX33" s="154">
        <f t="shared" si="209"/>
        <v>0</v>
      </c>
      <c r="DY33" s="154">
        <f t="shared" si="274"/>
        <v>0</v>
      </c>
      <c r="DZ33" s="154">
        <f t="shared" si="211"/>
        <v>0</v>
      </c>
      <c r="EA33" s="154">
        <f t="shared" si="275"/>
        <v>0</v>
      </c>
      <c r="EB33" s="157">
        <f t="shared" si="213"/>
        <v>0</v>
      </c>
      <c r="EC33" s="154">
        <f t="shared" si="214"/>
        <v>0</v>
      </c>
      <c r="ED33" s="158">
        <f t="shared" si="215"/>
        <v>0</v>
      </c>
    </row>
    <row r="34" spans="1:134" x14ac:dyDescent="0.35">
      <c r="A34" s="183"/>
      <c r="B34" s="503"/>
      <c r="C34" s="503"/>
      <c r="D34" s="212"/>
      <c r="E34" s="176"/>
      <c r="F34" s="177"/>
      <c r="G34" s="178"/>
      <c r="H34" s="179"/>
      <c r="I34" s="180"/>
      <c r="J34" s="181"/>
      <c r="K34" s="152">
        <f t="shared" si="216"/>
        <v>0</v>
      </c>
      <c r="L34" s="153">
        <f t="shared" si="217"/>
        <v>0</v>
      </c>
      <c r="M34" s="154">
        <f t="shared" si="218"/>
        <v>0</v>
      </c>
      <c r="N34" s="154"/>
      <c r="O34" s="154">
        <f t="shared" si="219"/>
        <v>0</v>
      </c>
      <c r="P34" s="155"/>
      <c r="Q34" s="154">
        <f t="shared" si="220"/>
        <v>0</v>
      </c>
      <c r="R34" s="156">
        <f t="shared" si="221"/>
        <v>0</v>
      </c>
      <c r="S34" s="154">
        <f t="shared" si="222"/>
        <v>0</v>
      </c>
      <c r="T34" s="154">
        <f t="shared" si="223"/>
        <v>0</v>
      </c>
      <c r="U34" s="154">
        <f t="shared" si="224"/>
        <v>0</v>
      </c>
      <c r="V34" s="154">
        <f t="shared" si="225"/>
        <v>0</v>
      </c>
      <c r="W34" s="154">
        <f t="shared" si="226"/>
        <v>0</v>
      </c>
      <c r="X34" s="154">
        <f t="shared" si="227"/>
        <v>0</v>
      </c>
      <c r="Y34" s="154">
        <f t="shared" si="228"/>
        <v>0</v>
      </c>
      <c r="Z34" s="154">
        <f t="shared" si="229"/>
        <v>0</v>
      </c>
      <c r="AA34" s="154">
        <f t="shared" si="230"/>
        <v>0</v>
      </c>
      <c r="AB34" s="157">
        <f t="shared" si="231"/>
        <v>0</v>
      </c>
      <c r="AC34" s="154">
        <f t="shared" si="232"/>
        <v>0</v>
      </c>
      <c r="AD34" s="158">
        <f t="shared" si="233"/>
        <v>0</v>
      </c>
      <c r="AE34" s="156">
        <f t="shared" si="234"/>
        <v>0</v>
      </c>
      <c r="AF34" s="154">
        <f t="shared" si="235"/>
        <v>0</v>
      </c>
      <c r="AG34" s="154">
        <f t="shared" si="114"/>
        <v>0</v>
      </c>
      <c r="AH34" s="154">
        <f t="shared" si="236"/>
        <v>0</v>
      </c>
      <c r="AI34" s="154">
        <f t="shared" si="116"/>
        <v>0</v>
      </c>
      <c r="AJ34" s="154">
        <f t="shared" si="237"/>
        <v>0</v>
      </c>
      <c r="AK34" s="154">
        <f t="shared" si="118"/>
        <v>0</v>
      </c>
      <c r="AL34" s="154">
        <f t="shared" si="238"/>
        <v>0</v>
      </c>
      <c r="AM34" s="154">
        <f t="shared" si="120"/>
        <v>0</v>
      </c>
      <c r="AN34" s="154">
        <f t="shared" si="239"/>
        <v>0</v>
      </c>
      <c r="AO34" s="157">
        <f t="shared" si="122"/>
        <v>0</v>
      </c>
      <c r="AP34" s="154">
        <f t="shared" si="123"/>
        <v>0</v>
      </c>
      <c r="AQ34" s="158">
        <f t="shared" si="124"/>
        <v>0</v>
      </c>
      <c r="AR34" s="156">
        <f t="shared" si="234"/>
        <v>0</v>
      </c>
      <c r="AS34" s="154">
        <f t="shared" si="240"/>
        <v>0</v>
      </c>
      <c r="AT34" s="154">
        <f t="shared" si="127"/>
        <v>0</v>
      </c>
      <c r="AU34" s="154">
        <f t="shared" si="241"/>
        <v>0</v>
      </c>
      <c r="AV34" s="154">
        <f t="shared" si="129"/>
        <v>0</v>
      </c>
      <c r="AW34" s="154">
        <f t="shared" si="242"/>
        <v>0</v>
      </c>
      <c r="AX34" s="154">
        <f t="shared" si="131"/>
        <v>0</v>
      </c>
      <c r="AY34" s="154">
        <f t="shared" si="243"/>
        <v>0</v>
      </c>
      <c r="AZ34" s="154">
        <f t="shared" si="133"/>
        <v>0</v>
      </c>
      <c r="BA34" s="154">
        <f t="shared" si="244"/>
        <v>0</v>
      </c>
      <c r="BB34" s="157">
        <f t="shared" si="135"/>
        <v>0</v>
      </c>
      <c r="BC34" s="154">
        <f t="shared" si="136"/>
        <v>0</v>
      </c>
      <c r="BD34" s="158">
        <f t="shared" si="137"/>
        <v>0</v>
      </c>
      <c r="BE34" s="156">
        <f t="shared" si="234"/>
        <v>0</v>
      </c>
      <c r="BF34" s="154">
        <f t="shared" si="245"/>
        <v>0</v>
      </c>
      <c r="BG34" s="154">
        <f t="shared" si="140"/>
        <v>0</v>
      </c>
      <c r="BH34" s="154">
        <f t="shared" si="246"/>
        <v>0</v>
      </c>
      <c r="BI34" s="154">
        <f t="shared" si="142"/>
        <v>0</v>
      </c>
      <c r="BJ34" s="154">
        <f t="shared" si="247"/>
        <v>0</v>
      </c>
      <c r="BK34" s="154">
        <f t="shared" si="144"/>
        <v>0</v>
      </c>
      <c r="BL34" s="154">
        <f t="shared" si="248"/>
        <v>0</v>
      </c>
      <c r="BM34" s="154">
        <f t="shared" si="146"/>
        <v>0</v>
      </c>
      <c r="BN34" s="154">
        <f t="shared" si="249"/>
        <v>0</v>
      </c>
      <c r="BO34" s="157">
        <f t="shared" si="148"/>
        <v>0</v>
      </c>
      <c r="BP34" s="154">
        <f t="shared" si="149"/>
        <v>0</v>
      </c>
      <c r="BQ34" s="158">
        <f t="shared" si="150"/>
        <v>0</v>
      </c>
      <c r="BR34" s="156">
        <f t="shared" si="234"/>
        <v>0</v>
      </c>
      <c r="BS34" s="154">
        <f t="shared" si="250"/>
        <v>0</v>
      </c>
      <c r="BT34" s="154">
        <f t="shared" si="153"/>
        <v>0</v>
      </c>
      <c r="BU34" s="154">
        <f t="shared" si="251"/>
        <v>0</v>
      </c>
      <c r="BV34" s="154">
        <f t="shared" si="155"/>
        <v>0</v>
      </c>
      <c r="BW34" s="154">
        <f t="shared" si="252"/>
        <v>0</v>
      </c>
      <c r="BX34" s="154">
        <f t="shared" si="157"/>
        <v>0</v>
      </c>
      <c r="BY34" s="154">
        <f t="shared" si="253"/>
        <v>0</v>
      </c>
      <c r="BZ34" s="154">
        <f t="shared" si="159"/>
        <v>0</v>
      </c>
      <c r="CA34" s="154">
        <f t="shared" si="254"/>
        <v>0</v>
      </c>
      <c r="CB34" s="157">
        <f t="shared" si="161"/>
        <v>0</v>
      </c>
      <c r="CC34" s="154">
        <f t="shared" si="162"/>
        <v>0</v>
      </c>
      <c r="CD34" s="158">
        <f t="shared" si="163"/>
        <v>0</v>
      </c>
      <c r="CE34" s="156">
        <f t="shared" si="234"/>
        <v>0</v>
      </c>
      <c r="CF34" s="154">
        <f t="shared" si="255"/>
        <v>0</v>
      </c>
      <c r="CG34" s="154">
        <f t="shared" si="166"/>
        <v>0</v>
      </c>
      <c r="CH34" s="154">
        <f t="shared" si="256"/>
        <v>0</v>
      </c>
      <c r="CI34" s="154">
        <f t="shared" si="168"/>
        <v>0</v>
      </c>
      <c r="CJ34" s="154">
        <f t="shared" si="257"/>
        <v>0</v>
      </c>
      <c r="CK34" s="154">
        <f t="shared" si="170"/>
        <v>0</v>
      </c>
      <c r="CL34" s="154">
        <f t="shared" si="258"/>
        <v>0</v>
      </c>
      <c r="CM34" s="154">
        <f t="shared" si="172"/>
        <v>0</v>
      </c>
      <c r="CN34" s="154">
        <f t="shared" si="259"/>
        <v>0</v>
      </c>
      <c r="CO34" s="157">
        <f t="shared" si="174"/>
        <v>0</v>
      </c>
      <c r="CP34" s="154">
        <f t="shared" si="175"/>
        <v>0</v>
      </c>
      <c r="CQ34" s="158">
        <f t="shared" si="176"/>
        <v>0</v>
      </c>
      <c r="CR34" s="156">
        <f t="shared" si="260"/>
        <v>0</v>
      </c>
      <c r="CS34" s="154">
        <f t="shared" si="261"/>
        <v>0</v>
      </c>
      <c r="CT34" s="154">
        <f t="shared" si="179"/>
        <v>0</v>
      </c>
      <c r="CU34" s="154">
        <f t="shared" si="262"/>
        <v>0</v>
      </c>
      <c r="CV34" s="154">
        <f t="shared" si="181"/>
        <v>0</v>
      </c>
      <c r="CW34" s="154">
        <f t="shared" si="263"/>
        <v>0</v>
      </c>
      <c r="CX34" s="154">
        <f t="shared" si="183"/>
        <v>0</v>
      </c>
      <c r="CY34" s="154">
        <f t="shared" si="264"/>
        <v>0</v>
      </c>
      <c r="CZ34" s="154">
        <f t="shared" si="185"/>
        <v>0</v>
      </c>
      <c r="DA34" s="154">
        <f t="shared" si="265"/>
        <v>0</v>
      </c>
      <c r="DB34" s="157">
        <f t="shared" si="187"/>
        <v>0</v>
      </c>
      <c r="DC34" s="154">
        <f t="shared" si="188"/>
        <v>0</v>
      </c>
      <c r="DD34" s="158">
        <f t="shared" si="189"/>
        <v>0</v>
      </c>
      <c r="DE34" s="156">
        <f t="shared" si="260"/>
        <v>0</v>
      </c>
      <c r="DF34" s="154">
        <f t="shared" si="266"/>
        <v>0</v>
      </c>
      <c r="DG34" s="154">
        <f t="shared" si="192"/>
        <v>0</v>
      </c>
      <c r="DH34" s="154">
        <f t="shared" si="267"/>
        <v>0</v>
      </c>
      <c r="DI34" s="154">
        <f t="shared" si="194"/>
        <v>0</v>
      </c>
      <c r="DJ34" s="154">
        <f t="shared" si="268"/>
        <v>0</v>
      </c>
      <c r="DK34" s="154">
        <f t="shared" si="196"/>
        <v>0</v>
      </c>
      <c r="DL34" s="154">
        <f t="shared" si="269"/>
        <v>0</v>
      </c>
      <c r="DM34" s="154">
        <f t="shared" si="198"/>
        <v>0</v>
      </c>
      <c r="DN34" s="154">
        <f t="shared" si="270"/>
        <v>0</v>
      </c>
      <c r="DO34" s="157">
        <f t="shared" si="200"/>
        <v>0</v>
      </c>
      <c r="DP34" s="154">
        <f t="shared" si="201"/>
        <v>0</v>
      </c>
      <c r="DQ34" s="158">
        <f t="shared" si="202"/>
        <v>0</v>
      </c>
      <c r="DR34" s="156">
        <f t="shared" si="260"/>
        <v>0</v>
      </c>
      <c r="DS34" s="154">
        <f t="shared" si="271"/>
        <v>0</v>
      </c>
      <c r="DT34" s="154">
        <f t="shared" si="205"/>
        <v>0</v>
      </c>
      <c r="DU34" s="154">
        <f t="shared" si="272"/>
        <v>0</v>
      </c>
      <c r="DV34" s="154">
        <f t="shared" si="207"/>
        <v>0</v>
      </c>
      <c r="DW34" s="154">
        <f t="shared" si="273"/>
        <v>0</v>
      </c>
      <c r="DX34" s="154">
        <f t="shared" si="209"/>
        <v>0</v>
      </c>
      <c r="DY34" s="154">
        <f t="shared" si="274"/>
        <v>0</v>
      </c>
      <c r="DZ34" s="154">
        <f t="shared" si="211"/>
        <v>0</v>
      </c>
      <c r="EA34" s="154">
        <f t="shared" si="275"/>
        <v>0</v>
      </c>
      <c r="EB34" s="157">
        <f t="shared" si="213"/>
        <v>0</v>
      </c>
      <c r="EC34" s="154">
        <f t="shared" si="214"/>
        <v>0</v>
      </c>
      <c r="ED34" s="158">
        <f t="shared" si="215"/>
        <v>0</v>
      </c>
    </row>
    <row r="35" spans="1:134" x14ac:dyDescent="0.35">
      <c r="A35" s="183"/>
      <c r="B35" s="503"/>
      <c r="C35" s="503"/>
      <c r="D35" s="212"/>
      <c r="E35" s="176"/>
      <c r="F35" s="177"/>
      <c r="G35" s="178"/>
      <c r="H35" s="179"/>
      <c r="I35" s="180"/>
      <c r="J35" s="181"/>
      <c r="K35" s="152">
        <f t="shared" si="216"/>
        <v>0</v>
      </c>
      <c r="L35" s="153">
        <f t="shared" si="217"/>
        <v>0</v>
      </c>
      <c r="M35" s="154">
        <f t="shared" si="218"/>
        <v>0</v>
      </c>
      <c r="N35" s="154"/>
      <c r="O35" s="154">
        <f t="shared" si="219"/>
        <v>0</v>
      </c>
      <c r="P35" s="155"/>
      <c r="Q35" s="154">
        <f t="shared" si="220"/>
        <v>0</v>
      </c>
      <c r="R35" s="156">
        <f t="shared" si="221"/>
        <v>0</v>
      </c>
      <c r="S35" s="154">
        <f t="shared" si="222"/>
        <v>0</v>
      </c>
      <c r="T35" s="154">
        <f t="shared" si="223"/>
        <v>0</v>
      </c>
      <c r="U35" s="154">
        <f t="shared" si="224"/>
        <v>0</v>
      </c>
      <c r="V35" s="154">
        <f t="shared" si="225"/>
        <v>0</v>
      </c>
      <c r="W35" s="154">
        <f t="shared" si="226"/>
        <v>0</v>
      </c>
      <c r="X35" s="154">
        <f t="shared" si="227"/>
        <v>0</v>
      </c>
      <c r="Y35" s="154">
        <f t="shared" si="228"/>
        <v>0</v>
      </c>
      <c r="Z35" s="154">
        <f t="shared" si="229"/>
        <v>0</v>
      </c>
      <c r="AA35" s="154">
        <f t="shared" si="230"/>
        <v>0</v>
      </c>
      <c r="AB35" s="157">
        <f t="shared" si="231"/>
        <v>0</v>
      </c>
      <c r="AC35" s="154">
        <f t="shared" si="232"/>
        <v>0</v>
      </c>
      <c r="AD35" s="158">
        <f t="shared" si="233"/>
        <v>0</v>
      </c>
      <c r="AE35" s="156">
        <f t="shared" si="234"/>
        <v>0</v>
      </c>
      <c r="AF35" s="154">
        <f t="shared" si="235"/>
        <v>0</v>
      </c>
      <c r="AG35" s="154">
        <f t="shared" si="114"/>
        <v>0</v>
      </c>
      <c r="AH35" s="154">
        <f t="shared" si="236"/>
        <v>0</v>
      </c>
      <c r="AI35" s="154">
        <f t="shared" si="116"/>
        <v>0</v>
      </c>
      <c r="AJ35" s="154">
        <f t="shared" si="237"/>
        <v>0</v>
      </c>
      <c r="AK35" s="154">
        <f t="shared" si="118"/>
        <v>0</v>
      </c>
      <c r="AL35" s="154">
        <f t="shared" si="238"/>
        <v>0</v>
      </c>
      <c r="AM35" s="154">
        <f t="shared" si="120"/>
        <v>0</v>
      </c>
      <c r="AN35" s="154">
        <f t="shared" si="239"/>
        <v>0</v>
      </c>
      <c r="AO35" s="157">
        <f t="shared" si="122"/>
        <v>0</v>
      </c>
      <c r="AP35" s="154">
        <f t="shared" si="123"/>
        <v>0</v>
      </c>
      <c r="AQ35" s="158">
        <f t="shared" si="124"/>
        <v>0</v>
      </c>
      <c r="AR35" s="156">
        <f t="shared" si="234"/>
        <v>0</v>
      </c>
      <c r="AS35" s="154">
        <f t="shared" si="240"/>
        <v>0</v>
      </c>
      <c r="AT35" s="154">
        <f t="shared" si="127"/>
        <v>0</v>
      </c>
      <c r="AU35" s="154">
        <f t="shared" si="241"/>
        <v>0</v>
      </c>
      <c r="AV35" s="154">
        <f t="shared" si="129"/>
        <v>0</v>
      </c>
      <c r="AW35" s="154">
        <f t="shared" si="242"/>
        <v>0</v>
      </c>
      <c r="AX35" s="154">
        <f t="shared" si="131"/>
        <v>0</v>
      </c>
      <c r="AY35" s="154">
        <f t="shared" si="243"/>
        <v>0</v>
      </c>
      <c r="AZ35" s="154">
        <f t="shared" si="133"/>
        <v>0</v>
      </c>
      <c r="BA35" s="154">
        <f t="shared" si="244"/>
        <v>0</v>
      </c>
      <c r="BB35" s="157">
        <f t="shared" si="135"/>
        <v>0</v>
      </c>
      <c r="BC35" s="154">
        <f t="shared" si="136"/>
        <v>0</v>
      </c>
      <c r="BD35" s="158">
        <f t="shared" si="137"/>
        <v>0</v>
      </c>
      <c r="BE35" s="156">
        <f t="shared" si="234"/>
        <v>0</v>
      </c>
      <c r="BF35" s="154">
        <f t="shared" si="245"/>
        <v>0</v>
      </c>
      <c r="BG35" s="154">
        <f t="shared" si="140"/>
        <v>0</v>
      </c>
      <c r="BH35" s="154">
        <f t="shared" si="246"/>
        <v>0</v>
      </c>
      <c r="BI35" s="154">
        <f t="shared" si="142"/>
        <v>0</v>
      </c>
      <c r="BJ35" s="154">
        <f t="shared" si="247"/>
        <v>0</v>
      </c>
      <c r="BK35" s="154">
        <f t="shared" si="144"/>
        <v>0</v>
      </c>
      <c r="BL35" s="154">
        <f t="shared" si="248"/>
        <v>0</v>
      </c>
      <c r="BM35" s="154">
        <f t="shared" si="146"/>
        <v>0</v>
      </c>
      <c r="BN35" s="154">
        <f t="shared" si="249"/>
        <v>0</v>
      </c>
      <c r="BO35" s="157">
        <f t="shared" si="148"/>
        <v>0</v>
      </c>
      <c r="BP35" s="154">
        <f t="shared" si="149"/>
        <v>0</v>
      </c>
      <c r="BQ35" s="158">
        <f t="shared" si="150"/>
        <v>0</v>
      </c>
      <c r="BR35" s="156">
        <f t="shared" si="234"/>
        <v>0</v>
      </c>
      <c r="BS35" s="154">
        <f t="shared" si="250"/>
        <v>0</v>
      </c>
      <c r="BT35" s="154">
        <f t="shared" si="153"/>
        <v>0</v>
      </c>
      <c r="BU35" s="154">
        <f t="shared" si="251"/>
        <v>0</v>
      </c>
      <c r="BV35" s="154">
        <f t="shared" si="155"/>
        <v>0</v>
      </c>
      <c r="BW35" s="154">
        <f t="shared" si="252"/>
        <v>0</v>
      </c>
      <c r="BX35" s="154">
        <f t="shared" si="157"/>
        <v>0</v>
      </c>
      <c r="BY35" s="154">
        <f t="shared" si="253"/>
        <v>0</v>
      </c>
      <c r="BZ35" s="154">
        <f t="shared" si="159"/>
        <v>0</v>
      </c>
      <c r="CA35" s="154">
        <f t="shared" si="254"/>
        <v>0</v>
      </c>
      <c r="CB35" s="157">
        <f t="shared" si="161"/>
        <v>0</v>
      </c>
      <c r="CC35" s="154">
        <f t="shared" si="162"/>
        <v>0</v>
      </c>
      <c r="CD35" s="158">
        <f t="shared" si="163"/>
        <v>0</v>
      </c>
      <c r="CE35" s="156">
        <f t="shared" si="234"/>
        <v>0</v>
      </c>
      <c r="CF35" s="154">
        <f t="shared" si="255"/>
        <v>0</v>
      </c>
      <c r="CG35" s="154">
        <f t="shared" si="166"/>
        <v>0</v>
      </c>
      <c r="CH35" s="154">
        <f t="shared" si="256"/>
        <v>0</v>
      </c>
      <c r="CI35" s="154">
        <f t="shared" si="168"/>
        <v>0</v>
      </c>
      <c r="CJ35" s="154">
        <f t="shared" si="257"/>
        <v>0</v>
      </c>
      <c r="CK35" s="154">
        <f t="shared" si="170"/>
        <v>0</v>
      </c>
      <c r="CL35" s="154">
        <f t="shared" si="258"/>
        <v>0</v>
      </c>
      <c r="CM35" s="154">
        <f t="shared" si="172"/>
        <v>0</v>
      </c>
      <c r="CN35" s="154">
        <f t="shared" si="259"/>
        <v>0</v>
      </c>
      <c r="CO35" s="157">
        <f t="shared" si="174"/>
        <v>0</v>
      </c>
      <c r="CP35" s="154">
        <f t="shared" si="175"/>
        <v>0</v>
      </c>
      <c r="CQ35" s="158">
        <f t="shared" si="176"/>
        <v>0</v>
      </c>
      <c r="CR35" s="156">
        <f t="shared" si="260"/>
        <v>0</v>
      </c>
      <c r="CS35" s="154">
        <f t="shared" si="261"/>
        <v>0</v>
      </c>
      <c r="CT35" s="154">
        <f t="shared" si="179"/>
        <v>0</v>
      </c>
      <c r="CU35" s="154">
        <f t="shared" si="262"/>
        <v>0</v>
      </c>
      <c r="CV35" s="154">
        <f t="shared" si="181"/>
        <v>0</v>
      </c>
      <c r="CW35" s="154">
        <f t="shared" si="263"/>
        <v>0</v>
      </c>
      <c r="CX35" s="154">
        <f t="shared" si="183"/>
        <v>0</v>
      </c>
      <c r="CY35" s="154">
        <f t="shared" si="264"/>
        <v>0</v>
      </c>
      <c r="CZ35" s="154">
        <f t="shared" si="185"/>
        <v>0</v>
      </c>
      <c r="DA35" s="154">
        <f t="shared" si="265"/>
        <v>0</v>
      </c>
      <c r="DB35" s="157">
        <f t="shared" si="187"/>
        <v>0</v>
      </c>
      <c r="DC35" s="154">
        <f t="shared" si="188"/>
        <v>0</v>
      </c>
      <c r="DD35" s="158">
        <f t="shared" si="189"/>
        <v>0</v>
      </c>
      <c r="DE35" s="156">
        <f t="shared" si="260"/>
        <v>0</v>
      </c>
      <c r="DF35" s="154">
        <f t="shared" si="266"/>
        <v>0</v>
      </c>
      <c r="DG35" s="154">
        <f t="shared" si="192"/>
        <v>0</v>
      </c>
      <c r="DH35" s="154">
        <f t="shared" si="267"/>
        <v>0</v>
      </c>
      <c r="DI35" s="154">
        <f t="shared" si="194"/>
        <v>0</v>
      </c>
      <c r="DJ35" s="154">
        <f t="shared" si="268"/>
        <v>0</v>
      </c>
      <c r="DK35" s="154">
        <f t="shared" si="196"/>
        <v>0</v>
      </c>
      <c r="DL35" s="154">
        <f t="shared" si="269"/>
        <v>0</v>
      </c>
      <c r="DM35" s="154">
        <f t="shared" si="198"/>
        <v>0</v>
      </c>
      <c r="DN35" s="154">
        <f t="shared" si="270"/>
        <v>0</v>
      </c>
      <c r="DO35" s="157">
        <f t="shared" si="200"/>
        <v>0</v>
      </c>
      <c r="DP35" s="154">
        <f t="shared" si="201"/>
        <v>0</v>
      </c>
      <c r="DQ35" s="158">
        <f t="shared" si="202"/>
        <v>0</v>
      </c>
      <c r="DR35" s="156">
        <f t="shared" si="260"/>
        <v>0</v>
      </c>
      <c r="DS35" s="154">
        <f t="shared" si="271"/>
        <v>0</v>
      </c>
      <c r="DT35" s="154">
        <f t="shared" si="205"/>
        <v>0</v>
      </c>
      <c r="DU35" s="154">
        <f t="shared" si="272"/>
        <v>0</v>
      </c>
      <c r="DV35" s="154">
        <f t="shared" si="207"/>
        <v>0</v>
      </c>
      <c r="DW35" s="154">
        <f t="shared" si="273"/>
        <v>0</v>
      </c>
      <c r="DX35" s="154">
        <f t="shared" si="209"/>
        <v>0</v>
      </c>
      <c r="DY35" s="154">
        <f t="shared" si="274"/>
        <v>0</v>
      </c>
      <c r="DZ35" s="154">
        <f t="shared" si="211"/>
        <v>0</v>
      </c>
      <c r="EA35" s="154">
        <f t="shared" si="275"/>
        <v>0</v>
      </c>
      <c r="EB35" s="157">
        <f t="shared" si="213"/>
        <v>0</v>
      </c>
      <c r="EC35" s="154">
        <f t="shared" si="214"/>
        <v>0</v>
      </c>
      <c r="ED35" s="158">
        <f t="shared" si="215"/>
        <v>0</v>
      </c>
    </row>
    <row r="36" spans="1:134" x14ac:dyDescent="0.35">
      <c r="A36" s="183"/>
      <c r="B36" s="503"/>
      <c r="C36" s="503"/>
      <c r="D36" s="212"/>
      <c r="E36" s="176"/>
      <c r="F36" s="177"/>
      <c r="G36" s="178"/>
      <c r="H36" s="179"/>
      <c r="I36" s="180"/>
      <c r="J36" s="181"/>
      <c r="K36" s="152">
        <f t="shared" si="216"/>
        <v>0</v>
      </c>
      <c r="L36" s="153">
        <f t="shared" si="217"/>
        <v>0</v>
      </c>
      <c r="M36" s="154">
        <f t="shared" si="218"/>
        <v>0</v>
      </c>
      <c r="N36" s="154"/>
      <c r="O36" s="154">
        <f t="shared" si="219"/>
        <v>0</v>
      </c>
      <c r="P36" s="155"/>
      <c r="Q36" s="154">
        <f t="shared" si="220"/>
        <v>0</v>
      </c>
      <c r="R36" s="156">
        <f t="shared" si="221"/>
        <v>0</v>
      </c>
      <c r="S36" s="154">
        <f t="shared" si="222"/>
        <v>0</v>
      </c>
      <c r="T36" s="154">
        <f t="shared" si="223"/>
        <v>0</v>
      </c>
      <c r="U36" s="154">
        <f t="shared" si="224"/>
        <v>0</v>
      </c>
      <c r="V36" s="154">
        <f t="shared" si="225"/>
        <v>0</v>
      </c>
      <c r="W36" s="154">
        <f t="shared" si="226"/>
        <v>0</v>
      </c>
      <c r="X36" s="154">
        <f t="shared" si="227"/>
        <v>0</v>
      </c>
      <c r="Y36" s="154">
        <f t="shared" si="228"/>
        <v>0</v>
      </c>
      <c r="Z36" s="154">
        <f t="shared" si="229"/>
        <v>0</v>
      </c>
      <c r="AA36" s="154">
        <f t="shared" si="230"/>
        <v>0</v>
      </c>
      <c r="AB36" s="157">
        <f t="shared" si="231"/>
        <v>0</v>
      </c>
      <c r="AC36" s="154">
        <f t="shared" si="232"/>
        <v>0</v>
      </c>
      <c r="AD36" s="158">
        <f t="shared" si="233"/>
        <v>0</v>
      </c>
      <c r="AE36" s="156">
        <f t="shared" si="234"/>
        <v>0</v>
      </c>
      <c r="AF36" s="154">
        <f t="shared" si="235"/>
        <v>0</v>
      </c>
      <c r="AG36" s="154">
        <f t="shared" si="114"/>
        <v>0</v>
      </c>
      <c r="AH36" s="154">
        <f t="shared" si="236"/>
        <v>0</v>
      </c>
      <c r="AI36" s="154">
        <f t="shared" si="116"/>
        <v>0</v>
      </c>
      <c r="AJ36" s="154">
        <f t="shared" si="237"/>
        <v>0</v>
      </c>
      <c r="AK36" s="154">
        <f t="shared" si="118"/>
        <v>0</v>
      </c>
      <c r="AL36" s="154">
        <f t="shared" si="238"/>
        <v>0</v>
      </c>
      <c r="AM36" s="154">
        <f t="shared" si="120"/>
        <v>0</v>
      </c>
      <c r="AN36" s="154">
        <f t="shared" si="239"/>
        <v>0</v>
      </c>
      <c r="AO36" s="157">
        <f t="shared" si="122"/>
        <v>0</v>
      </c>
      <c r="AP36" s="154">
        <f t="shared" si="123"/>
        <v>0</v>
      </c>
      <c r="AQ36" s="158">
        <f t="shared" si="124"/>
        <v>0</v>
      </c>
      <c r="AR36" s="156">
        <f t="shared" si="234"/>
        <v>0</v>
      </c>
      <c r="AS36" s="154">
        <f t="shared" si="240"/>
        <v>0</v>
      </c>
      <c r="AT36" s="154">
        <f t="shared" si="127"/>
        <v>0</v>
      </c>
      <c r="AU36" s="154">
        <f t="shared" si="241"/>
        <v>0</v>
      </c>
      <c r="AV36" s="154">
        <f t="shared" si="129"/>
        <v>0</v>
      </c>
      <c r="AW36" s="154">
        <f t="shared" si="242"/>
        <v>0</v>
      </c>
      <c r="AX36" s="154">
        <f t="shared" si="131"/>
        <v>0</v>
      </c>
      <c r="AY36" s="154">
        <f t="shared" si="243"/>
        <v>0</v>
      </c>
      <c r="AZ36" s="154">
        <f t="shared" si="133"/>
        <v>0</v>
      </c>
      <c r="BA36" s="154">
        <f t="shared" si="244"/>
        <v>0</v>
      </c>
      <c r="BB36" s="157">
        <f t="shared" si="135"/>
        <v>0</v>
      </c>
      <c r="BC36" s="154">
        <f t="shared" si="136"/>
        <v>0</v>
      </c>
      <c r="BD36" s="158">
        <f t="shared" si="137"/>
        <v>0</v>
      </c>
      <c r="BE36" s="156">
        <f t="shared" si="234"/>
        <v>0</v>
      </c>
      <c r="BF36" s="154">
        <f t="shared" si="245"/>
        <v>0</v>
      </c>
      <c r="BG36" s="154">
        <f t="shared" si="140"/>
        <v>0</v>
      </c>
      <c r="BH36" s="154">
        <f t="shared" si="246"/>
        <v>0</v>
      </c>
      <c r="BI36" s="154">
        <f t="shared" si="142"/>
        <v>0</v>
      </c>
      <c r="BJ36" s="154">
        <f t="shared" si="247"/>
        <v>0</v>
      </c>
      <c r="BK36" s="154">
        <f t="shared" si="144"/>
        <v>0</v>
      </c>
      <c r="BL36" s="154">
        <f t="shared" si="248"/>
        <v>0</v>
      </c>
      <c r="BM36" s="154">
        <f t="shared" si="146"/>
        <v>0</v>
      </c>
      <c r="BN36" s="154">
        <f t="shared" si="249"/>
        <v>0</v>
      </c>
      <c r="BO36" s="157">
        <f t="shared" si="148"/>
        <v>0</v>
      </c>
      <c r="BP36" s="154">
        <f t="shared" si="149"/>
        <v>0</v>
      </c>
      <c r="BQ36" s="158">
        <f t="shared" si="150"/>
        <v>0</v>
      </c>
      <c r="BR36" s="156">
        <f t="shared" si="234"/>
        <v>0</v>
      </c>
      <c r="BS36" s="154">
        <f t="shared" si="250"/>
        <v>0</v>
      </c>
      <c r="BT36" s="154">
        <f t="shared" si="153"/>
        <v>0</v>
      </c>
      <c r="BU36" s="154">
        <f t="shared" si="251"/>
        <v>0</v>
      </c>
      <c r="BV36" s="154">
        <f t="shared" si="155"/>
        <v>0</v>
      </c>
      <c r="BW36" s="154">
        <f t="shared" si="252"/>
        <v>0</v>
      </c>
      <c r="BX36" s="154">
        <f t="shared" si="157"/>
        <v>0</v>
      </c>
      <c r="BY36" s="154">
        <f t="shared" si="253"/>
        <v>0</v>
      </c>
      <c r="BZ36" s="154">
        <f t="shared" si="159"/>
        <v>0</v>
      </c>
      <c r="CA36" s="154">
        <f t="shared" si="254"/>
        <v>0</v>
      </c>
      <c r="CB36" s="157">
        <f t="shared" si="161"/>
        <v>0</v>
      </c>
      <c r="CC36" s="154">
        <f t="shared" si="162"/>
        <v>0</v>
      </c>
      <c r="CD36" s="158">
        <f t="shared" si="163"/>
        <v>0</v>
      </c>
      <c r="CE36" s="156">
        <f t="shared" si="234"/>
        <v>0</v>
      </c>
      <c r="CF36" s="154">
        <f t="shared" si="255"/>
        <v>0</v>
      </c>
      <c r="CG36" s="154">
        <f t="shared" si="166"/>
        <v>0</v>
      </c>
      <c r="CH36" s="154">
        <f t="shared" si="256"/>
        <v>0</v>
      </c>
      <c r="CI36" s="154">
        <f t="shared" si="168"/>
        <v>0</v>
      </c>
      <c r="CJ36" s="154">
        <f t="shared" si="257"/>
        <v>0</v>
      </c>
      <c r="CK36" s="154">
        <f t="shared" si="170"/>
        <v>0</v>
      </c>
      <c r="CL36" s="154">
        <f t="shared" si="258"/>
        <v>0</v>
      </c>
      <c r="CM36" s="154">
        <f t="shared" si="172"/>
        <v>0</v>
      </c>
      <c r="CN36" s="154">
        <f t="shared" si="259"/>
        <v>0</v>
      </c>
      <c r="CO36" s="157">
        <f t="shared" si="174"/>
        <v>0</v>
      </c>
      <c r="CP36" s="154">
        <f t="shared" si="175"/>
        <v>0</v>
      </c>
      <c r="CQ36" s="158">
        <f t="shared" si="176"/>
        <v>0</v>
      </c>
      <c r="CR36" s="156">
        <f t="shared" si="260"/>
        <v>0</v>
      </c>
      <c r="CS36" s="154">
        <f t="shared" si="261"/>
        <v>0</v>
      </c>
      <c r="CT36" s="154">
        <f t="shared" si="179"/>
        <v>0</v>
      </c>
      <c r="CU36" s="154">
        <f t="shared" si="262"/>
        <v>0</v>
      </c>
      <c r="CV36" s="154">
        <f t="shared" si="181"/>
        <v>0</v>
      </c>
      <c r="CW36" s="154">
        <f t="shared" si="263"/>
        <v>0</v>
      </c>
      <c r="CX36" s="154">
        <f t="shared" si="183"/>
        <v>0</v>
      </c>
      <c r="CY36" s="154">
        <f t="shared" si="264"/>
        <v>0</v>
      </c>
      <c r="CZ36" s="154">
        <f t="shared" si="185"/>
        <v>0</v>
      </c>
      <c r="DA36" s="154">
        <f t="shared" si="265"/>
        <v>0</v>
      </c>
      <c r="DB36" s="157">
        <f t="shared" si="187"/>
        <v>0</v>
      </c>
      <c r="DC36" s="154">
        <f t="shared" si="188"/>
        <v>0</v>
      </c>
      <c r="DD36" s="158">
        <f t="shared" si="189"/>
        <v>0</v>
      </c>
      <c r="DE36" s="156">
        <f t="shared" si="260"/>
        <v>0</v>
      </c>
      <c r="DF36" s="154">
        <f t="shared" si="266"/>
        <v>0</v>
      </c>
      <c r="DG36" s="154">
        <f t="shared" si="192"/>
        <v>0</v>
      </c>
      <c r="DH36" s="154">
        <f t="shared" si="267"/>
        <v>0</v>
      </c>
      <c r="DI36" s="154">
        <f t="shared" si="194"/>
        <v>0</v>
      </c>
      <c r="DJ36" s="154">
        <f t="shared" si="268"/>
        <v>0</v>
      </c>
      <c r="DK36" s="154">
        <f t="shared" si="196"/>
        <v>0</v>
      </c>
      <c r="DL36" s="154">
        <f t="shared" si="269"/>
        <v>0</v>
      </c>
      <c r="DM36" s="154">
        <f t="shared" si="198"/>
        <v>0</v>
      </c>
      <c r="DN36" s="154">
        <f t="shared" si="270"/>
        <v>0</v>
      </c>
      <c r="DO36" s="157">
        <f t="shared" si="200"/>
        <v>0</v>
      </c>
      <c r="DP36" s="154">
        <f t="shared" si="201"/>
        <v>0</v>
      </c>
      <c r="DQ36" s="158">
        <f t="shared" si="202"/>
        <v>0</v>
      </c>
      <c r="DR36" s="156">
        <f t="shared" si="260"/>
        <v>0</v>
      </c>
      <c r="DS36" s="154">
        <f t="shared" si="271"/>
        <v>0</v>
      </c>
      <c r="DT36" s="154">
        <f t="shared" si="205"/>
        <v>0</v>
      </c>
      <c r="DU36" s="154">
        <f t="shared" si="272"/>
        <v>0</v>
      </c>
      <c r="DV36" s="154">
        <f t="shared" si="207"/>
        <v>0</v>
      </c>
      <c r="DW36" s="154">
        <f t="shared" si="273"/>
        <v>0</v>
      </c>
      <c r="DX36" s="154">
        <f t="shared" si="209"/>
        <v>0</v>
      </c>
      <c r="DY36" s="154">
        <f t="shared" si="274"/>
        <v>0</v>
      </c>
      <c r="DZ36" s="154">
        <f t="shared" si="211"/>
        <v>0</v>
      </c>
      <c r="EA36" s="154">
        <f t="shared" si="275"/>
        <v>0</v>
      </c>
      <c r="EB36" s="157">
        <f t="shared" si="213"/>
        <v>0</v>
      </c>
      <c r="EC36" s="154">
        <f t="shared" si="214"/>
        <v>0</v>
      </c>
      <c r="ED36" s="158">
        <f t="shared" si="215"/>
        <v>0</v>
      </c>
    </row>
    <row r="37" spans="1:134" x14ac:dyDescent="0.35">
      <c r="A37" s="183"/>
      <c r="B37" s="503"/>
      <c r="C37" s="503"/>
      <c r="D37" s="212"/>
      <c r="E37" s="176"/>
      <c r="F37" s="177"/>
      <c r="G37" s="178"/>
      <c r="H37" s="179"/>
      <c r="I37" s="180"/>
      <c r="J37" s="181"/>
      <c r="K37" s="152">
        <f t="shared" si="216"/>
        <v>0</v>
      </c>
      <c r="L37" s="153">
        <f t="shared" si="217"/>
        <v>0</v>
      </c>
      <c r="M37" s="154">
        <f t="shared" si="218"/>
        <v>0</v>
      </c>
      <c r="N37" s="154"/>
      <c r="O37" s="154">
        <f t="shared" si="219"/>
        <v>0</v>
      </c>
      <c r="P37" s="155"/>
      <c r="Q37" s="154">
        <f t="shared" si="220"/>
        <v>0</v>
      </c>
      <c r="R37" s="156">
        <f t="shared" si="221"/>
        <v>0</v>
      </c>
      <c r="S37" s="154">
        <f t="shared" si="222"/>
        <v>0</v>
      </c>
      <c r="T37" s="154">
        <f t="shared" si="223"/>
        <v>0</v>
      </c>
      <c r="U37" s="154">
        <f t="shared" si="224"/>
        <v>0</v>
      </c>
      <c r="V37" s="154">
        <f t="shared" si="225"/>
        <v>0</v>
      </c>
      <c r="W37" s="154">
        <f t="shared" si="226"/>
        <v>0</v>
      </c>
      <c r="X37" s="154">
        <f t="shared" si="227"/>
        <v>0</v>
      </c>
      <c r="Y37" s="154">
        <f t="shared" si="228"/>
        <v>0</v>
      </c>
      <c r="Z37" s="154">
        <f t="shared" si="229"/>
        <v>0</v>
      </c>
      <c r="AA37" s="154">
        <f t="shared" si="230"/>
        <v>0</v>
      </c>
      <c r="AB37" s="157">
        <f t="shared" si="231"/>
        <v>0</v>
      </c>
      <c r="AC37" s="154">
        <f t="shared" si="232"/>
        <v>0</v>
      </c>
      <c r="AD37" s="158">
        <f t="shared" si="233"/>
        <v>0</v>
      </c>
      <c r="AE37" s="156">
        <f t="shared" ref="AE37:CE52" si="276">IF(YEAR($F37)=AE$4,$E37,0)</f>
        <v>0</v>
      </c>
      <c r="AF37" s="154">
        <f t="shared" si="235"/>
        <v>0</v>
      </c>
      <c r="AG37" s="154">
        <f t="shared" si="114"/>
        <v>0</v>
      </c>
      <c r="AH37" s="154">
        <f t="shared" si="236"/>
        <v>0</v>
      </c>
      <c r="AI37" s="154">
        <f t="shared" si="116"/>
        <v>0</v>
      </c>
      <c r="AJ37" s="154">
        <f t="shared" si="237"/>
        <v>0</v>
      </c>
      <c r="AK37" s="154">
        <f t="shared" si="118"/>
        <v>0</v>
      </c>
      <c r="AL37" s="154">
        <f t="shared" si="238"/>
        <v>0</v>
      </c>
      <c r="AM37" s="154">
        <f t="shared" si="120"/>
        <v>0</v>
      </c>
      <c r="AN37" s="154">
        <f t="shared" si="239"/>
        <v>0</v>
      </c>
      <c r="AO37" s="157">
        <f t="shared" si="122"/>
        <v>0</v>
      </c>
      <c r="AP37" s="154">
        <f t="shared" si="123"/>
        <v>0</v>
      </c>
      <c r="AQ37" s="158">
        <f t="shared" si="124"/>
        <v>0</v>
      </c>
      <c r="AR37" s="156">
        <f t="shared" si="276"/>
        <v>0</v>
      </c>
      <c r="AS37" s="154">
        <f t="shared" si="240"/>
        <v>0</v>
      </c>
      <c r="AT37" s="154">
        <f t="shared" si="127"/>
        <v>0</v>
      </c>
      <c r="AU37" s="154">
        <f t="shared" si="241"/>
        <v>0</v>
      </c>
      <c r="AV37" s="154">
        <f t="shared" si="129"/>
        <v>0</v>
      </c>
      <c r="AW37" s="154">
        <f t="shared" si="242"/>
        <v>0</v>
      </c>
      <c r="AX37" s="154">
        <f t="shared" si="131"/>
        <v>0</v>
      </c>
      <c r="AY37" s="154">
        <f t="shared" si="243"/>
        <v>0</v>
      </c>
      <c r="AZ37" s="154">
        <f t="shared" si="133"/>
        <v>0</v>
      </c>
      <c r="BA37" s="154">
        <f t="shared" si="244"/>
        <v>0</v>
      </c>
      <c r="BB37" s="157">
        <f t="shared" si="135"/>
        <v>0</v>
      </c>
      <c r="BC37" s="154">
        <f t="shared" si="136"/>
        <v>0</v>
      </c>
      <c r="BD37" s="158">
        <f t="shared" si="137"/>
        <v>0</v>
      </c>
      <c r="BE37" s="156">
        <f t="shared" si="276"/>
        <v>0</v>
      </c>
      <c r="BF37" s="154">
        <f t="shared" si="245"/>
        <v>0</v>
      </c>
      <c r="BG37" s="154">
        <f t="shared" si="140"/>
        <v>0</v>
      </c>
      <c r="BH37" s="154">
        <f t="shared" si="246"/>
        <v>0</v>
      </c>
      <c r="BI37" s="154">
        <f t="shared" si="142"/>
        <v>0</v>
      </c>
      <c r="BJ37" s="154">
        <f t="shared" si="247"/>
        <v>0</v>
      </c>
      <c r="BK37" s="154">
        <f t="shared" si="144"/>
        <v>0</v>
      </c>
      <c r="BL37" s="154">
        <f t="shared" si="248"/>
        <v>0</v>
      </c>
      <c r="BM37" s="154">
        <f t="shared" si="146"/>
        <v>0</v>
      </c>
      <c r="BN37" s="154">
        <f t="shared" si="249"/>
        <v>0</v>
      </c>
      <c r="BO37" s="157">
        <f t="shared" si="148"/>
        <v>0</v>
      </c>
      <c r="BP37" s="154">
        <f t="shared" si="149"/>
        <v>0</v>
      </c>
      <c r="BQ37" s="158">
        <f t="shared" si="150"/>
        <v>0</v>
      </c>
      <c r="BR37" s="156">
        <f t="shared" si="276"/>
        <v>0</v>
      </c>
      <c r="BS37" s="154">
        <f t="shared" si="250"/>
        <v>0</v>
      </c>
      <c r="BT37" s="154">
        <f t="shared" si="153"/>
        <v>0</v>
      </c>
      <c r="BU37" s="154">
        <f t="shared" si="251"/>
        <v>0</v>
      </c>
      <c r="BV37" s="154">
        <f t="shared" si="155"/>
        <v>0</v>
      </c>
      <c r="BW37" s="154">
        <f t="shared" si="252"/>
        <v>0</v>
      </c>
      <c r="BX37" s="154">
        <f t="shared" si="157"/>
        <v>0</v>
      </c>
      <c r="BY37" s="154">
        <f t="shared" si="253"/>
        <v>0</v>
      </c>
      <c r="BZ37" s="154">
        <f t="shared" si="159"/>
        <v>0</v>
      </c>
      <c r="CA37" s="154">
        <f t="shared" si="254"/>
        <v>0</v>
      </c>
      <c r="CB37" s="157">
        <f t="shared" si="161"/>
        <v>0</v>
      </c>
      <c r="CC37" s="154">
        <f t="shared" si="162"/>
        <v>0</v>
      </c>
      <c r="CD37" s="158">
        <f t="shared" si="163"/>
        <v>0</v>
      </c>
      <c r="CE37" s="156">
        <f t="shared" si="276"/>
        <v>0</v>
      </c>
      <c r="CF37" s="154">
        <f t="shared" si="255"/>
        <v>0</v>
      </c>
      <c r="CG37" s="154">
        <f t="shared" si="166"/>
        <v>0</v>
      </c>
      <c r="CH37" s="154">
        <f t="shared" si="256"/>
        <v>0</v>
      </c>
      <c r="CI37" s="154">
        <f t="shared" si="168"/>
        <v>0</v>
      </c>
      <c r="CJ37" s="154">
        <f t="shared" si="257"/>
        <v>0</v>
      </c>
      <c r="CK37" s="154">
        <f t="shared" si="170"/>
        <v>0</v>
      </c>
      <c r="CL37" s="154">
        <f t="shared" si="258"/>
        <v>0</v>
      </c>
      <c r="CM37" s="154">
        <f t="shared" si="172"/>
        <v>0</v>
      </c>
      <c r="CN37" s="154">
        <f t="shared" si="259"/>
        <v>0</v>
      </c>
      <c r="CO37" s="157">
        <f t="shared" si="174"/>
        <v>0</v>
      </c>
      <c r="CP37" s="154">
        <f t="shared" si="175"/>
        <v>0</v>
      </c>
      <c r="CQ37" s="158">
        <f t="shared" si="176"/>
        <v>0</v>
      </c>
      <c r="CR37" s="156">
        <f t="shared" ref="CR37:DR52" si="277">IF(YEAR($F37)=CR$4,$E37,0)</f>
        <v>0</v>
      </c>
      <c r="CS37" s="154">
        <f t="shared" si="261"/>
        <v>0</v>
      </c>
      <c r="CT37" s="154">
        <f t="shared" si="179"/>
        <v>0</v>
      </c>
      <c r="CU37" s="154">
        <f t="shared" si="262"/>
        <v>0</v>
      </c>
      <c r="CV37" s="154">
        <f t="shared" si="181"/>
        <v>0</v>
      </c>
      <c r="CW37" s="154">
        <f t="shared" si="263"/>
        <v>0</v>
      </c>
      <c r="CX37" s="154">
        <f t="shared" si="183"/>
        <v>0</v>
      </c>
      <c r="CY37" s="154">
        <f t="shared" si="264"/>
        <v>0</v>
      </c>
      <c r="CZ37" s="154">
        <f t="shared" si="185"/>
        <v>0</v>
      </c>
      <c r="DA37" s="154">
        <f t="shared" si="265"/>
        <v>0</v>
      </c>
      <c r="DB37" s="157">
        <f t="shared" si="187"/>
        <v>0</v>
      </c>
      <c r="DC37" s="154">
        <f t="shared" si="188"/>
        <v>0</v>
      </c>
      <c r="DD37" s="158">
        <f t="shared" si="189"/>
        <v>0</v>
      </c>
      <c r="DE37" s="156">
        <f t="shared" si="277"/>
        <v>0</v>
      </c>
      <c r="DF37" s="154">
        <f t="shared" si="266"/>
        <v>0</v>
      </c>
      <c r="DG37" s="154">
        <f t="shared" si="192"/>
        <v>0</v>
      </c>
      <c r="DH37" s="154">
        <f t="shared" si="267"/>
        <v>0</v>
      </c>
      <c r="DI37" s="154">
        <f t="shared" si="194"/>
        <v>0</v>
      </c>
      <c r="DJ37" s="154">
        <f t="shared" si="268"/>
        <v>0</v>
      </c>
      <c r="DK37" s="154">
        <f t="shared" si="196"/>
        <v>0</v>
      </c>
      <c r="DL37" s="154">
        <f t="shared" si="269"/>
        <v>0</v>
      </c>
      <c r="DM37" s="154">
        <f t="shared" si="198"/>
        <v>0</v>
      </c>
      <c r="DN37" s="154">
        <f t="shared" si="270"/>
        <v>0</v>
      </c>
      <c r="DO37" s="157">
        <f t="shared" si="200"/>
        <v>0</v>
      </c>
      <c r="DP37" s="154">
        <f t="shared" si="201"/>
        <v>0</v>
      </c>
      <c r="DQ37" s="158">
        <f t="shared" si="202"/>
        <v>0</v>
      </c>
      <c r="DR37" s="156">
        <f t="shared" si="277"/>
        <v>0</v>
      </c>
      <c r="DS37" s="154">
        <f t="shared" si="271"/>
        <v>0</v>
      </c>
      <c r="DT37" s="154">
        <f t="shared" si="205"/>
        <v>0</v>
      </c>
      <c r="DU37" s="154">
        <f t="shared" si="272"/>
        <v>0</v>
      </c>
      <c r="DV37" s="154">
        <f t="shared" si="207"/>
        <v>0</v>
      </c>
      <c r="DW37" s="154">
        <f t="shared" si="273"/>
        <v>0</v>
      </c>
      <c r="DX37" s="154">
        <f t="shared" si="209"/>
        <v>0</v>
      </c>
      <c r="DY37" s="154">
        <f t="shared" si="274"/>
        <v>0</v>
      </c>
      <c r="DZ37" s="154">
        <f t="shared" si="211"/>
        <v>0</v>
      </c>
      <c r="EA37" s="154">
        <f t="shared" si="275"/>
        <v>0</v>
      </c>
      <c r="EB37" s="157">
        <f t="shared" si="213"/>
        <v>0</v>
      </c>
      <c r="EC37" s="154">
        <f t="shared" si="214"/>
        <v>0</v>
      </c>
      <c r="ED37" s="158">
        <f t="shared" si="215"/>
        <v>0</v>
      </c>
    </row>
    <row r="38" spans="1:134" x14ac:dyDescent="0.35">
      <c r="A38" s="183"/>
      <c r="B38" s="173"/>
      <c r="C38" s="173"/>
      <c r="D38" s="175"/>
      <c r="E38" s="176"/>
      <c r="F38" s="177"/>
      <c r="G38" s="178"/>
      <c r="H38" s="179"/>
      <c r="I38" s="180"/>
      <c r="J38" s="181"/>
      <c r="K38" s="152">
        <f t="shared" si="216"/>
        <v>0</v>
      </c>
      <c r="L38" s="153">
        <f t="shared" si="217"/>
        <v>0</v>
      </c>
      <c r="M38" s="154">
        <f t="shared" si="218"/>
        <v>0</v>
      </c>
      <c r="N38" s="154"/>
      <c r="O38" s="154">
        <f t="shared" si="219"/>
        <v>0</v>
      </c>
      <c r="P38" s="155"/>
      <c r="Q38" s="154">
        <f t="shared" si="220"/>
        <v>0</v>
      </c>
      <c r="R38" s="156">
        <f t="shared" si="221"/>
        <v>0</v>
      </c>
      <c r="S38" s="154">
        <f t="shared" si="222"/>
        <v>0</v>
      </c>
      <c r="T38" s="154">
        <f t="shared" si="223"/>
        <v>0</v>
      </c>
      <c r="U38" s="154">
        <f t="shared" si="224"/>
        <v>0</v>
      </c>
      <c r="V38" s="154">
        <f t="shared" si="225"/>
        <v>0</v>
      </c>
      <c r="W38" s="154">
        <f t="shared" si="226"/>
        <v>0</v>
      </c>
      <c r="X38" s="154">
        <f t="shared" si="227"/>
        <v>0</v>
      </c>
      <c r="Y38" s="154">
        <f t="shared" si="228"/>
        <v>0</v>
      </c>
      <c r="Z38" s="154">
        <f t="shared" si="229"/>
        <v>0</v>
      </c>
      <c r="AA38" s="154">
        <f t="shared" si="230"/>
        <v>0</v>
      </c>
      <c r="AB38" s="157">
        <f t="shared" si="231"/>
        <v>0</v>
      </c>
      <c r="AC38" s="154">
        <f t="shared" si="232"/>
        <v>0</v>
      </c>
      <c r="AD38" s="158">
        <f t="shared" si="233"/>
        <v>0</v>
      </c>
      <c r="AE38" s="156">
        <f t="shared" si="276"/>
        <v>0</v>
      </c>
      <c r="AF38" s="154">
        <f t="shared" si="235"/>
        <v>0</v>
      </c>
      <c r="AG38" s="154">
        <f t="shared" si="114"/>
        <v>0</v>
      </c>
      <c r="AH38" s="154">
        <f t="shared" si="236"/>
        <v>0</v>
      </c>
      <c r="AI38" s="154">
        <f t="shared" si="116"/>
        <v>0</v>
      </c>
      <c r="AJ38" s="154">
        <f t="shared" si="237"/>
        <v>0</v>
      </c>
      <c r="AK38" s="154">
        <f t="shared" si="118"/>
        <v>0</v>
      </c>
      <c r="AL38" s="154">
        <f t="shared" si="238"/>
        <v>0</v>
      </c>
      <c r="AM38" s="154">
        <f t="shared" si="120"/>
        <v>0</v>
      </c>
      <c r="AN38" s="154">
        <f t="shared" si="239"/>
        <v>0</v>
      </c>
      <c r="AO38" s="157">
        <f t="shared" si="122"/>
        <v>0</v>
      </c>
      <c r="AP38" s="154">
        <f t="shared" si="123"/>
        <v>0</v>
      </c>
      <c r="AQ38" s="158">
        <f t="shared" si="124"/>
        <v>0</v>
      </c>
      <c r="AR38" s="156">
        <f t="shared" si="276"/>
        <v>0</v>
      </c>
      <c r="AS38" s="154">
        <f t="shared" si="240"/>
        <v>0</v>
      </c>
      <c r="AT38" s="154">
        <f t="shared" si="127"/>
        <v>0</v>
      </c>
      <c r="AU38" s="154">
        <f t="shared" si="241"/>
        <v>0</v>
      </c>
      <c r="AV38" s="154">
        <f t="shared" si="129"/>
        <v>0</v>
      </c>
      <c r="AW38" s="154">
        <f t="shared" si="242"/>
        <v>0</v>
      </c>
      <c r="AX38" s="154">
        <f t="shared" si="131"/>
        <v>0</v>
      </c>
      <c r="AY38" s="154">
        <f t="shared" si="243"/>
        <v>0</v>
      </c>
      <c r="AZ38" s="154">
        <f t="shared" si="133"/>
        <v>0</v>
      </c>
      <c r="BA38" s="154">
        <f t="shared" si="244"/>
        <v>0</v>
      </c>
      <c r="BB38" s="157">
        <f t="shared" si="135"/>
        <v>0</v>
      </c>
      <c r="BC38" s="154">
        <f t="shared" si="136"/>
        <v>0</v>
      </c>
      <c r="BD38" s="158">
        <f t="shared" si="137"/>
        <v>0</v>
      </c>
      <c r="BE38" s="156">
        <f t="shared" si="276"/>
        <v>0</v>
      </c>
      <c r="BF38" s="154">
        <f t="shared" si="245"/>
        <v>0</v>
      </c>
      <c r="BG38" s="154">
        <f t="shared" si="140"/>
        <v>0</v>
      </c>
      <c r="BH38" s="154">
        <f t="shared" si="246"/>
        <v>0</v>
      </c>
      <c r="BI38" s="154">
        <f t="shared" si="142"/>
        <v>0</v>
      </c>
      <c r="BJ38" s="154">
        <f t="shared" si="247"/>
        <v>0</v>
      </c>
      <c r="BK38" s="154">
        <f t="shared" si="144"/>
        <v>0</v>
      </c>
      <c r="BL38" s="154">
        <f t="shared" si="248"/>
        <v>0</v>
      </c>
      <c r="BM38" s="154">
        <f t="shared" si="146"/>
        <v>0</v>
      </c>
      <c r="BN38" s="154">
        <f t="shared" si="249"/>
        <v>0</v>
      </c>
      <c r="BO38" s="157">
        <f t="shared" si="148"/>
        <v>0</v>
      </c>
      <c r="BP38" s="154">
        <f t="shared" si="149"/>
        <v>0</v>
      </c>
      <c r="BQ38" s="158">
        <f t="shared" si="150"/>
        <v>0</v>
      </c>
      <c r="BR38" s="156">
        <f t="shared" si="276"/>
        <v>0</v>
      </c>
      <c r="BS38" s="154">
        <f t="shared" si="250"/>
        <v>0</v>
      </c>
      <c r="BT38" s="154">
        <f t="shared" si="153"/>
        <v>0</v>
      </c>
      <c r="BU38" s="154">
        <f t="shared" si="251"/>
        <v>0</v>
      </c>
      <c r="BV38" s="154">
        <f t="shared" si="155"/>
        <v>0</v>
      </c>
      <c r="BW38" s="154">
        <f t="shared" si="252"/>
        <v>0</v>
      </c>
      <c r="BX38" s="154">
        <f t="shared" si="157"/>
        <v>0</v>
      </c>
      <c r="BY38" s="154">
        <f t="shared" si="253"/>
        <v>0</v>
      </c>
      <c r="BZ38" s="154">
        <f t="shared" si="159"/>
        <v>0</v>
      </c>
      <c r="CA38" s="154">
        <f t="shared" si="254"/>
        <v>0</v>
      </c>
      <c r="CB38" s="157">
        <f t="shared" si="161"/>
        <v>0</v>
      </c>
      <c r="CC38" s="154">
        <f t="shared" si="162"/>
        <v>0</v>
      </c>
      <c r="CD38" s="158">
        <f t="shared" si="163"/>
        <v>0</v>
      </c>
      <c r="CE38" s="156">
        <f t="shared" si="276"/>
        <v>0</v>
      </c>
      <c r="CF38" s="154">
        <f t="shared" si="255"/>
        <v>0</v>
      </c>
      <c r="CG38" s="154">
        <f t="shared" si="166"/>
        <v>0</v>
      </c>
      <c r="CH38" s="154">
        <f t="shared" si="256"/>
        <v>0</v>
      </c>
      <c r="CI38" s="154">
        <f t="shared" si="168"/>
        <v>0</v>
      </c>
      <c r="CJ38" s="154">
        <f t="shared" si="257"/>
        <v>0</v>
      </c>
      <c r="CK38" s="154">
        <f t="shared" si="170"/>
        <v>0</v>
      </c>
      <c r="CL38" s="154">
        <f t="shared" si="258"/>
        <v>0</v>
      </c>
      <c r="CM38" s="154">
        <f t="shared" si="172"/>
        <v>0</v>
      </c>
      <c r="CN38" s="154">
        <f t="shared" si="259"/>
        <v>0</v>
      </c>
      <c r="CO38" s="157">
        <f t="shared" si="174"/>
        <v>0</v>
      </c>
      <c r="CP38" s="154">
        <f t="shared" si="175"/>
        <v>0</v>
      </c>
      <c r="CQ38" s="158">
        <f t="shared" si="176"/>
        <v>0</v>
      </c>
      <c r="CR38" s="156">
        <f t="shared" si="277"/>
        <v>0</v>
      </c>
      <c r="CS38" s="154">
        <f t="shared" si="261"/>
        <v>0</v>
      </c>
      <c r="CT38" s="154">
        <f t="shared" si="179"/>
        <v>0</v>
      </c>
      <c r="CU38" s="154">
        <f t="shared" si="262"/>
        <v>0</v>
      </c>
      <c r="CV38" s="154">
        <f t="shared" si="181"/>
        <v>0</v>
      </c>
      <c r="CW38" s="154">
        <f t="shared" si="263"/>
        <v>0</v>
      </c>
      <c r="CX38" s="154">
        <f t="shared" si="183"/>
        <v>0</v>
      </c>
      <c r="CY38" s="154">
        <f t="shared" si="264"/>
        <v>0</v>
      </c>
      <c r="CZ38" s="154">
        <f t="shared" si="185"/>
        <v>0</v>
      </c>
      <c r="DA38" s="154">
        <f t="shared" si="265"/>
        <v>0</v>
      </c>
      <c r="DB38" s="157">
        <f t="shared" si="187"/>
        <v>0</v>
      </c>
      <c r="DC38" s="154">
        <f t="shared" si="188"/>
        <v>0</v>
      </c>
      <c r="DD38" s="158">
        <f t="shared" si="189"/>
        <v>0</v>
      </c>
      <c r="DE38" s="156">
        <f t="shared" si="277"/>
        <v>0</v>
      </c>
      <c r="DF38" s="154">
        <f t="shared" si="266"/>
        <v>0</v>
      </c>
      <c r="DG38" s="154">
        <f t="shared" si="192"/>
        <v>0</v>
      </c>
      <c r="DH38" s="154">
        <f t="shared" si="267"/>
        <v>0</v>
      </c>
      <c r="DI38" s="154">
        <f t="shared" si="194"/>
        <v>0</v>
      </c>
      <c r="DJ38" s="154">
        <f t="shared" si="268"/>
        <v>0</v>
      </c>
      <c r="DK38" s="154">
        <f t="shared" si="196"/>
        <v>0</v>
      </c>
      <c r="DL38" s="154">
        <f t="shared" si="269"/>
        <v>0</v>
      </c>
      <c r="DM38" s="154">
        <f t="shared" si="198"/>
        <v>0</v>
      </c>
      <c r="DN38" s="154">
        <f t="shared" si="270"/>
        <v>0</v>
      </c>
      <c r="DO38" s="157">
        <f t="shared" si="200"/>
        <v>0</v>
      </c>
      <c r="DP38" s="154">
        <f t="shared" si="201"/>
        <v>0</v>
      </c>
      <c r="DQ38" s="158">
        <f t="shared" si="202"/>
        <v>0</v>
      </c>
      <c r="DR38" s="156">
        <f t="shared" si="277"/>
        <v>0</v>
      </c>
      <c r="DS38" s="154">
        <f t="shared" si="271"/>
        <v>0</v>
      </c>
      <c r="DT38" s="154">
        <f t="shared" si="205"/>
        <v>0</v>
      </c>
      <c r="DU38" s="154">
        <f t="shared" si="272"/>
        <v>0</v>
      </c>
      <c r="DV38" s="154">
        <f t="shared" si="207"/>
        <v>0</v>
      </c>
      <c r="DW38" s="154">
        <f t="shared" si="273"/>
        <v>0</v>
      </c>
      <c r="DX38" s="154">
        <f t="shared" si="209"/>
        <v>0</v>
      </c>
      <c r="DY38" s="154">
        <f t="shared" si="274"/>
        <v>0</v>
      </c>
      <c r="DZ38" s="154">
        <f t="shared" si="211"/>
        <v>0</v>
      </c>
      <c r="EA38" s="154">
        <f t="shared" si="275"/>
        <v>0</v>
      </c>
      <c r="EB38" s="157">
        <f t="shared" si="213"/>
        <v>0</v>
      </c>
      <c r="EC38" s="154">
        <f t="shared" si="214"/>
        <v>0</v>
      </c>
      <c r="ED38" s="158">
        <f t="shared" si="215"/>
        <v>0</v>
      </c>
    </row>
    <row r="39" spans="1:134" x14ac:dyDescent="0.35">
      <c r="A39" s="183"/>
      <c r="B39" s="504"/>
      <c r="C39" s="504"/>
      <c r="D39" s="175"/>
      <c r="E39" s="176"/>
      <c r="F39" s="177"/>
      <c r="G39" s="178"/>
      <c r="H39" s="179"/>
      <c r="I39" s="180"/>
      <c r="J39" s="181"/>
      <c r="K39" s="152">
        <f t="shared" si="216"/>
        <v>0</v>
      </c>
      <c r="L39" s="153">
        <f t="shared" si="217"/>
        <v>0</v>
      </c>
      <c r="M39" s="154">
        <f t="shared" si="218"/>
        <v>0</v>
      </c>
      <c r="N39" s="154"/>
      <c r="O39" s="154">
        <f t="shared" si="219"/>
        <v>0</v>
      </c>
      <c r="P39" s="155"/>
      <c r="Q39" s="154">
        <f t="shared" si="220"/>
        <v>0</v>
      </c>
      <c r="R39" s="156">
        <f t="shared" si="221"/>
        <v>0</v>
      </c>
      <c r="S39" s="154">
        <f t="shared" si="222"/>
        <v>0</v>
      </c>
      <c r="T39" s="154">
        <f t="shared" si="223"/>
        <v>0</v>
      </c>
      <c r="U39" s="154">
        <f t="shared" si="224"/>
        <v>0</v>
      </c>
      <c r="V39" s="154">
        <f t="shared" si="225"/>
        <v>0</v>
      </c>
      <c r="W39" s="154">
        <f t="shared" si="226"/>
        <v>0</v>
      </c>
      <c r="X39" s="154">
        <f t="shared" si="227"/>
        <v>0</v>
      </c>
      <c r="Y39" s="154">
        <f t="shared" si="228"/>
        <v>0</v>
      </c>
      <c r="Z39" s="154">
        <f t="shared" si="229"/>
        <v>0</v>
      </c>
      <c r="AA39" s="154">
        <f t="shared" si="230"/>
        <v>0</v>
      </c>
      <c r="AB39" s="157">
        <f t="shared" si="231"/>
        <v>0</v>
      </c>
      <c r="AC39" s="154">
        <f t="shared" si="232"/>
        <v>0</v>
      </c>
      <c r="AD39" s="158">
        <f t="shared" si="233"/>
        <v>0</v>
      </c>
      <c r="AE39" s="156">
        <f t="shared" si="276"/>
        <v>0</v>
      </c>
      <c r="AF39" s="154">
        <f t="shared" si="235"/>
        <v>0</v>
      </c>
      <c r="AG39" s="154">
        <f t="shared" si="114"/>
        <v>0</v>
      </c>
      <c r="AH39" s="154">
        <f t="shared" si="236"/>
        <v>0</v>
      </c>
      <c r="AI39" s="154">
        <f t="shared" si="116"/>
        <v>0</v>
      </c>
      <c r="AJ39" s="154">
        <f t="shared" si="237"/>
        <v>0</v>
      </c>
      <c r="AK39" s="154">
        <f t="shared" si="118"/>
        <v>0</v>
      </c>
      <c r="AL39" s="154">
        <f t="shared" si="238"/>
        <v>0</v>
      </c>
      <c r="AM39" s="154">
        <f t="shared" si="120"/>
        <v>0</v>
      </c>
      <c r="AN39" s="154">
        <f t="shared" si="239"/>
        <v>0</v>
      </c>
      <c r="AO39" s="157">
        <f t="shared" si="122"/>
        <v>0</v>
      </c>
      <c r="AP39" s="154">
        <f t="shared" si="123"/>
        <v>0</v>
      </c>
      <c r="AQ39" s="158">
        <f t="shared" si="124"/>
        <v>0</v>
      </c>
      <c r="AR39" s="156">
        <f t="shared" si="276"/>
        <v>0</v>
      </c>
      <c r="AS39" s="154">
        <f t="shared" si="240"/>
        <v>0</v>
      </c>
      <c r="AT39" s="154">
        <f t="shared" si="127"/>
        <v>0</v>
      </c>
      <c r="AU39" s="154">
        <f t="shared" si="241"/>
        <v>0</v>
      </c>
      <c r="AV39" s="154">
        <f t="shared" si="129"/>
        <v>0</v>
      </c>
      <c r="AW39" s="154">
        <f t="shared" si="242"/>
        <v>0</v>
      </c>
      <c r="AX39" s="154">
        <f t="shared" si="131"/>
        <v>0</v>
      </c>
      <c r="AY39" s="154">
        <f t="shared" si="243"/>
        <v>0</v>
      </c>
      <c r="AZ39" s="154">
        <f t="shared" si="133"/>
        <v>0</v>
      </c>
      <c r="BA39" s="154">
        <f t="shared" si="244"/>
        <v>0</v>
      </c>
      <c r="BB39" s="157">
        <f t="shared" si="135"/>
        <v>0</v>
      </c>
      <c r="BC39" s="154">
        <f t="shared" si="136"/>
        <v>0</v>
      </c>
      <c r="BD39" s="158">
        <f t="shared" si="137"/>
        <v>0</v>
      </c>
      <c r="BE39" s="156">
        <f t="shared" si="276"/>
        <v>0</v>
      </c>
      <c r="BF39" s="154">
        <f t="shared" si="245"/>
        <v>0</v>
      </c>
      <c r="BG39" s="154">
        <f t="shared" si="140"/>
        <v>0</v>
      </c>
      <c r="BH39" s="154">
        <f t="shared" si="246"/>
        <v>0</v>
      </c>
      <c r="BI39" s="154">
        <f t="shared" si="142"/>
        <v>0</v>
      </c>
      <c r="BJ39" s="154">
        <f t="shared" si="247"/>
        <v>0</v>
      </c>
      <c r="BK39" s="154">
        <f t="shared" si="144"/>
        <v>0</v>
      </c>
      <c r="BL39" s="154">
        <f t="shared" si="248"/>
        <v>0</v>
      </c>
      <c r="BM39" s="154">
        <f t="shared" si="146"/>
        <v>0</v>
      </c>
      <c r="BN39" s="154">
        <f t="shared" si="249"/>
        <v>0</v>
      </c>
      <c r="BO39" s="157">
        <f t="shared" si="148"/>
        <v>0</v>
      </c>
      <c r="BP39" s="154">
        <f t="shared" si="149"/>
        <v>0</v>
      </c>
      <c r="BQ39" s="158">
        <f t="shared" si="150"/>
        <v>0</v>
      </c>
      <c r="BR39" s="156">
        <f t="shared" si="276"/>
        <v>0</v>
      </c>
      <c r="BS39" s="154">
        <f t="shared" si="250"/>
        <v>0</v>
      </c>
      <c r="BT39" s="154">
        <f t="shared" si="153"/>
        <v>0</v>
      </c>
      <c r="BU39" s="154">
        <f t="shared" si="251"/>
        <v>0</v>
      </c>
      <c r="BV39" s="154">
        <f t="shared" si="155"/>
        <v>0</v>
      </c>
      <c r="BW39" s="154">
        <f t="shared" si="252"/>
        <v>0</v>
      </c>
      <c r="BX39" s="154">
        <f t="shared" si="157"/>
        <v>0</v>
      </c>
      <c r="BY39" s="154">
        <f t="shared" si="253"/>
        <v>0</v>
      </c>
      <c r="BZ39" s="154">
        <f t="shared" si="159"/>
        <v>0</v>
      </c>
      <c r="CA39" s="154">
        <f t="shared" si="254"/>
        <v>0</v>
      </c>
      <c r="CB39" s="157">
        <f t="shared" si="161"/>
        <v>0</v>
      </c>
      <c r="CC39" s="154">
        <f t="shared" si="162"/>
        <v>0</v>
      </c>
      <c r="CD39" s="158">
        <f t="shared" si="163"/>
        <v>0</v>
      </c>
      <c r="CE39" s="156">
        <f t="shared" si="276"/>
        <v>0</v>
      </c>
      <c r="CF39" s="154">
        <f t="shared" si="255"/>
        <v>0</v>
      </c>
      <c r="CG39" s="154">
        <f t="shared" si="166"/>
        <v>0</v>
      </c>
      <c r="CH39" s="154">
        <f t="shared" si="256"/>
        <v>0</v>
      </c>
      <c r="CI39" s="154">
        <f t="shared" si="168"/>
        <v>0</v>
      </c>
      <c r="CJ39" s="154">
        <f t="shared" si="257"/>
        <v>0</v>
      </c>
      <c r="CK39" s="154">
        <f t="shared" si="170"/>
        <v>0</v>
      </c>
      <c r="CL39" s="154">
        <f t="shared" si="258"/>
        <v>0</v>
      </c>
      <c r="CM39" s="154">
        <f t="shared" si="172"/>
        <v>0</v>
      </c>
      <c r="CN39" s="154">
        <f t="shared" si="259"/>
        <v>0</v>
      </c>
      <c r="CO39" s="157">
        <f t="shared" si="174"/>
        <v>0</v>
      </c>
      <c r="CP39" s="154">
        <f t="shared" si="175"/>
        <v>0</v>
      </c>
      <c r="CQ39" s="158">
        <f t="shared" si="176"/>
        <v>0</v>
      </c>
      <c r="CR39" s="156">
        <f t="shared" si="277"/>
        <v>0</v>
      </c>
      <c r="CS39" s="154">
        <f t="shared" si="261"/>
        <v>0</v>
      </c>
      <c r="CT39" s="154">
        <f t="shared" si="179"/>
        <v>0</v>
      </c>
      <c r="CU39" s="154">
        <f t="shared" si="262"/>
        <v>0</v>
      </c>
      <c r="CV39" s="154">
        <f t="shared" si="181"/>
        <v>0</v>
      </c>
      <c r="CW39" s="154">
        <f t="shared" si="263"/>
        <v>0</v>
      </c>
      <c r="CX39" s="154">
        <f t="shared" si="183"/>
        <v>0</v>
      </c>
      <c r="CY39" s="154">
        <f t="shared" si="264"/>
        <v>0</v>
      </c>
      <c r="CZ39" s="154">
        <f t="shared" si="185"/>
        <v>0</v>
      </c>
      <c r="DA39" s="154">
        <f t="shared" si="265"/>
        <v>0</v>
      </c>
      <c r="DB39" s="157">
        <f t="shared" si="187"/>
        <v>0</v>
      </c>
      <c r="DC39" s="154">
        <f t="shared" si="188"/>
        <v>0</v>
      </c>
      <c r="DD39" s="158">
        <f t="shared" si="189"/>
        <v>0</v>
      </c>
      <c r="DE39" s="156">
        <f t="shared" si="277"/>
        <v>0</v>
      </c>
      <c r="DF39" s="154">
        <f t="shared" si="266"/>
        <v>0</v>
      </c>
      <c r="DG39" s="154">
        <f t="shared" si="192"/>
        <v>0</v>
      </c>
      <c r="DH39" s="154">
        <f t="shared" si="267"/>
        <v>0</v>
      </c>
      <c r="DI39" s="154">
        <f t="shared" si="194"/>
        <v>0</v>
      </c>
      <c r="DJ39" s="154">
        <f t="shared" si="268"/>
        <v>0</v>
      </c>
      <c r="DK39" s="154">
        <f t="shared" si="196"/>
        <v>0</v>
      </c>
      <c r="DL39" s="154">
        <f t="shared" si="269"/>
        <v>0</v>
      </c>
      <c r="DM39" s="154">
        <f t="shared" si="198"/>
        <v>0</v>
      </c>
      <c r="DN39" s="154">
        <f t="shared" si="270"/>
        <v>0</v>
      </c>
      <c r="DO39" s="157">
        <f t="shared" si="200"/>
        <v>0</v>
      </c>
      <c r="DP39" s="154">
        <f t="shared" si="201"/>
        <v>0</v>
      </c>
      <c r="DQ39" s="158">
        <f t="shared" si="202"/>
        <v>0</v>
      </c>
      <c r="DR39" s="156">
        <f t="shared" si="277"/>
        <v>0</v>
      </c>
      <c r="DS39" s="154">
        <f t="shared" si="271"/>
        <v>0</v>
      </c>
      <c r="DT39" s="154">
        <f t="shared" si="205"/>
        <v>0</v>
      </c>
      <c r="DU39" s="154">
        <f t="shared" si="272"/>
        <v>0</v>
      </c>
      <c r="DV39" s="154">
        <f t="shared" si="207"/>
        <v>0</v>
      </c>
      <c r="DW39" s="154">
        <f t="shared" si="273"/>
        <v>0</v>
      </c>
      <c r="DX39" s="154">
        <f t="shared" si="209"/>
        <v>0</v>
      </c>
      <c r="DY39" s="154">
        <f t="shared" si="274"/>
        <v>0</v>
      </c>
      <c r="DZ39" s="154">
        <f t="shared" si="211"/>
        <v>0</v>
      </c>
      <c r="EA39" s="154">
        <f t="shared" si="275"/>
        <v>0</v>
      </c>
      <c r="EB39" s="157">
        <f t="shared" si="213"/>
        <v>0</v>
      </c>
      <c r="EC39" s="154">
        <f t="shared" si="214"/>
        <v>0</v>
      </c>
      <c r="ED39" s="158">
        <f t="shared" si="215"/>
        <v>0</v>
      </c>
    </row>
    <row r="40" spans="1:134" x14ac:dyDescent="0.35">
      <c r="A40" s="183"/>
      <c r="B40" s="183"/>
      <c r="C40" s="183"/>
      <c r="D40" s="175"/>
      <c r="E40" s="176"/>
      <c r="F40" s="177"/>
      <c r="G40" s="178"/>
      <c r="H40" s="179"/>
      <c r="I40" s="180"/>
      <c r="J40" s="181"/>
      <c r="K40" s="152">
        <f t="shared" si="216"/>
        <v>0</v>
      </c>
      <c r="L40" s="153">
        <f t="shared" si="217"/>
        <v>0</v>
      </c>
      <c r="M40" s="154">
        <f t="shared" si="218"/>
        <v>0</v>
      </c>
      <c r="N40" s="154"/>
      <c r="O40" s="154">
        <f t="shared" si="219"/>
        <v>0</v>
      </c>
      <c r="P40" s="155"/>
      <c r="Q40" s="154">
        <f t="shared" si="220"/>
        <v>0</v>
      </c>
      <c r="R40" s="156">
        <f t="shared" si="221"/>
        <v>0</v>
      </c>
      <c r="S40" s="154">
        <f t="shared" si="222"/>
        <v>0</v>
      </c>
      <c r="T40" s="154">
        <f t="shared" si="223"/>
        <v>0</v>
      </c>
      <c r="U40" s="154">
        <f t="shared" si="224"/>
        <v>0</v>
      </c>
      <c r="V40" s="154">
        <f t="shared" si="225"/>
        <v>0</v>
      </c>
      <c r="W40" s="154">
        <f t="shared" si="226"/>
        <v>0</v>
      </c>
      <c r="X40" s="154">
        <f t="shared" si="227"/>
        <v>0</v>
      </c>
      <c r="Y40" s="154">
        <f t="shared" si="228"/>
        <v>0</v>
      </c>
      <c r="Z40" s="154">
        <f t="shared" si="229"/>
        <v>0</v>
      </c>
      <c r="AA40" s="154">
        <f t="shared" si="230"/>
        <v>0</v>
      </c>
      <c r="AB40" s="157">
        <f t="shared" si="231"/>
        <v>0</v>
      </c>
      <c r="AC40" s="154">
        <f t="shared" si="232"/>
        <v>0</v>
      </c>
      <c r="AD40" s="158">
        <f t="shared" si="233"/>
        <v>0</v>
      </c>
      <c r="AE40" s="156">
        <f t="shared" si="276"/>
        <v>0</v>
      </c>
      <c r="AF40" s="154">
        <f t="shared" si="235"/>
        <v>0</v>
      </c>
      <c r="AG40" s="154">
        <f t="shared" si="114"/>
        <v>0</v>
      </c>
      <c r="AH40" s="154">
        <f t="shared" si="236"/>
        <v>0</v>
      </c>
      <c r="AI40" s="154">
        <f t="shared" si="116"/>
        <v>0</v>
      </c>
      <c r="AJ40" s="154">
        <f t="shared" si="237"/>
        <v>0</v>
      </c>
      <c r="AK40" s="154">
        <f t="shared" si="118"/>
        <v>0</v>
      </c>
      <c r="AL40" s="154">
        <f t="shared" si="238"/>
        <v>0</v>
      </c>
      <c r="AM40" s="154">
        <f t="shared" si="120"/>
        <v>0</v>
      </c>
      <c r="AN40" s="154">
        <f t="shared" si="239"/>
        <v>0</v>
      </c>
      <c r="AO40" s="157">
        <f t="shared" si="122"/>
        <v>0</v>
      </c>
      <c r="AP40" s="154">
        <f t="shared" si="123"/>
        <v>0</v>
      </c>
      <c r="AQ40" s="158">
        <f t="shared" si="124"/>
        <v>0</v>
      </c>
      <c r="AR40" s="156">
        <f t="shared" si="276"/>
        <v>0</v>
      </c>
      <c r="AS40" s="154">
        <f t="shared" si="240"/>
        <v>0</v>
      </c>
      <c r="AT40" s="154">
        <f t="shared" si="127"/>
        <v>0</v>
      </c>
      <c r="AU40" s="154">
        <f t="shared" si="241"/>
        <v>0</v>
      </c>
      <c r="AV40" s="154">
        <f t="shared" si="129"/>
        <v>0</v>
      </c>
      <c r="AW40" s="154">
        <f t="shared" si="242"/>
        <v>0</v>
      </c>
      <c r="AX40" s="154">
        <f t="shared" si="131"/>
        <v>0</v>
      </c>
      <c r="AY40" s="154">
        <f t="shared" si="243"/>
        <v>0</v>
      </c>
      <c r="AZ40" s="154">
        <f t="shared" si="133"/>
        <v>0</v>
      </c>
      <c r="BA40" s="154">
        <f t="shared" si="244"/>
        <v>0</v>
      </c>
      <c r="BB40" s="157">
        <f t="shared" si="135"/>
        <v>0</v>
      </c>
      <c r="BC40" s="154">
        <f t="shared" si="136"/>
        <v>0</v>
      </c>
      <c r="BD40" s="158">
        <f t="shared" si="137"/>
        <v>0</v>
      </c>
      <c r="BE40" s="156">
        <f t="shared" si="276"/>
        <v>0</v>
      </c>
      <c r="BF40" s="154">
        <f t="shared" si="245"/>
        <v>0</v>
      </c>
      <c r="BG40" s="154">
        <f t="shared" si="140"/>
        <v>0</v>
      </c>
      <c r="BH40" s="154">
        <f t="shared" si="246"/>
        <v>0</v>
      </c>
      <c r="BI40" s="154">
        <f t="shared" si="142"/>
        <v>0</v>
      </c>
      <c r="BJ40" s="154">
        <f t="shared" si="247"/>
        <v>0</v>
      </c>
      <c r="BK40" s="154">
        <f t="shared" si="144"/>
        <v>0</v>
      </c>
      <c r="BL40" s="154">
        <f t="shared" si="248"/>
        <v>0</v>
      </c>
      <c r="BM40" s="154">
        <f t="shared" si="146"/>
        <v>0</v>
      </c>
      <c r="BN40" s="154">
        <f t="shared" si="249"/>
        <v>0</v>
      </c>
      <c r="BO40" s="157">
        <f t="shared" si="148"/>
        <v>0</v>
      </c>
      <c r="BP40" s="154">
        <f t="shared" si="149"/>
        <v>0</v>
      </c>
      <c r="BQ40" s="158">
        <f t="shared" si="150"/>
        <v>0</v>
      </c>
      <c r="BR40" s="156">
        <f t="shared" si="276"/>
        <v>0</v>
      </c>
      <c r="BS40" s="154">
        <f t="shared" si="250"/>
        <v>0</v>
      </c>
      <c r="BT40" s="154">
        <f t="shared" si="153"/>
        <v>0</v>
      </c>
      <c r="BU40" s="154">
        <f t="shared" si="251"/>
        <v>0</v>
      </c>
      <c r="BV40" s="154">
        <f t="shared" si="155"/>
        <v>0</v>
      </c>
      <c r="BW40" s="154">
        <f t="shared" si="252"/>
        <v>0</v>
      </c>
      <c r="BX40" s="154">
        <f t="shared" si="157"/>
        <v>0</v>
      </c>
      <c r="BY40" s="154">
        <f t="shared" si="253"/>
        <v>0</v>
      </c>
      <c r="BZ40" s="154">
        <f t="shared" si="159"/>
        <v>0</v>
      </c>
      <c r="CA40" s="154">
        <f t="shared" si="254"/>
        <v>0</v>
      </c>
      <c r="CB40" s="157">
        <f t="shared" si="161"/>
        <v>0</v>
      </c>
      <c r="CC40" s="154">
        <f t="shared" si="162"/>
        <v>0</v>
      </c>
      <c r="CD40" s="158">
        <f t="shared" si="163"/>
        <v>0</v>
      </c>
      <c r="CE40" s="156">
        <f t="shared" si="276"/>
        <v>0</v>
      </c>
      <c r="CF40" s="154">
        <f t="shared" si="255"/>
        <v>0</v>
      </c>
      <c r="CG40" s="154">
        <f t="shared" si="166"/>
        <v>0</v>
      </c>
      <c r="CH40" s="154">
        <f t="shared" si="256"/>
        <v>0</v>
      </c>
      <c r="CI40" s="154">
        <f t="shared" si="168"/>
        <v>0</v>
      </c>
      <c r="CJ40" s="154">
        <f t="shared" si="257"/>
        <v>0</v>
      </c>
      <c r="CK40" s="154">
        <f t="shared" si="170"/>
        <v>0</v>
      </c>
      <c r="CL40" s="154">
        <f t="shared" si="258"/>
        <v>0</v>
      </c>
      <c r="CM40" s="154">
        <f t="shared" si="172"/>
        <v>0</v>
      </c>
      <c r="CN40" s="154">
        <f t="shared" si="259"/>
        <v>0</v>
      </c>
      <c r="CO40" s="157">
        <f t="shared" si="174"/>
        <v>0</v>
      </c>
      <c r="CP40" s="154">
        <f t="shared" si="175"/>
        <v>0</v>
      </c>
      <c r="CQ40" s="158">
        <f t="shared" si="176"/>
        <v>0</v>
      </c>
      <c r="CR40" s="156">
        <f t="shared" si="277"/>
        <v>0</v>
      </c>
      <c r="CS40" s="154">
        <f t="shared" si="261"/>
        <v>0</v>
      </c>
      <c r="CT40" s="154">
        <f t="shared" si="179"/>
        <v>0</v>
      </c>
      <c r="CU40" s="154">
        <f t="shared" si="262"/>
        <v>0</v>
      </c>
      <c r="CV40" s="154">
        <f t="shared" si="181"/>
        <v>0</v>
      </c>
      <c r="CW40" s="154">
        <f t="shared" si="263"/>
        <v>0</v>
      </c>
      <c r="CX40" s="154">
        <f t="shared" si="183"/>
        <v>0</v>
      </c>
      <c r="CY40" s="154">
        <f t="shared" si="264"/>
        <v>0</v>
      </c>
      <c r="CZ40" s="154">
        <f t="shared" si="185"/>
        <v>0</v>
      </c>
      <c r="DA40" s="154">
        <f t="shared" si="265"/>
        <v>0</v>
      </c>
      <c r="DB40" s="157">
        <f t="shared" si="187"/>
        <v>0</v>
      </c>
      <c r="DC40" s="154">
        <f t="shared" si="188"/>
        <v>0</v>
      </c>
      <c r="DD40" s="158">
        <f t="shared" si="189"/>
        <v>0</v>
      </c>
      <c r="DE40" s="156">
        <f t="shared" si="277"/>
        <v>0</v>
      </c>
      <c r="DF40" s="154">
        <f t="shared" si="266"/>
        <v>0</v>
      </c>
      <c r="DG40" s="154">
        <f t="shared" si="192"/>
        <v>0</v>
      </c>
      <c r="DH40" s="154">
        <f t="shared" si="267"/>
        <v>0</v>
      </c>
      <c r="DI40" s="154">
        <f t="shared" si="194"/>
        <v>0</v>
      </c>
      <c r="DJ40" s="154">
        <f t="shared" si="268"/>
        <v>0</v>
      </c>
      <c r="DK40" s="154">
        <f t="shared" si="196"/>
        <v>0</v>
      </c>
      <c r="DL40" s="154">
        <f t="shared" si="269"/>
        <v>0</v>
      </c>
      <c r="DM40" s="154">
        <f t="shared" si="198"/>
        <v>0</v>
      </c>
      <c r="DN40" s="154">
        <f t="shared" si="270"/>
        <v>0</v>
      </c>
      <c r="DO40" s="157">
        <f t="shared" si="200"/>
        <v>0</v>
      </c>
      <c r="DP40" s="154">
        <f t="shared" si="201"/>
        <v>0</v>
      </c>
      <c r="DQ40" s="158">
        <f t="shared" si="202"/>
        <v>0</v>
      </c>
      <c r="DR40" s="156">
        <f t="shared" si="277"/>
        <v>0</v>
      </c>
      <c r="DS40" s="154">
        <f t="shared" si="271"/>
        <v>0</v>
      </c>
      <c r="DT40" s="154">
        <f t="shared" si="205"/>
        <v>0</v>
      </c>
      <c r="DU40" s="154">
        <f t="shared" si="272"/>
        <v>0</v>
      </c>
      <c r="DV40" s="154">
        <f t="shared" si="207"/>
        <v>0</v>
      </c>
      <c r="DW40" s="154">
        <f t="shared" si="273"/>
        <v>0</v>
      </c>
      <c r="DX40" s="154">
        <f t="shared" si="209"/>
        <v>0</v>
      </c>
      <c r="DY40" s="154">
        <f t="shared" si="274"/>
        <v>0</v>
      </c>
      <c r="DZ40" s="154">
        <f t="shared" si="211"/>
        <v>0</v>
      </c>
      <c r="EA40" s="154">
        <f t="shared" si="275"/>
        <v>0</v>
      </c>
      <c r="EB40" s="157">
        <f t="shared" si="213"/>
        <v>0</v>
      </c>
      <c r="EC40" s="154">
        <f t="shared" si="214"/>
        <v>0</v>
      </c>
      <c r="ED40" s="158">
        <f t="shared" si="215"/>
        <v>0</v>
      </c>
    </row>
    <row r="41" spans="1:134" x14ac:dyDescent="0.35">
      <c r="A41" s="183"/>
      <c r="B41" s="183"/>
      <c r="C41" s="183"/>
      <c r="D41" s="175"/>
      <c r="E41" s="176"/>
      <c r="F41" s="177"/>
      <c r="G41" s="178"/>
      <c r="H41" s="179"/>
      <c r="I41" s="180"/>
      <c r="J41" s="181"/>
      <c r="K41" s="152">
        <f t="shared" si="216"/>
        <v>0</v>
      </c>
      <c r="L41" s="153">
        <f t="shared" si="217"/>
        <v>0</v>
      </c>
      <c r="M41" s="154">
        <f t="shared" si="218"/>
        <v>0</v>
      </c>
      <c r="N41" s="154"/>
      <c r="O41" s="154">
        <f t="shared" si="219"/>
        <v>0</v>
      </c>
      <c r="P41" s="155"/>
      <c r="Q41" s="154">
        <f t="shared" si="220"/>
        <v>0</v>
      </c>
      <c r="R41" s="156">
        <f t="shared" si="221"/>
        <v>0</v>
      </c>
      <c r="S41" s="154">
        <f t="shared" si="222"/>
        <v>0</v>
      </c>
      <c r="T41" s="154">
        <f t="shared" si="223"/>
        <v>0</v>
      </c>
      <c r="U41" s="154">
        <f t="shared" si="224"/>
        <v>0</v>
      </c>
      <c r="V41" s="154">
        <f t="shared" si="225"/>
        <v>0</v>
      </c>
      <c r="W41" s="154">
        <f t="shared" si="226"/>
        <v>0</v>
      </c>
      <c r="X41" s="154">
        <f t="shared" si="227"/>
        <v>0</v>
      </c>
      <c r="Y41" s="154">
        <f t="shared" si="228"/>
        <v>0</v>
      </c>
      <c r="Z41" s="154">
        <f t="shared" si="229"/>
        <v>0</v>
      </c>
      <c r="AA41" s="154">
        <f t="shared" si="230"/>
        <v>0</v>
      </c>
      <c r="AB41" s="157">
        <f t="shared" si="231"/>
        <v>0</v>
      </c>
      <c r="AC41" s="154">
        <f t="shared" si="232"/>
        <v>0</v>
      </c>
      <c r="AD41" s="158">
        <f t="shared" si="233"/>
        <v>0</v>
      </c>
      <c r="AE41" s="156">
        <f t="shared" si="276"/>
        <v>0</v>
      </c>
      <c r="AF41" s="154">
        <f t="shared" si="235"/>
        <v>0</v>
      </c>
      <c r="AG41" s="154">
        <f t="shared" si="114"/>
        <v>0</v>
      </c>
      <c r="AH41" s="154">
        <f t="shared" si="236"/>
        <v>0</v>
      </c>
      <c r="AI41" s="154">
        <f t="shared" si="116"/>
        <v>0</v>
      </c>
      <c r="AJ41" s="154">
        <f t="shared" si="237"/>
        <v>0</v>
      </c>
      <c r="AK41" s="154">
        <f t="shared" si="118"/>
        <v>0</v>
      </c>
      <c r="AL41" s="154">
        <f t="shared" si="238"/>
        <v>0</v>
      </c>
      <c r="AM41" s="154">
        <f t="shared" si="120"/>
        <v>0</v>
      </c>
      <c r="AN41" s="154">
        <f t="shared" si="239"/>
        <v>0</v>
      </c>
      <c r="AO41" s="157">
        <f t="shared" si="122"/>
        <v>0</v>
      </c>
      <c r="AP41" s="154">
        <f t="shared" si="123"/>
        <v>0</v>
      </c>
      <c r="AQ41" s="158">
        <f t="shared" si="124"/>
        <v>0</v>
      </c>
      <c r="AR41" s="156">
        <f t="shared" si="276"/>
        <v>0</v>
      </c>
      <c r="AS41" s="154">
        <f t="shared" si="240"/>
        <v>0</v>
      </c>
      <c r="AT41" s="154">
        <f t="shared" si="127"/>
        <v>0</v>
      </c>
      <c r="AU41" s="154">
        <f t="shared" si="241"/>
        <v>0</v>
      </c>
      <c r="AV41" s="154">
        <f t="shared" si="129"/>
        <v>0</v>
      </c>
      <c r="AW41" s="154">
        <f t="shared" si="242"/>
        <v>0</v>
      </c>
      <c r="AX41" s="154">
        <f t="shared" si="131"/>
        <v>0</v>
      </c>
      <c r="AY41" s="154">
        <f t="shared" si="243"/>
        <v>0</v>
      </c>
      <c r="AZ41" s="154">
        <f t="shared" si="133"/>
        <v>0</v>
      </c>
      <c r="BA41" s="154">
        <f t="shared" si="244"/>
        <v>0</v>
      </c>
      <c r="BB41" s="157">
        <f t="shared" si="135"/>
        <v>0</v>
      </c>
      <c r="BC41" s="154">
        <f t="shared" si="136"/>
        <v>0</v>
      </c>
      <c r="BD41" s="158">
        <f t="shared" si="137"/>
        <v>0</v>
      </c>
      <c r="BE41" s="156">
        <f t="shared" si="276"/>
        <v>0</v>
      </c>
      <c r="BF41" s="154">
        <f t="shared" si="245"/>
        <v>0</v>
      </c>
      <c r="BG41" s="154">
        <f t="shared" si="140"/>
        <v>0</v>
      </c>
      <c r="BH41" s="154">
        <f t="shared" si="246"/>
        <v>0</v>
      </c>
      <c r="BI41" s="154">
        <f t="shared" si="142"/>
        <v>0</v>
      </c>
      <c r="BJ41" s="154">
        <f t="shared" si="247"/>
        <v>0</v>
      </c>
      <c r="BK41" s="154">
        <f t="shared" si="144"/>
        <v>0</v>
      </c>
      <c r="BL41" s="154">
        <f t="shared" si="248"/>
        <v>0</v>
      </c>
      <c r="BM41" s="154">
        <f t="shared" si="146"/>
        <v>0</v>
      </c>
      <c r="BN41" s="154">
        <f t="shared" si="249"/>
        <v>0</v>
      </c>
      <c r="BO41" s="157">
        <f t="shared" si="148"/>
        <v>0</v>
      </c>
      <c r="BP41" s="154">
        <f t="shared" si="149"/>
        <v>0</v>
      </c>
      <c r="BQ41" s="158">
        <f t="shared" si="150"/>
        <v>0</v>
      </c>
      <c r="BR41" s="156">
        <f t="shared" si="276"/>
        <v>0</v>
      </c>
      <c r="BS41" s="154">
        <f t="shared" si="250"/>
        <v>0</v>
      </c>
      <c r="BT41" s="154">
        <f t="shared" si="153"/>
        <v>0</v>
      </c>
      <c r="BU41" s="154">
        <f t="shared" si="251"/>
        <v>0</v>
      </c>
      <c r="BV41" s="154">
        <f t="shared" si="155"/>
        <v>0</v>
      </c>
      <c r="BW41" s="154">
        <f t="shared" si="252"/>
        <v>0</v>
      </c>
      <c r="BX41" s="154">
        <f t="shared" si="157"/>
        <v>0</v>
      </c>
      <c r="BY41" s="154">
        <f t="shared" si="253"/>
        <v>0</v>
      </c>
      <c r="BZ41" s="154">
        <f t="shared" si="159"/>
        <v>0</v>
      </c>
      <c r="CA41" s="154">
        <f t="shared" si="254"/>
        <v>0</v>
      </c>
      <c r="CB41" s="157">
        <f t="shared" si="161"/>
        <v>0</v>
      </c>
      <c r="CC41" s="154">
        <f t="shared" si="162"/>
        <v>0</v>
      </c>
      <c r="CD41" s="158">
        <f t="shared" si="163"/>
        <v>0</v>
      </c>
      <c r="CE41" s="156">
        <f t="shared" si="276"/>
        <v>0</v>
      </c>
      <c r="CF41" s="154">
        <f t="shared" si="255"/>
        <v>0</v>
      </c>
      <c r="CG41" s="154">
        <f t="shared" si="166"/>
        <v>0</v>
      </c>
      <c r="CH41" s="154">
        <f t="shared" si="256"/>
        <v>0</v>
      </c>
      <c r="CI41" s="154">
        <f t="shared" si="168"/>
        <v>0</v>
      </c>
      <c r="CJ41" s="154">
        <f t="shared" si="257"/>
        <v>0</v>
      </c>
      <c r="CK41" s="154">
        <f t="shared" si="170"/>
        <v>0</v>
      </c>
      <c r="CL41" s="154">
        <f t="shared" si="258"/>
        <v>0</v>
      </c>
      <c r="CM41" s="154">
        <f t="shared" si="172"/>
        <v>0</v>
      </c>
      <c r="CN41" s="154">
        <f t="shared" si="259"/>
        <v>0</v>
      </c>
      <c r="CO41" s="157">
        <f t="shared" si="174"/>
        <v>0</v>
      </c>
      <c r="CP41" s="154">
        <f t="shared" si="175"/>
        <v>0</v>
      </c>
      <c r="CQ41" s="158">
        <f t="shared" si="176"/>
        <v>0</v>
      </c>
      <c r="CR41" s="156">
        <f t="shared" si="277"/>
        <v>0</v>
      </c>
      <c r="CS41" s="154">
        <f t="shared" si="261"/>
        <v>0</v>
      </c>
      <c r="CT41" s="154">
        <f t="shared" si="179"/>
        <v>0</v>
      </c>
      <c r="CU41" s="154">
        <f t="shared" si="262"/>
        <v>0</v>
      </c>
      <c r="CV41" s="154">
        <f t="shared" si="181"/>
        <v>0</v>
      </c>
      <c r="CW41" s="154">
        <f t="shared" si="263"/>
        <v>0</v>
      </c>
      <c r="CX41" s="154">
        <f t="shared" si="183"/>
        <v>0</v>
      </c>
      <c r="CY41" s="154">
        <f t="shared" si="264"/>
        <v>0</v>
      </c>
      <c r="CZ41" s="154">
        <f t="shared" si="185"/>
        <v>0</v>
      </c>
      <c r="DA41" s="154">
        <f t="shared" si="265"/>
        <v>0</v>
      </c>
      <c r="DB41" s="157">
        <f t="shared" si="187"/>
        <v>0</v>
      </c>
      <c r="DC41" s="154">
        <f t="shared" si="188"/>
        <v>0</v>
      </c>
      <c r="DD41" s="158">
        <f t="shared" si="189"/>
        <v>0</v>
      </c>
      <c r="DE41" s="156">
        <f t="shared" si="277"/>
        <v>0</v>
      </c>
      <c r="DF41" s="154">
        <f t="shared" si="266"/>
        <v>0</v>
      </c>
      <c r="DG41" s="154">
        <f t="shared" si="192"/>
        <v>0</v>
      </c>
      <c r="DH41" s="154">
        <f t="shared" si="267"/>
        <v>0</v>
      </c>
      <c r="DI41" s="154">
        <f t="shared" si="194"/>
        <v>0</v>
      </c>
      <c r="DJ41" s="154">
        <f t="shared" si="268"/>
        <v>0</v>
      </c>
      <c r="DK41" s="154">
        <f t="shared" si="196"/>
        <v>0</v>
      </c>
      <c r="DL41" s="154">
        <f t="shared" si="269"/>
        <v>0</v>
      </c>
      <c r="DM41" s="154">
        <f t="shared" si="198"/>
        <v>0</v>
      </c>
      <c r="DN41" s="154">
        <f t="shared" si="270"/>
        <v>0</v>
      </c>
      <c r="DO41" s="157">
        <f t="shared" si="200"/>
        <v>0</v>
      </c>
      <c r="DP41" s="154">
        <f t="shared" si="201"/>
        <v>0</v>
      </c>
      <c r="DQ41" s="158">
        <f t="shared" si="202"/>
        <v>0</v>
      </c>
      <c r="DR41" s="156">
        <f t="shared" si="277"/>
        <v>0</v>
      </c>
      <c r="DS41" s="154">
        <f t="shared" si="271"/>
        <v>0</v>
      </c>
      <c r="DT41" s="154">
        <f t="shared" si="205"/>
        <v>0</v>
      </c>
      <c r="DU41" s="154">
        <f t="shared" si="272"/>
        <v>0</v>
      </c>
      <c r="DV41" s="154">
        <f t="shared" si="207"/>
        <v>0</v>
      </c>
      <c r="DW41" s="154">
        <f t="shared" si="273"/>
        <v>0</v>
      </c>
      <c r="DX41" s="154">
        <f t="shared" si="209"/>
        <v>0</v>
      </c>
      <c r="DY41" s="154">
        <f t="shared" si="274"/>
        <v>0</v>
      </c>
      <c r="DZ41" s="154">
        <f t="shared" si="211"/>
        <v>0</v>
      </c>
      <c r="EA41" s="154">
        <f t="shared" si="275"/>
        <v>0</v>
      </c>
      <c r="EB41" s="157">
        <f t="shared" si="213"/>
        <v>0</v>
      </c>
      <c r="EC41" s="154">
        <f t="shared" si="214"/>
        <v>0</v>
      </c>
      <c r="ED41" s="158">
        <f t="shared" si="215"/>
        <v>0</v>
      </c>
    </row>
    <row r="42" spans="1:134" x14ac:dyDescent="0.35">
      <c r="A42" s="183"/>
      <c r="B42" s="183"/>
      <c r="C42" s="183"/>
      <c r="D42" s="175"/>
      <c r="E42" s="176"/>
      <c r="F42" s="177"/>
      <c r="G42" s="178"/>
      <c r="H42" s="179"/>
      <c r="I42" s="180"/>
      <c r="J42" s="181"/>
      <c r="K42" s="152">
        <f t="shared" si="216"/>
        <v>0</v>
      </c>
      <c r="L42" s="153">
        <f t="shared" si="217"/>
        <v>0</v>
      </c>
      <c r="M42" s="154">
        <f t="shared" si="218"/>
        <v>0</v>
      </c>
      <c r="N42" s="154"/>
      <c r="O42" s="154">
        <f t="shared" si="219"/>
        <v>0</v>
      </c>
      <c r="P42" s="155"/>
      <c r="Q42" s="154">
        <f t="shared" si="220"/>
        <v>0</v>
      </c>
      <c r="R42" s="156">
        <f t="shared" si="221"/>
        <v>0</v>
      </c>
      <c r="S42" s="154">
        <f t="shared" si="222"/>
        <v>0</v>
      </c>
      <c r="T42" s="154">
        <f t="shared" si="223"/>
        <v>0</v>
      </c>
      <c r="U42" s="154">
        <f t="shared" si="224"/>
        <v>0</v>
      </c>
      <c r="V42" s="154">
        <f t="shared" si="225"/>
        <v>0</v>
      </c>
      <c r="W42" s="154">
        <f t="shared" si="226"/>
        <v>0</v>
      </c>
      <c r="X42" s="154">
        <f t="shared" si="227"/>
        <v>0</v>
      </c>
      <c r="Y42" s="154">
        <f t="shared" si="228"/>
        <v>0</v>
      </c>
      <c r="Z42" s="154">
        <f t="shared" si="229"/>
        <v>0</v>
      </c>
      <c r="AA42" s="154">
        <f t="shared" si="230"/>
        <v>0</v>
      </c>
      <c r="AB42" s="157">
        <f t="shared" si="231"/>
        <v>0</v>
      </c>
      <c r="AC42" s="154">
        <f t="shared" si="232"/>
        <v>0</v>
      </c>
      <c r="AD42" s="158">
        <f t="shared" si="233"/>
        <v>0</v>
      </c>
      <c r="AE42" s="156">
        <f t="shared" si="276"/>
        <v>0</v>
      </c>
      <c r="AF42" s="154">
        <f t="shared" si="235"/>
        <v>0</v>
      </c>
      <c r="AG42" s="154">
        <f t="shared" si="114"/>
        <v>0</v>
      </c>
      <c r="AH42" s="154">
        <f t="shared" si="236"/>
        <v>0</v>
      </c>
      <c r="AI42" s="154">
        <f t="shared" si="116"/>
        <v>0</v>
      </c>
      <c r="AJ42" s="154">
        <f t="shared" si="237"/>
        <v>0</v>
      </c>
      <c r="AK42" s="154">
        <f t="shared" si="118"/>
        <v>0</v>
      </c>
      <c r="AL42" s="154">
        <f t="shared" si="238"/>
        <v>0</v>
      </c>
      <c r="AM42" s="154">
        <f t="shared" si="120"/>
        <v>0</v>
      </c>
      <c r="AN42" s="154">
        <f t="shared" si="239"/>
        <v>0</v>
      </c>
      <c r="AO42" s="157">
        <f t="shared" si="122"/>
        <v>0</v>
      </c>
      <c r="AP42" s="154">
        <f t="shared" si="123"/>
        <v>0</v>
      </c>
      <c r="AQ42" s="158">
        <f t="shared" si="124"/>
        <v>0</v>
      </c>
      <c r="AR42" s="156">
        <f t="shared" si="276"/>
        <v>0</v>
      </c>
      <c r="AS42" s="154">
        <f t="shared" si="240"/>
        <v>0</v>
      </c>
      <c r="AT42" s="154">
        <f t="shared" si="127"/>
        <v>0</v>
      </c>
      <c r="AU42" s="154">
        <f t="shared" si="241"/>
        <v>0</v>
      </c>
      <c r="AV42" s="154">
        <f t="shared" si="129"/>
        <v>0</v>
      </c>
      <c r="AW42" s="154">
        <f t="shared" si="242"/>
        <v>0</v>
      </c>
      <c r="AX42" s="154">
        <f t="shared" si="131"/>
        <v>0</v>
      </c>
      <c r="AY42" s="154">
        <f t="shared" si="243"/>
        <v>0</v>
      </c>
      <c r="AZ42" s="154">
        <f t="shared" si="133"/>
        <v>0</v>
      </c>
      <c r="BA42" s="154">
        <f t="shared" si="244"/>
        <v>0</v>
      </c>
      <c r="BB42" s="157">
        <f t="shared" si="135"/>
        <v>0</v>
      </c>
      <c r="BC42" s="154">
        <f t="shared" si="136"/>
        <v>0</v>
      </c>
      <c r="BD42" s="158">
        <f t="shared" si="137"/>
        <v>0</v>
      </c>
      <c r="BE42" s="156">
        <f t="shared" si="276"/>
        <v>0</v>
      </c>
      <c r="BF42" s="154">
        <f t="shared" si="245"/>
        <v>0</v>
      </c>
      <c r="BG42" s="154">
        <f t="shared" si="140"/>
        <v>0</v>
      </c>
      <c r="BH42" s="154">
        <f t="shared" si="246"/>
        <v>0</v>
      </c>
      <c r="BI42" s="154">
        <f t="shared" si="142"/>
        <v>0</v>
      </c>
      <c r="BJ42" s="154">
        <f t="shared" si="247"/>
        <v>0</v>
      </c>
      <c r="BK42" s="154">
        <f t="shared" si="144"/>
        <v>0</v>
      </c>
      <c r="BL42" s="154">
        <f t="shared" si="248"/>
        <v>0</v>
      </c>
      <c r="BM42" s="154">
        <f t="shared" si="146"/>
        <v>0</v>
      </c>
      <c r="BN42" s="154">
        <f t="shared" si="249"/>
        <v>0</v>
      </c>
      <c r="BO42" s="157">
        <f t="shared" si="148"/>
        <v>0</v>
      </c>
      <c r="BP42" s="154">
        <f t="shared" si="149"/>
        <v>0</v>
      </c>
      <c r="BQ42" s="158">
        <f t="shared" si="150"/>
        <v>0</v>
      </c>
      <c r="BR42" s="156">
        <f t="shared" si="276"/>
        <v>0</v>
      </c>
      <c r="BS42" s="154">
        <f t="shared" si="250"/>
        <v>0</v>
      </c>
      <c r="BT42" s="154">
        <f t="shared" si="153"/>
        <v>0</v>
      </c>
      <c r="BU42" s="154">
        <f t="shared" si="251"/>
        <v>0</v>
      </c>
      <c r="BV42" s="154">
        <f t="shared" si="155"/>
        <v>0</v>
      </c>
      <c r="BW42" s="154">
        <f t="shared" si="252"/>
        <v>0</v>
      </c>
      <c r="BX42" s="154">
        <f t="shared" si="157"/>
        <v>0</v>
      </c>
      <c r="BY42" s="154">
        <f t="shared" si="253"/>
        <v>0</v>
      </c>
      <c r="BZ42" s="154">
        <f t="shared" si="159"/>
        <v>0</v>
      </c>
      <c r="CA42" s="154">
        <f t="shared" si="254"/>
        <v>0</v>
      </c>
      <c r="CB42" s="157">
        <f t="shared" si="161"/>
        <v>0</v>
      </c>
      <c r="CC42" s="154">
        <f t="shared" si="162"/>
        <v>0</v>
      </c>
      <c r="CD42" s="158">
        <f t="shared" si="163"/>
        <v>0</v>
      </c>
      <c r="CE42" s="156">
        <f t="shared" si="276"/>
        <v>0</v>
      </c>
      <c r="CF42" s="154">
        <f t="shared" si="255"/>
        <v>0</v>
      </c>
      <c r="CG42" s="154">
        <f t="shared" si="166"/>
        <v>0</v>
      </c>
      <c r="CH42" s="154">
        <f t="shared" si="256"/>
        <v>0</v>
      </c>
      <c r="CI42" s="154">
        <f t="shared" si="168"/>
        <v>0</v>
      </c>
      <c r="CJ42" s="154">
        <f t="shared" si="257"/>
        <v>0</v>
      </c>
      <c r="CK42" s="154">
        <f t="shared" si="170"/>
        <v>0</v>
      </c>
      <c r="CL42" s="154">
        <f t="shared" si="258"/>
        <v>0</v>
      </c>
      <c r="CM42" s="154">
        <f t="shared" si="172"/>
        <v>0</v>
      </c>
      <c r="CN42" s="154">
        <f t="shared" si="259"/>
        <v>0</v>
      </c>
      <c r="CO42" s="157">
        <f t="shared" si="174"/>
        <v>0</v>
      </c>
      <c r="CP42" s="154">
        <f t="shared" si="175"/>
        <v>0</v>
      </c>
      <c r="CQ42" s="158">
        <f t="shared" si="176"/>
        <v>0</v>
      </c>
      <c r="CR42" s="156">
        <f t="shared" si="277"/>
        <v>0</v>
      </c>
      <c r="CS42" s="154">
        <f t="shared" si="261"/>
        <v>0</v>
      </c>
      <c r="CT42" s="154">
        <f t="shared" si="179"/>
        <v>0</v>
      </c>
      <c r="CU42" s="154">
        <f t="shared" si="262"/>
        <v>0</v>
      </c>
      <c r="CV42" s="154">
        <f t="shared" si="181"/>
        <v>0</v>
      </c>
      <c r="CW42" s="154">
        <f t="shared" si="263"/>
        <v>0</v>
      </c>
      <c r="CX42" s="154">
        <f t="shared" si="183"/>
        <v>0</v>
      </c>
      <c r="CY42" s="154">
        <f t="shared" si="264"/>
        <v>0</v>
      </c>
      <c r="CZ42" s="154">
        <f t="shared" si="185"/>
        <v>0</v>
      </c>
      <c r="DA42" s="154">
        <f t="shared" si="265"/>
        <v>0</v>
      </c>
      <c r="DB42" s="157">
        <f t="shared" si="187"/>
        <v>0</v>
      </c>
      <c r="DC42" s="154">
        <f t="shared" si="188"/>
        <v>0</v>
      </c>
      <c r="DD42" s="158">
        <f t="shared" si="189"/>
        <v>0</v>
      </c>
      <c r="DE42" s="156">
        <f t="shared" si="277"/>
        <v>0</v>
      </c>
      <c r="DF42" s="154">
        <f t="shared" si="266"/>
        <v>0</v>
      </c>
      <c r="DG42" s="154">
        <f t="shared" si="192"/>
        <v>0</v>
      </c>
      <c r="DH42" s="154">
        <f t="shared" si="267"/>
        <v>0</v>
      </c>
      <c r="DI42" s="154">
        <f t="shared" si="194"/>
        <v>0</v>
      </c>
      <c r="DJ42" s="154">
        <f t="shared" si="268"/>
        <v>0</v>
      </c>
      <c r="DK42" s="154">
        <f t="shared" si="196"/>
        <v>0</v>
      </c>
      <c r="DL42" s="154">
        <f t="shared" si="269"/>
        <v>0</v>
      </c>
      <c r="DM42" s="154">
        <f t="shared" si="198"/>
        <v>0</v>
      </c>
      <c r="DN42" s="154">
        <f t="shared" si="270"/>
        <v>0</v>
      </c>
      <c r="DO42" s="157">
        <f t="shared" si="200"/>
        <v>0</v>
      </c>
      <c r="DP42" s="154">
        <f t="shared" si="201"/>
        <v>0</v>
      </c>
      <c r="DQ42" s="158">
        <f t="shared" si="202"/>
        <v>0</v>
      </c>
      <c r="DR42" s="156">
        <f t="shared" si="277"/>
        <v>0</v>
      </c>
      <c r="DS42" s="154">
        <f t="shared" si="271"/>
        <v>0</v>
      </c>
      <c r="DT42" s="154">
        <f t="shared" si="205"/>
        <v>0</v>
      </c>
      <c r="DU42" s="154">
        <f t="shared" si="272"/>
        <v>0</v>
      </c>
      <c r="DV42" s="154">
        <f t="shared" si="207"/>
        <v>0</v>
      </c>
      <c r="DW42" s="154">
        <f t="shared" si="273"/>
        <v>0</v>
      </c>
      <c r="DX42" s="154">
        <f t="shared" si="209"/>
        <v>0</v>
      </c>
      <c r="DY42" s="154">
        <f t="shared" si="274"/>
        <v>0</v>
      </c>
      <c r="DZ42" s="154">
        <f t="shared" si="211"/>
        <v>0</v>
      </c>
      <c r="EA42" s="154">
        <f t="shared" si="275"/>
        <v>0</v>
      </c>
      <c r="EB42" s="157">
        <f t="shared" si="213"/>
        <v>0</v>
      </c>
      <c r="EC42" s="154">
        <f t="shared" si="214"/>
        <v>0</v>
      </c>
      <c r="ED42" s="158">
        <f t="shared" si="215"/>
        <v>0</v>
      </c>
    </row>
    <row r="43" spans="1:134" x14ac:dyDescent="0.35">
      <c r="A43" s="183"/>
      <c r="B43" s="183"/>
      <c r="C43" s="183"/>
      <c r="D43" s="175"/>
      <c r="E43" s="176"/>
      <c r="F43" s="177"/>
      <c r="G43" s="178"/>
      <c r="H43" s="179"/>
      <c r="I43" s="180"/>
      <c r="J43" s="181"/>
      <c r="K43" s="152">
        <f t="shared" si="216"/>
        <v>0</v>
      </c>
      <c r="L43" s="153">
        <f t="shared" si="217"/>
        <v>0</v>
      </c>
      <c r="M43" s="154">
        <f t="shared" si="218"/>
        <v>0</v>
      </c>
      <c r="N43" s="154"/>
      <c r="O43" s="154">
        <f t="shared" si="219"/>
        <v>0</v>
      </c>
      <c r="P43" s="155"/>
      <c r="Q43" s="154">
        <f t="shared" si="220"/>
        <v>0</v>
      </c>
      <c r="R43" s="156">
        <f t="shared" si="221"/>
        <v>0</v>
      </c>
      <c r="S43" s="154">
        <f t="shared" si="222"/>
        <v>0</v>
      </c>
      <c r="T43" s="154">
        <f t="shared" si="223"/>
        <v>0</v>
      </c>
      <c r="U43" s="154">
        <f t="shared" si="224"/>
        <v>0</v>
      </c>
      <c r="V43" s="154">
        <f t="shared" si="225"/>
        <v>0</v>
      </c>
      <c r="W43" s="154">
        <f t="shared" si="226"/>
        <v>0</v>
      </c>
      <c r="X43" s="154">
        <f t="shared" si="227"/>
        <v>0</v>
      </c>
      <c r="Y43" s="154">
        <f t="shared" si="228"/>
        <v>0</v>
      </c>
      <c r="Z43" s="154">
        <f t="shared" si="229"/>
        <v>0</v>
      </c>
      <c r="AA43" s="154">
        <f t="shared" si="230"/>
        <v>0</v>
      </c>
      <c r="AB43" s="157">
        <f t="shared" si="231"/>
        <v>0</v>
      </c>
      <c r="AC43" s="154">
        <f t="shared" si="232"/>
        <v>0</v>
      </c>
      <c r="AD43" s="158">
        <f t="shared" si="233"/>
        <v>0</v>
      </c>
      <c r="AE43" s="156">
        <f t="shared" si="276"/>
        <v>0</v>
      </c>
      <c r="AF43" s="154">
        <f t="shared" si="235"/>
        <v>0</v>
      </c>
      <c r="AG43" s="154">
        <f t="shared" si="114"/>
        <v>0</v>
      </c>
      <c r="AH43" s="154">
        <f t="shared" si="236"/>
        <v>0</v>
      </c>
      <c r="AI43" s="154">
        <f t="shared" si="116"/>
        <v>0</v>
      </c>
      <c r="AJ43" s="154">
        <f t="shared" si="237"/>
        <v>0</v>
      </c>
      <c r="AK43" s="154">
        <f t="shared" si="118"/>
        <v>0</v>
      </c>
      <c r="AL43" s="154">
        <f t="shared" si="238"/>
        <v>0</v>
      </c>
      <c r="AM43" s="154">
        <f t="shared" si="120"/>
        <v>0</v>
      </c>
      <c r="AN43" s="154">
        <f t="shared" si="239"/>
        <v>0</v>
      </c>
      <c r="AO43" s="157">
        <f t="shared" si="122"/>
        <v>0</v>
      </c>
      <c r="AP43" s="154">
        <f t="shared" si="123"/>
        <v>0</v>
      </c>
      <c r="AQ43" s="158">
        <f t="shared" si="124"/>
        <v>0</v>
      </c>
      <c r="AR43" s="156">
        <f t="shared" si="276"/>
        <v>0</v>
      </c>
      <c r="AS43" s="154">
        <f t="shared" si="240"/>
        <v>0</v>
      </c>
      <c r="AT43" s="154">
        <f t="shared" si="127"/>
        <v>0</v>
      </c>
      <c r="AU43" s="154">
        <f t="shared" si="241"/>
        <v>0</v>
      </c>
      <c r="AV43" s="154">
        <f t="shared" si="129"/>
        <v>0</v>
      </c>
      <c r="AW43" s="154">
        <f t="shared" si="242"/>
        <v>0</v>
      </c>
      <c r="AX43" s="154">
        <f t="shared" si="131"/>
        <v>0</v>
      </c>
      <c r="AY43" s="154">
        <f t="shared" si="243"/>
        <v>0</v>
      </c>
      <c r="AZ43" s="154">
        <f t="shared" si="133"/>
        <v>0</v>
      </c>
      <c r="BA43" s="154">
        <f t="shared" si="244"/>
        <v>0</v>
      </c>
      <c r="BB43" s="157">
        <f t="shared" si="135"/>
        <v>0</v>
      </c>
      <c r="BC43" s="154">
        <f t="shared" si="136"/>
        <v>0</v>
      </c>
      <c r="BD43" s="158">
        <f t="shared" si="137"/>
        <v>0</v>
      </c>
      <c r="BE43" s="156">
        <f t="shared" si="276"/>
        <v>0</v>
      </c>
      <c r="BF43" s="154">
        <f t="shared" si="245"/>
        <v>0</v>
      </c>
      <c r="BG43" s="154">
        <f t="shared" si="140"/>
        <v>0</v>
      </c>
      <c r="BH43" s="154">
        <f t="shared" si="246"/>
        <v>0</v>
      </c>
      <c r="BI43" s="154">
        <f t="shared" si="142"/>
        <v>0</v>
      </c>
      <c r="BJ43" s="154">
        <f t="shared" si="247"/>
        <v>0</v>
      </c>
      <c r="BK43" s="154">
        <f t="shared" si="144"/>
        <v>0</v>
      </c>
      <c r="BL43" s="154">
        <f t="shared" si="248"/>
        <v>0</v>
      </c>
      <c r="BM43" s="154">
        <f t="shared" si="146"/>
        <v>0</v>
      </c>
      <c r="BN43" s="154">
        <f t="shared" si="249"/>
        <v>0</v>
      </c>
      <c r="BO43" s="157">
        <f t="shared" si="148"/>
        <v>0</v>
      </c>
      <c r="BP43" s="154">
        <f t="shared" si="149"/>
        <v>0</v>
      </c>
      <c r="BQ43" s="158">
        <f t="shared" si="150"/>
        <v>0</v>
      </c>
      <c r="BR43" s="156">
        <f t="shared" si="276"/>
        <v>0</v>
      </c>
      <c r="BS43" s="154">
        <f t="shared" si="250"/>
        <v>0</v>
      </c>
      <c r="BT43" s="154">
        <f t="shared" si="153"/>
        <v>0</v>
      </c>
      <c r="BU43" s="154">
        <f t="shared" si="251"/>
        <v>0</v>
      </c>
      <c r="BV43" s="154">
        <f t="shared" si="155"/>
        <v>0</v>
      </c>
      <c r="BW43" s="154">
        <f t="shared" si="252"/>
        <v>0</v>
      </c>
      <c r="BX43" s="154">
        <f t="shared" si="157"/>
        <v>0</v>
      </c>
      <c r="BY43" s="154">
        <f t="shared" si="253"/>
        <v>0</v>
      </c>
      <c r="BZ43" s="154">
        <f t="shared" si="159"/>
        <v>0</v>
      </c>
      <c r="CA43" s="154">
        <f t="shared" si="254"/>
        <v>0</v>
      </c>
      <c r="CB43" s="157">
        <f t="shared" si="161"/>
        <v>0</v>
      </c>
      <c r="CC43" s="154">
        <f t="shared" si="162"/>
        <v>0</v>
      </c>
      <c r="CD43" s="158">
        <f t="shared" si="163"/>
        <v>0</v>
      </c>
      <c r="CE43" s="156">
        <f t="shared" si="276"/>
        <v>0</v>
      </c>
      <c r="CF43" s="154">
        <f t="shared" si="255"/>
        <v>0</v>
      </c>
      <c r="CG43" s="154">
        <f t="shared" si="166"/>
        <v>0</v>
      </c>
      <c r="CH43" s="154">
        <f t="shared" si="256"/>
        <v>0</v>
      </c>
      <c r="CI43" s="154">
        <f t="shared" si="168"/>
        <v>0</v>
      </c>
      <c r="CJ43" s="154">
        <f t="shared" si="257"/>
        <v>0</v>
      </c>
      <c r="CK43" s="154">
        <f t="shared" si="170"/>
        <v>0</v>
      </c>
      <c r="CL43" s="154">
        <f t="shared" si="258"/>
        <v>0</v>
      </c>
      <c r="CM43" s="154">
        <f t="shared" si="172"/>
        <v>0</v>
      </c>
      <c r="CN43" s="154">
        <f t="shared" si="259"/>
        <v>0</v>
      </c>
      <c r="CO43" s="157">
        <f t="shared" si="174"/>
        <v>0</v>
      </c>
      <c r="CP43" s="154">
        <f t="shared" si="175"/>
        <v>0</v>
      </c>
      <c r="CQ43" s="158">
        <f t="shared" si="176"/>
        <v>0</v>
      </c>
      <c r="CR43" s="156">
        <f t="shared" si="277"/>
        <v>0</v>
      </c>
      <c r="CS43" s="154">
        <f t="shared" si="261"/>
        <v>0</v>
      </c>
      <c r="CT43" s="154">
        <f t="shared" si="179"/>
        <v>0</v>
      </c>
      <c r="CU43" s="154">
        <f t="shared" si="262"/>
        <v>0</v>
      </c>
      <c r="CV43" s="154">
        <f t="shared" si="181"/>
        <v>0</v>
      </c>
      <c r="CW43" s="154">
        <f t="shared" si="263"/>
        <v>0</v>
      </c>
      <c r="CX43" s="154">
        <f t="shared" si="183"/>
        <v>0</v>
      </c>
      <c r="CY43" s="154">
        <f t="shared" si="264"/>
        <v>0</v>
      </c>
      <c r="CZ43" s="154">
        <f t="shared" si="185"/>
        <v>0</v>
      </c>
      <c r="DA43" s="154">
        <f t="shared" si="265"/>
        <v>0</v>
      </c>
      <c r="DB43" s="157">
        <f t="shared" si="187"/>
        <v>0</v>
      </c>
      <c r="DC43" s="154">
        <f t="shared" si="188"/>
        <v>0</v>
      </c>
      <c r="DD43" s="158">
        <f t="shared" si="189"/>
        <v>0</v>
      </c>
      <c r="DE43" s="156">
        <f t="shared" si="277"/>
        <v>0</v>
      </c>
      <c r="DF43" s="154">
        <f t="shared" si="266"/>
        <v>0</v>
      </c>
      <c r="DG43" s="154">
        <f t="shared" si="192"/>
        <v>0</v>
      </c>
      <c r="DH43" s="154">
        <f t="shared" si="267"/>
        <v>0</v>
      </c>
      <c r="DI43" s="154">
        <f t="shared" si="194"/>
        <v>0</v>
      </c>
      <c r="DJ43" s="154">
        <f t="shared" si="268"/>
        <v>0</v>
      </c>
      <c r="DK43" s="154">
        <f t="shared" si="196"/>
        <v>0</v>
      </c>
      <c r="DL43" s="154">
        <f t="shared" si="269"/>
        <v>0</v>
      </c>
      <c r="DM43" s="154">
        <f t="shared" si="198"/>
        <v>0</v>
      </c>
      <c r="DN43" s="154">
        <f t="shared" si="270"/>
        <v>0</v>
      </c>
      <c r="DO43" s="157">
        <f t="shared" si="200"/>
        <v>0</v>
      </c>
      <c r="DP43" s="154">
        <f t="shared" si="201"/>
        <v>0</v>
      </c>
      <c r="DQ43" s="158">
        <f t="shared" si="202"/>
        <v>0</v>
      </c>
      <c r="DR43" s="156">
        <f t="shared" si="277"/>
        <v>0</v>
      </c>
      <c r="DS43" s="154">
        <f t="shared" si="271"/>
        <v>0</v>
      </c>
      <c r="DT43" s="154">
        <f t="shared" si="205"/>
        <v>0</v>
      </c>
      <c r="DU43" s="154">
        <f t="shared" si="272"/>
        <v>0</v>
      </c>
      <c r="DV43" s="154">
        <f t="shared" si="207"/>
        <v>0</v>
      </c>
      <c r="DW43" s="154">
        <f t="shared" si="273"/>
        <v>0</v>
      </c>
      <c r="DX43" s="154">
        <f t="shared" si="209"/>
        <v>0</v>
      </c>
      <c r="DY43" s="154">
        <f t="shared" si="274"/>
        <v>0</v>
      </c>
      <c r="DZ43" s="154">
        <f t="shared" si="211"/>
        <v>0</v>
      </c>
      <c r="EA43" s="154">
        <f t="shared" si="275"/>
        <v>0</v>
      </c>
      <c r="EB43" s="157">
        <f t="shared" si="213"/>
        <v>0</v>
      </c>
      <c r="EC43" s="154">
        <f t="shared" si="214"/>
        <v>0</v>
      </c>
      <c r="ED43" s="158">
        <f t="shared" si="215"/>
        <v>0</v>
      </c>
    </row>
    <row r="44" spans="1:134" x14ac:dyDescent="0.35">
      <c r="A44" s="183"/>
      <c r="B44" s="183"/>
      <c r="C44" s="183"/>
      <c r="D44" s="175"/>
      <c r="E44" s="176"/>
      <c r="F44" s="177"/>
      <c r="G44" s="178"/>
      <c r="H44" s="179"/>
      <c r="I44" s="180"/>
      <c r="J44" s="181"/>
      <c r="K44" s="152">
        <f t="shared" si="216"/>
        <v>0</v>
      </c>
      <c r="L44" s="153">
        <f t="shared" si="217"/>
        <v>0</v>
      </c>
      <c r="M44" s="154">
        <f t="shared" si="218"/>
        <v>0</v>
      </c>
      <c r="N44" s="154"/>
      <c r="O44" s="154">
        <f t="shared" si="219"/>
        <v>0</v>
      </c>
      <c r="P44" s="155"/>
      <c r="Q44" s="154">
        <f t="shared" si="220"/>
        <v>0</v>
      </c>
      <c r="R44" s="156">
        <f t="shared" si="221"/>
        <v>0</v>
      </c>
      <c r="S44" s="154">
        <f t="shared" si="222"/>
        <v>0</v>
      </c>
      <c r="T44" s="154">
        <f t="shared" si="223"/>
        <v>0</v>
      </c>
      <c r="U44" s="154">
        <f t="shared" si="224"/>
        <v>0</v>
      </c>
      <c r="V44" s="154">
        <f t="shared" si="225"/>
        <v>0</v>
      </c>
      <c r="W44" s="154">
        <f t="shared" si="226"/>
        <v>0</v>
      </c>
      <c r="X44" s="154">
        <f t="shared" si="227"/>
        <v>0</v>
      </c>
      <c r="Y44" s="154">
        <f t="shared" si="228"/>
        <v>0</v>
      </c>
      <c r="Z44" s="154">
        <f t="shared" si="229"/>
        <v>0</v>
      </c>
      <c r="AA44" s="154">
        <f t="shared" si="230"/>
        <v>0</v>
      </c>
      <c r="AB44" s="157">
        <f t="shared" si="231"/>
        <v>0</v>
      </c>
      <c r="AC44" s="154">
        <f t="shared" si="232"/>
        <v>0</v>
      </c>
      <c r="AD44" s="158">
        <f t="shared" si="233"/>
        <v>0</v>
      </c>
      <c r="AE44" s="156">
        <f t="shared" si="276"/>
        <v>0</v>
      </c>
      <c r="AF44" s="154">
        <f t="shared" si="235"/>
        <v>0</v>
      </c>
      <c r="AG44" s="154">
        <f t="shared" si="114"/>
        <v>0</v>
      </c>
      <c r="AH44" s="154">
        <f t="shared" si="236"/>
        <v>0</v>
      </c>
      <c r="AI44" s="154">
        <f t="shared" si="116"/>
        <v>0</v>
      </c>
      <c r="AJ44" s="154">
        <f t="shared" si="237"/>
        <v>0</v>
      </c>
      <c r="AK44" s="154">
        <f t="shared" si="118"/>
        <v>0</v>
      </c>
      <c r="AL44" s="154">
        <f t="shared" si="238"/>
        <v>0</v>
      </c>
      <c r="AM44" s="154">
        <f t="shared" si="120"/>
        <v>0</v>
      </c>
      <c r="AN44" s="154">
        <f t="shared" si="239"/>
        <v>0</v>
      </c>
      <c r="AO44" s="157">
        <f t="shared" si="122"/>
        <v>0</v>
      </c>
      <c r="AP44" s="154">
        <f t="shared" si="123"/>
        <v>0</v>
      </c>
      <c r="AQ44" s="158">
        <f t="shared" si="124"/>
        <v>0</v>
      </c>
      <c r="AR44" s="156">
        <f t="shared" si="276"/>
        <v>0</v>
      </c>
      <c r="AS44" s="154">
        <f t="shared" si="240"/>
        <v>0</v>
      </c>
      <c r="AT44" s="154">
        <f t="shared" si="127"/>
        <v>0</v>
      </c>
      <c r="AU44" s="154">
        <f t="shared" si="241"/>
        <v>0</v>
      </c>
      <c r="AV44" s="154">
        <f t="shared" si="129"/>
        <v>0</v>
      </c>
      <c r="AW44" s="154">
        <f t="shared" si="242"/>
        <v>0</v>
      </c>
      <c r="AX44" s="154">
        <f t="shared" si="131"/>
        <v>0</v>
      </c>
      <c r="AY44" s="154">
        <f t="shared" si="243"/>
        <v>0</v>
      </c>
      <c r="AZ44" s="154">
        <f t="shared" si="133"/>
        <v>0</v>
      </c>
      <c r="BA44" s="154">
        <f t="shared" si="244"/>
        <v>0</v>
      </c>
      <c r="BB44" s="157">
        <f t="shared" si="135"/>
        <v>0</v>
      </c>
      <c r="BC44" s="154">
        <f t="shared" si="136"/>
        <v>0</v>
      </c>
      <c r="BD44" s="158">
        <f t="shared" si="137"/>
        <v>0</v>
      </c>
      <c r="BE44" s="156">
        <f t="shared" si="276"/>
        <v>0</v>
      </c>
      <c r="BF44" s="154">
        <f t="shared" si="245"/>
        <v>0</v>
      </c>
      <c r="BG44" s="154">
        <f t="shared" si="140"/>
        <v>0</v>
      </c>
      <c r="BH44" s="154">
        <f t="shared" si="246"/>
        <v>0</v>
      </c>
      <c r="BI44" s="154">
        <f t="shared" si="142"/>
        <v>0</v>
      </c>
      <c r="BJ44" s="154">
        <f t="shared" si="247"/>
        <v>0</v>
      </c>
      <c r="BK44" s="154">
        <f t="shared" si="144"/>
        <v>0</v>
      </c>
      <c r="BL44" s="154">
        <f t="shared" si="248"/>
        <v>0</v>
      </c>
      <c r="BM44" s="154">
        <f t="shared" si="146"/>
        <v>0</v>
      </c>
      <c r="BN44" s="154">
        <f t="shared" si="249"/>
        <v>0</v>
      </c>
      <c r="BO44" s="157">
        <f t="shared" si="148"/>
        <v>0</v>
      </c>
      <c r="BP44" s="154">
        <f t="shared" si="149"/>
        <v>0</v>
      </c>
      <c r="BQ44" s="158">
        <f t="shared" si="150"/>
        <v>0</v>
      </c>
      <c r="BR44" s="156">
        <f t="shared" si="276"/>
        <v>0</v>
      </c>
      <c r="BS44" s="154">
        <f t="shared" si="250"/>
        <v>0</v>
      </c>
      <c r="BT44" s="154">
        <f t="shared" si="153"/>
        <v>0</v>
      </c>
      <c r="BU44" s="154">
        <f t="shared" si="251"/>
        <v>0</v>
      </c>
      <c r="BV44" s="154">
        <f t="shared" si="155"/>
        <v>0</v>
      </c>
      <c r="BW44" s="154">
        <f t="shared" si="252"/>
        <v>0</v>
      </c>
      <c r="BX44" s="154">
        <f t="shared" si="157"/>
        <v>0</v>
      </c>
      <c r="BY44" s="154">
        <f t="shared" si="253"/>
        <v>0</v>
      </c>
      <c r="BZ44" s="154">
        <f t="shared" si="159"/>
        <v>0</v>
      </c>
      <c r="CA44" s="154">
        <f t="shared" si="254"/>
        <v>0</v>
      </c>
      <c r="CB44" s="157">
        <f t="shared" si="161"/>
        <v>0</v>
      </c>
      <c r="CC44" s="154">
        <f t="shared" si="162"/>
        <v>0</v>
      </c>
      <c r="CD44" s="158">
        <f t="shared" si="163"/>
        <v>0</v>
      </c>
      <c r="CE44" s="156">
        <f t="shared" si="276"/>
        <v>0</v>
      </c>
      <c r="CF44" s="154">
        <f t="shared" si="255"/>
        <v>0</v>
      </c>
      <c r="CG44" s="154">
        <f t="shared" si="166"/>
        <v>0</v>
      </c>
      <c r="CH44" s="154">
        <f t="shared" si="256"/>
        <v>0</v>
      </c>
      <c r="CI44" s="154">
        <f t="shared" si="168"/>
        <v>0</v>
      </c>
      <c r="CJ44" s="154">
        <f t="shared" si="257"/>
        <v>0</v>
      </c>
      <c r="CK44" s="154">
        <f t="shared" si="170"/>
        <v>0</v>
      </c>
      <c r="CL44" s="154">
        <f t="shared" si="258"/>
        <v>0</v>
      </c>
      <c r="CM44" s="154">
        <f t="shared" si="172"/>
        <v>0</v>
      </c>
      <c r="CN44" s="154">
        <f t="shared" si="259"/>
        <v>0</v>
      </c>
      <c r="CO44" s="157">
        <f t="shared" si="174"/>
        <v>0</v>
      </c>
      <c r="CP44" s="154">
        <f t="shared" si="175"/>
        <v>0</v>
      </c>
      <c r="CQ44" s="158">
        <f t="shared" si="176"/>
        <v>0</v>
      </c>
      <c r="CR44" s="156">
        <f t="shared" si="277"/>
        <v>0</v>
      </c>
      <c r="CS44" s="154">
        <f t="shared" si="261"/>
        <v>0</v>
      </c>
      <c r="CT44" s="154">
        <f t="shared" si="179"/>
        <v>0</v>
      </c>
      <c r="CU44" s="154">
        <f t="shared" si="262"/>
        <v>0</v>
      </c>
      <c r="CV44" s="154">
        <f t="shared" si="181"/>
        <v>0</v>
      </c>
      <c r="CW44" s="154">
        <f t="shared" si="263"/>
        <v>0</v>
      </c>
      <c r="CX44" s="154">
        <f t="shared" si="183"/>
        <v>0</v>
      </c>
      <c r="CY44" s="154">
        <f t="shared" si="264"/>
        <v>0</v>
      </c>
      <c r="CZ44" s="154">
        <f t="shared" si="185"/>
        <v>0</v>
      </c>
      <c r="DA44" s="154">
        <f t="shared" si="265"/>
        <v>0</v>
      </c>
      <c r="DB44" s="157">
        <f t="shared" si="187"/>
        <v>0</v>
      </c>
      <c r="DC44" s="154">
        <f t="shared" si="188"/>
        <v>0</v>
      </c>
      <c r="DD44" s="158">
        <f t="shared" si="189"/>
        <v>0</v>
      </c>
      <c r="DE44" s="156">
        <f t="shared" si="277"/>
        <v>0</v>
      </c>
      <c r="DF44" s="154">
        <f t="shared" si="266"/>
        <v>0</v>
      </c>
      <c r="DG44" s="154">
        <f t="shared" si="192"/>
        <v>0</v>
      </c>
      <c r="DH44" s="154">
        <f t="shared" si="267"/>
        <v>0</v>
      </c>
      <c r="DI44" s="154">
        <f t="shared" si="194"/>
        <v>0</v>
      </c>
      <c r="DJ44" s="154">
        <f t="shared" si="268"/>
        <v>0</v>
      </c>
      <c r="DK44" s="154">
        <f t="shared" si="196"/>
        <v>0</v>
      </c>
      <c r="DL44" s="154">
        <f t="shared" si="269"/>
        <v>0</v>
      </c>
      <c r="DM44" s="154">
        <f t="shared" si="198"/>
        <v>0</v>
      </c>
      <c r="DN44" s="154">
        <f t="shared" si="270"/>
        <v>0</v>
      </c>
      <c r="DO44" s="157">
        <f t="shared" si="200"/>
        <v>0</v>
      </c>
      <c r="DP44" s="154">
        <f t="shared" si="201"/>
        <v>0</v>
      </c>
      <c r="DQ44" s="158">
        <f t="shared" si="202"/>
        <v>0</v>
      </c>
      <c r="DR44" s="156">
        <f t="shared" si="277"/>
        <v>0</v>
      </c>
      <c r="DS44" s="154">
        <f t="shared" si="271"/>
        <v>0</v>
      </c>
      <c r="DT44" s="154">
        <f t="shared" si="205"/>
        <v>0</v>
      </c>
      <c r="DU44" s="154">
        <f t="shared" si="272"/>
        <v>0</v>
      </c>
      <c r="DV44" s="154">
        <f t="shared" si="207"/>
        <v>0</v>
      </c>
      <c r="DW44" s="154">
        <f t="shared" si="273"/>
        <v>0</v>
      </c>
      <c r="DX44" s="154">
        <f t="shared" si="209"/>
        <v>0</v>
      </c>
      <c r="DY44" s="154">
        <f t="shared" si="274"/>
        <v>0</v>
      </c>
      <c r="DZ44" s="154">
        <f t="shared" si="211"/>
        <v>0</v>
      </c>
      <c r="EA44" s="154">
        <f t="shared" si="275"/>
        <v>0</v>
      </c>
      <c r="EB44" s="157">
        <f t="shared" si="213"/>
        <v>0</v>
      </c>
      <c r="EC44" s="154">
        <f t="shared" si="214"/>
        <v>0</v>
      </c>
      <c r="ED44" s="158">
        <f t="shared" si="215"/>
        <v>0</v>
      </c>
    </row>
    <row r="45" spans="1:134" x14ac:dyDescent="0.35">
      <c r="A45" s="183"/>
      <c r="B45" s="183"/>
      <c r="C45" s="183"/>
      <c r="D45" s="175"/>
      <c r="E45" s="176"/>
      <c r="F45" s="177"/>
      <c r="G45" s="178"/>
      <c r="H45" s="179"/>
      <c r="I45" s="180"/>
      <c r="J45" s="181"/>
      <c r="K45" s="152">
        <f t="shared" si="216"/>
        <v>0</v>
      </c>
      <c r="L45" s="153">
        <f t="shared" si="217"/>
        <v>0</v>
      </c>
      <c r="M45" s="154">
        <f t="shared" si="218"/>
        <v>0</v>
      </c>
      <c r="N45" s="154"/>
      <c r="O45" s="154">
        <f t="shared" si="219"/>
        <v>0</v>
      </c>
      <c r="P45" s="155"/>
      <c r="Q45" s="154">
        <f t="shared" si="220"/>
        <v>0</v>
      </c>
      <c r="R45" s="156">
        <f t="shared" si="221"/>
        <v>0</v>
      </c>
      <c r="S45" s="154">
        <f t="shared" si="222"/>
        <v>0</v>
      </c>
      <c r="T45" s="154">
        <f t="shared" si="223"/>
        <v>0</v>
      </c>
      <c r="U45" s="154">
        <f t="shared" si="224"/>
        <v>0</v>
      </c>
      <c r="V45" s="154">
        <f t="shared" si="225"/>
        <v>0</v>
      </c>
      <c r="W45" s="154">
        <f t="shared" si="226"/>
        <v>0</v>
      </c>
      <c r="X45" s="154">
        <f t="shared" si="227"/>
        <v>0</v>
      </c>
      <c r="Y45" s="154">
        <f t="shared" si="228"/>
        <v>0</v>
      </c>
      <c r="Z45" s="154">
        <f t="shared" si="229"/>
        <v>0</v>
      </c>
      <c r="AA45" s="154">
        <f t="shared" si="230"/>
        <v>0</v>
      </c>
      <c r="AB45" s="157">
        <f t="shared" si="231"/>
        <v>0</v>
      </c>
      <c r="AC45" s="154">
        <f t="shared" si="232"/>
        <v>0</v>
      </c>
      <c r="AD45" s="158">
        <f t="shared" si="233"/>
        <v>0</v>
      </c>
      <c r="AE45" s="156">
        <f t="shared" si="276"/>
        <v>0</v>
      </c>
      <c r="AF45" s="154">
        <f t="shared" si="235"/>
        <v>0</v>
      </c>
      <c r="AG45" s="154">
        <f t="shared" si="114"/>
        <v>0</v>
      </c>
      <c r="AH45" s="154">
        <f t="shared" si="236"/>
        <v>0</v>
      </c>
      <c r="AI45" s="154">
        <f t="shared" si="116"/>
        <v>0</v>
      </c>
      <c r="AJ45" s="154">
        <f t="shared" si="237"/>
        <v>0</v>
      </c>
      <c r="AK45" s="154">
        <f t="shared" si="118"/>
        <v>0</v>
      </c>
      <c r="AL45" s="154">
        <f t="shared" si="238"/>
        <v>0</v>
      </c>
      <c r="AM45" s="154">
        <f t="shared" si="120"/>
        <v>0</v>
      </c>
      <c r="AN45" s="154">
        <f t="shared" si="239"/>
        <v>0</v>
      </c>
      <c r="AO45" s="157">
        <f t="shared" si="122"/>
        <v>0</v>
      </c>
      <c r="AP45" s="154">
        <f t="shared" si="123"/>
        <v>0</v>
      </c>
      <c r="AQ45" s="158">
        <f t="shared" si="124"/>
        <v>0</v>
      </c>
      <c r="AR45" s="156">
        <f t="shared" si="276"/>
        <v>0</v>
      </c>
      <c r="AS45" s="154">
        <f t="shared" si="240"/>
        <v>0</v>
      </c>
      <c r="AT45" s="154">
        <f t="shared" si="127"/>
        <v>0</v>
      </c>
      <c r="AU45" s="154">
        <f t="shared" si="241"/>
        <v>0</v>
      </c>
      <c r="AV45" s="154">
        <f t="shared" si="129"/>
        <v>0</v>
      </c>
      <c r="AW45" s="154">
        <f t="shared" si="242"/>
        <v>0</v>
      </c>
      <c r="AX45" s="154">
        <f t="shared" si="131"/>
        <v>0</v>
      </c>
      <c r="AY45" s="154">
        <f t="shared" si="243"/>
        <v>0</v>
      </c>
      <c r="AZ45" s="154">
        <f t="shared" si="133"/>
        <v>0</v>
      </c>
      <c r="BA45" s="154">
        <f t="shared" si="244"/>
        <v>0</v>
      </c>
      <c r="BB45" s="157">
        <f t="shared" si="135"/>
        <v>0</v>
      </c>
      <c r="BC45" s="154">
        <f t="shared" si="136"/>
        <v>0</v>
      </c>
      <c r="BD45" s="158">
        <f t="shared" si="137"/>
        <v>0</v>
      </c>
      <c r="BE45" s="156">
        <f t="shared" si="276"/>
        <v>0</v>
      </c>
      <c r="BF45" s="154">
        <f t="shared" si="245"/>
        <v>0</v>
      </c>
      <c r="BG45" s="154">
        <f t="shared" si="140"/>
        <v>0</v>
      </c>
      <c r="BH45" s="154">
        <f t="shared" si="246"/>
        <v>0</v>
      </c>
      <c r="BI45" s="154">
        <f t="shared" si="142"/>
        <v>0</v>
      </c>
      <c r="BJ45" s="154">
        <f t="shared" si="247"/>
        <v>0</v>
      </c>
      <c r="BK45" s="154">
        <f t="shared" si="144"/>
        <v>0</v>
      </c>
      <c r="BL45" s="154">
        <f t="shared" si="248"/>
        <v>0</v>
      </c>
      <c r="BM45" s="154">
        <f t="shared" si="146"/>
        <v>0</v>
      </c>
      <c r="BN45" s="154">
        <f t="shared" si="249"/>
        <v>0</v>
      </c>
      <c r="BO45" s="157">
        <f t="shared" si="148"/>
        <v>0</v>
      </c>
      <c r="BP45" s="154">
        <f t="shared" si="149"/>
        <v>0</v>
      </c>
      <c r="BQ45" s="158">
        <f t="shared" si="150"/>
        <v>0</v>
      </c>
      <c r="BR45" s="156">
        <f t="shared" si="276"/>
        <v>0</v>
      </c>
      <c r="BS45" s="154">
        <f t="shared" si="250"/>
        <v>0</v>
      </c>
      <c r="BT45" s="154">
        <f t="shared" si="153"/>
        <v>0</v>
      </c>
      <c r="BU45" s="154">
        <f t="shared" si="251"/>
        <v>0</v>
      </c>
      <c r="BV45" s="154">
        <f t="shared" si="155"/>
        <v>0</v>
      </c>
      <c r="BW45" s="154">
        <f t="shared" si="252"/>
        <v>0</v>
      </c>
      <c r="BX45" s="154">
        <f t="shared" si="157"/>
        <v>0</v>
      </c>
      <c r="BY45" s="154">
        <f t="shared" si="253"/>
        <v>0</v>
      </c>
      <c r="BZ45" s="154">
        <f t="shared" si="159"/>
        <v>0</v>
      </c>
      <c r="CA45" s="154">
        <f t="shared" si="254"/>
        <v>0</v>
      </c>
      <c r="CB45" s="157">
        <f t="shared" si="161"/>
        <v>0</v>
      </c>
      <c r="CC45" s="154">
        <f t="shared" si="162"/>
        <v>0</v>
      </c>
      <c r="CD45" s="158">
        <f t="shared" si="163"/>
        <v>0</v>
      </c>
      <c r="CE45" s="156">
        <f t="shared" si="276"/>
        <v>0</v>
      </c>
      <c r="CF45" s="154">
        <f t="shared" si="255"/>
        <v>0</v>
      </c>
      <c r="CG45" s="154">
        <f t="shared" si="166"/>
        <v>0</v>
      </c>
      <c r="CH45" s="154">
        <f t="shared" si="256"/>
        <v>0</v>
      </c>
      <c r="CI45" s="154">
        <f t="shared" si="168"/>
        <v>0</v>
      </c>
      <c r="CJ45" s="154">
        <f t="shared" si="257"/>
        <v>0</v>
      </c>
      <c r="CK45" s="154">
        <f t="shared" si="170"/>
        <v>0</v>
      </c>
      <c r="CL45" s="154">
        <f t="shared" si="258"/>
        <v>0</v>
      </c>
      <c r="CM45" s="154">
        <f t="shared" si="172"/>
        <v>0</v>
      </c>
      <c r="CN45" s="154">
        <f t="shared" si="259"/>
        <v>0</v>
      </c>
      <c r="CO45" s="157">
        <f t="shared" si="174"/>
        <v>0</v>
      </c>
      <c r="CP45" s="154">
        <f t="shared" si="175"/>
        <v>0</v>
      </c>
      <c r="CQ45" s="158">
        <f t="shared" si="176"/>
        <v>0</v>
      </c>
      <c r="CR45" s="156">
        <f t="shared" si="277"/>
        <v>0</v>
      </c>
      <c r="CS45" s="154">
        <f t="shared" si="261"/>
        <v>0</v>
      </c>
      <c r="CT45" s="154">
        <f t="shared" si="179"/>
        <v>0</v>
      </c>
      <c r="CU45" s="154">
        <f t="shared" si="262"/>
        <v>0</v>
      </c>
      <c r="CV45" s="154">
        <f t="shared" si="181"/>
        <v>0</v>
      </c>
      <c r="CW45" s="154">
        <f t="shared" si="263"/>
        <v>0</v>
      </c>
      <c r="CX45" s="154">
        <f t="shared" si="183"/>
        <v>0</v>
      </c>
      <c r="CY45" s="154">
        <f t="shared" si="264"/>
        <v>0</v>
      </c>
      <c r="CZ45" s="154">
        <f t="shared" si="185"/>
        <v>0</v>
      </c>
      <c r="DA45" s="154">
        <f t="shared" si="265"/>
        <v>0</v>
      </c>
      <c r="DB45" s="157">
        <f t="shared" si="187"/>
        <v>0</v>
      </c>
      <c r="DC45" s="154">
        <f t="shared" si="188"/>
        <v>0</v>
      </c>
      <c r="DD45" s="158">
        <f t="shared" si="189"/>
        <v>0</v>
      </c>
      <c r="DE45" s="156">
        <f t="shared" si="277"/>
        <v>0</v>
      </c>
      <c r="DF45" s="154">
        <f t="shared" si="266"/>
        <v>0</v>
      </c>
      <c r="DG45" s="154">
        <f t="shared" si="192"/>
        <v>0</v>
      </c>
      <c r="DH45" s="154">
        <f t="shared" si="267"/>
        <v>0</v>
      </c>
      <c r="DI45" s="154">
        <f t="shared" si="194"/>
        <v>0</v>
      </c>
      <c r="DJ45" s="154">
        <f t="shared" si="268"/>
        <v>0</v>
      </c>
      <c r="DK45" s="154">
        <f t="shared" si="196"/>
        <v>0</v>
      </c>
      <c r="DL45" s="154">
        <f t="shared" si="269"/>
        <v>0</v>
      </c>
      <c r="DM45" s="154">
        <f t="shared" si="198"/>
        <v>0</v>
      </c>
      <c r="DN45" s="154">
        <f t="shared" si="270"/>
        <v>0</v>
      </c>
      <c r="DO45" s="157">
        <f t="shared" si="200"/>
        <v>0</v>
      </c>
      <c r="DP45" s="154">
        <f t="shared" si="201"/>
        <v>0</v>
      </c>
      <c r="DQ45" s="158">
        <f t="shared" si="202"/>
        <v>0</v>
      </c>
      <c r="DR45" s="156">
        <f t="shared" si="277"/>
        <v>0</v>
      </c>
      <c r="DS45" s="154">
        <f t="shared" si="271"/>
        <v>0</v>
      </c>
      <c r="DT45" s="154">
        <f t="shared" si="205"/>
        <v>0</v>
      </c>
      <c r="DU45" s="154">
        <f t="shared" si="272"/>
        <v>0</v>
      </c>
      <c r="DV45" s="154">
        <f t="shared" si="207"/>
        <v>0</v>
      </c>
      <c r="DW45" s="154">
        <f t="shared" si="273"/>
        <v>0</v>
      </c>
      <c r="DX45" s="154">
        <f t="shared" si="209"/>
        <v>0</v>
      </c>
      <c r="DY45" s="154">
        <f t="shared" si="274"/>
        <v>0</v>
      </c>
      <c r="DZ45" s="154">
        <f t="shared" si="211"/>
        <v>0</v>
      </c>
      <c r="EA45" s="154">
        <f t="shared" si="275"/>
        <v>0</v>
      </c>
      <c r="EB45" s="157">
        <f t="shared" si="213"/>
        <v>0</v>
      </c>
      <c r="EC45" s="154">
        <f t="shared" si="214"/>
        <v>0</v>
      </c>
      <c r="ED45" s="158">
        <f t="shared" si="215"/>
        <v>0</v>
      </c>
    </row>
    <row r="46" spans="1:134" x14ac:dyDescent="0.35">
      <c r="A46" s="183"/>
      <c r="B46" s="183"/>
      <c r="C46" s="183"/>
      <c r="D46" s="175"/>
      <c r="E46" s="176"/>
      <c r="F46" s="177"/>
      <c r="G46" s="178"/>
      <c r="H46" s="179"/>
      <c r="I46" s="180"/>
      <c r="J46" s="181"/>
      <c r="K46" s="152">
        <f t="shared" si="216"/>
        <v>0</v>
      </c>
      <c r="L46" s="153">
        <f t="shared" si="217"/>
        <v>0</v>
      </c>
      <c r="M46" s="154">
        <f t="shared" si="218"/>
        <v>0</v>
      </c>
      <c r="N46" s="154"/>
      <c r="O46" s="154">
        <f t="shared" si="219"/>
        <v>0</v>
      </c>
      <c r="P46" s="155"/>
      <c r="Q46" s="154">
        <f t="shared" si="220"/>
        <v>0</v>
      </c>
      <c r="R46" s="156">
        <f t="shared" si="221"/>
        <v>0</v>
      </c>
      <c r="S46" s="154">
        <f t="shared" si="222"/>
        <v>0</v>
      </c>
      <c r="T46" s="154">
        <f t="shared" si="223"/>
        <v>0</v>
      </c>
      <c r="U46" s="154">
        <f t="shared" si="224"/>
        <v>0</v>
      </c>
      <c r="V46" s="154">
        <f t="shared" si="225"/>
        <v>0</v>
      </c>
      <c r="W46" s="154">
        <f t="shared" si="226"/>
        <v>0</v>
      </c>
      <c r="X46" s="154">
        <f t="shared" si="227"/>
        <v>0</v>
      </c>
      <c r="Y46" s="154">
        <f t="shared" si="228"/>
        <v>0</v>
      </c>
      <c r="Z46" s="154">
        <f t="shared" si="229"/>
        <v>0</v>
      </c>
      <c r="AA46" s="154">
        <f t="shared" si="230"/>
        <v>0</v>
      </c>
      <c r="AB46" s="157">
        <f t="shared" si="231"/>
        <v>0</v>
      </c>
      <c r="AC46" s="154">
        <f t="shared" si="232"/>
        <v>0</v>
      </c>
      <c r="AD46" s="158">
        <f t="shared" si="233"/>
        <v>0</v>
      </c>
      <c r="AE46" s="156">
        <f t="shared" si="276"/>
        <v>0</v>
      </c>
      <c r="AF46" s="154">
        <f t="shared" si="235"/>
        <v>0</v>
      </c>
      <c r="AG46" s="154">
        <f t="shared" si="114"/>
        <v>0</v>
      </c>
      <c r="AH46" s="154">
        <f t="shared" si="236"/>
        <v>0</v>
      </c>
      <c r="AI46" s="154">
        <f t="shared" si="116"/>
        <v>0</v>
      </c>
      <c r="AJ46" s="154">
        <f t="shared" si="237"/>
        <v>0</v>
      </c>
      <c r="AK46" s="154">
        <f t="shared" si="118"/>
        <v>0</v>
      </c>
      <c r="AL46" s="154">
        <f t="shared" si="238"/>
        <v>0</v>
      </c>
      <c r="AM46" s="154">
        <f t="shared" si="120"/>
        <v>0</v>
      </c>
      <c r="AN46" s="154">
        <f t="shared" si="239"/>
        <v>0</v>
      </c>
      <c r="AO46" s="157">
        <f t="shared" si="122"/>
        <v>0</v>
      </c>
      <c r="AP46" s="154">
        <f t="shared" si="123"/>
        <v>0</v>
      </c>
      <c r="AQ46" s="158">
        <f t="shared" si="124"/>
        <v>0</v>
      </c>
      <c r="AR46" s="156">
        <f t="shared" si="276"/>
        <v>0</v>
      </c>
      <c r="AS46" s="154">
        <f t="shared" si="240"/>
        <v>0</v>
      </c>
      <c r="AT46" s="154">
        <f t="shared" si="127"/>
        <v>0</v>
      </c>
      <c r="AU46" s="154">
        <f t="shared" si="241"/>
        <v>0</v>
      </c>
      <c r="AV46" s="154">
        <f t="shared" si="129"/>
        <v>0</v>
      </c>
      <c r="AW46" s="154">
        <f t="shared" si="242"/>
        <v>0</v>
      </c>
      <c r="AX46" s="154">
        <f t="shared" si="131"/>
        <v>0</v>
      </c>
      <c r="AY46" s="154">
        <f t="shared" si="243"/>
        <v>0</v>
      </c>
      <c r="AZ46" s="154">
        <f t="shared" si="133"/>
        <v>0</v>
      </c>
      <c r="BA46" s="154">
        <f t="shared" si="244"/>
        <v>0</v>
      </c>
      <c r="BB46" s="157">
        <f t="shared" si="135"/>
        <v>0</v>
      </c>
      <c r="BC46" s="154">
        <f t="shared" si="136"/>
        <v>0</v>
      </c>
      <c r="BD46" s="158">
        <f t="shared" si="137"/>
        <v>0</v>
      </c>
      <c r="BE46" s="156">
        <f t="shared" si="276"/>
        <v>0</v>
      </c>
      <c r="BF46" s="154">
        <f t="shared" si="245"/>
        <v>0</v>
      </c>
      <c r="BG46" s="154">
        <f t="shared" si="140"/>
        <v>0</v>
      </c>
      <c r="BH46" s="154">
        <f t="shared" si="246"/>
        <v>0</v>
      </c>
      <c r="BI46" s="154">
        <f t="shared" si="142"/>
        <v>0</v>
      </c>
      <c r="BJ46" s="154">
        <f t="shared" si="247"/>
        <v>0</v>
      </c>
      <c r="BK46" s="154">
        <f t="shared" si="144"/>
        <v>0</v>
      </c>
      <c r="BL46" s="154">
        <f t="shared" si="248"/>
        <v>0</v>
      </c>
      <c r="BM46" s="154">
        <f t="shared" si="146"/>
        <v>0</v>
      </c>
      <c r="BN46" s="154">
        <f t="shared" si="249"/>
        <v>0</v>
      </c>
      <c r="BO46" s="157">
        <f t="shared" si="148"/>
        <v>0</v>
      </c>
      <c r="BP46" s="154">
        <f t="shared" si="149"/>
        <v>0</v>
      </c>
      <c r="BQ46" s="158">
        <f t="shared" si="150"/>
        <v>0</v>
      </c>
      <c r="BR46" s="156">
        <f t="shared" si="276"/>
        <v>0</v>
      </c>
      <c r="BS46" s="154">
        <f t="shared" si="250"/>
        <v>0</v>
      </c>
      <c r="BT46" s="154">
        <f t="shared" si="153"/>
        <v>0</v>
      </c>
      <c r="BU46" s="154">
        <f t="shared" si="251"/>
        <v>0</v>
      </c>
      <c r="BV46" s="154">
        <f t="shared" si="155"/>
        <v>0</v>
      </c>
      <c r="BW46" s="154">
        <f t="shared" si="252"/>
        <v>0</v>
      </c>
      <c r="BX46" s="154">
        <f t="shared" si="157"/>
        <v>0</v>
      </c>
      <c r="BY46" s="154">
        <f t="shared" si="253"/>
        <v>0</v>
      </c>
      <c r="BZ46" s="154">
        <f t="shared" si="159"/>
        <v>0</v>
      </c>
      <c r="CA46" s="154">
        <f t="shared" si="254"/>
        <v>0</v>
      </c>
      <c r="CB46" s="157">
        <f t="shared" si="161"/>
        <v>0</v>
      </c>
      <c r="CC46" s="154">
        <f t="shared" si="162"/>
        <v>0</v>
      </c>
      <c r="CD46" s="158">
        <f t="shared" si="163"/>
        <v>0</v>
      </c>
      <c r="CE46" s="156">
        <f t="shared" si="276"/>
        <v>0</v>
      </c>
      <c r="CF46" s="154">
        <f t="shared" si="255"/>
        <v>0</v>
      </c>
      <c r="CG46" s="154">
        <f t="shared" si="166"/>
        <v>0</v>
      </c>
      <c r="CH46" s="154">
        <f t="shared" si="256"/>
        <v>0</v>
      </c>
      <c r="CI46" s="154">
        <f t="shared" si="168"/>
        <v>0</v>
      </c>
      <c r="CJ46" s="154">
        <f t="shared" si="257"/>
        <v>0</v>
      </c>
      <c r="CK46" s="154">
        <f t="shared" si="170"/>
        <v>0</v>
      </c>
      <c r="CL46" s="154">
        <f t="shared" si="258"/>
        <v>0</v>
      </c>
      <c r="CM46" s="154">
        <f t="shared" si="172"/>
        <v>0</v>
      </c>
      <c r="CN46" s="154">
        <f t="shared" si="259"/>
        <v>0</v>
      </c>
      <c r="CO46" s="157">
        <f t="shared" si="174"/>
        <v>0</v>
      </c>
      <c r="CP46" s="154">
        <f t="shared" si="175"/>
        <v>0</v>
      </c>
      <c r="CQ46" s="158">
        <f t="shared" si="176"/>
        <v>0</v>
      </c>
      <c r="CR46" s="156">
        <f t="shared" si="277"/>
        <v>0</v>
      </c>
      <c r="CS46" s="154">
        <f t="shared" si="261"/>
        <v>0</v>
      </c>
      <c r="CT46" s="154">
        <f t="shared" si="179"/>
        <v>0</v>
      </c>
      <c r="CU46" s="154">
        <f t="shared" si="262"/>
        <v>0</v>
      </c>
      <c r="CV46" s="154">
        <f t="shared" si="181"/>
        <v>0</v>
      </c>
      <c r="CW46" s="154">
        <f t="shared" si="263"/>
        <v>0</v>
      </c>
      <c r="CX46" s="154">
        <f t="shared" si="183"/>
        <v>0</v>
      </c>
      <c r="CY46" s="154">
        <f t="shared" si="264"/>
        <v>0</v>
      </c>
      <c r="CZ46" s="154">
        <f t="shared" si="185"/>
        <v>0</v>
      </c>
      <c r="DA46" s="154">
        <f t="shared" si="265"/>
        <v>0</v>
      </c>
      <c r="DB46" s="157">
        <f t="shared" si="187"/>
        <v>0</v>
      </c>
      <c r="DC46" s="154">
        <f t="shared" si="188"/>
        <v>0</v>
      </c>
      <c r="DD46" s="158">
        <f t="shared" si="189"/>
        <v>0</v>
      </c>
      <c r="DE46" s="156">
        <f t="shared" si="277"/>
        <v>0</v>
      </c>
      <c r="DF46" s="154">
        <f t="shared" si="266"/>
        <v>0</v>
      </c>
      <c r="DG46" s="154">
        <f t="shared" si="192"/>
        <v>0</v>
      </c>
      <c r="DH46" s="154">
        <f t="shared" si="267"/>
        <v>0</v>
      </c>
      <c r="DI46" s="154">
        <f t="shared" si="194"/>
        <v>0</v>
      </c>
      <c r="DJ46" s="154">
        <f t="shared" si="268"/>
        <v>0</v>
      </c>
      <c r="DK46" s="154">
        <f t="shared" si="196"/>
        <v>0</v>
      </c>
      <c r="DL46" s="154">
        <f t="shared" si="269"/>
        <v>0</v>
      </c>
      <c r="DM46" s="154">
        <f t="shared" si="198"/>
        <v>0</v>
      </c>
      <c r="DN46" s="154">
        <f t="shared" si="270"/>
        <v>0</v>
      </c>
      <c r="DO46" s="157">
        <f t="shared" si="200"/>
        <v>0</v>
      </c>
      <c r="DP46" s="154">
        <f t="shared" si="201"/>
        <v>0</v>
      </c>
      <c r="DQ46" s="158">
        <f t="shared" si="202"/>
        <v>0</v>
      </c>
      <c r="DR46" s="156">
        <f t="shared" si="277"/>
        <v>0</v>
      </c>
      <c r="DS46" s="154">
        <f t="shared" si="271"/>
        <v>0</v>
      </c>
      <c r="DT46" s="154">
        <f t="shared" si="205"/>
        <v>0</v>
      </c>
      <c r="DU46" s="154">
        <f t="shared" si="272"/>
        <v>0</v>
      </c>
      <c r="DV46" s="154">
        <f t="shared" si="207"/>
        <v>0</v>
      </c>
      <c r="DW46" s="154">
        <f t="shared" si="273"/>
        <v>0</v>
      </c>
      <c r="DX46" s="154">
        <f t="shared" si="209"/>
        <v>0</v>
      </c>
      <c r="DY46" s="154">
        <f t="shared" si="274"/>
        <v>0</v>
      </c>
      <c r="DZ46" s="154">
        <f t="shared" si="211"/>
        <v>0</v>
      </c>
      <c r="EA46" s="154">
        <f t="shared" si="275"/>
        <v>0</v>
      </c>
      <c r="EB46" s="157">
        <f t="shared" si="213"/>
        <v>0</v>
      </c>
      <c r="EC46" s="154">
        <f t="shared" si="214"/>
        <v>0</v>
      </c>
      <c r="ED46" s="158">
        <f t="shared" si="215"/>
        <v>0</v>
      </c>
    </row>
    <row r="47" spans="1:134" x14ac:dyDescent="0.35">
      <c r="A47" s="183"/>
      <c r="B47" s="183"/>
      <c r="C47" s="183"/>
      <c r="D47" s="175"/>
      <c r="E47" s="176"/>
      <c r="F47" s="177"/>
      <c r="G47" s="178"/>
      <c r="H47" s="179"/>
      <c r="I47" s="180"/>
      <c r="J47" s="181"/>
      <c r="K47" s="152">
        <f t="shared" si="216"/>
        <v>0</v>
      </c>
      <c r="L47" s="153">
        <f t="shared" si="217"/>
        <v>0</v>
      </c>
      <c r="M47" s="154">
        <f t="shared" si="218"/>
        <v>0</v>
      </c>
      <c r="N47" s="154"/>
      <c r="O47" s="154">
        <f t="shared" si="219"/>
        <v>0</v>
      </c>
      <c r="P47" s="155"/>
      <c r="Q47" s="154">
        <f t="shared" si="220"/>
        <v>0</v>
      </c>
      <c r="R47" s="156">
        <f t="shared" si="221"/>
        <v>0</v>
      </c>
      <c r="S47" s="154">
        <f t="shared" si="222"/>
        <v>0</v>
      </c>
      <c r="T47" s="154">
        <f t="shared" si="223"/>
        <v>0</v>
      </c>
      <c r="U47" s="154">
        <f t="shared" si="224"/>
        <v>0</v>
      </c>
      <c r="V47" s="154">
        <f t="shared" si="225"/>
        <v>0</v>
      </c>
      <c r="W47" s="154">
        <f t="shared" si="226"/>
        <v>0</v>
      </c>
      <c r="X47" s="154">
        <f t="shared" si="227"/>
        <v>0</v>
      </c>
      <c r="Y47" s="154">
        <f t="shared" si="228"/>
        <v>0</v>
      </c>
      <c r="Z47" s="154">
        <f t="shared" si="229"/>
        <v>0</v>
      </c>
      <c r="AA47" s="154">
        <f t="shared" si="230"/>
        <v>0</v>
      </c>
      <c r="AB47" s="157">
        <f t="shared" si="231"/>
        <v>0</v>
      </c>
      <c r="AC47" s="154">
        <f t="shared" si="232"/>
        <v>0</v>
      </c>
      <c r="AD47" s="158">
        <f t="shared" si="233"/>
        <v>0</v>
      </c>
      <c r="AE47" s="156">
        <f t="shared" si="276"/>
        <v>0</v>
      </c>
      <c r="AF47" s="154">
        <f t="shared" si="235"/>
        <v>0</v>
      </c>
      <c r="AG47" s="154">
        <f t="shared" si="114"/>
        <v>0</v>
      </c>
      <c r="AH47" s="154">
        <f t="shared" si="236"/>
        <v>0</v>
      </c>
      <c r="AI47" s="154">
        <f t="shared" si="116"/>
        <v>0</v>
      </c>
      <c r="AJ47" s="154">
        <f t="shared" si="237"/>
        <v>0</v>
      </c>
      <c r="AK47" s="154">
        <f t="shared" si="118"/>
        <v>0</v>
      </c>
      <c r="AL47" s="154">
        <f t="shared" si="238"/>
        <v>0</v>
      </c>
      <c r="AM47" s="154">
        <f t="shared" si="120"/>
        <v>0</v>
      </c>
      <c r="AN47" s="154">
        <f t="shared" si="239"/>
        <v>0</v>
      </c>
      <c r="AO47" s="157">
        <f t="shared" si="122"/>
        <v>0</v>
      </c>
      <c r="AP47" s="154">
        <f t="shared" si="123"/>
        <v>0</v>
      </c>
      <c r="AQ47" s="158">
        <f t="shared" si="124"/>
        <v>0</v>
      </c>
      <c r="AR47" s="156">
        <f t="shared" si="276"/>
        <v>0</v>
      </c>
      <c r="AS47" s="154">
        <f t="shared" si="240"/>
        <v>0</v>
      </c>
      <c r="AT47" s="154">
        <f t="shared" si="127"/>
        <v>0</v>
      </c>
      <c r="AU47" s="154">
        <f t="shared" si="241"/>
        <v>0</v>
      </c>
      <c r="AV47" s="154">
        <f t="shared" si="129"/>
        <v>0</v>
      </c>
      <c r="AW47" s="154">
        <f t="shared" si="242"/>
        <v>0</v>
      </c>
      <c r="AX47" s="154">
        <f t="shared" si="131"/>
        <v>0</v>
      </c>
      <c r="AY47" s="154">
        <f t="shared" si="243"/>
        <v>0</v>
      </c>
      <c r="AZ47" s="154">
        <f t="shared" si="133"/>
        <v>0</v>
      </c>
      <c r="BA47" s="154">
        <f t="shared" si="244"/>
        <v>0</v>
      </c>
      <c r="BB47" s="157">
        <f t="shared" si="135"/>
        <v>0</v>
      </c>
      <c r="BC47" s="154">
        <f t="shared" si="136"/>
        <v>0</v>
      </c>
      <c r="BD47" s="158">
        <f t="shared" si="137"/>
        <v>0</v>
      </c>
      <c r="BE47" s="156">
        <f t="shared" si="276"/>
        <v>0</v>
      </c>
      <c r="BF47" s="154">
        <f t="shared" si="245"/>
        <v>0</v>
      </c>
      <c r="BG47" s="154">
        <f t="shared" si="140"/>
        <v>0</v>
      </c>
      <c r="BH47" s="154">
        <f t="shared" si="246"/>
        <v>0</v>
      </c>
      <c r="BI47" s="154">
        <f t="shared" si="142"/>
        <v>0</v>
      </c>
      <c r="BJ47" s="154">
        <f t="shared" si="247"/>
        <v>0</v>
      </c>
      <c r="BK47" s="154">
        <f t="shared" si="144"/>
        <v>0</v>
      </c>
      <c r="BL47" s="154">
        <f t="shared" si="248"/>
        <v>0</v>
      </c>
      <c r="BM47" s="154">
        <f t="shared" si="146"/>
        <v>0</v>
      </c>
      <c r="BN47" s="154">
        <f t="shared" si="249"/>
        <v>0</v>
      </c>
      <c r="BO47" s="157">
        <f t="shared" si="148"/>
        <v>0</v>
      </c>
      <c r="BP47" s="154">
        <f t="shared" si="149"/>
        <v>0</v>
      </c>
      <c r="BQ47" s="158">
        <f t="shared" si="150"/>
        <v>0</v>
      </c>
      <c r="BR47" s="156">
        <f t="shared" si="276"/>
        <v>0</v>
      </c>
      <c r="BS47" s="154">
        <f t="shared" si="250"/>
        <v>0</v>
      </c>
      <c r="BT47" s="154">
        <f t="shared" si="153"/>
        <v>0</v>
      </c>
      <c r="BU47" s="154">
        <f t="shared" si="251"/>
        <v>0</v>
      </c>
      <c r="BV47" s="154">
        <f t="shared" si="155"/>
        <v>0</v>
      </c>
      <c r="BW47" s="154">
        <f t="shared" si="252"/>
        <v>0</v>
      </c>
      <c r="BX47" s="154">
        <f t="shared" si="157"/>
        <v>0</v>
      </c>
      <c r="BY47" s="154">
        <f t="shared" si="253"/>
        <v>0</v>
      </c>
      <c r="BZ47" s="154">
        <f t="shared" si="159"/>
        <v>0</v>
      </c>
      <c r="CA47" s="154">
        <f t="shared" si="254"/>
        <v>0</v>
      </c>
      <c r="CB47" s="157">
        <f t="shared" si="161"/>
        <v>0</v>
      </c>
      <c r="CC47" s="154">
        <f t="shared" si="162"/>
        <v>0</v>
      </c>
      <c r="CD47" s="158">
        <f t="shared" si="163"/>
        <v>0</v>
      </c>
      <c r="CE47" s="156">
        <f t="shared" si="276"/>
        <v>0</v>
      </c>
      <c r="CF47" s="154">
        <f t="shared" si="255"/>
        <v>0</v>
      </c>
      <c r="CG47" s="154">
        <f t="shared" si="166"/>
        <v>0</v>
      </c>
      <c r="CH47" s="154">
        <f t="shared" si="256"/>
        <v>0</v>
      </c>
      <c r="CI47" s="154">
        <f t="shared" si="168"/>
        <v>0</v>
      </c>
      <c r="CJ47" s="154">
        <f t="shared" si="257"/>
        <v>0</v>
      </c>
      <c r="CK47" s="154">
        <f t="shared" si="170"/>
        <v>0</v>
      </c>
      <c r="CL47" s="154">
        <f t="shared" si="258"/>
        <v>0</v>
      </c>
      <c r="CM47" s="154">
        <f t="shared" si="172"/>
        <v>0</v>
      </c>
      <c r="CN47" s="154">
        <f t="shared" si="259"/>
        <v>0</v>
      </c>
      <c r="CO47" s="157">
        <f t="shared" si="174"/>
        <v>0</v>
      </c>
      <c r="CP47" s="154">
        <f t="shared" si="175"/>
        <v>0</v>
      </c>
      <c r="CQ47" s="158">
        <f t="shared" si="176"/>
        <v>0</v>
      </c>
      <c r="CR47" s="156">
        <f t="shared" si="277"/>
        <v>0</v>
      </c>
      <c r="CS47" s="154">
        <f t="shared" si="261"/>
        <v>0</v>
      </c>
      <c r="CT47" s="154">
        <f t="shared" si="179"/>
        <v>0</v>
      </c>
      <c r="CU47" s="154">
        <f t="shared" si="262"/>
        <v>0</v>
      </c>
      <c r="CV47" s="154">
        <f t="shared" si="181"/>
        <v>0</v>
      </c>
      <c r="CW47" s="154">
        <f t="shared" si="263"/>
        <v>0</v>
      </c>
      <c r="CX47" s="154">
        <f t="shared" si="183"/>
        <v>0</v>
      </c>
      <c r="CY47" s="154">
        <f t="shared" si="264"/>
        <v>0</v>
      </c>
      <c r="CZ47" s="154">
        <f t="shared" si="185"/>
        <v>0</v>
      </c>
      <c r="DA47" s="154">
        <f t="shared" si="265"/>
        <v>0</v>
      </c>
      <c r="DB47" s="157">
        <f t="shared" si="187"/>
        <v>0</v>
      </c>
      <c r="DC47" s="154">
        <f t="shared" si="188"/>
        <v>0</v>
      </c>
      <c r="DD47" s="158">
        <f t="shared" si="189"/>
        <v>0</v>
      </c>
      <c r="DE47" s="156">
        <f t="shared" si="277"/>
        <v>0</v>
      </c>
      <c r="DF47" s="154">
        <f t="shared" si="266"/>
        <v>0</v>
      </c>
      <c r="DG47" s="154">
        <f t="shared" si="192"/>
        <v>0</v>
      </c>
      <c r="DH47" s="154">
        <f t="shared" si="267"/>
        <v>0</v>
      </c>
      <c r="DI47" s="154">
        <f t="shared" si="194"/>
        <v>0</v>
      </c>
      <c r="DJ47" s="154">
        <f t="shared" si="268"/>
        <v>0</v>
      </c>
      <c r="DK47" s="154">
        <f t="shared" si="196"/>
        <v>0</v>
      </c>
      <c r="DL47" s="154">
        <f t="shared" si="269"/>
        <v>0</v>
      </c>
      <c r="DM47" s="154">
        <f t="shared" si="198"/>
        <v>0</v>
      </c>
      <c r="DN47" s="154">
        <f t="shared" si="270"/>
        <v>0</v>
      </c>
      <c r="DO47" s="157">
        <f t="shared" si="200"/>
        <v>0</v>
      </c>
      <c r="DP47" s="154">
        <f t="shared" si="201"/>
        <v>0</v>
      </c>
      <c r="DQ47" s="158">
        <f t="shared" si="202"/>
        <v>0</v>
      </c>
      <c r="DR47" s="156">
        <f t="shared" si="277"/>
        <v>0</v>
      </c>
      <c r="DS47" s="154">
        <f t="shared" si="271"/>
        <v>0</v>
      </c>
      <c r="DT47" s="154">
        <f t="shared" si="205"/>
        <v>0</v>
      </c>
      <c r="DU47" s="154">
        <f t="shared" si="272"/>
        <v>0</v>
      </c>
      <c r="DV47" s="154">
        <f t="shared" si="207"/>
        <v>0</v>
      </c>
      <c r="DW47" s="154">
        <f t="shared" si="273"/>
        <v>0</v>
      </c>
      <c r="DX47" s="154">
        <f t="shared" si="209"/>
        <v>0</v>
      </c>
      <c r="DY47" s="154">
        <f t="shared" si="274"/>
        <v>0</v>
      </c>
      <c r="DZ47" s="154">
        <f t="shared" si="211"/>
        <v>0</v>
      </c>
      <c r="EA47" s="154">
        <f t="shared" si="275"/>
        <v>0</v>
      </c>
      <c r="EB47" s="157">
        <f t="shared" si="213"/>
        <v>0</v>
      </c>
      <c r="EC47" s="154">
        <f t="shared" si="214"/>
        <v>0</v>
      </c>
      <c r="ED47" s="158">
        <f t="shared" si="215"/>
        <v>0</v>
      </c>
    </row>
    <row r="48" spans="1:134" x14ac:dyDescent="0.35">
      <c r="A48" s="183"/>
      <c r="B48" s="183"/>
      <c r="C48" s="183"/>
      <c r="D48" s="175"/>
      <c r="E48" s="176"/>
      <c r="F48" s="177"/>
      <c r="G48" s="178"/>
      <c r="H48" s="179"/>
      <c r="I48" s="180"/>
      <c r="J48" s="181"/>
      <c r="K48" s="152">
        <f t="shared" si="216"/>
        <v>0</v>
      </c>
      <c r="L48" s="153">
        <f t="shared" si="217"/>
        <v>0</v>
      </c>
      <c r="M48" s="154">
        <f t="shared" si="218"/>
        <v>0</v>
      </c>
      <c r="N48" s="154"/>
      <c r="O48" s="154">
        <f t="shared" si="219"/>
        <v>0</v>
      </c>
      <c r="P48" s="155"/>
      <c r="Q48" s="154">
        <f t="shared" si="220"/>
        <v>0</v>
      </c>
      <c r="R48" s="156">
        <f t="shared" si="221"/>
        <v>0</v>
      </c>
      <c r="S48" s="154">
        <f t="shared" si="222"/>
        <v>0</v>
      </c>
      <c r="T48" s="154">
        <f t="shared" si="223"/>
        <v>0</v>
      </c>
      <c r="U48" s="154">
        <f t="shared" si="224"/>
        <v>0</v>
      </c>
      <c r="V48" s="154">
        <f t="shared" si="225"/>
        <v>0</v>
      </c>
      <c r="W48" s="154">
        <f t="shared" si="226"/>
        <v>0</v>
      </c>
      <c r="X48" s="154">
        <f t="shared" si="227"/>
        <v>0</v>
      </c>
      <c r="Y48" s="154">
        <f t="shared" si="228"/>
        <v>0</v>
      </c>
      <c r="Z48" s="154">
        <f t="shared" si="229"/>
        <v>0</v>
      </c>
      <c r="AA48" s="154">
        <f t="shared" si="230"/>
        <v>0</v>
      </c>
      <c r="AB48" s="157">
        <f t="shared" si="231"/>
        <v>0</v>
      </c>
      <c r="AC48" s="154">
        <f t="shared" si="232"/>
        <v>0</v>
      </c>
      <c r="AD48" s="158">
        <f t="shared" si="233"/>
        <v>0</v>
      </c>
      <c r="AE48" s="156">
        <f t="shared" si="276"/>
        <v>0</v>
      </c>
      <c r="AF48" s="154">
        <f t="shared" si="235"/>
        <v>0</v>
      </c>
      <c r="AG48" s="154">
        <f t="shared" si="114"/>
        <v>0</v>
      </c>
      <c r="AH48" s="154">
        <f t="shared" si="236"/>
        <v>0</v>
      </c>
      <c r="AI48" s="154">
        <f t="shared" si="116"/>
        <v>0</v>
      </c>
      <c r="AJ48" s="154">
        <f t="shared" si="237"/>
        <v>0</v>
      </c>
      <c r="AK48" s="154">
        <f t="shared" si="118"/>
        <v>0</v>
      </c>
      <c r="AL48" s="154">
        <f t="shared" si="238"/>
        <v>0</v>
      </c>
      <c r="AM48" s="154">
        <f t="shared" si="120"/>
        <v>0</v>
      </c>
      <c r="AN48" s="154">
        <f t="shared" si="239"/>
        <v>0</v>
      </c>
      <c r="AO48" s="157">
        <f t="shared" si="122"/>
        <v>0</v>
      </c>
      <c r="AP48" s="154">
        <f t="shared" si="123"/>
        <v>0</v>
      </c>
      <c r="AQ48" s="158">
        <f t="shared" si="124"/>
        <v>0</v>
      </c>
      <c r="AR48" s="156">
        <f t="shared" si="276"/>
        <v>0</v>
      </c>
      <c r="AS48" s="154">
        <f t="shared" si="240"/>
        <v>0</v>
      </c>
      <c r="AT48" s="154">
        <f t="shared" si="127"/>
        <v>0</v>
      </c>
      <c r="AU48" s="154">
        <f t="shared" si="241"/>
        <v>0</v>
      </c>
      <c r="AV48" s="154">
        <f t="shared" si="129"/>
        <v>0</v>
      </c>
      <c r="AW48" s="154">
        <f t="shared" si="242"/>
        <v>0</v>
      </c>
      <c r="AX48" s="154">
        <f t="shared" si="131"/>
        <v>0</v>
      </c>
      <c r="AY48" s="154">
        <f t="shared" si="243"/>
        <v>0</v>
      </c>
      <c r="AZ48" s="154">
        <f t="shared" si="133"/>
        <v>0</v>
      </c>
      <c r="BA48" s="154">
        <f t="shared" si="244"/>
        <v>0</v>
      </c>
      <c r="BB48" s="157">
        <f t="shared" si="135"/>
        <v>0</v>
      </c>
      <c r="BC48" s="154">
        <f t="shared" si="136"/>
        <v>0</v>
      </c>
      <c r="BD48" s="158">
        <f t="shared" si="137"/>
        <v>0</v>
      </c>
      <c r="BE48" s="156">
        <f t="shared" si="276"/>
        <v>0</v>
      </c>
      <c r="BF48" s="154">
        <f t="shared" si="245"/>
        <v>0</v>
      </c>
      <c r="BG48" s="154">
        <f t="shared" si="140"/>
        <v>0</v>
      </c>
      <c r="BH48" s="154">
        <f t="shared" si="246"/>
        <v>0</v>
      </c>
      <c r="BI48" s="154">
        <f t="shared" si="142"/>
        <v>0</v>
      </c>
      <c r="BJ48" s="154">
        <f t="shared" si="247"/>
        <v>0</v>
      </c>
      <c r="BK48" s="154">
        <f t="shared" si="144"/>
        <v>0</v>
      </c>
      <c r="BL48" s="154">
        <f t="shared" si="248"/>
        <v>0</v>
      </c>
      <c r="BM48" s="154">
        <f t="shared" si="146"/>
        <v>0</v>
      </c>
      <c r="BN48" s="154">
        <f t="shared" si="249"/>
        <v>0</v>
      </c>
      <c r="BO48" s="157">
        <f t="shared" si="148"/>
        <v>0</v>
      </c>
      <c r="BP48" s="154">
        <f t="shared" si="149"/>
        <v>0</v>
      </c>
      <c r="BQ48" s="158">
        <f t="shared" si="150"/>
        <v>0</v>
      </c>
      <c r="BR48" s="156">
        <f t="shared" si="276"/>
        <v>0</v>
      </c>
      <c r="BS48" s="154">
        <f t="shared" si="250"/>
        <v>0</v>
      </c>
      <c r="BT48" s="154">
        <f t="shared" si="153"/>
        <v>0</v>
      </c>
      <c r="BU48" s="154">
        <f t="shared" si="251"/>
        <v>0</v>
      </c>
      <c r="BV48" s="154">
        <f t="shared" si="155"/>
        <v>0</v>
      </c>
      <c r="BW48" s="154">
        <f t="shared" si="252"/>
        <v>0</v>
      </c>
      <c r="BX48" s="154">
        <f t="shared" si="157"/>
        <v>0</v>
      </c>
      <c r="BY48" s="154">
        <f t="shared" si="253"/>
        <v>0</v>
      </c>
      <c r="BZ48" s="154">
        <f t="shared" si="159"/>
        <v>0</v>
      </c>
      <c r="CA48" s="154">
        <f t="shared" si="254"/>
        <v>0</v>
      </c>
      <c r="CB48" s="157">
        <f t="shared" si="161"/>
        <v>0</v>
      </c>
      <c r="CC48" s="154">
        <f t="shared" si="162"/>
        <v>0</v>
      </c>
      <c r="CD48" s="158">
        <f t="shared" si="163"/>
        <v>0</v>
      </c>
      <c r="CE48" s="156">
        <f t="shared" si="276"/>
        <v>0</v>
      </c>
      <c r="CF48" s="154">
        <f t="shared" si="255"/>
        <v>0</v>
      </c>
      <c r="CG48" s="154">
        <f t="shared" si="166"/>
        <v>0</v>
      </c>
      <c r="CH48" s="154">
        <f t="shared" si="256"/>
        <v>0</v>
      </c>
      <c r="CI48" s="154">
        <f t="shared" si="168"/>
        <v>0</v>
      </c>
      <c r="CJ48" s="154">
        <f t="shared" si="257"/>
        <v>0</v>
      </c>
      <c r="CK48" s="154">
        <f t="shared" si="170"/>
        <v>0</v>
      </c>
      <c r="CL48" s="154">
        <f t="shared" si="258"/>
        <v>0</v>
      </c>
      <c r="CM48" s="154">
        <f t="shared" si="172"/>
        <v>0</v>
      </c>
      <c r="CN48" s="154">
        <f t="shared" si="259"/>
        <v>0</v>
      </c>
      <c r="CO48" s="157">
        <f t="shared" si="174"/>
        <v>0</v>
      </c>
      <c r="CP48" s="154">
        <f t="shared" si="175"/>
        <v>0</v>
      </c>
      <c r="CQ48" s="158">
        <f t="shared" si="176"/>
        <v>0</v>
      </c>
      <c r="CR48" s="156">
        <f t="shared" si="277"/>
        <v>0</v>
      </c>
      <c r="CS48" s="154">
        <f t="shared" si="261"/>
        <v>0</v>
      </c>
      <c r="CT48" s="154">
        <f t="shared" si="179"/>
        <v>0</v>
      </c>
      <c r="CU48" s="154">
        <f t="shared" si="262"/>
        <v>0</v>
      </c>
      <c r="CV48" s="154">
        <f t="shared" si="181"/>
        <v>0</v>
      </c>
      <c r="CW48" s="154">
        <f t="shared" si="263"/>
        <v>0</v>
      </c>
      <c r="CX48" s="154">
        <f t="shared" si="183"/>
        <v>0</v>
      </c>
      <c r="CY48" s="154">
        <f t="shared" si="264"/>
        <v>0</v>
      </c>
      <c r="CZ48" s="154">
        <f t="shared" si="185"/>
        <v>0</v>
      </c>
      <c r="DA48" s="154">
        <f t="shared" si="265"/>
        <v>0</v>
      </c>
      <c r="DB48" s="157">
        <f t="shared" si="187"/>
        <v>0</v>
      </c>
      <c r="DC48" s="154">
        <f t="shared" si="188"/>
        <v>0</v>
      </c>
      <c r="DD48" s="158">
        <f t="shared" si="189"/>
        <v>0</v>
      </c>
      <c r="DE48" s="156">
        <f t="shared" si="277"/>
        <v>0</v>
      </c>
      <c r="DF48" s="154">
        <f t="shared" si="266"/>
        <v>0</v>
      </c>
      <c r="DG48" s="154">
        <f t="shared" si="192"/>
        <v>0</v>
      </c>
      <c r="DH48" s="154">
        <f t="shared" si="267"/>
        <v>0</v>
      </c>
      <c r="DI48" s="154">
        <f t="shared" si="194"/>
        <v>0</v>
      </c>
      <c r="DJ48" s="154">
        <f t="shared" si="268"/>
        <v>0</v>
      </c>
      <c r="DK48" s="154">
        <f t="shared" si="196"/>
        <v>0</v>
      </c>
      <c r="DL48" s="154">
        <f t="shared" si="269"/>
        <v>0</v>
      </c>
      <c r="DM48" s="154">
        <f t="shared" si="198"/>
        <v>0</v>
      </c>
      <c r="DN48" s="154">
        <f t="shared" si="270"/>
        <v>0</v>
      </c>
      <c r="DO48" s="157">
        <f t="shared" si="200"/>
        <v>0</v>
      </c>
      <c r="DP48" s="154">
        <f t="shared" si="201"/>
        <v>0</v>
      </c>
      <c r="DQ48" s="158">
        <f t="shared" si="202"/>
        <v>0</v>
      </c>
      <c r="DR48" s="156">
        <f t="shared" si="277"/>
        <v>0</v>
      </c>
      <c r="DS48" s="154">
        <f t="shared" si="271"/>
        <v>0</v>
      </c>
      <c r="DT48" s="154">
        <f t="shared" si="205"/>
        <v>0</v>
      </c>
      <c r="DU48" s="154">
        <f t="shared" si="272"/>
        <v>0</v>
      </c>
      <c r="DV48" s="154">
        <f t="shared" si="207"/>
        <v>0</v>
      </c>
      <c r="DW48" s="154">
        <f t="shared" si="273"/>
        <v>0</v>
      </c>
      <c r="DX48" s="154">
        <f t="shared" si="209"/>
        <v>0</v>
      </c>
      <c r="DY48" s="154">
        <f t="shared" si="274"/>
        <v>0</v>
      </c>
      <c r="DZ48" s="154">
        <f t="shared" si="211"/>
        <v>0</v>
      </c>
      <c r="EA48" s="154">
        <f t="shared" si="275"/>
        <v>0</v>
      </c>
      <c r="EB48" s="157">
        <f t="shared" si="213"/>
        <v>0</v>
      </c>
      <c r="EC48" s="154">
        <f t="shared" si="214"/>
        <v>0</v>
      </c>
      <c r="ED48" s="158">
        <f t="shared" si="215"/>
        <v>0</v>
      </c>
    </row>
    <row r="49" spans="1:134" x14ac:dyDescent="0.35">
      <c r="A49" s="183"/>
      <c r="B49" s="183"/>
      <c r="C49" s="183"/>
      <c r="D49" s="175"/>
      <c r="E49" s="176"/>
      <c r="F49" s="177"/>
      <c r="G49" s="178"/>
      <c r="H49" s="179"/>
      <c r="I49" s="180"/>
      <c r="J49" s="181"/>
      <c r="K49" s="152">
        <f t="shared" si="216"/>
        <v>0</v>
      </c>
      <c r="L49" s="153">
        <f t="shared" si="217"/>
        <v>0</v>
      </c>
      <c r="M49" s="154">
        <f t="shared" si="218"/>
        <v>0</v>
      </c>
      <c r="N49" s="154"/>
      <c r="O49" s="154">
        <f t="shared" si="219"/>
        <v>0</v>
      </c>
      <c r="P49" s="155"/>
      <c r="Q49" s="154">
        <f t="shared" si="220"/>
        <v>0</v>
      </c>
      <c r="R49" s="156">
        <f t="shared" si="221"/>
        <v>0</v>
      </c>
      <c r="S49" s="154">
        <f t="shared" si="222"/>
        <v>0</v>
      </c>
      <c r="T49" s="154">
        <f t="shared" si="223"/>
        <v>0</v>
      </c>
      <c r="U49" s="154">
        <f t="shared" si="224"/>
        <v>0</v>
      </c>
      <c r="V49" s="154">
        <f t="shared" si="225"/>
        <v>0</v>
      </c>
      <c r="W49" s="154">
        <f t="shared" si="226"/>
        <v>0</v>
      </c>
      <c r="X49" s="154">
        <f t="shared" si="227"/>
        <v>0</v>
      </c>
      <c r="Y49" s="154">
        <f t="shared" si="228"/>
        <v>0</v>
      </c>
      <c r="Z49" s="154">
        <f t="shared" si="229"/>
        <v>0</v>
      </c>
      <c r="AA49" s="154">
        <f t="shared" si="230"/>
        <v>0</v>
      </c>
      <c r="AB49" s="157">
        <f t="shared" si="231"/>
        <v>0</v>
      </c>
      <c r="AC49" s="154">
        <f t="shared" si="232"/>
        <v>0</v>
      </c>
      <c r="AD49" s="158">
        <f t="shared" si="233"/>
        <v>0</v>
      </c>
      <c r="AE49" s="156">
        <f t="shared" si="276"/>
        <v>0</v>
      </c>
      <c r="AF49" s="154">
        <f t="shared" si="235"/>
        <v>0</v>
      </c>
      <c r="AG49" s="154">
        <f t="shared" si="114"/>
        <v>0</v>
      </c>
      <c r="AH49" s="154">
        <f t="shared" si="236"/>
        <v>0</v>
      </c>
      <c r="AI49" s="154">
        <f t="shared" si="116"/>
        <v>0</v>
      </c>
      <c r="AJ49" s="154">
        <f t="shared" si="237"/>
        <v>0</v>
      </c>
      <c r="AK49" s="154">
        <f t="shared" si="118"/>
        <v>0</v>
      </c>
      <c r="AL49" s="154">
        <f t="shared" si="238"/>
        <v>0</v>
      </c>
      <c r="AM49" s="154">
        <f t="shared" si="120"/>
        <v>0</v>
      </c>
      <c r="AN49" s="154">
        <f t="shared" si="239"/>
        <v>0</v>
      </c>
      <c r="AO49" s="157">
        <f t="shared" si="122"/>
        <v>0</v>
      </c>
      <c r="AP49" s="154">
        <f t="shared" si="123"/>
        <v>0</v>
      </c>
      <c r="AQ49" s="158">
        <f t="shared" si="124"/>
        <v>0</v>
      </c>
      <c r="AR49" s="156">
        <f t="shared" si="276"/>
        <v>0</v>
      </c>
      <c r="AS49" s="154">
        <f t="shared" si="240"/>
        <v>0</v>
      </c>
      <c r="AT49" s="154">
        <f t="shared" si="127"/>
        <v>0</v>
      </c>
      <c r="AU49" s="154">
        <f t="shared" si="241"/>
        <v>0</v>
      </c>
      <c r="AV49" s="154">
        <f t="shared" si="129"/>
        <v>0</v>
      </c>
      <c r="AW49" s="154">
        <f t="shared" si="242"/>
        <v>0</v>
      </c>
      <c r="AX49" s="154">
        <f t="shared" si="131"/>
        <v>0</v>
      </c>
      <c r="AY49" s="154">
        <f t="shared" si="243"/>
        <v>0</v>
      </c>
      <c r="AZ49" s="154">
        <f t="shared" si="133"/>
        <v>0</v>
      </c>
      <c r="BA49" s="154">
        <f t="shared" si="244"/>
        <v>0</v>
      </c>
      <c r="BB49" s="157">
        <f t="shared" si="135"/>
        <v>0</v>
      </c>
      <c r="BC49" s="154">
        <f t="shared" si="136"/>
        <v>0</v>
      </c>
      <c r="BD49" s="158">
        <f t="shared" si="137"/>
        <v>0</v>
      </c>
      <c r="BE49" s="156">
        <f t="shared" si="276"/>
        <v>0</v>
      </c>
      <c r="BF49" s="154">
        <f t="shared" si="245"/>
        <v>0</v>
      </c>
      <c r="BG49" s="154">
        <f t="shared" si="140"/>
        <v>0</v>
      </c>
      <c r="BH49" s="154">
        <f t="shared" si="246"/>
        <v>0</v>
      </c>
      <c r="BI49" s="154">
        <f t="shared" si="142"/>
        <v>0</v>
      </c>
      <c r="BJ49" s="154">
        <f t="shared" si="247"/>
        <v>0</v>
      </c>
      <c r="BK49" s="154">
        <f t="shared" si="144"/>
        <v>0</v>
      </c>
      <c r="BL49" s="154">
        <f t="shared" si="248"/>
        <v>0</v>
      </c>
      <c r="BM49" s="154">
        <f t="shared" si="146"/>
        <v>0</v>
      </c>
      <c r="BN49" s="154">
        <f t="shared" si="249"/>
        <v>0</v>
      </c>
      <c r="BO49" s="157">
        <f t="shared" si="148"/>
        <v>0</v>
      </c>
      <c r="BP49" s="154">
        <f t="shared" si="149"/>
        <v>0</v>
      </c>
      <c r="BQ49" s="158">
        <f t="shared" si="150"/>
        <v>0</v>
      </c>
      <c r="BR49" s="156">
        <f t="shared" si="276"/>
        <v>0</v>
      </c>
      <c r="BS49" s="154">
        <f t="shared" si="250"/>
        <v>0</v>
      </c>
      <c r="BT49" s="154">
        <f t="shared" si="153"/>
        <v>0</v>
      </c>
      <c r="BU49" s="154">
        <f t="shared" si="251"/>
        <v>0</v>
      </c>
      <c r="BV49" s="154">
        <f t="shared" si="155"/>
        <v>0</v>
      </c>
      <c r="BW49" s="154">
        <f t="shared" si="252"/>
        <v>0</v>
      </c>
      <c r="BX49" s="154">
        <f t="shared" si="157"/>
        <v>0</v>
      </c>
      <c r="BY49" s="154">
        <f t="shared" si="253"/>
        <v>0</v>
      </c>
      <c r="BZ49" s="154">
        <f t="shared" si="159"/>
        <v>0</v>
      </c>
      <c r="CA49" s="154">
        <f t="shared" si="254"/>
        <v>0</v>
      </c>
      <c r="CB49" s="157">
        <f t="shared" si="161"/>
        <v>0</v>
      </c>
      <c r="CC49" s="154">
        <f t="shared" si="162"/>
        <v>0</v>
      </c>
      <c r="CD49" s="158">
        <f t="shared" si="163"/>
        <v>0</v>
      </c>
      <c r="CE49" s="156">
        <f t="shared" si="276"/>
        <v>0</v>
      </c>
      <c r="CF49" s="154">
        <f t="shared" si="255"/>
        <v>0</v>
      </c>
      <c r="CG49" s="154">
        <f t="shared" si="166"/>
        <v>0</v>
      </c>
      <c r="CH49" s="154">
        <f t="shared" si="256"/>
        <v>0</v>
      </c>
      <c r="CI49" s="154">
        <f t="shared" si="168"/>
        <v>0</v>
      </c>
      <c r="CJ49" s="154">
        <f t="shared" si="257"/>
        <v>0</v>
      </c>
      <c r="CK49" s="154">
        <f t="shared" si="170"/>
        <v>0</v>
      </c>
      <c r="CL49" s="154">
        <f t="shared" si="258"/>
        <v>0</v>
      </c>
      <c r="CM49" s="154">
        <f t="shared" si="172"/>
        <v>0</v>
      </c>
      <c r="CN49" s="154">
        <f t="shared" si="259"/>
        <v>0</v>
      </c>
      <c r="CO49" s="157">
        <f t="shared" si="174"/>
        <v>0</v>
      </c>
      <c r="CP49" s="154">
        <f t="shared" si="175"/>
        <v>0</v>
      </c>
      <c r="CQ49" s="158">
        <f t="shared" si="176"/>
        <v>0</v>
      </c>
      <c r="CR49" s="156">
        <f t="shared" si="277"/>
        <v>0</v>
      </c>
      <c r="CS49" s="154">
        <f t="shared" si="261"/>
        <v>0</v>
      </c>
      <c r="CT49" s="154">
        <f t="shared" si="179"/>
        <v>0</v>
      </c>
      <c r="CU49" s="154">
        <f t="shared" si="262"/>
        <v>0</v>
      </c>
      <c r="CV49" s="154">
        <f t="shared" si="181"/>
        <v>0</v>
      </c>
      <c r="CW49" s="154">
        <f t="shared" si="263"/>
        <v>0</v>
      </c>
      <c r="CX49" s="154">
        <f t="shared" si="183"/>
        <v>0</v>
      </c>
      <c r="CY49" s="154">
        <f t="shared" si="264"/>
        <v>0</v>
      </c>
      <c r="CZ49" s="154">
        <f t="shared" si="185"/>
        <v>0</v>
      </c>
      <c r="DA49" s="154">
        <f t="shared" si="265"/>
        <v>0</v>
      </c>
      <c r="DB49" s="157">
        <f t="shared" si="187"/>
        <v>0</v>
      </c>
      <c r="DC49" s="154">
        <f t="shared" si="188"/>
        <v>0</v>
      </c>
      <c r="DD49" s="158">
        <f t="shared" si="189"/>
        <v>0</v>
      </c>
      <c r="DE49" s="156">
        <f t="shared" si="277"/>
        <v>0</v>
      </c>
      <c r="DF49" s="154">
        <f t="shared" si="266"/>
        <v>0</v>
      </c>
      <c r="DG49" s="154">
        <f t="shared" si="192"/>
        <v>0</v>
      </c>
      <c r="DH49" s="154">
        <f t="shared" si="267"/>
        <v>0</v>
      </c>
      <c r="DI49" s="154">
        <f t="shared" si="194"/>
        <v>0</v>
      </c>
      <c r="DJ49" s="154">
        <f t="shared" si="268"/>
        <v>0</v>
      </c>
      <c r="DK49" s="154">
        <f t="shared" si="196"/>
        <v>0</v>
      </c>
      <c r="DL49" s="154">
        <f t="shared" si="269"/>
        <v>0</v>
      </c>
      <c r="DM49" s="154">
        <f t="shared" si="198"/>
        <v>0</v>
      </c>
      <c r="DN49" s="154">
        <f t="shared" si="270"/>
        <v>0</v>
      </c>
      <c r="DO49" s="157">
        <f t="shared" si="200"/>
        <v>0</v>
      </c>
      <c r="DP49" s="154">
        <f t="shared" si="201"/>
        <v>0</v>
      </c>
      <c r="DQ49" s="158">
        <f t="shared" si="202"/>
        <v>0</v>
      </c>
      <c r="DR49" s="156">
        <f t="shared" si="277"/>
        <v>0</v>
      </c>
      <c r="DS49" s="154">
        <f t="shared" si="271"/>
        <v>0</v>
      </c>
      <c r="DT49" s="154">
        <f t="shared" si="205"/>
        <v>0</v>
      </c>
      <c r="DU49" s="154">
        <f t="shared" si="272"/>
        <v>0</v>
      </c>
      <c r="DV49" s="154">
        <f t="shared" si="207"/>
        <v>0</v>
      </c>
      <c r="DW49" s="154">
        <f t="shared" si="273"/>
        <v>0</v>
      </c>
      <c r="DX49" s="154">
        <f t="shared" si="209"/>
        <v>0</v>
      </c>
      <c r="DY49" s="154">
        <f t="shared" si="274"/>
        <v>0</v>
      </c>
      <c r="DZ49" s="154">
        <f t="shared" si="211"/>
        <v>0</v>
      </c>
      <c r="EA49" s="154">
        <f t="shared" si="275"/>
        <v>0</v>
      </c>
      <c r="EB49" s="157">
        <f t="shared" si="213"/>
        <v>0</v>
      </c>
      <c r="EC49" s="154">
        <f t="shared" si="214"/>
        <v>0</v>
      </c>
      <c r="ED49" s="158">
        <f t="shared" si="215"/>
        <v>0</v>
      </c>
    </row>
    <row r="50" spans="1:134" x14ac:dyDescent="0.35">
      <c r="A50" s="183"/>
      <c r="B50" s="173"/>
      <c r="C50" s="173"/>
      <c r="D50" s="175"/>
      <c r="E50" s="176"/>
      <c r="F50" s="177"/>
      <c r="G50" s="178"/>
      <c r="H50" s="179"/>
      <c r="I50" s="180"/>
      <c r="J50" s="181"/>
      <c r="K50" s="152">
        <f t="shared" si="216"/>
        <v>0</v>
      </c>
      <c r="L50" s="153">
        <f t="shared" si="217"/>
        <v>0</v>
      </c>
      <c r="M50" s="154">
        <f t="shared" si="218"/>
        <v>0</v>
      </c>
      <c r="N50" s="154"/>
      <c r="O50" s="154">
        <f t="shared" si="219"/>
        <v>0</v>
      </c>
      <c r="P50" s="155"/>
      <c r="Q50" s="154">
        <f t="shared" si="220"/>
        <v>0</v>
      </c>
      <c r="R50" s="156">
        <f t="shared" si="221"/>
        <v>0</v>
      </c>
      <c r="S50" s="154">
        <f t="shared" si="222"/>
        <v>0</v>
      </c>
      <c r="T50" s="154">
        <f t="shared" si="223"/>
        <v>0</v>
      </c>
      <c r="U50" s="154">
        <f t="shared" si="224"/>
        <v>0</v>
      </c>
      <c r="V50" s="154">
        <f t="shared" si="225"/>
        <v>0</v>
      </c>
      <c r="W50" s="154">
        <f t="shared" si="226"/>
        <v>0</v>
      </c>
      <c r="X50" s="154">
        <f t="shared" si="227"/>
        <v>0</v>
      </c>
      <c r="Y50" s="154">
        <f t="shared" si="228"/>
        <v>0</v>
      </c>
      <c r="Z50" s="154">
        <f t="shared" si="229"/>
        <v>0</v>
      </c>
      <c r="AA50" s="154">
        <f t="shared" si="230"/>
        <v>0</v>
      </c>
      <c r="AB50" s="157">
        <f t="shared" si="231"/>
        <v>0</v>
      </c>
      <c r="AC50" s="154">
        <f t="shared" si="232"/>
        <v>0</v>
      </c>
      <c r="AD50" s="158">
        <f t="shared" si="233"/>
        <v>0</v>
      </c>
      <c r="AE50" s="156">
        <f t="shared" si="276"/>
        <v>0</v>
      </c>
      <c r="AF50" s="154">
        <f t="shared" si="235"/>
        <v>0</v>
      </c>
      <c r="AG50" s="154">
        <f t="shared" si="114"/>
        <v>0</v>
      </c>
      <c r="AH50" s="154">
        <f t="shared" si="236"/>
        <v>0</v>
      </c>
      <c r="AI50" s="154">
        <f t="shared" si="116"/>
        <v>0</v>
      </c>
      <c r="AJ50" s="154">
        <f t="shared" si="237"/>
        <v>0</v>
      </c>
      <c r="AK50" s="154">
        <f t="shared" si="118"/>
        <v>0</v>
      </c>
      <c r="AL50" s="154">
        <f t="shared" si="238"/>
        <v>0</v>
      </c>
      <c r="AM50" s="154">
        <f t="shared" si="120"/>
        <v>0</v>
      </c>
      <c r="AN50" s="154">
        <f t="shared" si="239"/>
        <v>0</v>
      </c>
      <c r="AO50" s="157">
        <f t="shared" si="122"/>
        <v>0</v>
      </c>
      <c r="AP50" s="154">
        <f t="shared" si="123"/>
        <v>0</v>
      </c>
      <c r="AQ50" s="158">
        <f t="shared" si="124"/>
        <v>0</v>
      </c>
      <c r="AR50" s="156">
        <f t="shared" si="276"/>
        <v>0</v>
      </c>
      <c r="AS50" s="154">
        <f t="shared" si="240"/>
        <v>0</v>
      </c>
      <c r="AT50" s="154">
        <f t="shared" si="127"/>
        <v>0</v>
      </c>
      <c r="AU50" s="154">
        <f t="shared" si="241"/>
        <v>0</v>
      </c>
      <c r="AV50" s="154">
        <f t="shared" si="129"/>
        <v>0</v>
      </c>
      <c r="AW50" s="154">
        <f t="shared" si="242"/>
        <v>0</v>
      </c>
      <c r="AX50" s="154">
        <f t="shared" si="131"/>
        <v>0</v>
      </c>
      <c r="AY50" s="154">
        <f t="shared" si="243"/>
        <v>0</v>
      </c>
      <c r="AZ50" s="154">
        <f t="shared" si="133"/>
        <v>0</v>
      </c>
      <c r="BA50" s="154">
        <f t="shared" si="244"/>
        <v>0</v>
      </c>
      <c r="BB50" s="157">
        <f t="shared" si="135"/>
        <v>0</v>
      </c>
      <c r="BC50" s="154">
        <f t="shared" si="136"/>
        <v>0</v>
      </c>
      <c r="BD50" s="158">
        <f t="shared" si="137"/>
        <v>0</v>
      </c>
      <c r="BE50" s="156">
        <f t="shared" si="276"/>
        <v>0</v>
      </c>
      <c r="BF50" s="154">
        <f t="shared" si="245"/>
        <v>0</v>
      </c>
      <c r="BG50" s="154">
        <f t="shared" si="140"/>
        <v>0</v>
      </c>
      <c r="BH50" s="154">
        <f t="shared" si="246"/>
        <v>0</v>
      </c>
      <c r="BI50" s="154">
        <f t="shared" si="142"/>
        <v>0</v>
      </c>
      <c r="BJ50" s="154">
        <f t="shared" si="247"/>
        <v>0</v>
      </c>
      <c r="BK50" s="154">
        <f t="shared" si="144"/>
        <v>0</v>
      </c>
      <c r="BL50" s="154">
        <f t="shared" si="248"/>
        <v>0</v>
      </c>
      <c r="BM50" s="154">
        <f t="shared" si="146"/>
        <v>0</v>
      </c>
      <c r="BN50" s="154">
        <f t="shared" si="249"/>
        <v>0</v>
      </c>
      <c r="BO50" s="157">
        <f t="shared" si="148"/>
        <v>0</v>
      </c>
      <c r="BP50" s="154">
        <f t="shared" si="149"/>
        <v>0</v>
      </c>
      <c r="BQ50" s="158">
        <f t="shared" si="150"/>
        <v>0</v>
      </c>
      <c r="BR50" s="156">
        <f t="shared" si="276"/>
        <v>0</v>
      </c>
      <c r="BS50" s="154">
        <f t="shared" si="250"/>
        <v>0</v>
      </c>
      <c r="BT50" s="154">
        <f t="shared" si="153"/>
        <v>0</v>
      </c>
      <c r="BU50" s="154">
        <f t="shared" si="251"/>
        <v>0</v>
      </c>
      <c r="BV50" s="154">
        <f t="shared" si="155"/>
        <v>0</v>
      </c>
      <c r="BW50" s="154">
        <f t="shared" si="252"/>
        <v>0</v>
      </c>
      <c r="BX50" s="154">
        <f t="shared" si="157"/>
        <v>0</v>
      </c>
      <c r="BY50" s="154">
        <f t="shared" si="253"/>
        <v>0</v>
      </c>
      <c r="BZ50" s="154">
        <f t="shared" si="159"/>
        <v>0</v>
      </c>
      <c r="CA50" s="154">
        <f t="shared" si="254"/>
        <v>0</v>
      </c>
      <c r="CB50" s="157">
        <f t="shared" si="161"/>
        <v>0</v>
      </c>
      <c r="CC50" s="154">
        <f t="shared" si="162"/>
        <v>0</v>
      </c>
      <c r="CD50" s="158">
        <f t="shared" si="163"/>
        <v>0</v>
      </c>
      <c r="CE50" s="156">
        <f t="shared" si="276"/>
        <v>0</v>
      </c>
      <c r="CF50" s="154">
        <f t="shared" si="255"/>
        <v>0</v>
      </c>
      <c r="CG50" s="154">
        <f t="shared" si="166"/>
        <v>0</v>
      </c>
      <c r="CH50" s="154">
        <f t="shared" si="256"/>
        <v>0</v>
      </c>
      <c r="CI50" s="154">
        <f t="shared" si="168"/>
        <v>0</v>
      </c>
      <c r="CJ50" s="154">
        <f t="shared" si="257"/>
        <v>0</v>
      </c>
      <c r="CK50" s="154">
        <f t="shared" si="170"/>
        <v>0</v>
      </c>
      <c r="CL50" s="154">
        <f t="shared" si="258"/>
        <v>0</v>
      </c>
      <c r="CM50" s="154">
        <f t="shared" si="172"/>
        <v>0</v>
      </c>
      <c r="CN50" s="154">
        <f t="shared" si="259"/>
        <v>0</v>
      </c>
      <c r="CO50" s="157">
        <f t="shared" si="174"/>
        <v>0</v>
      </c>
      <c r="CP50" s="154">
        <f t="shared" si="175"/>
        <v>0</v>
      </c>
      <c r="CQ50" s="158">
        <f t="shared" si="176"/>
        <v>0</v>
      </c>
      <c r="CR50" s="156">
        <f t="shared" si="277"/>
        <v>0</v>
      </c>
      <c r="CS50" s="154">
        <f t="shared" si="261"/>
        <v>0</v>
      </c>
      <c r="CT50" s="154">
        <f t="shared" si="179"/>
        <v>0</v>
      </c>
      <c r="CU50" s="154">
        <f t="shared" si="262"/>
        <v>0</v>
      </c>
      <c r="CV50" s="154">
        <f t="shared" si="181"/>
        <v>0</v>
      </c>
      <c r="CW50" s="154">
        <f t="shared" si="263"/>
        <v>0</v>
      </c>
      <c r="CX50" s="154">
        <f t="shared" si="183"/>
        <v>0</v>
      </c>
      <c r="CY50" s="154">
        <f t="shared" si="264"/>
        <v>0</v>
      </c>
      <c r="CZ50" s="154">
        <f t="shared" si="185"/>
        <v>0</v>
      </c>
      <c r="DA50" s="154">
        <f t="shared" si="265"/>
        <v>0</v>
      </c>
      <c r="DB50" s="157">
        <f t="shared" si="187"/>
        <v>0</v>
      </c>
      <c r="DC50" s="154">
        <f t="shared" si="188"/>
        <v>0</v>
      </c>
      <c r="DD50" s="158">
        <f t="shared" si="189"/>
        <v>0</v>
      </c>
      <c r="DE50" s="156">
        <f t="shared" si="277"/>
        <v>0</v>
      </c>
      <c r="DF50" s="154">
        <f t="shared" si="266"/>
        <v>0</v>
      </c>
      <c r="DG50" s="154">
        <f t="shared" si="192"/>
        <v>0</v>
      </c>
      <c r="DH50" s="154">
        <f t="shared" si="267"/>
        <v>0</v>
      </c>
      <c r="DI50" s="154">
        <f t="shared" si="194"/>
        <v>0</v>
      </c>
      <c r="DJ50" s="154">
        <f t="shared" si="268"/>
        <v>0</v>
      </c>
      <c r="DK50" s="154">
        <f t="shared" si="196"/>
        <v>0</v>
      </c>
      <c r="DL50" s="154">
        <f t="shared" si="269"/>
        <v>0</v>
      </c>
      <c r="DM50" s="154">
        <f t="shared" si="198"/>
        <v>0</v>
      </c>
      <c r="DN50" s="154">
        <f t="shared" si="270"/>
        <v>0</v>
      </c>
      <c r="DO50" s="157">
        <f t="shared" si="200"/>
        <v>0</v>
      </c>
      <c r="DP50" s="154">
        <f t="shared" si="201"/>
        <v>0</v>
      </c>
      <c r="DQ50" s="158">
        <f t="shared" si="202"/>
        <v>0</v>
      </c>
      <c r="DR50" s="156">
        <f t="shared" si="277"/>
        <v>0</v>
      </c>
      <c r="DS50" s="154">
        <f t="shared" si="271"/>
        <v>0</v>
      </c>
      <c r="DT50" s="154">
        <f t="shared" si="205"/>
        <v>0</v>
      </c>
      <c r="DU50" s="154">
        <f t="shared" si="272"/>
        <v>0</v>
      </c>
      <c r="DV50" s="154">
        <f t="shared" si="207"/>
        <v>0</v>
      </c>
      <c r="DW50" s="154">
        <f t="shared" si="273"/>
        <v>0</v>
      </c>
      <c r="DX50" s="154">
        <f t="shared" si="209"/>
        <v>0</v>
      </c>
      <c r="DY50" s="154">
        <f t="shared" si="274"/>
        <v>0</v>
      </c>
      <c r="DZ50" s="154">
        <f t="shared" si="211"/>
        <v>0</v>
      </c>
      <c r="EA50" s="154">
        <f t="shared" si="275"/>
        <v>0</v>
      </c>
      <c r="EB50" s="157">
        <f t="shared" si="213"/>
        <v>0</v>
      </c>
      <c r="EC50" s="154">
        <f t="shared" si="214"/>
        <v>0</v>
      </c>
      <c r="ED50" s="158">
        <f t="shared" si="215"/>
        <v>0</v>
      </c>
    </row>
    <row r="51" spans="1:134" x14ac:dyDescent="0.35">
      <c r="A51" s="183"/>
      <c r="B51" s="183"/>
      <c r="C51" s="183"/>
      <c r="D51" s="175"/>
      <c r="E51" s="176"/>
      <c r="F51" s="177"/>
      <c r="G51" s="178"/>
      <c r="H51" s="179"/>
      <c r="I51" s="180"/>
      <c r="J51" s="181"/>
      <c r="K51" s="152">
        <f t="shared" si="216"/>
        <v>0</v>
      </c>
      <c r="L51" s="153">
        <f t="shared" si="217"/>
        <v>0</v>
      </c>
      <c r="M51" s="154">
        <f t="shared" si="218"/>
        <v>0</v>
      </c>
      <c r="N51" s="154"/>
      <c r="O51" s="154">
        <f t="shared" si="219"/>
        <v>0</v>
      </c>
      <c r="P51" s="155"/>
      <c r="Q51" s="154">
        <f t="shared" si="220"/>
        <v>0</v>
      </c>
      <c r="R51" s="156">
        <f t="shared" si="221"/>
        <v>0</v>
      </c>
      <c r="S51" s="154">
        <f t="shared" si="222"/>
        <v>0</v>
      </c>
      <c r="T51" s="154">
        <f t="shared" si="223"/>
        <v>0</v>
      </c>
      <c r="U51" s="154">
        <f t="shared" si="224"/>
        <v>0</v>
      </c>
      <c r="V51" s="154">
        <f t="shared" si="225"/>
        <v>0</v>
      </c>
      <c r="W51" s="154">
        <f t="shared" si="226"/>
        <v>0</v>
      </c>
      <c r="X51" s="154">
        <f t="shared" si="227"/>
        <v>0</v>
      </c>
      <c r="Y51" s="154">
        <f t="shared" si="228"/>
        <v>0</v>
      </c>
      <c r="Z51" s="154">
        <f t="shared" si="229"/>
        <v>0</v>
      </c>
      <c r="AA51" s="154">
        <f t="shared" si="230"/>
        <v>0</v>
      </c>
      <c r="AB51" s="157">
        <f t="shared" si="231"/>
        <v>0</v>
      </c>
      <c r="AC51" s="154">
        <f t="shared" si="232"/>
        <v>0</v>
      </c>
      <c r="AD51" s="158">
        <f t="shared" si="233"/>
        <v>0</v>
      </c>
      <c r="AE51" s="156">
        <f t="shared" si="276"/>
        <v>0</v>
      </c>
      <c r="AF51" s="154">
        <f t="shared" si="235"/>
        <v>0</v>
      </c>
      <c r="AG51" s="154">
        <f t="shared" si="114"/>
        <v>0</v>
      </c>
      <c r="AH51" s="154">
        <f t="shared" si="236"/>
        <v>0</v>
      </c>
      <c r="AI51" s="154">
        <f t="shared" si="116"/>
        <v>0</v>
      </c>
      <c r="AJ51" s="154">
        <f t="shared" si="237"/>
        <v>0</v>
      </c>
      <c r="AK51" s="154">
        <f t="shared" si="118"/>
        <v>0</v>
      </c>
      <c r="AL51" s="154">
        <f t="shared" si="238"/>
        <v>0</v>
      </c>
      <c r="AM51" s="154">
        <f t="shared" si="120"/>
        <v>0</v>
      </c>
      <c r="AN51" s="154">
        <f t="shared" si="239"/>
        <v>0</v>
      </c>
      <c r="AO51" s="157">
        <f t="shared" si="122"/>
        <v>0</v>
      </c>
      <c r="AP51" s="154">
        <f t="shared" si="123"/>
        <v>0</v>
      </c>
      <c r="AQ51" s="158">
        <f t="shared" si="124"/>
        <v>0</v>
      </c>
      <c r="AR51" s="156">
        <f t="shared" si="276"/>
        <v>0</v>
      </c>
      <c r="AS51" s="154">
        <f t="shared" si="240"/>
        <v>0</v>
      </c>
      <c r="AT51" s="154">
        <f t="shared" si="127"/>
        <v>0</v>
      </c>
      <c r="AU51" s="154">
        <f t="shared" si="241"/>
        <v>0</v>
      </c>
      <c r="AV51" s="154">
        <f t="shared" si="129"/>
        <v>0</v>
      </c>
      <c r="AW51" s="154">
        <f t="shared" si="242"/>
        <v>0</v>
      </c>
      <c r="AX51" s="154">
        <f t="shared" si="131"/>
        <v>0</v>
      </c>
      <c r="AY51" s="154">
        <f t="shared" si="243"/>
        <v>0</v>
      </c>
      <c r="AZ51" s="154">
        <f t="shared" si="133"/>
        <v>0</v>
      </c>
      <c r="BA51" s="154">
        <f t="shared" si="244"/>
        <v>0</v>
      </c>
      <c r="BB51" s="157">
        <f t="shared" si="135"/>
        <v>0</v>
      </c>
      <c r="BC51" s="154">
        <f t="shared" si="136"/>
        <v>0</v>
      </c>
      <c r="BD51" s="158">
        <f t="shared" si="137"/>
        <v>0</v>
      </c>
      <c r="BE51" s="156">
        <f t="shared" si="276"/>
        <v>0</v>
      </c>
      <c r="BF51" s="154">
        <f t="shared" si="245"/>
        <v>0</v>
      </c>
      <c r="BG51" s="154">
        <f t="shared" si="140"/>
        <v>0</v>
      </c>
      <c r="BH51" s="154">
        <f t="shared" si="246"/>
        <v>0</v>
      </c>
      <c r="BI51" s="154">
        <f t="shared" si="142"/>
        <v>0</v>
      </c>
      <c r="BJ51" s="154">
        <f t="shared" si="247"/>
        <v>0</v>
      </c>
      <c r="BK51" s="154">
        <f t="shared" si="144"/>
        <v>0</v>
      </c>
      <c r="BL51" s="154">
        <f t="shared" si="248"/>
        <v>0</v>
      </c>
      <c r="BM51" s="154">
        <f t="shared" si="146"/>
        <v>0</v>
      </c>
      <c r="BN51" s="154">
        <f t="shared" si="249"/>
        <v>0</v>
      </c>
      <c r="BO51" s="157">
        <f t="shared" si="148"/>
        <v>0</v>
      </c>
      <c r="BP51" s="154">
        <f t="shared" si="149"/>
        <v>0</v>
      </c>
      <c r="BQ51" s="158">
        <f t="shared" si="150"/>
        <v>0</v>
      </c>
      <c r="BR51" s="156">
        <f t="shared" si="276"/>
        <v>0</v>
      </c>
      <c r="BS51" s="154">
        <f t="shared" si="250"/>
        <v>0</v>
      </c>
      <c r="BT51" s="154">
        <f t="shared" si="153"/>
        <v>0</v>
      </c>
      <c r="BU51" s="154">
        <f t="shared" si="251"/>
        <v>0</v>
      </c>
      <c r="BV51" s="154">
        <f t="shared" si="155"/>
        <v>0</v>
      </c>
      <c r="BW51" s="154">
        <f t="shared" si="252"/>
        <v>0</v>
      </c>
      <c r="BX51" s="154">
        <f t="shared" si="157"/>
        <v>0</v>
      </c>
      <c r="BY51" s="154">
        <f t="shared" si="253"/>
        <v>0</v>
      </c>
      <c r="BZ51" s="154">
        <f t="shared" si="159"/>
        <v>0</v>
      </c>
      <c r="CA51" s="154">
        <f t="shared" si="254"/>
        <v>0</v>
      </c>
      <c r="CB51" s="157">
        <f t="shared" si="161"/>
        <v>0</v>
      </c>
      <c r="CC51" s="154">
        <f t="shared" si="162"/>
        <v>0</v>
      </c>
      <c r="CD51" s="158">
        <f t="shared" si="163"/>
        <v>0</v>
      </c>
      <c r="CE51" s="156">
        <f t="shared" si="276"/>
        <v>0</v>
      </c>
      <c r="CF51" s="154">
        <f t="shared" si="255"/>
        <v>0</v>
      </c>
      <c r="CG51" s="154">
        <f t="shared" si="166"/>
        <v>0</v>
      </c>
      <c r="CH51" s="154">
        <f t="shared" si="256"/>
        <v>0</v>
      </c>
      <c r="CI51" s="154">
        <f t="shared" si="168"/>
        <v>0</v>
      </c>
      <c r="CJ51" s="154">
        <f t="shared" si="257"/>
        <v>0</v>
      </c>
      <c r="CK51" s="154">
        <f t="shared" si="170"/>
        <v>0</v>
      </c>
      <c r="CL51" s="154">
        <f t="shared" si="258"/>
        <v>0</v>
      </c>
      <c r="CM51" s="154">
        <f t="shared" si="172"/>
        <v>0</v>
      </c>
      <c r="CN51" s="154">
        <f t="shared" si="259"/>
        <v>0</v>
      </c>
      <c r="CO51" s="157">
        <f t="shared" si="174"/>
        <v>0</v>
      </c>
      <c r="CP51" s="154">
        <f t="shared" si="175"/>
        <v>0</v>
      </c>
      <c r="CQ51" s="158">
        <f t="shared" si="176"/>
        <v>0</v>
      </c>
      <c r="CR51" s="156">
        <f t="shared" si="277"/>
        <v>0</v>
      </c>
      <c r="CS51" s="154">
        <f t="shared" si="261"/>
        <v>0</v>
      </c>
      <c r="CT51" s="154">
        <f t="shared" si="179"/>
        <v>0</v>
      </c>
      <c r="CU51" s="154">
        <f t="shared" si="262"/>
        <v>0</v>
      </c>
      <c r="CV51" s="154">
        <f t="shared" si="181"/>
        <v>0</v>
      </c>
      <c r="CW51" s="154">
        <f t="shared" si="263"/>
        <v>0</v>
      </c>
      <c r="CX51" s="154">
        <f t="shared" si="183"/>
        <v>0</v>
      </c>
      <c r="CY51" s="154">
        <f t="shared" si="264"/>
        <v>0</v>
      </c>
      <c r="CZ51" s="154">
        <f t="shared" si="185"/>
        <v>0</v>
      </c>
      <c r="DA51" s="154">
        <f t="shared" si="265"/>
        <v>0</v>
      </c>
      <c r="DB51" s="157">
        <f t="shared" si="187"/>
        <v>0</v>
      </c>
      <c r="DC51" s="154">
        <f t="shared" si="188"/>
        <v>0</v>
      </c>
      <c r="DD51" s="158">
        <f t="shared" si="189"/>
        <v>0</v>
      </c>
      <c r="DE51" s="156">
        <f t="shared" si="277"/>
        <v>0</v>
      </c>
      <c r="DF51" s="154">
        <f t="shared" si="266"/>
        <v>0</v>
      </c>
      <c r="DG51" s="154">
        <f t="shared" si="192"/>
        <v>0</v>
      </c>
      <c r="DH51" s="154">
        <f t="shared" si="267"/>
        <v>0</v>
      </c>
      <c r="DI51" s="154">
        <f t="shared" si="194"/>
        <v>0</v>
      </c>
      <c r="DJ51" s="154">
        <f t="shared" si="268"/>
        <v>0</v>
      </c>
      <c r="DK51" s="154">
        <f t="shared" si="196"/>
        <v>0</v>
      </c>
      <c r="DL51" s="154">
        <f t="shared" si="269"/>
        <v>0</v>
      </c>
      <c r="DM51" s="154">
        <f t="shared" si="198"/>
        <v>0</v>
      </c>
      <c r="DN51" s="154">
        <f t="shared" si="270"/>
        <v>0</v>
      </c>
      <c r="DO51" s="157">
        <f t="shared" si="200"/>
        <v>0</v>
      </c>
      <c r="DP51" s="154">
        <f t="shared" si="201"/>
        <v>0</v>
      </c>
      <c r="DQ51" s="158">
        <f t="shared" si="202"/>
        <v>0</v>
      </c>
      <c r="DR51" s="156">
        <f t="shared" si="277"/>
        <v>0</v>
      </c>
      <c r="DS51" s="154">
        <f t="shared" si="271"/>
        <v>0</v>
      </c>
      <c r="DT51" s="154">
        <f t="shared" si="205"/>
        <v>0</v>
      </c>
      <c r="DU51" s="154">
        <f t="shared" si="272"/>
        <v>0</v>
      </c>
      <c r="DV51" s="154">
        <f t="shared" si="207"/>
        <v>0</v>
      </c>
      <c r="DW51" s="154">
        <f t="shared" si="273"/>
        <v>0</v>
      </c>
      <c r="DX51" s="154">
        <f t="shared" si="209"/>
        <v>0</v>
      </c>
      <c r="DY51" s="154">
        <f t="shared" si="274"/>
        <v>0</v>
      </c>
      <c r="DZ51" s="154">
        <f t="shared" si="211"/>
        <v>0</v>
      </c>
      <c r="EA51" s="154">
        <f t="shared" si="275"/>
        <v>0</v>
      </c>
      <c r="EB51" s="157">
        <f t="shared" si="213"/>
        <v>0</v>
      </c>
      <c r="EC51" s="154">
        <f t="shared" si="214"/>
        <v>0</v>
      </c>
      <c r="ED51" s="158">
        <f t="shared" si="215"/>
        <v>0</v>
      </c>
    </row>
    <row r="52" spans="1:134" x14ac:dyDescent="0.35">
      <c r="A52" s="183"/>
      <c r="B52" s="183"/>
      <c r="C52" s="183"/>
      <c r="D52" s="175"/>
      <c r="E52" s="176"/>
      <c r="F52" s="177"/>
      <c r="G52" s="178"/>
      <c r="H52" s="179"/>
      <c r="I52" s="180"/>
      <c r="J52" s="181"/>
      <c r="K52" s="152">
        <f t="shared" si="216"/>
        <v>0</v>
      </c>
      <c r="L52" s="153">
        <f t="shared" si="217"/>
        <v>0</v>
      </c>
      <c r="M52" s="154">
        <f t="shared" si="218"/>
        <v>0</v>
      </c>
      <c r="N52" s="154"/>
      <c r="O52" s="154">
        <f t="shared" si="219"/>
        <v>0</v>
      </c>
      <c r="P52" s="155"/>
      <c r="Q52" s="154">
        <f t="shared" si="220"/>
        <v>0</v>
      </c>
      <c r="R52" s="156">
        <f t="shared" si="221"/>
        <v>0</v>
      </c>
      <c r="S52" s="154">
        <f t="shared" si="222"/>
        <v>0</v>
      </c>
      <c r="T52" s="154">
        <f t="shared" si="223"/>
        <v>0</v>
      </c>
      <c r="U52" s="154">
        <f t="shared" si="224"/>
        <v>0</v>
      </c>
      <c r="V52" s="154">
        <f t="shared" si="225"/>
        <v>0</v>
      </c>
      <c r="W52" s="154">
        <f t="shared" si="226"/>
        <v>0</v>
      </c>
      <c r="X52" s="154">
        <f t="shared" si="227"/>
        <v>0</v>
      </c>
      <c r="Y52" s="154">
        <f t="shared" si="228"/>
        <v>0</v>
      </c>
      <c r="Z52" s="154">
        <f t="shared" si="229"/>
        <v>0</v>
      </c>
      <c r="AA52" s="154">
        <f t="shared" si="230"/>
        <v>0</v>
      </c>
      <c r="AB52" s="157">
        <f t="shared" si="231"/>
        <v>0</v>
      </c>
      <c r="AC52" s="154">
        <f t="shared" si="232"/>
        <v>0</v>
      </c>
      <c r="AD52" s="158">
        <f t="shared" si="233"/>
        <v>0</v>
      </c>
      <c r="AE52" s="156">
        <f t="shared" si="276"/>
        <v>0</v>
      </c>
      <c r="AF52" s="154">
        <f t="shared" si="235"/>
        <v>0</v>
      </c>
      <c r="AG52" s="154">
        <f t="shared" si="114"/>
        <v>0</v>
      </c>
      <c r="AH52" s="154">
        <f t="shared" si="236"/>
        <v>0</v>
      </c>
      <c r="AI52" s="154">
        <f t="shared" si="116"/>
        <v>0</v>
      </c>
      <c r="AJ52" s="154">
        <f t="shared" si="237"/>
        <v>0</v>
      </c>
      <c r="AK52" s="154">
        <f t="shared" si="118"/>
        <v>0</v>
      </c>
      <c r="AL52" s="154">
        <f t="shared" si="238"/>
        <v>0</v>
      </c>
      <c r="AM52" s="154">
        <f t="shared" si="120"/>
        <v>0</v>
      </c>
      <c r="AN52" s="154">
        <f t="shared" si="239"/>
        <v>0</v>
      </c>
      <c r="AO52" s="157">
        <f t="shared" si="122"/>
        <v>0</v>
      </c>
      <c r="AP52" s="154">
        <f t="shared" si="123"/>
        <v>0</v>
      </c>
      <c r="AQ52" s="158">
        <f t="shared" si="124"/>
        <v>0</v>
      </c>
      <c r="AR52" s="156">
        <f t="shared" si="276"/>
        <v>0</v>
      </c>
      <c r="AS52" s="154">
        <f t="shared" si="240"/>
        <v>0</v>
      </c>
      <c r="AT52" s="154">
        <f t="shared" si="127"/>
        <v>0</v>
      </c>
      <c r="AU52" s="154">
        <f t="shared" si="241"/>
        <v>0</v>
      </c>
      <c r="AV52" s="154">
        <f t="shared" si="129"/>
        <v>0</v>
      </c>
      <c r="AW52" s="154">
        <f t="shared" si="242"/>
        <v>0</v>
      </c>
      <c r="AX52" s="154">
        <f t="shared" si="131"/>
        <v>0</v>
      </c>
      <c r="AY52" s="154">
        <f t="shared" si="243"/>
        <v>0</v>
      </c>
      <c r="AZ52" s="154">
        <f t="shared" si="133"/>
        <v>0</v>
      </c>
      <c r="BA52" s="154">
        <f t="shared" si="244"/>
        <v>0</v>
      </c>
      <c r="BB52" s="157">
        <f t="shared" si="135"/>
        <v>0</v>
      </c>
      <c r="BC52" s="154">
        <f t="shared" si="136"/>
        <v>0</v>
      </c>
      <c r="BD52" s="158">
        <f t="shared" si="137"/>
        <v>0</v>
      </c>
      <c r="BE52" s="156">
        <f t="shared" si="276"/>
        <v>0</v>
      </c>
      <c r="BF52" s="154">
        <f t="shared" si="245"/>
        <v>0</v>
      </c>
      <c r="BG52" s="154">
        <f t="shared" si="140"/>
        <v>0</v>
      </c>
      <c r="BH52" s="154">
        <f t="shared" si="246"/>
        <v>0</v>
      </c>
      <c r="BI52" s="154">
        <f t="shared" si="142"/>
        <v>0</v>
      </c>
      <c r="BJ52" s="154">
        <f t="shared" si="247"/>
        <v>0</v>
      </c>
      <c r="BK52" s="154">
        <f t="shared" si="144"/>
        <v>0</v>
      </c>
      <c r="BL52" s="154">
        <f t="shared" si="248"/>
        <v>0</v>
      </c>
      <c r="BM52" s="154">
        <f t="shared" si="146"/>
        <v>0</v>
      </c>
      <c r="BN52" s="154">
        <f t="shared" si="249"/>
        <v>0</v>
      </c>
      <c r="BO52" s="157">
        <f t="shared" si="148"/>
        <v>0</v>
      </c>
      <c r="BP52" s="154">
        <f t="shared" si="149"/>
        <v>0</v>
      </c>
      <c r="BQ52" s="158">
        <f t="shared" si="150"/>
        <v>0</v>
      </c>
      <c r="BR52" s="156">
        <f t="shared" si="276"/>
        <v>0</v>
      </c>
      <c r="BS52" s="154">
        <f t="shared" si="250"/>
        <v>0</v>
      </c>
      <c r="BT52" s="154">
        <f t="shared" si="153"/>
        <v>0</v>
      </c>
      <c r="BU52" s="154">
        <f t="shared" si="251"/>
        <v>0</v>
      </c>
      <c r="BV52" s="154">
        <f t="shared" si="155"/>
        <v>0</v>
      </c>
      <c r="BW52" s="154">
        <f t="shared" si="252"/>
        <v>0</v>
      </c>
      <c r="BX52" s="154">
        <f t="shared" si="157"/>
        <v>0</v>
      </c>
      <c r="BY52" s="154">
        <f t="shared" si="253"/>
        <v>0</v>
      </c>
      <c r="BZ52" s="154">
        <f t="shared" si="159"/>
        <v>0</v>
      </c>
      <c r="CA52" s="154">
        <f t="shared" si="254"/>
        <v>0</v>
      </c>
      <c r="CB52" s="157">
        <f t="shared" si="161"/>
        <v>0</v>
      </c>
      <c r="CC52" s="154">
        <f t="shared" si="162"/>
        <v>0</v>
      </c>
      <c r="CD52" s="158">
        <f t="shared" si="163"/>
        <v>0</v>
      </c>
      <c r="CE52" s="156">
        <f t="shared" si="276"/>
        <v>0</v>
      </c>
      <c r="CF52" s="154">
        <f t="shared" si="255"/>
        <v>0</v>
      </c>
      <c r="CG52" s="154">
        <f t="shared" si="166"/>
        <v>0</v>
      </c>
      <c r="CH52" s="154">
        <f t="shared" si="256"/>
        <v>0</v>
      </c>
      <c r="CI52" s="154">
        <f t="shared" si="168"/>
        <v>0</v>
      </c>
      <c r="CJ52" s="154">
        <f t="shared" si="257"/>
        <v>0</v>
      </c>
      <c r="CK52" s="154">
        <f t="shared" si="170"/>
        <v>0</v>
      </c>
      <c r="CL52" s="154">
        <f t="shared" si="258"/>
        <v>0</v>
      </c>
      <c r="CM52" s="154">
        <f t="shared" si="172"/>
        <v>0</v>
      </c>
      <c r="CN52" s="154">
        <f t="shared" si="259"/>
        <v>0</v>
      </c>
      <c r="CO52" s="157">
        <f t="shared" si="174"/>
        <v>0</v>
      </c>
      <c r="CP52" s="154">
        <f t="shared" si="175"/>
        <v>0</v>
      </c>
      <c r="CQ52" s="158">
        <f t="shared" si="176"/>
        <v>0</v>
      </c>
      <c r="CR52" s="156">
        <f t="shared" si="277"/>
        <v>0</v>
      </c>
      <c r="CS52" s="154">
        <f t="shared" si="261"/>
        <v>0</v>
      </c>
      <c r="CT52" s="154">
        <f t="shared" si="179"/>
        <v>0</v>
      </c>
      <c r="CU52" s="154">
        <f t="shared" si="262"/>
        <v>0</v>
      </c>
      <c r="CV52" s="154">
        <f t="shared" si="181"/>
        <v>0</v>
      </c>
      <c r="CW52" s="154">
        <f t="shared" si="263"/>
        <v>0</v>
      </c>
      <c r="CX52" s="154">
        <f t="shared" si="183"/>
        <v>0</v>
      </c>
      <c r="CY52" s="154">
        <f t="shared" si="264"/>
        <v>0</v>
      </c>
      <c r="CZ52" s="154">
        <f t="shared" si="185"/>
        <v>0</v>
      </c>
      <c r="DA52" s="154">
        <f t="shared" si="265"/>
        <v>0</v>
      </c>
      <c r="DB52" s="157">
        <f t="shared" si="187"/>
        <v>0</v>
      </c>
      <c r="DC52" s="154">
        <f t="shared" si="188"/>
        <v>0</v>
      </c>
      <c r="DD52" s="158">
        <f t="shared" si="189"/>
        <v>0</v>
      </c>
      <c r="DE52" s="156">
        <f t="shared" si="277"/>
        <v>0</v>
      </c>
      <c r="DF52" s="154">
        <f t="shared" si="266"/>
        <v>0</v>
      </c>
      <c r="DG52" s="154">
        <f t="shared" si="192"/>
        <v>0</v>
      </c>
      <c r="DH52" s="154">
        <f t="shared" si="267"/>
        <v>0</v>
      </c>
      <c r="DI52" s="154">
        <f t="shared" si="194"/>
        <v>0</v>
      </c>
      <c r="DJ52" s="154">
        <f t="shared" si="268"/>
        <v>0</v>
      </c>
      <c r="DK52" s="154">
        <f t="shared" si="196"/>
        <v>0</v>
      </c>
      <c r="DL52" s="154">
        <f t="shared" si="269"/>
        <v>0</v>
      </c>
      <c r="DM52" s="154">
        <f t="shared" si="198"/>
        <v>0</v>
      </c>
      <c r="DN52" s="154">
        <f t="shared" si="270"/>
        <v>0</v>
      </c>
      <c r="DO52" s="157">
        <f t="shared" si="200"/>
        <v>0</v>
      </c>
      <c r="DP52" s="154">
        <f t="shared" si="201"/>
        <v>0</v>
      </c>
      <c r="DQ52" s="158">
        <f t="shared" si="202"/>
        <v>0</v>
      </c>
      <c r="DR52" s="156">
        <f t="shared" si="277"/>
        <v>0</v>
      </c>
      <c r="DS52" s="154">
        <f t="shared" si="271"/>
        <v>0</v>
      </c>
      <c r="DT52" s="154">
        <f t="shared" si="205"/>
        <v>0</v>
      </c>
      <c r="DU52" s="154">
        <f t="shared" si="272"/>
        <v>0</v>
      </c>
      <c r="DV52" s="154">
        <f t="shared" si="207"/>
        <v>0</v>
      </c>
      <c r="DW52" s="154">
        <f t="shared" si="273"/>
        <v>0</v>
      </c>
      <c r="DX52" s="154">
        <f t="shared" si="209"/>
        <v>0</v>
      </c>
      <c r="DY52" s="154">
        <f t="shared" si="274"/>
        <v>0</v>
      </c>
      <c r="DZ52" s="154">
        <f t="shared" si="211"/>
        <v>0</v>
      </c>
      <c r="EA52" s="154">
        <f t="shared" si="275"/>
        <v>0</v>
      </c>
      <c r="EB52" s="157">
        <f t="shared" si="213"/>
        <v>0</v>
      </c>
      <c r="EC52" s="154">
        <f t="shared" si="214"/>
        <v>0</v>
      </c>
      <c r="ED52" s="158">
        <f t="shared" si="215"/>
        <v>0</v>
      </c>
    </row>
    <row r="53" spans="1:134" x14ac:dyDescent="0.35">
      <c r="A53" s="183"/>
      <c r="B53" s="173"/>
      <c r="C53" s="173"/>
      <c r="D53" s="175"/>
      <c r="E53" s="176"/>
      <c r="F53" s="177"/>
      <c r="G53" s="178"/>
      <c r="H53" s="179"/>
      <c r="I53" s="180"/>
      <c r="J53" s="181"/>
      <c r="K53" s="152">
        <f t="shared" si="216"/>
        <v>0</v>
      </c>
      <c r="L53" s="153">
        <f t="shared" si="217"/>
        <v>0</v>
      </c>
      <c r="M53" s="154">
        <f t="shared" si="218"/>
        <v>0</v>
      </c>
      <c r="N53" s="154"/>
      <c r="O53" s="154">
        <f t="shared" si="219"/>
        <v>0</v>
      </c>
      <c r="P53" s="155"/>
      <c r="Q53" s="154">
        <f t="shared" si="220"/>
        <v>0</v>
      </c>
      <c r="R53" s="156">
        <f t="shared" si="221"/>
        <v>0</v>
      </c>
      <c r="S53" s="154">
        <f t="shared" si="222"/>
        <v>0</v>
      </c>
      <c r="T53" s="154">
        <f t="shared" si="223"/>
        <v>0</v>
      </c>
      <c r="U53" s="154">
        <f t="shared" si="224"/>
        <v>0</v>
      </c>
      <c r="V53" s="154">
        <f t="shared" si="225"/>
        <v>0</v>
      </c>
      <c r="W53" s="154">
        <f t="shared" si="226"/>
        <v>0</v>
      </c>
      <c r="X53" s="154">
        <f t="shared" si="227"/>
        <v>0</v>
      </c>
      <c r="Y53" s="154">
        <f t="shared" si="228"/>
        <v>0</v>
      </c>
      <c r="Z53" s="154">
        <f t="shared" si="229"/>
        <v>0</v>
      </c>
      <c r="AA53" s="154">
        <f t="shared" si="230"/>
        <v>0</v>
      </c>
      <c r="AB53" s="157">
        <f t="shared" si="231"/>
        <v>0</v>
      </c>
      <c r="AC53" s="154">
        <f t="shared" si="232"/>
        <v>0</v>
      </c>
      <c r="AD53" s="158">
        <f t="shared" si="233"/>
        <v>0</v>
      </c>
      <c r="AE53" s="156">
        <f t="shared" ref="AE53:CE68" si="278">IF(YEAR($F53)=AE$4,$E53,0)</f>
        <v>0</v>
      </c>
      <c r="AF53" s="154">
        <f t="shared" si="235"/>
        <v>0</v>
      </c>
      <c r="AG53" s="154">
        <f t="shared" si="114"/>
        <v>0</v>
      </c>
      <c r="AH53" s="154">
        <f t="shared" si="236"/>
        <v>0</v>
      </c>
      <c r="AI53" s="154">
        <f t="shared" si="116"/>
        <v>0</v>
      </c>
      <c r="AJ53" s="154">
        <f t="shared" si="237"/>
        <v>0</v>
      </c>
      <c r="AK53" s="154">
        <f t="shared" si="118"/>
        <v>0</v>
      </c>
      <c r="AL53" s="154">
        <f t="shared" si="238"/>
        <v>0</v>
      </c>
      <c r="AM53" s="154">
        <f t="shared" si="120"/>
        <v>0</v>
      </c>
      <c r="AN53" s="154">
        <f t="shared" si="239"/>
        <v>0</v>
      </c>
      <c r="AO53" s="157">
        <f t="shared" si="122"/>
        <v>0</v>
      </c>
      <c r="AP53" s="154">
        <f t="shared" si="123"/>
        <v>0</v>
      </c>
      <c r="AQ53" s="158">
        <f t="shared" si="124"/>
        <v>0</v>
      </c>
      <c r="AR53" s="156">
        <f t="shared" si="278"/>
        <v>0</v>
      </c>
      <c r="AS53" s="154">
        <f t="shared" si="240"/>
        <v>0</v>
      </c>
      <c r="AT53" s="154">
        <f t="shared" si="127"/>
        <v>0</v>
      </c>
      <c r="AU53" s="154">
        <f t="shared" si="241"/>
        <v>0</v>
      </c>
      <c r="AV53" s="154">
        <f t="shared" si="129"/>
        <v>0</v>
      </c>
      <c r="AW53" s="154">
        <f t="shared" si="242"/>
        <v>0</v>
      </c>
      <c r="AX53" s="154">
        <f t="shared" si="131"/>
        <v>0</v>
      </c>
      <c r="AY53" s="154">
        <f t="shared" si="243"/>
        <v>0</v>
      </c>
      <c r="AZ53" s="154">
        <f t="shared" si="133"/>
        <v>0</v>
      </c>
      <c r="BA53" s="154">
        <f t="shared" si="244"/>
        <v>0</v>
      </c>
      <c r="BB53" s="157">
        <f t="shared" si="135"/>
        <v>0</v>
      </c>
      <c r="BC53" s="154">
        <f t="shared" si="136"/>
        <v>0</v>
      </c>
      <c r="BD53" s="158">
        <f t="shared" si="137"/>
        <v>0</v>
      </c>
      <c r="BE53" s="156">
        <f t="shared" si="278"/>
        <v>0</v>
      </c>
      <c r="BF53" s="154">
        <f t="shared" si="245"/>
        <v>0</v>
      </c>
      <c r="BG53" s="154">
        <f t="shared" si="140"/>
        <v>0</v>
      </c>
      <c r="BH53" s="154">
        <f t="shared" si="246"/>
        <v>0</v>
      </c>
      <c r="BI53" s="154">
        <f t="shared" si="142"/>
        <v>0</v>
      </c>
      <c r="BJ53" s="154">
        <f t="shared" si="247"/>
        <v>0</v>
      </c>
      <c r="BK53" s="154">
        <f t="shared" si="144"/>
        <v>0</v>
      </c>
      <c r="BL53" s="154">
        <f t="shared" si="248"/>
        <v>0</v>
      </c>
      <c r="BM53" s="154">
        <f t="shared" si="146"/>
        <v>0</v>
      </c>
      <c r="BN53" s="154">
        <f t="shared" si="249"/>
        <v>0</v>
      </c>
      <c r="BO53" s="157">
        <f t="shared" si="148"/>
        <v>0</v>
      </c>
      <c r="BP53" s="154">
        <f t="shared" si="149"/>
        <v>0</v>
      </c>
      <c r="BQ53" s="158">
        <f t="shared" si="150"/>
        <v>0</v>
      </c>
      <c r="BR53" s="156">
        <f t="shared" si="278"/>
        <v>0</v>
      </c>
      <c r="BS53" s="154">
        <f t="shared" si="250"/>
        <v>0</v>
      </c>
      <c r="BT53" s="154">
        <f t="shared" si="153"/>
        <v>0</v>
      </c>
      <c r="BU53" s="154">
        <f t="shared" si="251"/>
        <v>0</v>
      </c>
      <c r="BV53" s="154">
        <f t="shared" si="155"/>
        <v>0</v>
      </c>
      <c r="BW53" s="154">
        <f t="shared" si="252"/>
        <v>0</v>
      </c>
      <c r="BX53" s="154">
        <f t="shared" si="157"/>
        <v>0</v>
      </c>
      <c r="BY53" s="154">
        <f t="shared" si="253"/>
        <v>0</v>
      </c>
      <c r="BZ53" s="154">
        <f t="shared" si="159"/>
        <v>0</v>
      </c>
      <c r="CA53" s="154">
        <f t="shared" si="254"/>
        <v>0</v>
      </c>
      <c r="CB53" s="157">
        <f t="shared" si="161"/>
        <v>0</v>
      </c>
      <c r="CC53" s="154">
        <f t="shared" si="162"/>
        <v>0</v>
      </c>
      <c r="CD53" s="158">
        <f t="shared" si="163"/>
        <v>0</v>
      </c>
      <c r="CE53" s="156">
        <f t="shared" si="278"/>
        <v>0</v>
      </c>
      <c r="CF53" s="154">
        <f t="shared" si="255"/>
        <v>0</v>
      </c>
      <c r="CG53" s="154">
        <f t="shared" si="166"/>
        <v>0</v>
      </c>
      <c r="CH53" s="154">
        <f t="shared" si="256"/>
        <v>0</v>
      </c>
      <c r="CI53" s="154">
        <f t="shared" si="168"/>
        <v>0</v>
      </c>
      <c r="CJ53" s="154">
        <f t="shared" si="257"/>
        <v>0</v>
      </c>
      <c r="CK53" s="154">
        <f t="shared" si="170"/>
        <v>0</v>
      </c>
      <c r="CL53" s="154">
        <f t="shared" si="258"/>
        <v>0</v>
      </c>
      <c r="CM53" s="154">
        <f t="shared" si="172"/>
        <v>0</v>
      </c>
      <c r="CN53" s="154">
        <f t="shared" si="259"/>
        <v>0</v>
      </c>
      <c r="CO53" s="157">
        <f t="shared" si="174"/>
        <v>0</v>
      </c>
      <c r="CP53" s="154">
        <f t="shared" si="175"/>
        <v>0</v>
      </c>
      <c r="CQ53" s="158">
        <f t="shared" si="176"/>
        <v>0</v>
      </c>
      <c r="CR53" s="156">
        <f t="shared" ref="CR53:DR68" si="279">IF(YEAR($F53)=CR$4,$E53,0)</f>
        <v>0</v>
      </c>
      <c r="CS53" s="154">
        <f t="shared" si="261"/>
        <v>0</v>
      </c>
      <c r="CT53" s="154">
        <f t="shared" si="179"/>
        <v>0</v>
      </c>
      <c r="CU53" s="154">
        <f t="shared" si="262"/>
        <v>0</v>
      </c>
      <c r="CV53" s="154">
        <f t="shared" si="181"/>
        <v>0</v>
      </c>
      <c r="CW53" s="154">
        <f t="shared" si="263"/>
        <v>0</v>
      </c>
      <c r="CX53" s="154">
        <f t="shared" si="183"/>
        <v>0</v>
      </c>
      <c r="CY53" s="154">
        <f t="shared" si="264"/>
        <v>0</v>
      </c>
      <c r="CZ53" s="154">
        <f t="shared" si="185"/>
        <v>0</v>
      </c>
      <c r="DA53" s="154">
        <f t="shared" si="265"/>
        <v>0</v>
      </c>
      <c r="DB53" s="157">
        <f t="shared" si="187"/>
        <v>0</v>
      </c>
      <c r="DC53" s="154">
        <f t="shared" si="188"/>
        <v>0</v>
      </c>
      <c r="DD53" s="158">
        <f t="shared" si="189"/>
        <v>0</v>
      </c>
      <c r="DE53" s="156">
        <f t="shared" si="279"/>
        <v>0</v>
      </c>
      <c r="DF53" s="154">
        <f t="shared" si="266"/>
        <v>0</v>
      </c>
      <c r="DG53" s="154">
        <f t="shared" si="192"/>
        <v>0</v>
      </c>
      <c r="DH53" s="154">
        <f t="shared" si="267"/>
        <v>0</v>
      </c>
      <c r="DI53" s="154">
        <f t="shared" si="194"/>
        <v>0</v>
      </c>
      <c r="DJ53" s="154">
        <f t="shared" si="268"/>
        <v>0</v>
      </c>
      <c r="DK53" s="154">
        <f t="shared" si="196"/>
        <v>0</v>
      </c>
      <c r="DL53" s="154">
        <f t="shared" si="269"/>
        <v>0</v>
      </c>
      <c r="DM53" s="154">
        <f t="shared" si="198"/>
        <v>0</v>
      </c>
      <c r="DN53" s="154">
        <f t="shared" si="270"/>
        <v>0</v>
      </c>
      <c r="DO53" s="157">
        <f t="shared" si="200"/>
        <v>0</v>
      </c>
      <c r="DP53" s="154">
        <f t="shared" si="201"/>
        <v>0</v>
      </c>
      <c r="DQ53" s="158">
        <f t="shared" si="202"/>
        <v>0</v>
      </c>
      <c r="DR53" s="156">
        <f t="shared" si="279"/>
        <v>0</v>
      </c>
      <c r="DS53" s="154">
        <f t="shared" si="271"/>
        <v>0</v>
      </c>
      <c r="DT53" s="154">
        <f t="shared" si="205"/>
        <v>0</v>
      </c>
      <c r="DU53" s="154">
        <f t="shared" si="272"/>
        <v>0</v>
      </c>
      <c r="DV53" s="154">
        <f t="shared" si="207"/>
        <v>0</v>
      </c>
      <c r="DW53" s="154">
        <f t="shared" si="273"/>
        <v>0</v>
      </c>
      <c r="DX53" s="154">
        <f t="shared" si="209"/>
        <v>0</v>
      </c>
      <c r="DY53" s="154">
        <f t="shared" si="274"/>
        <v>0</v>
      </c>
      <c r="DZ53" s="154">
        <f t="shared" si="211"/>
        <v>0</v>
      </c>
      <c r="EA53" s="154">
        <f t="shared" si="275"/>
        <v>0</v>
      </c>
      <c r="EB53" s="157">
        <f t="shared" si="213"/>
        <v>0</v>
      </c>
      <c r="EC53" s="154">
        <f t="shared" si="214"/>
        <v>0</v>
      </c>
      <c r="ED53" s="158">
        <f t="shared" si="215"/>
        <v>0</v>
      </c>
    </row>
    <row r="54" spans="1:134" x14ac:dyDescent="0.35">
      <c r="A54" s="183"/>
      <c r="B54" s="183"/>
      <c r="C54" s="183"/>
      <c r="D54" s="175"/>
      <c r="E54" s="176"/>
      <c r="F54" s="177"/>
      <c r="G54" s="178"/>
      <c r="H54" s="179"/>
      <c r="I54" s="180"/>
      <c r="J54" s="181"/>
      <c r="K54" s="152">
        <f t="shared" si="216"/>
        <v>0</v>
      </c>
      <c r="L54" s="153">
        <f t="shared" si="217"/>
        <v>0</v>
      </c>
      <c r="M54" s="154">
        <f t="shared" si="218"/>
        <v>0</v>
      </c>
      <c r="N54" s="154"/>
      <c r="O54" s="154">
        <f t="shared" si="219"/>
        <v>0</v>
      </c>
      <c r="P54" s="155"/>
      <c r="Q54" s="154">
        <f t="shared" si="220"/>
        <v>0</v>
      </c>
      <c r="R54" s="156">
        <f t="shared" si="221"/>
        <v>0</v>
      </c>
      <c r="S54" s="154">
        <f t="shared" si="222"/>
        <v>0</v>
      </c>
      <c r="T54" s="154">
        <f t="shared" si="223"/>
        <v>0</v>
      </c>
      <c r="U54" s="154">
        <f t="shared" si="224"/>
        <v>0</v>
      </c>
      <c r="V54" s="154">
        <f t="shared" si="225"/>
        <v>0</v>
      </c>
      <c r="W54" s="154">
        <f t="shared" si="226"/>
        <v>0</v>
      </c>
      <c r="X54" s="154">
        <f t="shared" si="227"/>
        <v>0</v>
      </c>
      <c r="Y54" s="154">
        <f t="shared" si="228"/>
        <v>0</v>
      </c>
      <c r="Z54" s="154">
        <f t="shared" si="229"/>
        <v>0</v>
      </c>
      <c r="AA54" s="154">
        <f t="shared" si="230"/>
        <v>0</v>
      </c>
      <c r="AB54" s="157">
        <f t="shared" si="231"/>
        <v>0</v>
      </c>
      <c r="AC54" s="154">
        <f t="shared" si="232"/>
        <v>0</v>
      </c>
      <c r="AD54" s="158">
        <f t="shared" si="233"/>
        <v>0</v>
      </c>
      <c r="AE54" s="156">
        <f t="shared" si="278"/>
        <v>0</v>
      </c>
      <c r="AF54" s="154">
        <f t="shared" si="235"/>
        <v>0</v>
      </c>
      <c r="AG54" s="154">
        <f t="shared" si="114"/>
        <v>0</v>
      </c>
      <c r="AH54" s="154">
        <f t="shared" si="236"/>
        <v>0</v>
      </c>
      <c r="AI54" s="154">
        <f t="shared" si="116"/>
        <v>0</v>
      </c>
      <c r="AJ54" s="154">
        <f t="shared" si="237"/>
        <v>0</v>
      </c>
      <c r="AK54" s="154">
        <f t="shared" si="118"/>
        <v>0</v>
      </c>
      <c r="AL54" s="154">
        <f t="shared" si="238"/>
        <v>0</v>
      </c>
      <c r="AM54" s="154">
        <f t="shared" si="120"/>
        <v>0</v>
      </c>
      <c r="AN54" s="154">
        <f t="shared" si="239"/>
        <v>0</v>
      </c>
      <c r="AO54" s="157">
        <f t="shared" si="122"/>
        <v>0</v>
      </c>
      <c r="AP54" s="154">
        <f t="shared" si="123"/>
        <v>0</v>
      </c>
      <c r="AQ54" s="158">
        <f t="shared" si="124"/>
        <v>0</v>
      </c>
      <c r="AR54" s="156">
        <f t="shared" si="278"/>
        <v>0</v>
      </c>
      <c r="AS54" s="154">
        <f t="shared" si="240"/>
        <v>0</v>
      </c>
      <c r="AT54" s="154">
        <f t="shared" si="127"/>
        <v>0</v>
      </c>
      <c r="AU54" s="154">
        <f t="shared" si="241"/>
        <v>0</v>
      </c>
      <c r="AV54" s="154">
        <f t="shared" si="129"/>
        <v>0</v>
      </c>
      <c r="AW54" s="154">
        <f t="shared" si="242"/>
        <v>0</v>
      </c>
      <c r="AX54" s="154">
        <f t="shared" si="131"/>
        <v>0</v>
      </c>
      <c r="AY54" s="154">
        <f t="shared" si="243"/>
        <v>0</v>
      </c>
      <c r="AZ54" s="154">
        <f t="shared" si="133"/>
        <v>0</v>
      </c>
      <c r="BA54" s="154">
        <f t="shared" si="244"/>
        <v>0</v>
      </c>
      <c r="BB54" s="157">
        <f t="shared" si="135"/>
        <v>0</v>
      </c>
      <c r="BC54" s="154">
        <f t="shared" si="136"/>
        <v>0</v>
      </c>
      <c r="BD54" s="158">
        <f t="shared" si="137"/>
        <v>0</v>
      </c>
      <c r="BE54" s="156">
        <f t="shared" si="278"/>
        <v>0</v>
      </c>
      <c r="BF54" s="154">
        <f t="shared" si="245"/>
        <v>0</v>
      </c>
      <c r="BG54" s="154">
        <f t="shared" si="140"/>
        <v>0</v>
      </c>
      <c r="BH54" s="154">
        <f t="shared" si="246"/>
        <v>0</v>
      </c>
      <c r="BI54" s="154">
        <f t="shared" si="142"/>
        <v>0</v>
      </c>
      <c r="BJ54" s="154">
        <f t="shared" si="247"/>
        <v>0</v>
      </c>
      <c r="BK54" s="154">
        <f t="shared" si="144"/>
        <v>0</v>
      </c>
      <c r="BL54" s="154">
        <f t="shared" si="248"/>
        <v>0</v>
      </c>
      <c r="BM54" s="154">
        <f t="shared" si="146"/>
        <v>0</v>
      </c>
      <c r="BN54" s="154">
        <f t="shared" si="249"/>
        <v>0</v>
      </c>
      <c r="BO54" s="157">
        <f t="shared" si="148"/>
        <v>0</v>
      </c>
      <c r="BP54" s="154">
        <f t="shared" si="149"/>
        <v>0</v>
      </c>
      <c r="BQ54" s="158">
        <f t="shared" si="150"/>
        <v>0</v>
      </c>
      <c r="BR54" s="156">
        <f t="shared" si="278"/>
        <v>0</v>
      </c>
      <c r="BS54" s="154">
        <f t="shared" si="250"/>
        <v>0</v>
      </c>
      <c r="BT54" s="154">
        <f t="shared" si="153"/>
        <v>0</v>
      </c>
      <c r="BU54" s="154">
        <f t="shared" si="251"/>
        <v>0</v>
      </c>
      <c r="BV54" s="154">
        <f t="shared" si="155"/>
        <v>0</v>
      </c>
      <c r="BW54" s="154">
        <f t="shared" si="252"/>
        <v>0</v>
      </c>
      <c r="BX54" s="154">
        <f t="shared" si="157"/>
        <v>0</v>
      </c>
      <c r="BY54" s="154">
        <f t="shared" si="253"/>
        <v>0</v>
      </c>
      <c r="BZ54" s="154">
        <f t="shared" si="159"/>
        <v>0</v>
      </c>
      <c r="CA54" s="154">
        <f t="shared" si="254"/>
        <v>0</v>
      </c>
      <c r="CB54" s="157">
        <f t="shared" si="161"/>
        <v>0</v>
      </c>
      <c r="CC54" s="154">
        <f t="shared" si="162"/>
        <v>0</v>
      </c>
      <c r="CD54" s="158">
        <f t="shared" si="163"/>
        <v>0</v>
      </c>
      <c r="CE54" s="156">
        <f t="shared" si="278"/>
        <v>0</v>
      </c>
      <c r="CF54" s="154">
        <f t="shared" si="255"/>
        <v>0</v>
      </c>
      <c r="CG54" s="154">
        <f t="shared" si="166"/>
        <v>0</v>
      </c>
      <c r="CH54" s="154">
        <f t="shared" si="256"/>
        <v>0</v>
      </c>
      <c r="CI54" s="154">
        <f t="shared" si="168"/>
        <v>0</v>
      </c>
      <c r="CJ54" s="154">
        <f t="shared" si="257"/>
        <v>0</v>
      </c>
      <c r="CK54" s="154">
        <f t="shared" si="170"/>
        <v>0</v>
      </c>
      <c r="CL54" s="154">
        <f t="shared" si="258"/>
        <v>0</v>
      </c>
      <c r="CM54" s="154">
        <f t="shared" si="172"/>
        <v>0</v>
      </c>
      <c r="CN54" s="154">
        <f t="shared" si="259"/>
        <v>0</v>
      </c>
      <c r="CO54" s="157">
        <f t="shared" si="174"/>
        <v>0</v>
      </c>
      <c r="CP54" s="154">
        <f t="shared" si="175"/>
        <v>0</v>
      </c>
      <c r="CQ54" s="158">
        <f t="shared" si="176"/>
        <v>0</v>
      </c>
      <c r="CR54" s="156">
        <f t="shared" si="279"/>
        <v>0</v>
      </c>
      <c r="CS54" s="154">
        <f t="shared" si="261"/>
        <v>0</v>
      </c>
      <c r="CT54" s="154">
        <f t="shared" si="179"/>
        <v>0</v>
      </c>
      <c r="CU54" s="154">
        <f t="shared" si="262"/>
        <v>0</v>
      </c>
      <c r="CV54" s="154">
        <f t="shared" si="181"/>
        <v>0</v>
      </c>
      <c r="CW54" s="154">
        <f t="shared" si="263"/>
        <v>0</v>
      </c>
      <c r="CX54" s="154">
        <f t="shared" si="183"/>
        <v>0</v>
      </c>
      <c r="CY54" s="154">
        <f t="shared" si="264"/>
        <v>0</v>
      </c>
      <c r="CZ54" s="154">
        <f t="shared" si="185"/>
        <v>0</v>
      </c>
      <c r="DA54" s="154">
        <f t="shared" si="265"/>
        <v>0</v>
      </c>
      <c r="DB54" s="157">
        <f t="shared" si="187"/>
        <v>0</v>
      </c>
      <c r="DC54" s="154">
        <f t="shared" si="188"/>
        <v>0</v>
      </c>
      <c r="DD54" s="158">
        <f t="shared" si="189"/>
        <v>0</v>
      </c>
      <c r="DE54" s="156">
        <f t="shared" si="279"/>
        <v>0</v>
      </c>
      <c r="DF54" s="154">
        <f t="shared" si="266"/>
        <v>0</v>
      </c>
      <c r="DG54" s="154">
        <f t="shared" si="192"/>
        <v>0</v>
      </c>
      <c r="DH54" s="154">
        <f t="shared" si="267"/>
        <v>0</v>
      </c>
      <c r="DI54" s="154">
        <f t="shared" si="194"/>
        <v>0</v>
      </c>
      <c r="DJ54" s="154">
        <f t="shared" si="268"/>
        <v>0</v>
      </c>
      <c r="DK54" s="154">
        <f t="shared" si="196"/>
        <v>0</v>
      </c>
      <c r="DL54" s="154">
        <f t="shared" si="269"/>
        <v>0</v>
      </c>
      <c r="DM54" s="154">
        <f t="shared" si="198"/>
        <v>0</v>
      </c>
      <c r="DN54" s="154">
        <f t="shared" si="270"/>
        <v>0</v>
      </c>
      <c r="DO54" s="157">
        <f t="shared" si="200"/>
        <v>0</v>
      </c>
      <c r="DP54" s="154">
        <f t="shared" si="201"/>
        <v>0</v>
      </c>
      <c r="DQ54" s="158">
        <f t="shared" si="202"/>
        <v>0</v>
      </c>
      <c r="DR54" s="156">
        <f t="shared" si="279"/>
        <v>0</v>
      </c>
      <c r="DS54" s="154">
        <f t="shared" si="271"/>
        <v>0</v>
      </c>
      <c r="DT54" s="154">
        <f t="shared" si="205"/>
        <v>0</v>
      </c>
      <c r="DU54" s="154">
        <f t="shared" si="272"/>
        <v>0</v>
      </c>
      <c r="DV54" s="154">
        <f t="shared" si="207"/>
        <v>0</v>
      </c>
      <c r="DW54" s="154">
        <f t="shared" si="273"/>
        <v>0</v>
      </c>
      <c r="DX54" s="154">
        <f t="shared" si="209"/>
        <v>0</v>
      </c>
      <c r="DY54" s="154">
        <f t="shared" si="274"/>
        <v>0</v>
      </c>
      <c r="DZ54" s="154">
        <f t="shared" si="211"/>
        <v>0</v>
      </c>
      <c r="EA54" s="154">
        <f t="shared" si="275"/>
        <v>0</v>
      </c>
      <c r="EB54" s="157">
        <f t="shared" si="213"/>
        <v>0</v>
      </c>
      <c r="EC54" s="154">
        <f t="shared" si="214"/>
        <v>0</v>
      </c>
      <c r="ED54" s="158">
        <f t="shared" si="215"/>
        <v>0</v>
      </c>
    </row>
    <row r="55" spans="1:134" x14ac:dyDescent="0.35">
      <c r="A55" s="183"/>
      <c r="B55" s="173"/>
      <c r="C55" s="173"/>
      <c r="D55" s="175"/>
      <c r="E55" s="176"/>
      <c r="F55" s="177"/>
      <c r="G55" s="178"/>
      <c r="H55" s="179"/>
      <c r="I55" s="180"/>
      <c r="J55" s="181"/>
      <c r="K55" s="152">
        <f t="shared" si="216"/>
        <v>0</v>
      </c>
      <c r="L55" s="153">
        <f t="shared" si="217"/>
        <v>0</v>
      </c>
      <c r="M55" s="154">
        <f t="shared" si="218"/>
        <v>0</v>
      </c>
      <c r="N55" s="154"/>
      <c r="O55" s="154">
        <f t="shared" si="219"/>
        <v>0</v>
      </c>
      <c r="P55" s="155"/>
      <c r="Q55" s="154">
        <f t="shared" si="220"/>
        <v>0</v>
      </c>
      <c r="R55" s="156">
        <f t="shared" si="221"/>
        <v>0</v>
      </c>
      <c r="S55" s="154">
        <f t="shared" si="222"/>
        <v>0</v>
      </c>
      <c r="T55" s="154">
        <f t="shared" si="223"/>
        <v>0</v>
      </c>
      <c r="U55" s="154">
        <f t="shared" si="224"/>
        <v>0</v>
      </c>
      <c r="V55" s="154">
        <f t="shared" si="225"/>
        <v>0</v>
      </c>
      <c r="W55" s="154">
        <f t="shared" si="226"/>
        <v>0</v>
      </c>
      <c r="X55" s="154">
        <f t="shared" si="227"/>
        <v>0</v>
      </c>
      <c r="Y55" s="154">
        <f t="shared" si="228"/>
        <v>0</v>
      </c>
      <c r="Z55" s="154">
        <f t="shared" si="229"/>
        <v>0</v>
      </c>
      <c r="AA55" s="154">
        <f t="shared" si="230"/>
        <v>0</v>
      </c>
      <c r="AB55" s="157">
        <f t="shared" si="231"/>
        <v>0</v>
      </c>
      <c r="AC55" s="154">
        <f t="shared" si="232"/>
        <v>0</v>
      </c>
      <c r="AD55" s="158">
        <f t="shared" si="233"/>
        <v>0</v>
      </c>
      <c r="AE55" s="156">
        <f t="shared" si="278"/>
        <v>0</v>
      </c>
      <c r="AF55" s="154">
        <f t="shared" si="235"/>
        <v>0</v>
      </c>
      <c r="AG55" s="154">
        <f t="shared" si="114"/>
        <v>0</v>
      </c>
      <c r="AH55" s="154">
        <f t="shared" si="236"/>
        <v>0</v>
      </c>
      <c r="AI55" s="154">
        <f t="shared" si="116"/>
        <v>0</v>
      </c>
      <c r="AJ55" s="154">
        <f t="shared" si="237"/>
        <v>0</v>
      </c>
      <c r="AK55" s="154">
        <f t="shared" si="118"/>
        <v>0</v>
      </c>
      <c r="AL55" s="154">
        <f t="shared" si="238"/>
        <v>0</v>
      </c>
      <c r="AM55" s="154">
        <f t="shared" si="120"/>
        <v>0</v>
      </c>
      <c r="AN55" s="154">
        <f t="shared" si="239"/>
        <v>0</v>
      </c>
      <c r="AO55" s="157">
        <f t="shared" si="122"/>
        <v>0</v>
      </c>
      <c r="AP55" s="154">
        <f t="shared" si="123"/>
        <v>0</v>
      </c>
      <c r="AQ55" s="158">
        <f t="shared" si="124"/>
        <v>0</v>
      </c>
      <c r="AR55" s="156">
        <f t="shared" si="278"/>
        <v>0</v>
      </c>
      <c r="AS55" s="154">
        <f t="shared" si="240"/>
        <v>0</v>
      </c>
      <c r="AT55" s="154">
        <f t="shared" si="127"/>
        <v>0</v>
      </c>
      <c r="AU55" s="154">
        <f t="shared" si="241"/>
        <v>0</v>
      </c>
      <c r="AV55" s="154">
        <f t="shared" si="129"/>
        <v>0</v>
      </c>
      <c r="AW55" s="154">
        <f t="shared" si="242"/>
        <v>0</v>
      </c>
      <c r="AX55" s="154">
        <f t="shared" si="131"/>
        <v>0</v>
      </c>
      <c r="AY55" s="154">
        <f t="shared" si="243"/>
        <v>0</v>
      </c>
      <c r="AZ55" s="154">
        <f t="shared" si="133"/>
        <v>0</v>
      </c>
      <c r="BA55" s="154">
        <f t="shared" si="244"/>
        <v>0</v>
      </c>
      <c r="BB55" s="157">
        <f t="shared" si="135"/>
        <v>0</v>
      </c>
      <c r="BC55" s="154">
        <f t="shared" si="136"/>
        <v>0</v>
      </c>
      <c r="BD55" s="158">
        <f t="shared" si="137"/>
        <v>0</v>
      </c>
      <c r="BE55" s="156">
        <f t="shared" si="278"/>
        <v>0</v>
      </c>
      <c r="BF55" s="154">
        <f t="shared" si="245"/>
        <v>0</v>
      </c>
      <c r="BG55" s="154">
        <f t="shared" si="140"/>
        <v>0</v>
      </c>
      <c r="BH55" s="154">
        <f t="shared" si="246"/>
        <v>0</v>
      </c>
      <c r="BI55" s="154">
        <f t="shared" si="142"/>
        <v>0</v>
      </c>
      <c r="BJ55" s="154">
        <f t="shared" si="247"/>
        <v>0</v>
      </c>
      <c r="BK55" s="154">
        <f t="shared" si="144"/>
        <v>0</v>
      </c>
      <c r="BL55" s="154">
        <f t="shared" si="248"/>
        <v>0</v>
      </c>
      <c r="BM55" s="154">
        <f t="shared" si="146"/>
        <v>0</v>
      </c>
      <c r="BN55" s="154">
        <f t="shared" si="249"/>
        <v>0</v>
      </c>
      <c r="BO55" s="157">
        <f t="shared" si="148"/>
        <v>0</v>
      </c>
      <c r="BP55" s="154">
        <f t="shared" si="149"/>
        <v>0</v>
      </c>
      <c r="BQ55" s="158">
        <f t="shared" si="150"/>
        <v>0</v>
      </c>
      <c r="BR55" s="156">
        <f t="shared" si="278"/>
        <v>0</v>
      </c>
      <c r="BS55" s="154">
        <f t="shared" si="250"/>
        <v>0</v>
      </c>
      <c r="BT55" s="154">
        <f t="shared" si="153"/>
        <v>0</v>
      </c>
      <c r="BU55" s="154">
        <f t="shared" si="251"/>
        <v>0</v>
      </c>
      <c r="BV55" s="154">
        <f t="shared" si="155"/>
        <v>0</v>
      </c>
      <c r="BW55" s="154">
        <f t="shared" si="252"/>
        <v>0</v>
      </c>
      <c r="BX55" s="154">
        <f t="shared" si="157"/>
        <v>0</v>
      </c>
      <c r="BY55" s="154">
        <f t="shared" si="253"/>
        <v>0</v>
      </c>
      <c r="BZ55" s="154">
        <f t="shared" si="159"/>
        <v>0</v>
      </c>
      <c r="CA55" s="154">
        <f t="shared" si="254"/>
        <v>0</v>
      </c>
      <c r="CB55" s="157">
        <f t="shared" si="161"/>
        <v>0</v>
      </c>
      <c r="CC55" s="154">
        <f t="shared" si="162"/>
        <v>0</v>
      </c>
      <c r="CD55" s="158">
        <f t="shared" si="163"/>
        <v>0</v>
      </c>
      <c r="CE55" s="156">
        <f t="shared" si="278"/>
        <v>0</v>
      </c>
      <c r="CF55" s="154">
        <f t="shared" si="255"/>
        <v>0</v>
      </c>
      <c r="CG55" s="154">
        <f t="shared" si="166"/>
        <v>0</v>
      </c>
      <c r="CH55" s="154">
        <f t="shared" si="256"/>
        <v>0</v>
      </c>
      <c r="CI55" s="154">
        <f t="shared" si="168"/>
        <v>0</v>
      </c>
      <c r="CJ55" s="154">
        <f t="shared" si="257"/>
        <v>0</v>
      </c>
      <c r="CK55" s="154">
        <f t="shared" si="170"/>
        <v>0</v>
      </c>
      <c r="CL55" s="154">
        <f t="shared" si="258"/>
        <v>0</v>
      </c>
      <c r="CM55" s="154">
        <f t="shared" si="172"/>
        <v>0</v>
      </c>
      <c r="CN55" s="154">
        <f t="shared" si="259"/>
        <v>0</v>
      </c>
      <c r="CO55" s="157">
        <f t="shared" si="174"/>
        <v>0</v>
      </c>
      <c r="CP55" s="154">
        <f t="shared" si="175"/>
        <v>0</v>
      </c>
      <c r="CQ55" s="158">
        <f t="shared" si="176"/>
        <v>0</v>
      </c>
      <c r="CR55" s="156">
        <f t="shared" si="279"/>
        <v>0</v>
      </c>
      <c r="CS55" s="154">
        <f t="shared" si="261"/>
        <v>0</v>
      </c>
      <c r="CT55" s="154">
        <f t="shared" si="179"/>
        <v>0</v>
      </c>
      <c r="CU55" s="154">
        <f t="shared" si="262"/>
        <v>0</v>
      </c>
      <c r="CV55" s="154">
        <f t="shared" si="181"/>
        <v>0</v>
      </c>
      <c r="CW55" s="154">
        <f t="shared" si="263"/>
        <v>0</v>
      </c>
      <c r="CX55" s="154">
        <f t="shared" si="183"/>
        <v>0</v>
      </c>
      <c r="CY55" s="154">
        <f t="shared" si="264"/>
        <v>0</v>
      </c>
      <c r="CZ55" s="154">
        <f t="shared" si="185"/>
        <v>0</v>
      </c>
      <c r="DA55" s="154">
        <f t="shared" si="265"/>
        <v>0</v>
      </c>
      <c r="DB55" s="157">
        <f t="shared" si="187"/>
        <v>0</v>
      </c>
      <c r="DC55" s="154">
        <f t="shared" si="188"/>
        <v>0</v>
      </c>
      <c r="DD55" s="158">
        <f t="shared" si="189"/>
        <v>0</v>
      </c>
      <c r="DE55" s="156">
        <f t="shared" si="279"/>
        <v>0</v>
      </c>
      <c r="DF55" s="154">
        <f t="shared" si="266"/>
        <v>0</v>
      </c>
      <c r="DG55" s="154">
        <f t="shared" si="192"/>
        <v>0</v>
      </c>
      <c r="DH55" s="154">
        <f t="shared" si="267"/>
        <v>0</v>
      </c>
      <c r="DI55" s="154">
        <f t="shared" si="194"/>
        <v>0</v>
      </c>
      <c r="DJ55" s="154">
        <f t="shared" si="268"/>
        <v>0</v>
      </c>
      <c r="DK55" s="154">
        <f t="shared" si="196"/>
        <v>0</v>
      </c>
      <c r="DL55" s="154">
        <f t="shared" si="269"/>
        <v>0</v>
      </c>
      <c r="DM55" s="154">
        <f t="shared" si="198"/>
        <v>0</v>
      </c>
      <c r="DN55" s="154">
        <f t="shared" si="270"/>
        <v>0</v>
      </c>
      <c r="DO55" s="157">
        <f t="shared" si="200"/>
        <v>0</v>
      </c>
      <c r="DP55" s="154">
        <f t="shared" si="201"/>
        <v>0</v>
      </c>
      <c r="DQ55" s="158">
        <f t="shared" si="202"/>
        <v>0</v>
      </c>
      <c r="DR55" s="156">
        <f t="shared" si="279"/>
        <v>0</v>
      </c>
      <c r="DS55" s="154">
        <f t="shared" si="271"/>
        <v>0</v>
      </c>
      <c r="DT55" s="154">
        <f t="shared" si="205"/>
        <v>0</v>
      </c>
      <c r="DU55" s="154">
        <f t="shared" si="272"/>
        <v>0</v>
      </c>
      <c r="DV55" s="154">
        <f t="shared" si="207"/>
        <v>0</v>
      </c>
      <c r="DW55" s="154">
        <f t="shared" si="273"/>
        <v>0</v>
      </c>
      <c r="DX55" s="154">
        <f t="shared" si="209"/>
        <v>0</v>
      </c>
      <c r="DY55" s="154">
        <f t="shared" si="274"/>
        <v>0</v>
      </c>
      <c r="DZ55" s="154">
        <f t="shared" si="211"/>
        <v>0</v>
      </c>
      <c r="EA55" s="154">
        <f t="shared" si="275"/>
        <v>0</v>
      </c>
      <c r="EB55" s="157">
        <f t="shared" si="213"/>
        <v>0</v>
      </c>
      <c r="EC55" s="154">
        <f t="shared" si="214"/>
        <v>0</v>
      </c>
      <c r="ED55" s="158">
        <f t="shared" si="215"/>
        <v>0</v>
      </c>
    </row>
    <row r="56" spans="1:134" x14ac:dyDescent="0.35">
      <c r="A56" s="172"/>
      <c r="B56" s="173"/>
      <c r="C56" s="174"/>
      <c r="D56" s="175"/>
      <c r="E56" s="176"/>
      <c r="F56" s="177"/>
      <c r="G56" s="178"/>
      <c r="H56" s="179"/>
      <c r="I56" s="180"/>
      <c r="J56" s="181"/>
      <c r="K56" s="152">
        <f t="shared" si="216"/>
        <v>0</v>
      </c>
      <c r="L56" s="153">
        <f t="shared" si="217"/>
        <v>0</v>
      </c>
      <c r="M56" s="154">
        <f t="shared" si="218"/>
        <v>0</v>
      </c>
      <c r="N56" s="154"/>
      <c r="O56" s="154">
        <f t="shared" si="219"/>
        <v>0</v>
      </c>
      <c r="P56" s="155"/>
      <c r="Q56" s="154">
        <f t="shared" si="220"/>
        <v>0</v>
      </c>
      <c r="R56" s="156">
        <f t="shared" si="221"/>
        <v>0</v>
      </c>
      <c r="S56" s="154">
        <f t="shared" si="222"/>
        <v>0</v>
      </c>
      <c r="T56" s="154">
        <f t="shared" si="223"/>
        <v>0</v>
      </c>
      <c r="U56" s="154">
        <f t="shared" si="224"/>
        <v>0</v>
      </c>
      <c r="V56" s="154">
        <f t="shared" si="225"/>
        <v>0</v>
      </c>
      <c r="W56" s="154">
        <f t="shared" si="226"/>
        <v>0</v>
      </c>
      <c r="X56" s="154">
        <f t="shared" si="227"/>
        <v>0</v>
      </c>
      <c r="Y56" s="154">
        <f t="shared" si="228"/>
        <v>0</v>
      </c>
      <c r="Z56" s="154">
        <f t="shared" si="229"/>
        <v>0</v>
      </c>
      <c r="AA56" s="154">
        <f t="shared" si="230"/>
        <v>0</v>
      </c>
      <c r="AB56" s="157">
        <f t="shared" si="231"/>
        <v>0</v>
      </c>
      <c r="AC56" s="154">
        <f t="shared" si="232"/>
        <v>0</v>
      </c>
      <c r="AD56" s="158">
        <f t="shared" si="233"/>
        <v>0</v>
      </c>
      <c r="AE56" s="156">
        <f t="shared" si="278"/>
        <v>0</v>
      </c>
      <c r="AF56" s="154">
        <f t="shared" si="235"/>
        <v>0</v>
      </c>
      <c r="AG56" s="154">
        <f t="shared" si="114"/>
        <v>0</v>
      </c>
      <c r="AH56" s="154">
        <f t="shared" si="236"/>
        <v>0</v>
      </c>
      <c r="AI56" s="154">
        <f t="shared" si="116"/>
        <v>0</v>
      </c>
      <c r="AJ56" s="154">
        <f t="shared" si="237"/>
        <v>0</v>
      </c>
      <c r="AK56" s="154">
        <f t="shared" si="118"/>
        <v>0</v>
      </c>
      <c r="AL56" s="154">
        <f t="shared" si="238"/>
        <v>0</v>
      </c>
      <c r="AM56" s="154">
        <f t="shared" si="120"/>
        <v>0</v>
      </c>
      <c r="AN56" s="154">
        <f t="shared" si="239"/>
        <v>0</v>
      </c>
      <c r="AO56" s="157">
        <f t="shared" si="122"/>
        <v>0</v>
      </c>
      <c r="AP56" s="154">
        <f t="shared" si="123"/>
        <v>0</v>
      </c>
      <c r="AQ56" s="158">
        <f t="shared" si="124"/>
        <v>0</v>
      </c>
      <c r="AR56" s="156">
        <f t="shared" si="278"/>
        <v>0</v>
      </c>
      <c r="AS56" s="154">
        <f t="shared" si="240"/>
        <v>0</v>
      </c>
      <c r="AT56" s="154">
        <f t="shared" si="127"/>
        <v>0</v>
      </c>
      <c r="AU56" s="154">
        <f t="shared" si="241"/>
        <v>0</v>
      </c>
      <c r="AV56" s="154">
        <f t="shared" si="129"/>
        <v>0</v>
      </c>
      <c r="AW56" s="154">
        <f t="shared" si="242"/>
        <v>0</v>
      </c>
      <c r="AX56" s="154">
        <f t="shared" si="131"/>
        <v>0</v>
      </c>
      <c r="AY56" s="154">
        <f t="shared" si="243"/>
        <v>0</v>
      </c>
      <c r="AZ56" s="154">
        <f t="shared" si="133"/>
        <v>0</v>
      </c>
      <c r="BA56" s="154">
        <f t="shared" si="244"/>
        <v>0</v>
      </c>
      <c r="BB56" s="157">
        <f t="shared" si="135"/>
        <v>0</v>
      </c>
      <c r="BC56" s="154">
        <f t="shared" si="136"/>
        <v>0</v>
      </c>
      <c r="BD56" s="158">
        <f t="shared" si="137"/>
        <v>0</v>
      </c>
      <c r="BE56" s="156">
        <f t="shared" si="278"/>
        <v>0</v>
      </c>
      <c r="BF56" s="154">
        <f t="shared" si="245"/>
        <v>0</v>
      </c>
      <c r="BG56" s="154">
        <f t="shared" si="140"/>
        <v>0</v>
      </c>
      <c r="BH56" s="154">
        <f t="shared" si="246"/>
        <v>0</v>
      </c>
      <c r="BI56" s="154">
        <f t="shared" si="142"/>
        <v>0</v>
      </c>
      <c r="BJ56" s="154">
        <f t="shared" si="247"/>
        <v>0</v>
      </c>
      <c r="BK56" s="154">
        <f t="shared" si="144"/>
        <v>0</v>
      </c>
      <c r="BL56" s="154">
        <f t="shared" si="248"/>
        <v>0</v>
      </c>
      <c r="BM56" s="154">
        <f t="shared" si="146"/>
        <v>0</v>
      </c>
      <c r="BN56" s="154">
        <f t="shared" si="249"/>
        <v>0</v>
      </c>
      <c r="BO56" s="157">
        <f t="shared" si="148"/>
        <v>0</v>
      </c>
      <c r="BP56" s="154">
        <f t="shared" si="149"/>
        <v>0</v>
      </c>
      <c r="BQ56" s="158">
        <f t="shared" si="150"/>
        <v>0</v>
      </c>
      <c r="BR56" s="156">
        <f t="shared" si="278"/>
        <v>0</v>
      </c>
      <c r="BS56" s="154">
        <f t="shared" si="250"/>
        <v>0</v>
      </c>
      <c r="BT56" s="154">
        <f t="shared" si="153"/>
        <v>0</v>
      </c>
      <c r="BU56" s="154">
        <f t="shared" si="251"/>
        <v>0</v>
      </c>
      <c r="BV56" s="154">
        <f t="shared" si="155"/>
        <v>0</v>
      </c>
      <c r="BW56" s="154">
        <f t="shared" si="252"/>
        <v>0</v>
      </c>
      <c r="BX56" s="154">
        <f t="shared" si="157"/>
        <v>0</v>
      </c>
      <c r="BY56" s="154">
        <f t="shared" si="253"/>
        <v>0</v>
      </c>
      <c r="BZ56" s="154">
        <f t="shared" si="159"/>
        <v>0</v>
      </c>
      <c r="CA56" s="154">
        <f t="shared" si="254"/>
        <v>0</v>
      </c>
      <c r="CB56" s="157">
        <f t="shared" si="161"/>
        <v>0</v>
      </c>
      <c r="CC56" s="154">
        <f t="shared" si="162"/>
        <v>0</v>
      </c>
      <c r="CD56" s="158">
        <f t="shared" si="163"/>
        <v>0</v>
      </c>
      <c r="CE56" s="156">
        <f t="shared" si="278"/>
        <v>0</v>
      </c>
      <c r="CF56" s="154">
        <f t="shared" si="255"/>
        <v>0</v>
      </c>
      <c r="CG56" s="154">
        <f t="shared" si="166"/>
        <v>0</v>
      </c>
      <c r="CH56" s="154">
        <f t="shared" si="256"/>
        <v>0</v>
      </c>
      <c r="CI56" s="154">
        <f t="shared" si="168"/>
        <v>0</v>
      </c>
      <c r="CJ56" s="154">
        <f t="shared" si="257"/>
        <v>0</v>
      </c>
      <c r="CK56" s="154">
        <f t="shared" si="170"/>
        <v>0</v>
      </c>
      <c r="CL56" s="154">
        <f t="shared" si="258"/>
        <v>0</v>
      </c>
      <c r="CM56" s="154">
        <f t="shared" si="172"/>
        <v>0</v>
      </c>
      <c r="CN56" s="154">
        <f t="shared" si="259"/>
        <v>0</v>
      </c>
      <c r="CO56" s="157">
        <f t="shared" si="174"/>
        <v>0</v>
      </c>
      <c r="CP56" s="154">
        <f t="shared" si="175"/>
        <v>0</v>
      </c>
      <c r="CQ56" s="158">
        <f t="shared" si="176"/>
        <v>0</v>
      </c>
      <c r="CR56" s="156">
        <f t="shared" si="279"/>
        <v>0</v>
      </c>
      <c r="CS56" s="154">
        <f t="shared" si="261"/>
        <v>0</v>
      </c>
      <c r="CT56" s="154">
        <f t="shared" si="179"/>
        <v>0</v>
      </c>
      <c r="CU56" s="154">
        <f t="shared" si="262"/>
        <v>0</v>
      </c>
      <c r="CV56" s="154">
        <f t="shared" si="181"/>
        <v>0</v>
      </c>
      <c r="CW56" s="154">
        <f t="shared" si="263"/>
        <v>0</v>
      </c>
      <c r="CX56" s="154">
        <f t="shared" si="183"/>
        <v>0</v>
      </c>
      <c r="CY56" s="154">
        <f t="shared" si="264"/>
        <v>0</v>
      </c>
      <c r="CZ56" s="154">
        <f t="shared" si="185"/>
        <v>0</v>
      </c>
      <c r="DA56" s="154">
        <f t="shared" si="265"/>
        <v>0</v>
      </c>
      <c r="DB56" s="157">
        <f t="shared" si="187"/>
        <v>0</v>
      </c>
      <c r="DC56" s="154">
        <f t="shared" si="188"/>
        <v>0</v>
      </c>
      <c r="DD56" s="158">
        <f t="shared" si="189"/>
        <v>0</v>
      </c>
      <c r="DE56" s="156">
        <f t="shared" si="279"/>
        <v>0</v>
      </c>
      <c r="DF56" s="154">
        <f t="shared" si="266"/>
        <v>0</v>
      </c>
      <c r="DG56" s="154">
        <f t="shared" si="192"/>
        <v>0</v>
      </c>
      <c r="DH56" s="154">
        <f t="shared" si="267"/>
        <v>0</v>
      </c>
      <c r="DI56" s="154">
        <f t="shared" si="194"/>
        <v>0</v>
      </c>
      <c r="DJ56" s="154">
        <f t="shared" si="268"/>
        <v>0</v>
      </c>
      <c r="DK56" s="154">
        <f t="shared" si="196"/>
        <v>0</v>
      </c>
      <c r="DL56" s="154">
        <f t="shared" si="269"/>
        <v>0</v>
      </c>
      <c r="DM56" s="154">
        <f t="shared" si="198"/>
        <v>0</v>
      </c>
      <c r="DN56" s="154">
        <f t="shared" si="270"/>
        <v>0</v>
      </c>
      <c r="DO56" s="157">
        <f t="shared" si="200"/>
        <v>0</v>
      </c>
      <c r="DP56" s="154">
        <f t="shared" si="201"/>
        <v>0</v>
      </c>
      <c r="DQ56" s="158">
        <f t="shared" si="202"/>
        <v>0</v>
      </c>
      <c r="DR56" s="156">
        <f t="shared" si="279"/>
        <v>0</v>
      </c>
      <c r="DS56" s="154">
        <f t="shared" si="271"/>
        <v>0</v>
      </c>
      <c r="DT56" s="154">
        <f t="shared" si="205"/>
        <v>0</v>
      </c>
      <c r="DU56" s="154">
        <f t="shared" si="272"/>
        <v>0</v>
      </c>
      <c r="DV56" s="154">
        <f t="shared" si="207"/>
        <v>0</v>
      </c>
      <c r="DW56" s="154">
        <f t="shared" si="273"/>
        <v>0</v>
      </c>
      <c r="DX56" s="154">
        <f t="shared" si="209"/>
        <v>0</v>
      </c>
      <c r="DY56" s="154">
        <f t="shared" si="274"/>
        <v>0</v>
      </c>
      <c r="DZ56" s="154">
        <f t="shared" si="211"/>
        <v>0</v>
      </c>
      <c r="EA56" s="154">
        <f t="shared" si="275"/>
        <v>0</v>
      </c>
      <c r="EB56" s="157">
        <f t="shared" si="213"/>
        <v>0</v>
      </c>
      <c r="EC56" s="154">
        <f t="shared" si="214"/>
        <v>0</v>
      </c>
      <c r="ED56" s="158">
        <f t="shared" si="215"/>
        <v>0</v>
      </c>
    </row>
    <row r="57" spans="1:134" x14ac:dyDescent="0.35">
      <c r="A57" s="172"/>
      <c r="B57" s="173"/>
      <c r="C57" s="174"/>
      <c r="D57" s="175"/>
      <c r="E57" s="176"/>
      <c r="F57" s="177"/>
      <c r="G57" s="178"/>
      <c r="H57" s="179"/>
      <c r="I57" s="180"/>
      <c r="J57" s="181"/>
      <c r="K57" s="152">
        <f t="shared" si="216"/>
        <v>0</v>
      </c>
      <c r="L57" s="153">
        <f t="shared" si="217"/>
        <v>0</v>
      </c>
      <c r="M57" s="154">
        <f t="shared" si="218"/>
        <v>0</v>
      </c>
      <c r="N57" s="154"/>
      <c r="O57" s="154">
        <f t="shared" si="219"/>
        <v>0</v>
      </c>
      <c r="P57" s="155"/>
      <c r="Q57" s="154">
        <f t="shared" si="220"/>
        <v>0</v>
      </c>
      <c r="R57" s="156">
        <f t="shared" si="221"/>
        <v>0</v>
      </c>
      <c r="S57" s="154">
        <f t="shared" si="222"/>
        <v>0</v>
      </c>
      <c r="T57" s="154">
        <f t="shared" si="223"/>
        <v>0</v>
      </c>
      <c r="U57" s="154">
        <f t="shared" si="224"/>
        <v>0</v>
      </c>
      <c r="V57" s="154">
        <f t="shared" si="225"/>
        <v>0</v>
      </c>
      <c r="W57" s="154">
        <f t="shared" si="226"/>
        <v>0</v>
      </c>
      <c r="X57" s="154">
        <f t="shared" si="227"/>
        <v>0</v>
      </c>
      <c r="Y57" s="154">
        <f t="shared" si="228"/>
        <v>0</v>
      </c>
      <c r="Z57" s="154">
        <f t="shared" si="229"/>
        <v>0</v>
      </c>
      <c r="AA57" s="154">
        <f t="shared" si="230"/>
        <v>0</v>
      </c>
      <c r="AB57" s="157">
        <f t="shared" si="231"/>
        <v>0</v>
      </c>
      <c r="AC57" s="154">
        <f t="shared" si="232"/>
        <v>0</v>
      </c>
      <c r="AD57" s="158">
        <f t="shared" si="233"/>
        <v>0</v>
      </c>
      <c r="AE57" s="156">
        <f t="shared" si="278"/>
        <v>0</v>
      </c>
      <c r="AF57" s="154">
        <f t="shared" si="235"/>
        <v>0</v>
      </c>
      <c r="AG57" s="154">
        <f t="shared" si="114"/>
        <v>0</v>
      </c>
      <c r="AH57" s="154">
        <f t="shared" si="236"/>
        <v>0</v>
      </c>
      <c r="AI57" s="154">
        <f t="shared" si="116"/>
        <v>0</v>
      </c>
      <c r="AJ57" s="154">
        <f t="shared" si="237"/>
        <v>0</v>
      </c>
      <c r="AK57" s="154">
        <f t="shared" si="118"/>
        <v>0</v>
      </c>
      <c r="AL57" s="154">
        <f t="shared" si="238"/>
        <v>0</v>
      </c>
      <c r="AM57" s="154">
        <f t="shared" si="120"/>
        <v>0</v>
      </c>
      <c r="AN57" s="154">
        <f t="shared" si="239"/>
        <v>0</v>
      </c>
      <c r="AO57" s="157">
        <f t="shared" si="122"/>
        <v>0</v>
      </c>
      <c r="AP57" s="154">
        <f t="shared" si="123"/>
        <v>0</v>
      </c>
      <c r="AQ57" s="158">
        <f t="shared" si="124"/>
        <v>0</v>
      </c>
      <c r="AR57" s="156">
        <f t="shared" si="278"/>
        <v>0</v>
      </c>
      <c r="AS57" s="154">
        <f t="shared" si="240"/>
        <v>0</v>
      </c>
      <c r="AT57" s="154">
        <f t="shared" si="127"/>
        <v>0</v>
      </c>
      <c r="AU57" s="154">
        <f t="shared" si="241"/>
        <v>0</v>
      </c>
      <c r="AV57" s="154">
        <f t="shared" si="129"/>
        <v>0</v>
      </c>
      <c r="AW57" s="154">
        <f t="shared" si="242"/>
        <v>0</v>
      </c>
      <c r="AX57" s="154">
        <f t="shared" si="131"/>
        <v>0</v>
      </c>
      <c r="AY57" s="154">
        <f t="shared" si="243"/>
        <v>0</v>
      </c>
      <c r="AZ57" s="154">
        <f t="shared" si="133"/>
        <v>0</v>
      </c>
      <c r="BA57" s="154">
        <f t="shared" si="244"/>
        <v>0</v>
      </c>
      <c r="BB57" s="157">
        <f t="shared" si="135"/>
        <v>0</v>
      </c>
      <c r="BC57" s="154">
        <f t="shared" si="136"/>
        <v>0</v>
      </c>
      <c r="BD57" s="158">
        <f t="shared" si="137"/>
        <v>0</v>
      </c>
      <c r="BE57" s="156">
        <f t="shared" si="278"/>
        <v>0</v>
      </c>
      <c r="BF57" s="154">
        <f t="shared" si="245"/>
        <v>0</v>
      </c>
      <c r="BG57" s="154">
        <f t="shared" si="140"/>
        <v>0</v>
      </c>
      <c r="BH57" s="154">
        <f t="shared" si="246"/>
        <v>0</v>
      </c>
      <c r="BI57" s="154">
        <f t="shared" si="142"/>
        <v>0</v>
      </c>
      <c r="BJ57" s="154">
        <f t="shared" si="247"/>
        <v>0</v>
      </c>
      <c r="BK57" s="154">
        <f t="shared" si="144"/>
        <v>0</v>
      </c>
      <c r="BL57" s="154">
        <f t="shared" si="248"/>
        <v>0</v>
      </c>
      <c r="BM57" s="154">
        <f t="shared" si="146"/>
        <v>0</v>
      </c>
      <c r="BN57" s="154">
        <f t="shared" si="249"/>
        <v>0</v>
      </c>
      <c r="BO57" s="157">
        <f t="shared" si="148"/>
        <v>0</v>
      </c>
      <c r="BP57" s="154">
        <f t="shared" si="149"/>
        <v>0</v>
      </c>
      <c r="BQ57" s="158">
        <f t="shared" si="150"/>
        <v>0</v>
      </c>
      <c r="BR57" s="156">
        <f t="shared" si="278"/>
        <v>0</v>
      </c>
      <c r="BS57" s="154">
        <f t="shared" si="250"/>
        <v>0</v>
      </c>
      <c r="BT57" s="154">
        <f t="shared" si="153"/>
        <v>0</v>
      </c>
      <c r="BU57" s="154">
        <f t="shared" si="251"/>
        <v>0</v>
      </c>
      <c r="BV57" s="154">
        <f t="shared" si="155"/>
        <v>0</v>
      </c>
      <c r="BW57" s="154">
        <f t="shared" si="252"/>
        <v>0</v>
      </c>
      <c r="BX57" s="154">
        <f t="shared" si="157"/>
        <v>0</v>
      </c>
      <c r="BY57" s="154">
        <f t="shared" si="253"/>
        <v>0</v>
      </c>
      <c r="BZ57" s="154">
        <f t="shared" si="159"/>
        <v>0</v>
      </c>
      <c r="CA57" s="154">
        <f t="shared" si="254"/>
        <v>0</v>
      </c>
      <c r="CB57" s="157">
        <f t="shared" si="161"/>
        <v>0</v>
      </c>
      <c r="CC57" s="154">
        <f t="shared" si="162"/>
        <v>0</v>
      </c>
      <c r="CD57" s="158">
        <f t="shared" si="163"/>
        <v>0</v>
      </c>
      <c r="CE57" s="156">
        <f t="shared" si="278"/>
        <v>0</v>
      </c>
      <c r="CF57" s="154">
        <f t="shared" si="255"/>
        <v>0</v>
      </c>
      <c r="CG57" s="154">
        <f t="shared" si="166"/>
        <v>0</v>
      </c>
      <c r="CH57" s="154">
        <f t="shared" si="256"/>
        <v>0</v>
      </c>
      <c r="CI57" s="154">
        <f t="shared" si="168"/>
        <v>0</v>
      </c>
      <c r="CJ57" s="154">
        <f t="shared" si="257"/>
        <v>0</v>
      </c>
      <c r="CK57" s="154">
        <f t="shared" si="170"/>
        <v>0</v>
      </c>
      <c r="CL57" s="154">
        <f t="shared" si="258"/>
        <v>0</v>
      </c>
      <c r="CM57" s="154">
        <f t="shared" si="172"/>
        <v>0</v>
      </c>
      <c r="CN57" s="154">
        <f t="shared" si="259"/>
        <v>0</v>
      </c>
      <c r="CO57" s="157">
        <f t="shared" si="174"/>
        <v>0</v>
      </c>
      <c r="CP57" s="154">
        <f t="shared" si="175"/>
        <v>0</v>
      </c>
      <c r="CQ57" s="158">
        <f t="shared" si="176"/>
        <v>0</v>
      </c>
      <c r="CR57" s="156">
        <f t="shared" si="279"/>
        <v>0</v>
      </c>
      <c r="CS57" s="154">
        <f t="shared" si="261"/>
        <v>0</v>
      </c>
      <c r="CT57" s="154">
        <f t="shared" si="179"/>
        <v>0</v>
      </c>
      <c r="CU57" s="154">
        <f t="shared" si="262"/>
        <v>0</v>
      </c>
      <c r="CV57" s="154">
        <f t="shared" si="181"/>
        <v>0</v>
      </c>
      <c r="CW57" s="154">
        <f t="shared" si="263"/>
        <v>0</v>
      </c>
      <c r="CX57" s="154">
        <f t="shared" si="183"/>
        <v>0</v>
      </c>
      <c r="CY57" s="154">
        <f t="shared" si="264"/>
        <v>0</v>
      </c>
      <c r="CZ57" s="154">
        <f t="shared" si="185"/>
        <v>0</v>
      </c>
      <c r="DA57" s="154">
        <f t="shared" si="265"/>
        <v>0</v>
      </c>
      <c r="DB57" s="157">
        <f t="shared" si="187"/>
        <v>0</v>
      </c>
      <c r="DC57" s="154">
        <f t="shared" si="188"/>
        <v>0</v>
      </c>
      <c r="DD57" s="158">
        <f t="shared" si="189"/>
        <v>0</v>
      </c>
      <c r="DE57" s="156">
        <f t="shared" si="279"/>
        <v>0</v>
      </c>
      <c r="DF57" s="154">
        <f t="shared" si="266"/>
        <v>0</v>
      </c>
      <c r="DG57" s="154">
        <f t="shared" si="192"/>
        <v>0</v>
      </c>
      <c r="DH57" s="154">
        <f t="shared" si="267"/>
        <v>0</v>
      </c>
      <c r="DI57" s="154">
        <f t="shared" si="194"/>
        <v>0</v>
      </c>
      <c r="DJ57" s="154">
        <f t="shared" si="268"/>
        <v>0</v>
      </c>
      <c r="DK57" s="154">
        <f t="shared" si="196"/>
        <v>0</v>
      </c>
      <c r="DL57" s="154">
        <f t="shared" si="269"/>
        <v>0</v>
      </c>
      <c r="DM57" s="154">
        <f t="shared" si="198"/>
        <v>0</v>
      </c>
      <c r="DN57" s="154">
        <f t="shared" si="270"/>
        <v>0</v>
      </c>
      <c r="DO57" s="157">
        <f t="shared" si="200"/>
        <v>0</v>
      </c>
      <c r="DP57" s="154">
        <f t="shared" si="201"/>
        <v>0</v>
      </c>
      <c r="DQ57" s="158">
        <f t="shared" si="202"/>
        <v>0</v>
      </c>
      <c r="DR57" s="156">
        <f t="shared" si="279"/>
        <v>0</v>
      </c>
      <c r="DS57" s="154">
        <f t="shared" si="271"/>
        <v>0</v>
      </c>
      <c r="DT57" s="154">
        <f t="shared" si="205"/>
        <v>0</v>
      </c>
      <c r="DU57" s="154">
        <f t="shared" si="272"/>
        <v>0</v>
      </c>
      <c r="DV57" s="154">
        <f t="shared" si="207"/>
        <v>0</v>
      </c>
      <c r="DW57" s="154">
        <f t="shared" si="273"/>
        <v>0</v>
      </c>
      <c r="DX57" s="154">
        <f t="shared" si="209"/>
        <v>0</v>
      </c>
      <c r="DY57" s="154">
        <f t="shared" si="274"/>
        <v>0</v>
      </c>
      <c r="DZ57" s="154">
        <f t="shared" si="211"/>
        <v>0</v>
      </c>
      <c r="EA57" s="154">
        <f t="shared" si="275"/>
        <v>0</v>
      </c>
      <c r="EB57" s="157">
        <f t="shared" si="213"/>
        <v>0</v>
      </c>
      <c r="EC57" s="154">
        <f t="shared" si="214"/>
        <v>0</v>
      </c>
      <c r="ED57" s="158">
        <f t="shared" si="215"/>
        <v>0</v>
      </c>
    </row>
    <row r="58" spans="1:134" x14ac:dyDescent="0.35">
      <c r="A58" s="172"/>
      <c r="B58" s="173"/>
      <c r="C58" s="174"/>
      <c r="D58" s="175"/>
      <c r="E58" s="176"/>
      <c r="F58" s="177"/>
      <c r="G58" s="178"/>
      <c r="H58" s="179"/>
      <c r="I58" s="180"/>
      <c r="J58" s="181"/>
      <c r="K58" s="152">
        <f t="shared" si="216"/>
        <v>0</v>
      </c>
      <c r="L58" s="153">
        <f t="shared" si="217"/>
        <v>0</v>
      </c>
      <c r="M58" s="154">
        <f t="shared" si="218"/>
        <v>0</v>
      </c>
      <c r="N58" s="154"/>
      <c r="O58" s="154">
        <f t="shared" si="219"/>
        <v>0</v>
      </c>
      <c r="P58" s="155"/>
      <c r="Q58" s="154">
        <f t="shared" si="220"/>
        <v>0</v>
      </c>
      <c r="R58" s="156">
        <f t="shared" si="221"/>
        <v>0</v>
      </c>
      <c r="S58" s="154">
        <f t="shared" si="222"/>
        <v>0</v>
      </c>
      <c r="T58" s="154">
        <f t="shared" si="223"/>
        <v>0</v>
      </c>
      <c r="U58" s="154">
        <f t="shared" si="224"/>
        <v>0</v>
      </c>
      <c r="V58" s="154">
        <f t="shared" si="225"/>
        <v>0</v>
      </c>
      <c r="W58" s="154">
        <f t="shared" si="226"/>
        <v>0</v>
      </c>
      <c r="X58" s="154">
        <f t="shared" si="227"/>
        <v>0</v>
      </c>
      <c r="Y58" s="154">
        <f t="shared" si="228"/>
        <v>0</v>
      </c>
      <c r="Z58" s="154">
        <f t="shared" si="229"/>
        <v>0</v>
      </c>
      <c r="AA58" s="154">
        <f t="shared" si="230"/>
        <v>0</v>
      </c>
      <c r="AB58" s="157">
        <f t="shared" si="231"/>
        <v>0</v>
      </c>
      <c r="AC58" s="154">
        <f t="shared" si="232"/>
        <v>0</v>
      </c>
      <c r="AD58" s="158">
        <f t="shared" si="233"/>
        <v>0</v>
      </c>
      <c r="AE58" s="156">
        <f t="shared" si="278"/>
        <v>0</v>
      </c>
      <c r="AF58" s="154">
        <f t="shared" si="235"/>
        <v>0</v>
      </c>
      <c r="AG58" s="154">
        <f t="shared" si="114"/>
        <v>0</v>
      </c>
      <c r="AH58" s="154">
        <f t="shared" si="236"/>
        <v>0</v>
      </c>
      <c r="AI58" s="154">
        <f t="shared" si="116"/>
        <v>0</v>
      </c>
      <c r="AJ58" s="154">
        <f t="shared" si="237"/>
        <v>0</v>
      </c>
      <c r="AK58" s="154">
        <f t="shared" si="118"/>
        <v>0</v>
      </c>
      <c r="AL58" s="154">
        <f t="shared" si="238"/>
        <v>0</v>
      </c>
      <c r="AM58" s="154">
        <f t="shared" si="120"/>
        <v>0</v>
      </c>
      <c r="AN58" s="154">
        <f t="shared" si="239"/>
        <v>0</v>
      </c>
      <c r="AO58" s="157">
        <f t="shared" si="122"/>
        <v>0</v>
      </c>
      <c r="AP58" s="154">
        <f t="shared" si="123"/>
        <v>0</v>
      </c>
      <c r="AQ58" s="158">
        <f t="shared" si="124"/>
        <v>0</v>
      </c>
      <c r="AR58" s="156">
        <f t="shared" si="278"/>
        <v>0</v>
      </c>
      <c r="AS58" s="154">
        <f t="shared" si="240"/>
        <v>0</v>
      </c>
      <c r="AT58" s="154">
        <f t="shared" si="127"/>
        <v>0</v>
      </c>
      <c r="AU58" s="154">
        <f t="shared" si="241"/>
        <v>0</v>
      </c>
      <c r="AV58" s="154">
        <f t="shared" si="129"/>
        <v>0</v>
      </c>
      <c r="AW58" s="154">
        <f t="shared" si="242"/>
        <v>0</v>
      </c>
      <c r="AX58" s="154">
        <f t="shared" si="131"/>
        <v>0</v>
      </c>
      <c r="AY58" s="154">
        <f t="shared" si="243"/>
        <v>0</v>
      </c>
      <c r="AZ58" s="154">
        <f t="shared" si="133"/>
        <v>0</v>
      </c>
      <c r="BA58" s="154">
        <f t="shared" si="244"/>
        <v>0</v>
      </c>
      <c r="BB58" s="157">
        <f t="shared" si="135"/>
        <v>0</v>
      </c>
      <c r="BC58" s="154">
        <f t="shared" si="136"/>
        <v>0</v>
      </c>
      <c r="BD58" s="158">
        <f t="shared" si="137"/>
        <v>0</v>
      </c>
      <c r="BE58" s="156">
        <f t="shared" si="278"/>
        <v>0</v>
      </c>
      <c r="BF58" s="154">
        <f t="shared" si="245"/>
        <v>0</v>
      </c>
      <c r="BG58" s="154">
        <f t="shared" si="140"/>
        <v>0</v>
      </c>
      <c r="BH58" s="154">
        <f t="shared" si="246"/>
        <v>0</v>
      </c>
      <c r="BI58" s="154">
        <f t="shared" si="142"/>
        <v>0</v>
      </c>
      <c r="BJ58" s="154">
        <f t="shared" si="247"/>
        <v>0</v>
      </c>
      <c r="BK58" s="154">
        <f t="shared" si="144"/>
        <v>0</v>
      </c>
      <c r="BL58" s="154">
        <f t="shared" si="248"/>
        <v>0</v>
      </c>
      <c r="BM58" s="154">
        <f t="shared" si="146"/>
        <v>0</v>
      </c>
      <c r="BN58" s="154">
        <f t="shared" si="249"/>
        <v>0</v>
      </c>
      <c r="BO58" s="157">
        <f t="shared" si="148"/>
        <v>0</v>
      </c>
      <c r="BP58" s="154">
        <f t="shared" si="149"/>
        <v>0</v>
      </c>
      <c r="BQ58" s="158">
        <f t="shared" si="150"/>
        <v>0</v>
      </c>
      <c r="BR58" s="156">
        <f t="shared" si="278"/>
        <v>0</v>
      </c>
      <c r="BS58" s="154">
        <f t="shared" si="250"/>
        <v>0</v>
      </c>
      <c r="BT58" s="154">
        <f t="shared" si="153"/>
        <v>0</v>
      </c>
      <c r="BU58" s="154">
        <f t="shared" si="251"/>
        <v>0</v>
      </c>
      <c r="BV58" s="154">
        <f t="shared" si="155"/>
        <v>0</v>
      </c>
      <c r="BW58" s="154">
        <f t="shared" si="252"/>
        <v>0</v>
      </c>
      <c r="BX58" s="154">
        <f t="shared" si="157"/>
        <v>0</v>
      </c>
      <c r="BY58" s="154">
        <f t="shared" si="253"/>
        <v>0</v>
      </c>
      <c r="BZ58" s="154">
        <f t="shared" si="159"/>
        <v>0</v>
      </c>
      <c r="CA58" s="154">
        <f t="shared" si="254"/>
        <v>0</v>
      </c>
      <c r="CB58" s="157">
        <f t="shared" si="161"/>
        <v>0</v>
      </c>
      <c r="CC58" s="154">
        <f t="shared" si="162"/>
        <v>0</v>
      </c>
      <c r="CD58" s="158">
        <f t="shared" si="163"/>
        <v>0</v>
      </c>
      <c r="CE58" s="156">
        <f t="shared" si="278"/>
        <v>0</v>
      </c>
      <c r="CF58" s="154">
        <f t="shared" si="255"/>
        <v>0</v>
      </c>
      <c r="CG58" s="154">
        <f t="shared" si="166"/>
        <v>0</v>
      </c>
      <c r="CH58" s="154">
        <f t="shared" si="256"/>
        <v>0</v>
      </c>
      <c r="CI58" s="154">
        <f t="shared" si="168"/>
        <v>0</v>
      </c>
      <c r="CJ58" s="154">
        <f t="shared" si="257"/>
        <v>0</v>
      </c>
      <c r="CK58" s="154">
        <f t="shared" si="170"/>
        <v>0</v>
      </c>
      <c r="CL58" s="154">
        <f t="shared" si="258"/>
        <v>0</v>
      </c>
      <c r="CM58" s="154">
        <f t="shared" si="172"/>
        <v>0</v>
      </c>
      <c r="CN58" s="154">
        <f t="shared" si="259"/>
        <v>0</v>
      </c>
      <c r="CO58" s="157">
        <f t="shared" si="174"/>
        <v>0</v>
      </c>
      <c r="CP58" s="154">
        <f t="shared" si="175"/>
        <v>0</v>
      </c>
      <c r="CQ58" s="158">
        <f t="shared" si="176"/>
        <v>0</v>
      </c>
      <c r="CR58" s="156">
        <f t="shared" si="279"/>
        <v>0</v>
      </c>
      <c r="CS58" s="154">
        <f t="shared" si="261"/>
        <v>0</v>
      </c>
      <c r="CT58" s="154">
        <f t="shared" si="179"/>
        <v>0</v>
      </c>
      <c r="CU58" s="154">
        <f t="shared" si="262"/>
        <v>0</v>
      </c>
      <c r="CV58" s="154">
        <f t="shared" si="181"/>
        <v>0</v>
      </c>
      <c r="CW58" s="154">
        <f t="shared" si="263"/>
        <v>0</v>
      </c>
      <c r="CX58" s="154">
        <f t="shared" si="183"/>
        <v>0</v>
      </c>
      <c r="CY58" s="154">
        <f t="shared" si="264"/>
        <v>0</v>
      </c>
      <c r="CZ58" s="154">
        <f t="shared" si="185"/>
        <v>0</v>
      </c>
      <c r="DA58" s="154">
        <f t="shared" si="265"/>
        <v>0</v>
      </c>
      <c r="DB58" s="157">
        <f t="shared" si="187"/>
        <v>0</v>
      </c>
      <c r="DC58" s="154">
        <f t="shared" si="188"/>
        <v>0</v>
      </c>
      <c r="DD58" s="158">
        <f t="shared" si="189"/>
        <v>0</v>
      </c>
      <c r="DE58" s="156">
        <f t="shared" si="279"/>
        <v>0</v>
      </c>
      <c r="DF58" s="154">
        <f t="shared" si="266"/>
        <v>0</v>
      </c>
      <c r="DG58" s="154">
        <f t="shared" si="192"/>
        <v>0</v>
      </c>
      <c r="DH58" s="154">
        <f t="shared" si="267"/>
        <v>0</v>
      </c>
      <c r="DI58" s="154">
        <f t="shared" si="194"/>
        <v>0</v>
      </c>
      <c r="DJ58" s="154">
        <f t="shared" si="268"/>
        <v>0</v>
      </c>
      <c r="DK58" s="154">
        <f t="shared" si="196"/>
        <v>0</v>
      </c>
      <c r="DL58" s="154">
        <f t="shared" si="269"/>
        <v>0</v>
      </c>
      <c r="DM58" s="154">
        <f t="shared" si="198"/>
        <v>0</v>
      </c>
      <c r="DN58" s="154">
        <f t="shared" si="270"/>
        <v>0</v>
      </c>
      <c r="DO58" s="157">
        <f t="shared" si="200"/>
        <v>0</v>
      </c>
      <c r="DP58" s="154">
        <f t="shared" si="201"/>
        <v>0</v>
      </c>
      <c r="DQ58" s="158">
        <f t="shared" si="202"/>
        <v>0</v>
      </c>
      <c r="DR58" s="156">
        <f t="shared" si="279"/>
        <v>0</v>
      </c>
      <c r="DS58" s="154">
        <f t="shared" si="271"/>
        <v>0</v>
      </c>
      <c r="DT58" s="154">
        <f t="shared" si="205"/>
        <v>0</v>
      </c>
      <c r="DU58" s="154">
        <f t="shared" si="272"/>
        <v>0</v>
      </c>
      <c r="DV58" s="154">
        <f t="shared" si="207"/>
        <v>0</v>
      </c>
      <c r="DW58" s="154">
        <f t="shared" si="273"/>
        <v>0</v>
      </c>
      <c r="DX58" s="154">
        <f t="shared" si="209"/>
        <v>0</v>
      </c>
      <c r="DY58" s="154">
        <f t="shared" si="274"/>
        <v>0</v>
      </c>
      <c r="DZ58" s="154">
        <f t="shared" si="211"/>
        <v>0</v>
      </c>
      <c r="EA58" s="154">
        <f t="shared" si="275"/>
        <v>0</v>
      </c>
      <c r="EB58" s="157">
        <f t="shared" si="213"/>
        <v>0</v>
      </c>
      <c r="EC58" s="154">
        <f t="shared" si="214"/>
        <v>0</v>
      </c>
      <c r="ED58" s="158">
        <f t="shared" si="215"/>
        <v>0</v>
      </c>
    </row>
    <row r="59" spans="1:134" x14ac:dyDescent="0.35">
      <c r="A59" s="172"/>
      <c r="B59" s="173"/>
      <c r="C59" s="174"/>
      <c r="D59" s="175"/>
      <c r="E59" s="176"/>
      <c r="F59" s="177"/>
      <c r="G59" s="178"/>
      <c r="H59" s="179"/>
      <c r="I59" s="180"/>
      <c r="J59" s="181"/>
      <c r="K59" s="152">
        <f t="shared" si="216"/>
        <v>0</v>
      </c>
      <c r="L59" s="153">
        <f t="shared" si="217"/>
        <v>0</v>
      </c>
      <c r="M59" s="154">
        <f t="shared" si="218"/>
        <v>0</v>
      </c>
      <c r="N59" s="154"/>
      <c r="O59" s="154">
        <f t="shared" si="219"/>
        <v>0</v>
      </c>
      <c r="P59" s="155"/>
      <c r="Q59" s="154">
        <f t="shared" si="220"/>
        <v>0</v>
      </c>
      <c r="R59" s="156">
        <f t="shared" si="221"/>
        <v>0</v>
      </c>
      <c r="S59" s="154">
        <f t="shared" si="222"/>
        <v>0</v>
      </c>
      <c r="T59" s="154">
        <f t="shared" si="223"/>
        <v>0</v>
      </c>
      <c r="U59" s="154">
        <f t="shared" si="224"/>
        <v>0</v>
      </c>
      <c r="V59" s="154">
        <f t="shared" si="225"/>
        <v>0</v>
      </c>
      <c r="W59" s="154">
        <f t="shared" si="226"/>
        <v>0</v>
      </c>
      <c r="X59" s="154">
        <f t="shared" si="227"/>
        <v>0</v>
      </c>
      <c r="Y59" s="154">
        <f t="shared" si="228"/>
        <v>0</v>
      </c>
      <c r="Z59" s="154">
        <f t="shared" si="229"/>
        <v>0</v>
      </c>
      <c r="AA59" s="154">
        <f t="shared" si="230"/>
        <v>0</v>
      </c>
      <c r="AB59" s="157">
        <f t="shared" si="231"/>
        <v>0</v>
      </c>
      <c r="AC59" s="154">
        <f t="shared" si="232"/>
        <v>0</v>
      </c>
      <c r="AD59" s="158">
        <f t="shared" si="233"/>
        <v>0</v>
      </c>
      <c r="AE59" s="156">
        <f t="shared" si="278"/>
        <v>0</v>
      </c>
      <c r="AF59" s="154">
        <f t="shared" si="235"/>
        <v>0</v>
      </c>
      <c r="AG59" s="154">
        <f t="shared" si="114"/>
        <v>0</v>
      </c>
      <c r="AH59" s="154">
        <f t="shared" si="236"/>
        <v>0</v>
      </c>
      <c r="AI59" s="154">
        <f t="shared" si="116"/>
        <v>0</v>
      </c>
      <c r="AJ59" s="154">
        <f t="shared" si="237"/>
        <v>0</v>
      </c>
      <c r="AK59" s="154">
        <f t="shared" si="118"/>
        <v>0</v>
      </c>
      <c r="AL59" s="154">
        <f t="shared" si="238"/>
        <v>0</v>
      </c>
      <c r="AM59" s="154">
        <f t="shared" si="120"/>
        <v>0</v>
      </c>
      <c r="AN59" s="154">
        <f t="shared" si="239"/>
        <v>0</v>
      </c>
      <c r="AO59" s="157">
        <f t="shared" si="122"/>
        <v>0</v>
      </c>
      <c r="AP59" s="154">
        <f t="shared" si="123"/>
        <v>0</v>
      </c>
      <c r="AQ59" s="158">
        <f t="shared" si="124"/>
        <v>0</v>
      </c>
      <c r="AR59" s="156">
        <f t="shared" si="278"/>
        <v>0</v>
      </c>
      <c r="AS59" s="154">
        <f t="shared" si="240"/>
        <v>0</v>
      </c>
      <c r="AT59" s="154">
        <f t="shared" si="127"/>
        <v>0</v>
      </c>
      <c r="AU59" s="154">
        <f t="shared" si="241"/>
        <v>0</v>
      </c>
      <c r="AV59" s="154">
        <f t="shared" si="129"/>
        <v>0</v>
      </c>
      <c r="AW59" s="154">
        <f t="shared" si="242"/>
        <v>0</v>
      </c>
      <c r="AX59" s="154">
        <f t="shared" si="131"/>
        <v>0</v>
      </c>
      <c r="AY59" s="154">
        <f t="shared" si="243"/>
        <v>0</v>
      </c>
      <c r="AZ59" s="154">
        <f t="shared" si="133"/>
        <v>0</v>
      </c>
      <c r="BA59" s="154">
        <f t="shared" si="244"/>
        <v>0</v>
      </c>
      <c r="BB59" s="157">
        <f t="shared" si="135"/>
        <v>0</v>
      </c>
      <c r="BC59" s="154">
        <f t="shared" si="136"/>
        <v>0</v>
      </c>
      <c r="BD59" s="158">
        <f t="shared" si="137"/>
        <v>0</v>
      </c>
      <c r="BE59" s="156">
        <f t="shared" si="278"/>
        <v>0</v>
      </c>
      <c r="BF59" s="154">
        <f t="shared" si="245"/>
        <v>0</v>
      </c>
      <c r="BG59" s="154">
        <f t="shared" si="140"/>
        <v>0</v>
      </c>
      <c r="BH59" s="154">
        <f t="shared" si="246"/>
        <v>0</v>
      </c>
      <c r="BI59" s="154">
        <f t="shared" si="142"/>
        <v>0</v>
      </c>
      <c r="BJ59" s="154">
        <f t="shared" si="247"/>
        <v>0</v>
      </c>
      <c r="BK59" s="154">
        <f t="shared" si="144"/>
        <v>0</v>
      </c>
      <c r="BL59" s="154">
        <f t="shared" si="248"/>
        <v>0</v>
      </c>
      <c r="BM59" s="154">
        <f t="shared" si="146"/>
        <v>0</v>
      </c>
      <c r="BN59" s="154">
        <f t="shared" si="249"/>
        <v>0</v>
      </c>
      <c r="BO59" s="157">
        <f t="shared" si="148"/>
        <v>0</v>
      </c>
      <c r="BP59" s="154">
        <f t="shared" si="149"/>
        <v>0</v>
      </c>
      <c r="BQ59" s="158">
        <f t="shared" si="150"/>
        <v>0</v>
      </c>
      <c r="BR59" s="156">
        <f t="shared" si="278"/>
        <v>0</v>
      </c>
      <c r="BS59" s="154">
        <f t="shared" si="250"/>
        <v>0</v>
      </c>
      <c r="BT59" s="154">
        <f t="shared" si="153"/>
        <v>0</v>
      </c>
      <c r="BU59" s="154">
        <f t="shared" si="251"/>
        <v>0</v>
      </c>
      <c r="BV59" s="154">
        <f t="shared" si="155"/>
        <v>0</v>
      </c>
      <c r="BW59" s="154">
        <f t="shared" si="252"/>
        <v>0</v>
      </c>
      <c r="BX59" s="154">
        <f t="shared" si="157"/>
        <v>0</v>
      </c>
      <c r="BY59" s="154">
        <f t="shared" si="253"/>
        <v>0</v>
      </c>
      <c r="BZ59" s="154">
        <f t="shared" si="159"/>
        <v>0</v>
      </c>
      <c r="CA59" s="154">
        <f t="shared" si="254"/>
        <v>0</v>
      </c>
      <c r="CB59" s="157">
        <f t="shared" si="161"/>
        <v>0</v>
      </c>
      <c r="CC59" s="154">
        <f t="shared" si="162"/>
        <v>0</v>
      </c>
      <c r="CD59" s="158">
        <f t="shared" si="163"/>
        <v>0</v>
      </c>
      <c r="CE59" s="156">
        <f t="shared" si="278"/>
        <v>0</v>
      </c>
      <c r="CF59" s="154">
        <f t="shared" si="255"/>
        <v>0</v>
      </c>
      <c r="CG59" s="154">
        <f t="shared" si="166"/>
        <v>0</v>
      </c>
      <c r="CH59" s="154">
        <f t="shared" si="256"/>
        <v>0</v>
      </c>
      <c r="CI59" s="154">
        <f t="shared" si="168"/>
        <v>0</v>
      </c>
      <c r="CJ59" s="154">
        <f t="shared" si="257"/>
        <v>0</v>
      </c>
      <c r="CK59" s="154">
        <f t="shared" si="170"/>
        <v>0</v>
      </c>
      <c r="CL59" s="154">
        <f t="shared" si="258"/>
        <v>0</v>
      </c>
      <c r="CM59" s="154">
        <f t="shared" si="172"/>
        <v>0</v>
      </c>
      <c r="CN59" s="154">
        <f t="shared" si="259"/>
        <v>0</v>
      </c>
      <c r="CO59" s="157">
        <f t="shared" si="174"/>
        <v>0</v>
      </c>
      <c r="CP59" s="154">
        <f t="shared" si="175"/>
        <v>0</v>
      </c>
      <c r="CQ59" s="158">
        <f t="shared" si="176"/>
        <v>0</v>
      </c>
      <c r="CR59" s="156">
        <f t="shared" si="279"/>
        <v>0</v>
      </c>
      <c r="CS59" s="154">
        <f t="shared" si="261"/>
        <v>0</v>
      </c>
      <c r="CT59" s="154">
        <f t="shared" si="179"/>
        <v>0</v>
      </c>
      <c r="CU59" s="154">
        <f t="shared" si="262"/>
        <v>0</v>
      </c>
      <c r="CV59" s="154">
        <f t="shared" si="181"/>
        <v>0</v>
      </c>
      <c r="CW59" s="154">
        <f t="shared" si="263"/>
        <v>0</v>
      </c>
      <c r="CX59" s="154">
        <f t="shared" si="183"/>
        <v>0</v>
      </c>
      <c r="CY59" s="154">
        <f t="shared" si="264"/>
        <v>0</v>
      </c>
      <c r="CZ59" s="154">
        <f t="shared" si="185"/>
        <v>0</v>
      </c>
      <c r="DA59" s="154">
        <f t="shared" si="265"/>
        <v>0</v>
      </c>
      <c r="DB59" s="157">
        <f t="shared" si="187"/>
        <v>0</v>
      </c>
      <c r="DC59" s="154">
        <f t="shared" si="188"/>
        <v>0</v>
      </c>
      <c r="DD59" s="158">
        <f t="shared" si="189"/>
        <v>0</v>
      </c>
      <c r="DE59" s="156">
        <f t="shared" si="279"/>
        <v>0</v>
      </c>
      <c r="DF59" s="154">
        <f t="shared" si="266"/>
        <v>0</v>
      </c>
      <c r="DG59" s="154">
        <f t="shared" si="192"/>
        <v>0</v>
      </c>
      <c r="DH59" s="154">
        <f t="shared" si="267"/>
        <v>0</v>
      </c>
      <c r="DI59" s="154">
        <f t="shared" si="194"/>
        <v>0</v>
      </c>
      <c r="DJ59" s="154">
        <f t="shared" si="268"/>
        <v>0</v>
      </c>
      <c r="DK59" s="154">
        <f t="shared" si="196"/>
        <v>0</v>
      </c>
      <c r="DL59" s="154">
        <f t="shared" si="269"/>
        <v>0</v>
      </c>
      <c r="DM59" s="154">
        <f t="shared" si="198"/>
        <v>0</v>
      </c>
      <c r="DN59" s="154">
        <f t="shared" si="270"/>
        <v>0</v>
      </c>
      <c r="DO59" s="157">
        <f t="shared" si="200"/>
        <v>0</v>
      </c>
      <c r="DP59" s="154">
        <f t="shared" si="201"/>
        <v>0</v>
      </c>
      <c r="DQ59" s="158">
        <f t="shared" si="202"/>
        <v>0</v>
      </c>
      <c r="DR59" s="156">
        <f t="shared" si="279"/>
        <v>0</v>
      </c>
      <c r="DS59" s="154">
        <f t="shared" si="271"/>
        <v>0</v>
      </c>
      <c r="DT59" s="154">
        <f t="shared" si="205"/>
        <v>0</v>
      </c>
      <c r="DU59" s="154">
        <f t="shared" si="272"/>
        <v>0</v>
      </c>
      <c r="DV59" s="154">
        <f t="shared" si="207"/>
        <v>0</v>
      </c>
      <c r="DW59" s="154">
        <f t="shared" si="273"/>
        <v>0</v>
      </c>
      <c r="DX59" s="154">
        <f t="shared" si="209"/>
        <v>0</v>
      </c>
      <c r="DY59" s="154">
        <f t="shared" si="274"/>
        <v>0</v>
      </c>
      <c r="DZ59" s="154">
        <f t="shared" si="211"/>
        <v>0</v>
      </c>
      <c r="EA59" s="154">
        <f t="shared" si="275"/>
        <v>0</v>
      </c>
      <c r="EB59" s="157">
        <f t="shared" si="213"/>
        <v>0</v>
      </c>
      <c r="EC59" s="154">
        <f t="shared" si="214"/>
        <v>0</v>
      </c>
      <c r="ED59" s="158">
        <f t="shared" si="215"/>
        <v>0</v>
      </c>
    </row>
    <row r="60" spans="1:134" x14ac:dyDescent="0.35">
      <c r="A60" s="172"/>
      <c r="B60" s="173"/>
      <c r="C60" s="174"/>
      <c r="D60" s="175"/>
      <c r="E60" s="176"/>
      <c r="F60" s="177"/>
      <c r="G60" s="178"/>
      <c r="H60" s="179"/>
      <c r="I60" s="180"/>
      <c r="J60" s="181"/>
      <c r="K60" s="152">
        <f t="shared" si="216"/>
        <v>0</v>
      </c>
      <c r="L60" s="153">
        <f t="shared" si="217"/>
        <v>0</v>
      </c>
      <c r="M60" s="154">
        <f t="shared" si="218"/>
        <v>0</v>
      </c>
      <c r="N60" s="154"/>
      <c r="O60" s="154">
        <f t="shared" si="219"/>
        <v>0</v>
      </c>
      <c r="P60" s="155"/>
      <c r="Q60" s="154">
        <f t="shared" si="220"/>
        <v>0</v>
      </c>
      <c r="R60" s="156">
        <f t="shared" si="221"/>
        <v>0</v>
      </c>
      <c r="S60" s="154">
        <f t="shared" si="222"/>
        <v>0</v>
      </c>
      <c r="T60" s="154">
        <f t="shared" si="223"/>
        <v>0</v>
      </c>
      <c r="U60" s="154">
        <f t="shared" si="224"/>
        <v>0</v>
      </c>
      <c r="V60" s="154">
        <f t="shared" si="225"/>
        <v>0</v>
      </c>
      <c r="W60" s="154">
        <f t="shared" si="226"/>
        <v>0</v>
      </c>
      <c r="X60" s="154">
        <f t="shared" si="227"/>
        <v>0</v>
      </c>
      <c r="Y60" s="154">
        <f t="shared" si="228"/>
        <v>0</v>
      </c>
      <c r="Z60" s="154">
        <f t="shared" si="229"/>
        <v>0</v>
      </c>
      <c r="AA60" s="154">
        <f t="shared" si="230"/>
        <v>0</v>
      </c>
      <c r="AB60" s="157">
        <f t="shared" si="231"/>
        <v>0</v>
      </c>
      <c r="AC60" s="154">
        <f t="shared" si="232"/>
        <v>0</v>
      </c>
      <c r="AD60" s="158">
        <f t="shared" si="233"/>
        <v>0</v>
      </c>
      <c r="AE60" s="156">
        <f t="shared" si="278"/>
        <v>0</v>
      </c>
      <c r="AF60" s="154">
        <f t="shared" si="235"/>
        <v>0</v>
      </c>
      <c r="AG60" s="154">
        <f t="shared" si="114"/>
        <v>0</v>
      </c>
      <c r="AH60" s="154">
        <f t="shared" si="236"/>
        <v>0</v>
      </c>
      <c r="AI60" s="154">
        <f t="shared" si="116"/>
        <v>0</v>
      </c>
      <c r="AJ60" s="154">
        <f t="shared" si="237"/>
        <v>0</v>
      </c>
      <c r="AK60" s="154">
        <f t="shared" si="118"/>
        <v>0</v>
      </c>
      <c r="AL60" s="154">
        <f t="shared" si="238"/>
        <v>0</v>
      </c>
      <c r="AM60" s="154">
        <f t="shared" si="120"/>
        <v>0</v>
      </c>
      <c r="AN60" s="154">
        <f t="shared" si="239"/>
        <v>0</v>
      </c>
      <c r="AO60" s="157">
        <f t="shared" si="122"/>
        <v>0</v>
      </c>
      <c r="AP60" s="154">
        <f t="shared" si="123"/>
        <v>0</v>
      </c>
      <c r="AQ60" s="158">
        <f t="shared" si="124"/>
        <v>0</v>
      </c>
      <c r="AR60" s="156">
        <f t="shared" si="278"/>
        <v>0</v>
      </c>
      <c r="AS60" s="154">
        <f t="shared" si="240"/>
        <v>0</v>
      </c>
      <c r="AT60" s="154">
        <f t="shared" si="127"/>
        <v>0</v>
      </c>
      <c r="AU60" s="154">
        <f t="shared" si="241"/>
        <v>0</v>
      </c>
      <c r="AV60" s="154">
        <f t="shared" si="129"/>
        <v>0</v>
      </c>
      <c r="AW60" s="154">
        <f t="shared" si="242"/>
        <v>0</v>
      </c>
      <c r="AX60" s="154">
        <f t="shared" si="131"/>
        <v>0</v>
      </c>
      <c r="AY60" s="154">
        <f t="shared" si="243"/>
        <v>0</v>
      </c>
      <c r="AZ60" s="154">
        <f t="shared" si="133"/>
        <v>0</v>
      </c>
      <c r="BA60" s="154">
        <f t="shared" si="244"/>
        <v>0</v>
      </c>
      <c r="BB60" s="157">
        <f t="shared" si="135"/>
        <v>0</v>
      </c>
      <c r="BC60" s="154">
        <f t="shared" si="136"/>
        <v>0</v>
      </c>
      <c r="BD60" s="158">
        <f t="shared" si="137"/>
        <v>0</v>
      </c>
      <c r="BE60" s="156">
        <f t="shared" si="278"/>
        <v>0</v>
      </c>
      <c r="BF60" s="154">
        <f t="shared" si="245"/>
        <v>0</v>
      </c>
      <c r="BG60" s="154">
        <f t="shared" si="140"/>
        <v>0</v>
      </c>
      <c r="BH60" s="154">
        <f t="shared" si="246"/>
        <v>0</v>
      </c>
      <c r="BI60" s="154">
        <f t="shared" si="142"/>
        <v>0</v>
      </c>
      <c r="BJ60" s="154">
        <f t="shared" si="247"/>
        <v>0</v>
      </c>
      <c r="BK60" s="154">
        <f t="shared" si="144"/>
        <v>0</v>
      </c>
      <c r="BL60" s="154">
        <f t="shared" si="248"/>
        <v>0</v>
      </c>
      <c r="BM60" s="154">
        <f t="shared" si="146"/>
        <v>0</v>
      </c>
      <c r="BN60" s="154">
        <f t="shared" si="249"/>
        <v>0</v>
      </c>
      <c r="BO60" s="157">
        <f t="shared" si="148"/>
        <v>0</v>
      </c>
      <c r="BP60" s="154">
        <f t="shared" si="149"/>
        <v>0</v>
      </c>
      <c r="BQ60" s="158">
        <f t="shared" si="150"/>
        <v>0</v>
      </c>
      <c r="BR60" s="156">
        <f t="shared" si="278"/>
        <v>0</v>
      </c>
      <c r="BS60" s="154">
        <f t="shared" si="250"/>
        <v>0</v>
      </c>
      <c r="BT60" s="154">
        <f t="shared" si="153"/>
        <v>0</v>
      </c>
      <c r="BU60" s="154">
        <f t="shared" si="251"/>
        <v>0</v>
      </c>
      <c r="BV60" s="154">
        <f t="shared" si="155"/>
        <v>0</v>
      </c>
      <c r="BW60" s="154">
        <f t="shared" si="252"/>
        <v>0</v>
      </c>
      <c r="BX60" s="154">
        <f t="shared" si="157"/>
        <v>0</v>
      </c>
      <c r="BY60" s="154">
        <f t="shared" si="253"/>
        <v>0</v>
      </c>
      <c r="BZ60" s="154">
        <f t="shared" si="159"/>
        <v>0</v>
      </c>
      <c r="CA60" s="154">
        <f t="shared" si="254"/>
        <v>0</v>
      </c>
      <c r="CB60" s="157">
        <f t="shared" si="161"/>
        <v>0</v>
      </c>
      <c r="CC60" s="154">
        <f t="shared" si="162"/>
        <v>0</v>
      </c>
      <c r="CD60" s="158">
        <f t="shared" si="163"/>
        <v>0</v>
      </c>
      <c r="CE60" s="156">
        <f t="shared" si="278"/>
        <v>0</v>
      </c>
      <c r="CF60" s="154">
        <f t="shared" si="255"/>
        <v>0</v>
      </c>
      <c r="CG60" s="154">
        <f t="shared" si="166"/>
        <v>0</v>
      </c>
      <c r="CH60" s="154">
        <f t="shared" si="256"/>
        <v>0</v>
      </c>
      <c r="CI60" s="154">
        <f t="shared" si="168"/>
        <v>0</v>
      </c>
      <c r="CJ60" s="154">
        <f t="shared" si="257"/>
        <v>0</v>
      </c>
      <c r="CK60" s="154">
        <f t="shared" si="170"/>
        <v>0</v>
      </c>
      <c r="CL60" s="154">
        <f t="shared" si="258"/>
        <v>0</v>
      </c>
      <c r="CM60" s="154">
        <f t="shared" si="172"/>
        <v>0</v>
      </c>
      <c r="CN60" s="154">
        <f t="shared" si="259"/>
        <v>0</v>
      </c>
      <c r="CO60" s="157">
        <f t="shared" si="174"/>
        <v>0</v>
      </c>
      <c r="CP60" s="154">
        <f t="shared" si="175"/>
        <v>0</v>
      </c>
      <c r="CQ60" s="158">
        <f t="shared" si="176"/>
        <v>0</v>
      </c>
      <c r="CR60" s="156">
        <f t="shared" si="279"/>
        <v>0</v>
      </c>
      <c r="CS60" s="154">
        <f t="shared" si="261"/>
        <v>0</v>
      </c>
      <c r="CT60" s="154">
        <f t="shared" si="179"/>
        <v>0</v>
      </c>
      <c r="CU60" s="154">
        <f t="shared" si="262"/>
        <v>0</v>
      </c>
      <c r="CV60" s="154">
        <f t="shared" si="181"/>
        <v>0</v>
      </c>
      <c r="CW60" s="154">
        <f t="shared" si="263"/>
        <v>0</v>
      </c>
      <c r="CX60" s="154">
        <f t="shared" si="183"/>
        <v>0</v>
      </c>
      <c r="CY60" s="154">
        <f t="shared" si="264"/>
        <v>0</v>
      </c>
      <c r="CZ60" s="154">
        <f t="shared" si="185"/>
        <v>0</v>
      </c>
      <c r="DA60" s="154">
        <f t="shared" si="265"/>
        <v>0</v>
      </c>
      <c r="DB60" s="157">
        <f t="shared" si="187"/>
        <v>0</v>
      </c>
      <c r="DC60" s="154">
        <f t="shared" si="188"/>
        <v>0</v>
      </c>
      <c r="DD60" s="158">
        <f t="shared" si="189"/>
        <v>0</v>
      </c>
      <c r="DE60" s="156">
        <f t="shared" si="279"/>
        <v>0</v>
      </c>
      <c r="DF60" s="154">
        <f t="shared" si="266"/>
        <v>0</v>
      </c>
      <c r="DG60" s="154">
        <f t="shared" si="192"/>
        <v>0</v>
      </c>
      <c r="DH60" s="154">
        <f t="shared" si="267"/>
        <v>0</v>
      </c>
      <c r="DI60" s="154">
        <f t="shared" si="194"/>
        <v>0</v>
      </c>
      <c r="DJ60" s="154">
        <f t="shared" si="268"/>
        <v>0</v>
      </c>
      <c r="DK60" s="154">
        <f t="shared" si="196"/>
        <v>0</v>
      </c>
      <c r="DL60" s="154">
        <f t="shared" si="269"/>
        <v>0</v>
      </c>
      <c r="DM60" s="154">
        <f t="shared" si="198"/>
        <v>0</v>
      </c>
      <c r="DN60" s="154">
        <f t="shared" si="270"/>
        <v>0</v>
      </c>
      <c r="DO60" s="157">
        <f t="shared" si="200"/>
        <v>0</v>
      </c>
      <c r="DP60" s="154">
        <f t="shared" si="201"/>
        <v>0</v>
      </c>
      <c r="DQ60" s="158">
        <f t="shared" si="202"/>
        <v>0</v>
      </c>
      <c r="DR60" s="156">
        <f t="shared" si="279"/>
        <v>0</v>
      </c>
      <c r="DS60" s="154">
        <f t="shared" si="271"/>
        <v>0</v>
      </c>
      <c r="DT60" s="154">
        <f t="shared" si="205"/>
        <v>0</v>
      </c>
      <c r="DU60" s="154">
        <f t="shared" si="272"/>
        <v>0</v>
      </c>
      <c r="DV60" s="154">
        <f t="shared" si="207"/>
        <v>0</v>
      </c>
      <c r="DW60" s="154">
        <f t="shared" si="273"/>
        <v>0</v>
      </c>
      <c r="DX60" s="154">
        <f t="shared" si="209"/>
        <v>0</v>
      </c>
      <c r="DY60" s="154">
        <f t="shared" si="274"/>
        <v>0</v>
      </c>
      <c r="DZ60" s="154">
        <f t="shared" si="211"/>
        <v>0</v>
      </c>
      <c r="EA60" s="154">
        <f t="shared" si="275"/>
        <v>0</v>
      </c>
      <c r="EB60" s="157">
        <f t="shared" si="213"/>
        <v>0</v>
      </c>
      <c r="EC60" s="154">
        <f t="shared" si="214"/>
        <v>0</v>
      </c>
      <c r="ED60" s="158">
        <f t="shared" si="215"/>
        <v>0</v>
      </c>
    </row>
    <row r="61" spans="1:134" x14ac:dyDescent="0.35">
      <c r="A61" s="172"/>
      <c r="B61" s="173"/>
      <c r="C61" s="174"/>
      <c r="D61" s="175"/>
      <c r="E61" s="176"/>
      <c r="F61" s="177"/>
      <c r="G61" s="178"/>
      <c r="H61" s="179"/>
      <c r="I61" s="180"/>
      <c r="J61" s="181"/>
      <c r="K61" s="152">
        <f t="shared" si="216"/>
        <v>0</v>
      </c>
      <c r="L61" s="153">
        <f t="shared" si="217"/>
        <v>0</v>
      </c>
      <c r="M61" s="154">
        <f t="shared" si="218"/>
        <v>0</v>
      </c>
      <c r="N61" s="154"/>
      <c r="O61" s="154">
        <f t="shared" si="219"/>
        <v>0</v>
      </c>
      <c r="P61" s="155"/>
      <c r="Q61" s="154">
        <f t="shared" si="220"/>
        <v>0</v>
      </c>
      <c r="R61" s="156">
        <f t="shared" si="221"/>
        <v>0</v>
      </c>
      <c r="S61" s="154">
        <f t="shared" si="222"/>
        <v>0</v>
      </c>
      <c r="T61" s="154">
        <f t="shared" si="223"/>
        <v>0</v>
      </c>
      <c r="U61" s="154">
        <f t="shared" si="224"/>
        <v>0</v>
      </c>
      <c r="V61" s="154">
        <f t="shared" si="225"/>
        <v>0</v>
      </c>
      <c r="W61" s="154">
        <f t="shared" si="226"/>
        <v>0</v>
      </c>
      <c r="X61" s="154">
        <f t="shared" si="227"/>
        <v>0</v>
      </c>
      <c r="Y61" s="154">
        <f t="shared" si="228"/>
        <v>0</v>
      </c>
      <c r="Z61" s="154">
        <f t="shared" si="229"/>
        <v>0</v>
      </c>
      <c r="AA61" s="154">
        <f t="shared" si="230"/>
        <v>0</v>
      </c>
      <c r="AB61" s="157">
        <f t="shared" si="231"/>
        <v>0</v>
      </c>
      <c r="AC61" s="154">
        <f t="shared" si="232"/>
        <v>0</v>
      </c>
      <c r="AD61" s="158">
        <f t="shared" si="233"/>
        <v>0</v>
      </c>
      <c r="AE61" s="156">
        <f t="shared" si="278"/>
        <v>0</v>
      </c>
      <c r="AF61" s="154">
        <f t="shared" si="235"/>
        <v>0</v>
      </c>
      <c r="AG61" s="154">
        <f t="shared" si="114"/>
        <v>0</v>
      </c>
      <c r="AH61" s="154">
        <f t="shared" si="236"/>
        <v>0</v>
      </c>
      <c r="AI61" s="154">
        <f t="shared" si="116"/>
        <v>0</v>
      </c>
      <c r="AJ61" s="154">
        <f t="shared" si="237"/>
        <v>0</v>
      </c>
      <c r="AK61" s="154">
        <f t="shared" si="118"/>
        <v>0</v>
      </c>
      <c r="AL61" s="154">
        <f t="shared" si="238"/>
        <v>0</v>
      </c>
      <c r="AM61" s="154">
        <f t="shared" si="120"/>
        <v>0</v>
      </c>
      <c r="AN61" s="154">
        <f t="shared" si="239"/>
        <v>0</v>
      </c>
      <c r="AO61" s="157">
        <f t="shared" si="122"/>
        <v>0</v>
      </c>
      <c r="AP61" s="154">
        <f t="shared" si="123"/>
        <v>0</v>
      </c>
      <c r="AQ61" s="158">
        <f t="shared" si="124"/>
        <v>0</v>
      </c>
      <c r="AR61" s="156">
        <f t="shared" si="278"/>
        <v>0</v>
      </c>
      <c r="AS61" s="154">
        <f t="shared" si="240"/>
        <v>0</v>
      </c>
      <c r="AT61" s="154">
        <f t="shared" si="127"/>
        <v>0</v>
      </c>
      <c r="AU61" s="154">
        <f t="shared" si="241"/>
        <v>0</v>
      </c>
      <c r="AV61" s="154">
        <f t="shared" si="129"/>
        <v>0</v>
      </c>
      <c r="AW61" s="154">
        <f t="shared" si="242"/>
        <v>0</v>
      </c>
      <c r="AX61" s="154">
        <f t="shared" si="131"/>
        <v>0</v>
      </c>
      <c r="AY61" s="154">
        <f t="shared" si="243"/>
        <v>0</v>
      </c>
      <c r="AZ61" s="154">
        <f t="shared" si="133"/>
        <v>0</v>
      </c>
      <c r="BA61" s="154">
        <f t="shared" si="244"/>
        <v>0</v>
      </c>
      <c r="BB61" s="157">
        <f t="shared" si="135"/>
        <v>0</v>
      </c>
      <c r="BC61" s="154">
        <f t="shared" si="136"/>
        <v>0</v>
      </c>
      <c r="BD61" s="158">
        <f t="shared" si="137"/>
        <v>0</v>
      </c>
      <c r="BE61" s="156">
        <f t="shared" si="278"/>
        <v>0</v>
      </c>
      <c r="BF61" s="154">
        <f t="shared" si="245"/>
        <v>0</v>
      </c>
      <c r="BG61" s="154">
        <f t="shared" si="140"/>
        <v>0</v>
      </c>
      <c r="BH61" s="154">
        <f t="shared" si="246"/>
        <v>0</v>
      </c>
      <c r="BI61" s="154">
        <f t="shared" si="142"/>
        <v>0</v>
      </c>
      <c r="BJ61" s="154">
        <f t="shared" si="247"/>
        <v>0</v>
      </c>
      <c r="BK61" s="154">
        <f t="shared" si="144"/>
        <v>0</v>
      </c>
      <c r="BL61" s="154">
        <f t="shared" si="248"/>
        <v>0</v>
      </c>
      <c r="BM61" s="154">
        <f t="shared" si="146"/>
        <v>0</v>
      </c>
      <c r="BN61" s="154">
        <f t="shared" si="249"/>
        <v>0</v>
      </c>
      <c r="BO61" s="157">
        <f t="shared" si="148"/>
        <v>0</v>
      </c>
      <c r="BP61" s="154">
        <f t="shared" si="149"/>
        <v>0</v>
      </c>
      <c r="BQ61" s="158">
        <f t="shared" si="150"/>
        <v>0</v>
      </c>
      <c r="BR61" s="156">
        <f t="shared" si="278"/>
        <v>0</v>
      </c>
      <c r="BS61" s="154">
        <f t="shared" si="250"/>
        <v>0</v>
      </c>
      <c r="BT61" s="154">
        <f t="shared" si="153"/>
        <v>0</v>
      </c>
      <c r="BU61" s="154">
        <f t="shared" si="251"/>
        <v>0</v>
      </c>
      <c r="BV61" s="154">
        <f t="shared" si="155"/>
        <v>0</v>
      </c>
      <c r="BW61" s="154">
        <f t="shared" si="252"/>
        <v>0</v>
      </c>
      <c r="BX61" s="154">
        <f t="shared" si="157"/>
        <v>0</v>
      </c>
      <c r="BY61" s="154">
        <f t="shared" si="253"/>
        <v>0</v>
      </c>
      <c r="BZ61" s="154">
        <f t="shared" si="159"/>
        <v>0</v>
      </c>
      <c r="CA61" s="154">
        <f t="shared" si="254"/>
        <v>0</v>
      </c>
      <c r="CB61" s="157">
        <f t="shared" si="161"/>
        <v>0</v>
      </c>
      <c r="CC61" s="154">
        <f t="shared" si="162"/>
        <v>0</v>
      </c>
      <c r="CD61" s="158">
        <f t="shared" si="163"/>
        <v>0</v>
      </c>
      <c r="CE61" s="156">
        <f t="shared" si="278"/>
        <v>0</v>
      </c>
      <c r="CF61" s="154">
        <f t="shared" si="255"/>
        <v>0</v>
      </c>
      <c r="CG61" s="154">
        <f t="shared" si="166"/>
        <v>0</v>
      </c>
      <c r="CH61" s="154">
        <f t="shared" si="256"/>
        <v>0</v>
      </c>
      <c r="CI61" s="154">
        <f t="shared" si="168"/>
        <v>0</v>
      </c>
      <c r="CJ61" s="154">
        <f t="shared" si="257"/>
        <v>0</v>
      </c>
      <c r="CK61" s="154">
        <f t="shared" si="170"/>
        <v>0</v>
      </c>
      <c r="CL61" s="154">
        <f t="shared" si="258"/>
        <v>0</v>
      </c>
      <c r="CM61" s="154">
        <f t="shared" si="172"/>
        <v>0</v>
      </c>
      <c r="CN61" s="154">
        <f t="shared" si="259"/>
        <v>0</v>
      </c>
      <c r="CO61" s="157">
        <f t="shared" si="174"/>
        <v>0</v>
      </c>
      <c r="CP61" s="154">
        <f t="shared" si="175"/>
        <v>0</v>
      </c>
      <c r="CQ61" s="158">
        <f t="shared" si="176"/>
        <v>0</v>
      </c>
      <c r="CR61" s="156">
        <f t="shared" si="279"/>
        <v>0</v>
      </c>
      <c r="CS61" s="154">
        <f t="shared" si="261"/>
        <v>0</v>
      </c>
      <c r="CT61" s="154">
        <f t="shared" si="179"/>
        <v>0</v>
      </c>
      <c r="CU61" s="154">
        <f t="shared" si="262"/>
        <v>0</v>
      </c>
      <c r="CV61" s="154">
        <f t="shared" si="181"/>
        <v>0</v>
      </c>
      <c r="CW61" s="154">
        <f t="shared" si="263"/>
        <v>0</v>
      </c>
      <c r="CX61" s="154">
        <f t="shared" si="183"/>
        <v>0</v>
      </c>
      <c r="CY61" s="154">
        <f t="shared" si="264"/>
        <v>0</v>
      </c>
      <c r="CZ61" s="154">
        <f t="shared" si="185"/>
        <v>0</v>
      </c>
      <c r="DA61" s="154">
        <f t="shared" si="265"/>
        <v>0</v>
      </c>
      <c r="DB61" s="157">
        <f t="shared" si="187"/>
        <v>0</v>
      </c>
      <c r="DC61" s="154">
        <f t="shared" si="188"/>
        <v>0</v>
      </c>
      <c r="DD61" s="158">
        <f t="shared" si="189"/>
        <v>0</v>
      </c>
      <c r="DE61" s="156">
        <f t="shared" si="279"/>
        <v>0</v>
      </c>
      <c r="DF61" s="154">
        <f t="shared" si="266"/>
        <v>0</v>
      </c>
      <c r="DG61" s="154">
        <f t="shared" si="192"/>
        <v>0</v>
      </c>
      <c r="DH61" s="154">
        <f t="shared" si="267"/>
        <v>0</v>
      </c>
      <c r="DI61" s="154">
        <f t="shared" si="194"/>
        <v>0</v>
      </c>
      <c r="DJ61" s="154">
        <f t="shared" si="268"/>
        <v>0</v>
      </c>
      <c r="DK61" s="154">
        <f t="shared" si="196"/>
        <v>0</v>
      </c>
      <c r="DL61" s="154">
        <f t="shared" si="269"/>
        <v>0</v>
      </c>
      <c r="DM61" s="154">
        <f t="shared" si="198"/>
        <v>0</v>
      </c>
      <c r="DN61" s="154">
        <f t="shared" si="270"/>
        <v>0</v>
      </c>
      <c r="DO61" s="157">
        <f t="shared" si="200"/>
        <v>0</v>
      </c>
      <c r="DP61" s="154">
        <f t="shared" si="201"/>
        <v>0</v>
      </c>
      <c r="DQ61" s="158">
        <f t="shared" si="202"/>
        <v>0</v>
      </c>
      <c r="DR61" s="156">
        <f t="shared" si="279"/>
        <v>0</v>
      </c>
      <c r="DS61" s="154">
        <f t="shared" si="271"/>
        <v>0</v>
      </c>
      <c r="DT61" s="154">
        <f t="shared" si="205"/>
        <v>0</v>
      </c>
      <c r="DU61" s="154">
        <f t="shared" si="272"/>
        <v>0</v>
      </c>
      <c r="DV61" s="154">
        <f t="shared" si="207"/>
        <v>0</v>
      </c>
      <c r="DW61" s="154">
        <f t="shared" si="273"/>
        <v>0</v>
      </c>
      <c r="DX61" s="154">
        <f t="shared" si="209"/>
        <v>0</v>
      </c>
      <c r="DY61" s="154">
        <f t="shared" si="274"/>
        <v>0</v>
      </c>
      <c r="DZ61" s="154">
        <f t="shared" si="211"/>
        <v>0</v>
      </c>
      <c r="EA61" s="154">
        <f t="shared" si="275"/>
        <v>0</v>
      </c>
      <c r="EB61" s="157">
        <f t="shared" si="213"/>
        <v>0</v>
      </c>
      <c r="EC61" s="154">
        <f t="shared" si="214"/>
        <v>0</v>
      </c>
      <c r="ED61" s="158">
        <f t="shared" si="215"/>
        <v>0</v>
      </c>
    </row>
    <row r="62" spans="1:134" x14ac:dyDescent="0.35">
      <c r="A62" s="172"/>
      <c r="B62" s="173"/>
      <c r="C62" s="174"/>
      <c r="D62" s="175"/>
      <c r="E62" s="176"/>
      <c r="F62" s="177"/>
      <c r="G62" s="178"/>
      <c r="H62" s="179"/>
      <c r="I62" s="180"/>
      <c r="J62" s="181"/>
      <c r="K62" s="152">
        <f t="shared" si="216"/>
        <v>0</v>
      </c>
      <c r="L62" s="153">
        <f t="shared" si="217"/>
        <v>0</v>
      </c>
      <c r="M62" s="154">
        <f t="shared" si="218"/>
        <v>0</v>
      </c>
      <c r="N62" s="154"/>
      <c r="O62" s="154">
        <f t="shared" si="219"/>
        <v>0</v>
      </c>
      <c r="P62" s="155"/>
      <c r="Q62" s="154">
        <f t="shared" si="220"/>
        <v>0</v>
      </c>
      <c r="R62" s="156">
        <f t="shared" si="221"/>
        <v>0</v>
      </c>
      <c r="S62" s="154">
        <f t="shared" si="222"/>
        <v>0</v>
      </c>
      <c r="T62" s="154">
        <f t="shared" si="223"/>
        <v>0</v>
      </c>
      <c r="U62" s="154">
        <f t="shared" si="224"/>
        <v>0</v>
      </c>
      <c r="V62" s="154">
        <f t="shared" si="225"/>
        <v>0</v>
      </c>
      <c r="W62" s="154">
        <f t="shared" si="226"/>
        <v>0</v>
      </c>
      <c r="X62" s="154">
        <f t="shared" si="227"/>
        <v>0</v>
      </c>
      <c r="Y62" s="154">
        <f t="shared" si="228"/>
        <v>0</v>
      </c>
      <c r="Z62" s="154">
        <f t="shared" si="229"/>
        <v>0</v>
      </c>
      <c r="AA62" s="154">
        <f t="shared" si="230"/>
        <v>0</v>
      </c>
      <c r="AB62" s="157">
        <f t="shared" si="231"/>
        <v>0</v>
      </c>
      <c r="AC62" s="154">
        <f t="shared" si="232"/>
        <v>0</v>
      </c>
      <c r="AD62" s="158">
        <f t="shared" si="233"/>
        <v>0</v>
      </c>
      <c r="AE62" s="156">
        <f t="shared" si="278"/>
        <v>0</v>
      </c>
      <c r="AF62" s="154">
        <f t="shared" si="235"/>
        <v>0</v>
      </c>
      <c r="AG62" s="154">
        <f t="shared" si="114"/>
        <v>0</v>
      </c>
      <c r="AH62" s="154">
        <f t="shared" si="236"/>
        <v>0</v>
      </c>
      <c r="AI62" s="154">
        <f t="shared" si="116"/>
        <v>0</v>
      </c>
      <c r="AJ62" s="154">
        <f t="shared" si="237"/>
        <v>0</v>
      </c>
      <c r="AK62" s="154">
        <f t="shared" si="118"/>
        <v>0</v>
      </c>
      <c r="AL62" s="154">
        <f t="shared" si="238"/>
        <v>0</v>
      </c>
      <c r="AM62" s="154">
        <f t="shared" si="120"/>
        <v>0</v>
      </c>
      <c r="AN62" s="154">
        <f t="shared" si="239"/>
        <v>0</v>
      </c>
      <c r="AO62" s="157">
        <f t="shared" si="122"/>
        <v>0</v>
      </c>
      <c r="AP62" s="154">
        <f t="shared" si="123"/>
        <v>0</v>
      </c>
      <c r="AQ62" s="158">
        <f t="shared" si="124"/>
        <v>0</v>
      </c>
      <c r="AR62" s="156">
        <f t="shared" si="278"/>
        <v>0</v>
      </c>
      <c r="AS62" s="154">
        <f t="shared" si="240"/>
        <v>0</v>
      </c>
      <c r="AT62" s="154">
        <f t="shared" si="127"/>
        <v>0</v>
      </c>
      <c r="AU62" s="154">
        <f t="shared" si="241"/>
        <v>0</v>
      </c>
      <c r="AV62" s="154">
        <f t="shared" si="129"/>
        <v>0</v>
      </c>
      <c r="AW62" s="154">
        <f t="shared" si="242"/>
        <v>0</v>
      </c>
      <c r="AX62" s="154">
        <f t="shared" si="131"/>
        <v>0</v>
      </c>
      <c r="AY62" s="154">
        <f t="shared" si="243"/>
        <v>0</v>
      </c>
      <c r="AZ62" s="154">
        <f t="shared" si="133"/>
        <v>0</v>
      </c>
      <c r="BA62" s="154">
        <f t="shared" si="244"/>
        <v>0</v>
      </c>
      <c r="BB62" s="157">
        <f t="shared" si="135"/>
        <v>0</v>
      </c>
      <c r="BC62" s="154">
        <f t="shared" si="136"/>
        <v>0</v>
      </c>
      <c r="BD62" s="158">
        <f t="shared" si="137"/>
        <v>0</v>
      </c>
      <c r="BE62" s="156">
        <f t="shared" si="278"/>
        <v>0</v>
      </c>
      <c r="BF62" s="154">
        <f t="shared" si="245"/>
        <v>0</v>
      </c>
      <c r="BG62" s="154">
        <f t="shared" si="140"/>
        <v>0</v>
      </c>
      <c r="BH62" s="154">
        <f t="shared" si="246"/>
        <v>0</v>
      </c>
      <c r="BI62" s="154">
        <f t="shared" si="142"/>
        <v>0</v>
      </c>
      <c r="BJ62" s="154">
        <f t="shared" si="247"/>
        <v>0</v>
      </c>
      <c r="BK62" s="154">
        <f t="shared" si="144"/>
        <v>0</v>
      </c>
      <c r="BL62" s="154">
        <f t="shared" si="248"/>
        <v>0</v>
      </c>
      <c r="BM62" s="154">
        <f t="shared" si="146"/>
        <v>0</v>
      </c>
      <c r="BN62" s="154">
        <f t="shared" si="249"/>
        <v>0</v>
      </c>
      <c r="BO62" s="157">
        <f t="shared" si="148"/>
        <v>0</v>
      </c>
      <c r="BP62" s="154">
        <f t="shared" si="149"/>
        <v>0</v>
      </c>
      <c r="BQ62" s="158">
        <f t="shared" si="150"/>
        <v>0</v>
      </c>
      <c r="BR62" s="156">
        <f t="shared" si="278"/>
        <v>0</v>
      </c>
      <c r="BS62" s="154">
        <f t="shared" si="250"/>
        <v>0</v>
      </c>
      <c r="BT62" s="154">
        <f t="shared" si="153"/>
        <v>0</v>
      </c>
      <c r="BU62" s="154">
        <f t="shared" si="251"/>
        <v>0</v>
      </c>
      <c r="BV62" s="154">
        <f t="shared" si="155"/>
        <v>0</v>
      </c>
      <c r="BW62" s="154">
        <f t="shared" si="252"/>
        <v>0</v>
      </c>
      <c r="BX62" s="154">
        <f t="shared" si="157"/>
        <v>0</v>
      </c>
      <c r="BY62" s="154">
        <f t="shared" si="253"/>
        <v>0</v>
      </c>
      <c r="BZ62" s="154">
        <f t="shared" si="159"/>
        <v>0</v>
      </c>
      <c r="CA62" s="154">
        <f t="shared" si="254"/>
        <v>0</v>
      </c>
      <c r="CB62" s="157">
        <f t="shared" si="161"/>
        <v>0</v>
      </c>
      <c r="CC62" s="154">
        <f t="shared" si="162"/>
        <v>0</v>
      </c>
      <c r="CD62" s="158">
        <f t="shared" si="163"/>
        <v>0</v>
      </c>
      <c r="CE62" s="156">
        <f t="shared" si="278"/>
        <v>0</v>
      </c>
      <c r="CF62" s="154">
        <f t="shared" si="255"/>
        <v>0</v>
      </c>
      <c r="CG62" s="154">
        <f t="shared" si="166"/>
        <v>0</v>
      </c>
      <c r="CH62" s="154">
        <f t="shared" si="256"/>
        <v>0</v>
      </c>
      <c r="CI62" s="154">
        <f t="shared" si="168"/>
        <v>0</v>
      </c>
      <c r="CJ62" s="154">
        <f t="shared" si="257"/>
        <v>0</v>
      </c>
      <c r="CK62" s="154">
        <f t="shared" si="170"/>
        <v>0</v>
      </c>
      <c r="CL62" s="154">
        <f t="shared" si="258"/>
        <v>0</v>
      </c>
      <c r="CM62" s="154">
        <f t="shared" si="172"/>
        <v>0</v>
      </c>
      <c r="CN62" s="154">
        <f t="shared" si="259"/>
        <v>0</v>
      </c>
      <c r="CO62" s="157">
        <f t="shared" si="174"/>
        <v>0</v>
      </c>
      <c r="CP62" s="154">
        <f t="shared" si="175"/>
        <v>0</v>
      </c>
      <c r="CQ62" s="158">
        <f t="shared" si="176"/>
        <v>0</v>
      </c>
      <c r="CR62" s="156">
        <f t="shared" si="279"/>
        <v>0</v>
      </c>
      <c r="CS62" s="154">
        <f t="shared" si="261"/>
        <v>0</v>
      </c>
      <c r="CT62" s="154">
        <f t="shared" si="179"/>
        <v>0</v>
      </c>
      <c r="CU62" s="154">
        <f t="shared" si="262"/>
        <v>0</v>
      </c>
      <c r="CV62" s="154">
        <f t="shared" si="181"/>
        <v>0</v>
      </c>
      <c r="CW62" s="154">
        <f t="shared" si="263"/>
        <v>0</v>
      </c>
      <c r="CX62" s="154">
        <f t="shared" si="183"/>
        <v>0</v>
      </c>
      <c r="CY62" s="154">
        <f t="shared" si="264"/>
        <v>0</v>
      </c>
      <c r="CZ62" s="154">
        <f t="shared" si="185"/>
        <v>0</v>
      </c>
      <c r="DA62" s="154">
        <f t="shared" si="265"/>
        <v>0</v>
      </c>
      <c r="DB62" s="157">
        <f t="shared" si="187"/>
        <v>0</v>
      </c>
      <c r="DC62" s="154">
        <f t="shared" si="188"/>
        <v>0</v>
      </c>
      <c r="DD62" s="158">
        <f t="shared" si="189"/>
        <v>0</v>
      </c>
      <c r="DE62" s="156">
        <f t="shared" si="279"/>
        <v>0</v>
      </c>
      <c r="DF62" s="154">
        <f t="shared" si="266"/>
        <v>0</v>
      </c>
      <c r="DG62" s="154">
        <f t="shared" si="192"/>
        <v>0</v>
      </c>
      <c r="DH62" s="154">
        <f t="shared" si="267"/>
        <v>0</v>
      </c>
      <c r="DI62" s="154">
        <f t="shared" si="194"/>
        <v>0</v>
      </c>
      <c r="DJ62" s="154">
        <f t="shared" si="268"/>
        <v>0</v>
      </c>
      <c r="DK62" s="154">
        <f t="shared" si="196"/>
        <v>0</v>
      </c>
      <c r="DL62" s="154">
        <f t="shared" si="269"/>
        <v>0</v>
      </c>
      <c r="DM62" s="154">
        <f t="shared" si="198"/>
        <v>0</v>
      </c>
      <c r="DN62" s="154">
        <f t="shared" si="270"/>
        <v>0</v>
      </c>
      <c r="DO62" s="157">
        <f t="shared" si="200"/>
        <v>0</v>
      </c>
      <c r="DP62" s="154">
        <f t="shared" si="201"/>
        <v>0</v>
      </c>
      <c r="DQ62" s="158">
        <f t="shared" si="202"/>
        <v>0</v>
      </c>
      <c r="DR62" s="156">
        <f t="shared" si="279"/>
        <v>0</v>
      </c>
      <c r="DS62" s="154">
        <f t="shared" si="271"/>
        <v>0</v>
      </c>
      <c r="DT62" s="154">
        <f t="shared" si="205"/>
        <v>0</v>
      </c>
      <c r="DU62" s="154">
        <f t="shared" si="272"/>
        <v>0</v>
      </c>
      <c r="DV62" s="154">
        <f t="shared" si="207"/>
        <v>0</v>
      </c>
      <c r="DW62" s="154">
        <f t="shared" si="273"/>
        <v>0</v>
      </c>
      <c r="DX62" s="154">
        <f t="shared" si="209"/>
        <v>0</v>
      </c>
      <c r="DY62" s="154">
        <f t="shared" si="274"/>
        <v>0</v>
      </c>
      <c r="DZ62" s="154">
        <f t="shared" si="211"/>
        <v>0</v>
      </c>
      <c r="EA62" s="154">
        <f t="shared" si="275"/>
        <v>0</v>
      </c>
      <c r="EB62" s="157">
        <f t="shared" si="213"/>
        <v>0</v>
      </c>
      <c r="EC62" s="154">
        <f t="shared" si="214"/>
        <v>0</v>
      </c>
      <c r="ED62" s="158">
        <f t="shared" si="215"/>
        <v>0</v>
      </c>
    </row>
    <row r="63" spans="1:134" x14ac:dyDescent="0.35">
      <c r="A63" s="172"/>
      <c r="B63" s="173"/>
      <c r="C63" s="174"/>
      <c r="D63" s="175"/>
      <c r="E63" s="176"/>
      <c r="F63" s="177"/>
      <c r="G63" s="178"/>
      <c r="H63" s="179"/>
      <c r="I63" s="180"/>
      <c r="J63" s="181"/>
      <c r="K63" s="152">
        <f t="shared" si="216"/>
        <v>0</v>
      </c>
      <c r="L63" s="153">
        <f t="shared" si="217"/>
        <v>0</v>
      </c>
      <c r="M63" s="154">
        <f t="shared" si="218"/>
        <v>0</v>
      </c>
      <c r="N63" s="154"/>
      <c r="O63" s="154">
        <f t="shared" si="219"/>
        <v>0</v>
      </c>
      <c r="P63" s="155"/>
      <c r="Q63" s="154">
        <f t="shared" si="220"/>
        <v>0</v>
      </c>
      <c r="R63" s="156">
        <f t="shared" si="221"/>
        <v>0</v>
      </c>
      <c r="S63" s="154">
        <f t="shared" si="222"/>
        <v>0</v>
      </c>
      <c r="T63" s="154">
        <f t="shared" si="223"/>
        <v>0</v>
      </c>
      <c r="U63" s="154">
        <f t="shared" si="224"/>
        <v>0</v>
      </c>
      <c r="V63" s="154">
        <f t="shared" si="225"/>
        <v>0</v>
      </c>
      <c r="W63" s="154">
        <f t="shared" si="226"/>
        <v>0</v>
      </c>
      <c r="X63" s="154">
        <f t="shared" si="227"/>
        <v>0</v>
      </c>
      <c r="Y63" s="154">
        <f t="shared" si="228"/>
        <v>0</v>
      </c>
      <c r="Z63" s="154">
        <f t="shared" si="229"/>
        <v>0</v>
      </c>
      <c r="AA63" s="154">
        <f t="shared" si="230"/>
        <v>0</v>
      </c>
      <c r="AB63" s="157">
        <f t="shared" si="231"/>
        <v>0</v>
      </c>
      <c r="AC63" s="154">
        <f t="shared" si="232"/>
        <v>0</v>
      </c>
      <c r="AD63" s="158">
        <f t="shared" si="233"/>
        <v>0</v>
      </c>
      <c r="AE63" s="156">
        <f t="shared" si="278"/>
        <v>0</v>
      </c>
      <c r="AF63" s="154">
        <f t="shared" si="235"/>
        <v>0</v>
      </c>
      <c r="AG63" s="154">
        <f t="shared" si="114"/>
        <v>0</v>
      </c>
      <c r="AH63" s="154">
        <f t="shared" si="236"/>
        <v>0</v>
      </c>
      <c r="AI63" s="154">
        <f t="shared" si="116"/>
        <v>0</v>
      </c>
      <c r="AJ63" s="154">
        <f t="shared" si="237"/>
        <v>0</v>
      </c>
      <c r="AK63" s="154">
        <f t="shared" si="118"/>
        <v>0</v>
      </c>
      <c r="AL63" s="154">
        <f t="shared" si="238"/>
        <v>0</v>
      </c>
      <c r="AM63" s="154">
        <f t="shared" si="120"/>
        <v>0</v>
      </c>
      <c r="AN63" s="154">
        <f t="shared" si="239"/>
        <v>0</v>
      </c>
      <c r="AO63" s="157">
        <f t="shared" si="122"/>
        <v>0</v>
      </c>
      <c r="AP63" s="154">
        <f t="shared" si="123"/>
        <v>0</v>
      </c>
      <c r="AQ63" s="158">
        <f t="shared" si="124"/>
        <v>0</v>
      </c>
      <c r="AR63" s="156">
        <f t="shared" si="278"/>
        <v>0</v>
      </c>
      <c r="AS63" s="154">
        <f t="shared" si="240"/>
        <v>0</v>
      </c>
      <c r="AT63" s="154">
        <f t="shared" si="127"/>
        <v>0</v>
      </c>
      <c r="AU63" s="154">
        <f t="shared" si="241"/>
        <v>0</v>
      </c>
      <c r="AV63" s="154">
        <f t="shared" si="129"/>
        <v>0</v>
      </c>
      <c r="AW63" s="154">
        <f t="shared" si="242"/>
        <v>0</v>
      </c>
      <c r="AX63" s="154">
        <f t="shared" si="131"/>
        <v>0</v>
      </c>
      <c r="AY63" s="154">
        <f t="shared" si="243"/>
        <v>0</v>
      </c>
      <c r="AZ63" s="154">
        <f t="shared" si="133"/>
        <v>0</v>
      </c>
      <c r="BA63" s="154">
        <f t="shared" si="244"/>
        <v>0</v>
      </c>
      <c r="BB63" s="157">
        <f t="shared" si="135"/>
        <v>0</v>
      </c>
      <c r="BC63" s="154">
        <f t="shared" si="136"/>
        <v>0</v>
      </c>
      <c r="BD63" s="158">
        <f t="shared" si="137"/>
        <v>0</v>
      </c>
      <c r="BE63" s="156">
        <f t="shared" si="278"/>
        <v>0</v>
      </c>
      <c r="BF63" s="154">
        <f t="shared" si="245"/>
        <v>0</v>
      </c>
      <c r="BG63" s="154">
        <f t="shared" si="140"/>
        <v>0</v>
      </c>
      <c r="BH63" s="154">
        <f t="shared" si="246"/>
        <v>0</v>
      </c>
      <c r="BI63" s="154">
        <f t="shared" si="142"/>
        <v>0</v>
      </c>
      <c r="BJ63" s="154">
        <f t="shared" si="247"/>
        <v>0</v>
      </c>
      <c r="BK63" s="154">
        <f t="shared" si="144"/>
        <v>0</v>
      </c>
      <c r="BL63" s="154">
        <f t="shared" si="248"/>
        <v>0</v>
      </c>
      <c r="BM63" s="154">
        <f t="shared" si="146"/>
        <v>0</v>
      </c>
      <c r="BN63" s="154">
        <f t="shared" si="249"/>
        <v>0</v>
      </c>
      <c r="BO63" s="157">
        <f t="shared" si="148"/>
        <v>0</v>
      </c>
      <c r="BP63" s="154">
        <f t="shared" si="149"/>
        <v>0</v>
      </c>
      <c r="BQ63" s="158">
        <f t="shared" si="150"/>
        <v>0</v>
      </c>
      <c r="BR63" s="156">
        <f t="shared" si="278"/>
        <v>0</v>
      </c>
      <c r="BS63" s="154">
        <f t="shared" si="250"/>
        <v>0</v>
      </c>
      <c r="BT63" s="154">
        <f t="shared" si="153"/>
        <v>0</v>
      </c>
      <c r="BU63" s="154">
        <f t="shared" si="251"/>
        <v>0</v>
      </c>
      <c r="BV63" s="154">
        <f t="shared" si="155"/>
        <v>0</v>
      </c>
      <c r="BW63" s="154">
        <f t="shared" si="252"/>
        <v>0</v>
      </c>
      <c r="BX63" s="154">
        <f t="shared" si="157"/>
        <v>0</v>
      </c>
      <c r="BY63" s="154">
        <f t="shared" si="253"/>
        <v>0</v>
      </c>
      <c r="BZ63" s="154">
        <f t="shared" si="159"/>
        <v>0</v>
      </c>
      <c r="CA63" s="154">
        <f t="shared" si="254"/>
        <v>0</v>
      </c>
      <c r="CB63" s="157">
        <f t="shared" si="161"/>
        <v>0</v>
      </c>
      <c r="CC63" s="154">
        <f t="shared" si="162"/>
        <v>0</v>
      </c>
      <c r="CD63" s="158">
        <f t="shared" si="163"/>
        <v>0</v>
      </c>
      <c r="CE63" s="156">
        <f t="shared" si="278"/>
        <v>0</v>
      </c>
      <c r="CF63" s="154">
        <f t="shared" si="255"/>
        <v>0</v>
      </c>
      <c r="CG63" s="154">
        <f t="shared" si="166"/>
        <v>0</v>
      </c>
      <c r="CH63" s="154">
        <f t="shared" si="256"/>
        <v>0</v>
      </c>
      <c r="CI63" s="154">
        <f t="shared" si="168"/>
        <v>0</v>
      </c>
      <c r="CJ63" s="154">
        <f t="shared" si="257"/>
        <v>0</v>
      </c>
      <c r="CK63" s="154">
        <f t="shared" si="170"/>
        <v>0</v>
      </c>
      <c r="CL63" s="154">
        <f t="shared" si="258"/>
        <v>0</v>
      </c>
      <c r="CM63" s="154">
        <f t="shared" si="172"/>
        <v>0</v>
      </c>
      <c r="CN63" s="154">
        <f t="shared" si="259"/>
        <v>0</v>
      </c>
      <c r="CO63" s="157">
        <f t="shared" si="174"/>
        <v>0</v>
      </c>
      <c r="CP63" s="154">
        <f t="shared" si="175"/>
        <v>0</v>
      </c>
      <c r="CQ63" s="158">
        <f t="shared" si="176"/>
        <v>0</v>
      </c>
      <c r="CR63" s="156">
        <f t="shared" si="279"/>
        <v>0</v>
      </c>
      <c r="CS63" s="154">
        <f t="shared" si="261"/>
        <v>0</v>
      </c>
      <c r="CT63" s="154">
        <f t="shared" si="179"/>
        <v>0</v>
      </c>
      <c r="CU63" s="154">
        <f t="shared" si="262"/>
        <v>0</v>
      </c>
      <c r="CV63" s="154">
        <f t="shared" si="181"/>
        <v>0</v>
      </c>
      <c r="CW63" s="154">
        <f t="shared" si="263"/>
        <v>0</v>
      </c>
      <c r="CX63" s="154">
        <f t="shared" si="183"/>
        <v>0</v>
      </c>
      <c r="CY63" s="154">
        <f t="shared" si="264"/>
        <v>0</v>
      </c>
      <c r="CZ63" s="154">
        <f t="shared" si="185"/>
        <v>0</v>
      </c>
      <c r="DA63" s="154">
        <f t="shared" si="265"/>
        <v>0</v>
      </c>
      <c r="DB63" s="157">
        <f t="shared" si="187"/>
        <v>0</v>
      </c>
      <c r="DC63" s="154">
        <f t="shared" si="188"/>
        <v>0</v>
      </c>
      <c r="DD63" s="158">
        <f t="shared" si="189"/>
        <v>0</v>
      </c>
      <c r="DE63" s="156">
        <f t="shared" si="279"/>
        <v>0</v>
      </c>
      <c r="DF63" s="154">
        <f t="shared" si="266"/>
        <v>0</v>
      </c>
      <c r="DG63" s="154">
        <f t="shared" si="192"/>
        <v>0</v>
      </c>
      <c r="DH63" s="154">
        <f t="shared" si="267"/>
        <v>0</v>
      </c>
      <c r="DI63" s="154">
        <f t="shared" si="194"/>
        <v>0</v>
      </c>
      <c r="DJ63" s="154">
        <f t="shared" si="268"/>
        <v>0</v>
      </c>
      <c r="DK63" s="154">
        <f t="shared" si="196"/>
        <v>0</v>
      </c>
      <c r="DL63" s="154">
        <f t="shared" si="269"/>
        <v>0</v>
      </c>
      <c r="DM63" s="154">
        <f t="shared" si="198"/>
        <v>0</v>
      </c>
      <c r="DN63" s="154">
        <f t="shared" si="270"/>
        <v>0</v>
      </c>
      <c r="DO63" s="157">
        <f t="shared" si="200"/>
        <v>0</v>
      </c>
      <c r="DP63" s="154">
        <f t="shared" si="201"/>
        <v>0</v>
      </c>
      <c r="DQ63" s="158">
        <f t="shared" si="202"/>
        <v>0</v>
      </c>
      <c r="DR63" s="156">
        <f t="shared" si="279"/>
        <v>0</v>
      </c>
      <c r="DS63" s="154">
        <f t="shared" si="271"/>
        <v>0</v>
      </c>
      <c r="DT63" s="154">
        <f t="shared" si="205"/>
        <v>0</v>
      </c>
      <c r="DU63" s="154">
        <f t="shared" si="272"/>
        <v>0</v>
      </c>
      <c r="DV63" s="154">
        <f t="shared" si="207"/>
        <v>0</v>
      </c>
      <c r="DW63" s="154">
        <f t="shared" si="273"/>
        <v>0</v>
      </c>
      <c r="DX63" s="154">
        <f t="shared" si="209"/>
        <v>0</v>
      </c>
      <c r="DY63" s="154">
        <f t="shared" si="274"/>
        <v>0</v>
      </c>
      <c r="DZ63" s="154">
        <f t="shared" si="211"/>
        <v>0</v>
      </c>
      <c r="EA63" s="154">
        <f t="shared" si="275"/>
        <v>0</v>
      </c>
      <c r="EB63" s="157">
        <f t="shared" si="213"/>
        <v>0</v>
      </c>
      <c r="EC63" s="154">
        <f t="shared" si="214"/>
        <v>0</v>
      </c>
      <c r="ED63" s="158">
        <f t="shared" si="215"/>
        <v>0</v>
      </c>
    </row>
    <row r="64" spans="1:134" x14ac:dyDescent="0.35">
      <c r="A64" s="172"/>
      <c r="B64" s="173"/>
      <c r="C64" s="174"/>
      <c r="D64" s="175"/>
      <c r="E64" s="176"/>
      <c r="F64" s="177"/>
      <c r="G64" s="178"/>
      <c r="H64" s="179"/>
      <c r="I64" s="180"/>
      <c r="J64" s="181"/>
      <c r="K64" s="152">
        <f t="shared" si="216"/>
        <v>0</v>
      </c>
      <c r="L64" s="153">
        <f t="shared" si="217"/>
        <v>0</v>
      </c>
      <c r="M64" s="154">
        <f t="shared" si="218"/>
        <v>0</v>
      </c>
      <c r="N64" s="154"/>
      <c r="O64" s="154">
        <f t="shared" si="219"/>
        <v>0</v>
      </c>
      <c r="P64" s="155"/>
      <c r="Q64" s="154">
        <f t="shared" si="220"/>
        <v>0</v>
      </c>
      <c r="R64" s="156">
        <f t="shared" si="221"/>
        <v>0</v>
      </c>
      <c r="S64" s="154">
        <f t="shared" si="222"/>
        <v>0</v>
      </c>
      <c r="T64" s="154">
        <f t="shared" si="223"/>
        <v>0</v>
      </c>
      <c r="U64" s="154">
        <f t="shared" si="224"/>
        <v>0</v>
      </c>
      <c r="V64" s="154">
        <f t="shared" si="225"/>
        <v>0</v>
      </c>
      <c r="W64" s="154">
        <f t="shared" si="226"/>
        <v>0</v>
      </c>
      <c r="X64" s="154">
        <f t="shared" si="227"/>
        <v>0</v>
      </c>
      <c r="Y64" s="154">
        <f t="shared" si="228"/>
        <v>0</v>
      </c>
      <c r="Z64" s="154">
        <f t="shared" si="229"/>
        <v>0</v>
      </c>
      <c r="AA64" s="154">
        <f t="shared" si="230"/>
        <v>0</v>
      </c>
      <c r="AB64" s="157">
        <f t="shared" si="231"/>
        <v>0</v>
      </c>
      <c r="AC64" s="154">
        <f t="shared" si="232"/>
        <v>0</v>
      </c>
      <c r="AD64" s="158">
        <f t="shared" si="233"/>
        <v>0</v>
      </c>
      <c r="AE64" s="156">
        <f t="shared" si="278"/>
        <v>0</v>
      </c>
      <c r="AF64" s="154">
        <f t="shared" si="235"/>
        <v>0</v>
      </c>
      <c r="AG64" s="154">
        <f t="shared" si="114"/>
        <v>0</v>
      </c>
      <c r="AH64" s="154">
        <f t="shared" si="236"/>
        <v>0</v>
      </c>
      <c r="AI64" s="154">
        <f t="shared" si="116"/>
        <v>0</v>
      </c>
      <c r="AJ64" s="154">
        <f t="shared" si="237"/>
        <v>0</v>
      </c>
      <c r="AK64" s="154">
        <f t="shared" si="118"/>
        <v>0</v>
      </c>
      <c r="AL64" s="154">
        <f t="shared" si="238"/>
        <v>0</v>
      </c>
      <c r="AM64" s="154">
        <f t="shared" si="120"/>
        <v>0</v>
      </c>
      <c r="AN64" s="154">
        <f t="shared" si="239"/>
        <v>0</v>
      </c>
      <c r="AO64" s="157">
        <f t="shared" si="122"/>
        <v>0</v>
      </c>
      <c r="AP64" s="154">
        <f t="shared" si="123"/>
        <v>0</v>
      </c>
      <c r="AQ64" s="158">
        <f t="shared" si="124"/>
        <v>0</v>
      </c>
      <c r="AR64" s="156">
        <f t="shared" si="278"/>
        <v>0</v>
      </c>
      <c r="AS64" s="154">
        <f t="shared" si="240"/>
        <v>0</v>
      </c>
      <c r="AT64" s="154">
        <f t="shared" si="127"/>
        <v>0</v>
      </c>
      <c r="AU64" s="154">
        <f t="shared" si="241"/>
        <v>0</v>
      </c>
      <c r="AV64" s="154">
        <f t="shared" si="129"/>
        <v>0</v>
      </c>
      <c r="AW64" s="154">
        <f t="shared" si="242"/>
        <v>0</v>
      </c>
      <c r="AX64" s="154">
        <f t="shared" si="131"/>
        <v>0</v>
      </c>
      <c r="AY64" s="154">
        <f t="shared" si="243"/>
        <v>0</v>
      </c>
      <c r="AZ64" s="154">
        <f t="shared" si="133"/>
        <v>0</v>
      </c>
      <c r="BA64" s="154">
        <f t="shared" si="244"/>
        <v>0</v>
      </c>
      <c r="BB64" s="157">
        <f t="shared" si="135"/>
        <v>0</v>
      </c>
      <c r="BC64" s="154">
        <f t="shared" si="136"/>
        <v>0</v>
      </c>
      <c r="BD64" s="158">
        <f t="shared" si="137"/>
        <v>0</v>
      </c>
      <c r="BE64" s="156">
        <f t="shared" si="278"/>
        <v>0</v>
      </c>
      <c r="BF64" s="154">
        <f t="shared" si="245"/>
        <v>0</v>
      </c>
      <c r="BG64" s="154">
        <f t="shared" si="140"/>
        <v>0</v>
      </c>
      <c r="BH64" s="154">
        <f t="shared" si="246"/>
        <v>0</v>
      </c>
      <c r="BI64" s="154">
        <f t="shared" si="142"/>
        <v>0</v>
      </c>
      <c r="BJ64" s="154">
        <f t="shared" si="247"/>
        <v>0</v>
      </c>
      <c r="BK64" s="154">
        <f t="shared" si="144"/>
        <v>0</v>
      </c>
      <c r="BL64" s="154">
        <f t="shared" si="248"/>
        <v>0</v>
      </c>
      <c r="BM64" s="154">
        <f t="shared" si="146"/>
        <v>0</v>
      </c>
      <c r="BN64" s="154">
        <f t="shared" si="249"/>
        <v>0</v>
      </c>
      <c r="BO64" s="157">
        <f t="shared" si="148"/>
        <v>0</v>
      </c>
      <c r="BP64" s="154">
        <f t="shared" si="149"/>
        <v>0</v>
      </c>
      <c r="BQ64" s="158">
        <f t="shared" si="150"/>
        <v>0</v>
      </c>
      <c r="BR64" s="156">
        <f t="shared" si="278"/>
        <v>0</v>
      </c>
      <c r="BS64" s="154">
        <f t="shared" si="250"/>
        <v>0</v>
      </c>
      <c r="BT64" s="154">
        <f t="shared" si="153"/>
        <v>0</v>
      </c>
      <c r="BU64" s="154">
        <f t="shared" si="251"/>
        <v>0</v>
      </c>
      <c r="BV64" s="154">
        <f t="shared" si="155"/>
        <v>0</v>
      </c>
      <c r="BW64" s="154">
        <f t="shared" si="252"/>
        <v>0</v>
      </c>
      <c r="BX64" s="154">
        <f t="shared" si="157"/>
        <v>0</v>
      </c>
      <c r="BY64" s="154">
        <f t="shared" si="253"/>
        <v>0</v>
      </c>
      <c r="BZ64" s="154">
        <f t="shared" si="159"/>
        <v>0</v>
      </c>
      <c r="CA64" s="154">
        <f t="shared" si="254"/>
        <v>0</v>
      </c>
      <c r="CB64" s="157">
        <f t="shared" si="161"/>
        <v>0</v>
      </c>
      <c r="CC64" s="154">
        <f t="shared" si="162"/>
        <v>0</v>
      </c>
      <c r="CD64" s="158">
        <f t="shared" si="163"/>
        <v>0</v>
      </c>
      <c r="CE64" s="156">
        <f t="shared" si="278"/>
        <v>0</v>
      </c>
      <c r="CF64" s="154">
        <f t="shared" si="255"/>
        <v>0</v>
      </c>
      <c r="CG64" s="154">
        <f t="shared" si="166"/>
        <v>0</v>
      </c>
      <c r="CH64" s="154">
        <f t="shared" si="256"/>
        <v>0</v>
      </c>
      <c r="CI64" s="154">
        <f t="shared" si="168"/>
        <v>0</v>
      </c>
      <c r="CJ64" s="154">
        <f t="shared" si="257"/>
        <v>0</v>
      </c>
      <c r="CK64" s="154">
        <f t="shared" si="170"/>
        <v>0</v>
      </c>
      <c r="CL64" s="154">
        <f t="shared" si="258"/>
        <v>0</v>
      </c>
      <c r="CM64" s="154">
        <f t="shared" si="172"/>
        <v>0</v>
      </c>
      <c r="CN64" s="154">
        <f t="shared" si="259"/>
        <v>0</v>
      </c>
      <c r="CO64" s="157">
        <f t="shared" si="174"/>
        <v>0</v>
      </c>
      <c r="CP64" s="154">
        <f t="shared" si="175"/>
        <v>0</v>
      </c>
      <c r="CQ64" s="158">
        <f t="shared" si="176"/>
        <v>0</v>
      </c>
      <c r="CR64" s="156">
        <f t="shared" si="279"/>
        <v>0</v>
      </c>
      <c r="CS64" s="154">
        <f t="shared" si="261"/>
        <v>0</v>
      </c>
      <c r="CT64" s="154">
        <f t="shared" si="179"/>
        <v>0</v>
      </c>
      <c r="CU64" s="154">
        <f t="shared" si="262"/>
        <v>0</v>
      </c>
      <c r="CV64" s="154">
        <f t="shared" si="181"/>
        <v>0</v>
      </c>
      <c r="CW64" s="154">
        <f t="shared" si="263"/>
        <v>0</v>
      </c>
      <c r="CX64" s="154">
        <f t="shared" si="183"/>
        <v>0</v>
      </c>
      <c r="CY64" s="154">
        <f t="shared" si="264"/>
        <v>0</v>
      </c>
      <c r="CZ64" s="154">
        <f t="shared" si="185"/>
        <v>0</v>
      </c>
      <c r="DA64" s="154">
        <f t="shared" si="265"/>
        <v>0</v>
      </c>
      <c r="DB64" s="157">
        <f t="shared" si="187"/>
        <v>0</v>
      </c>
      <c r="DC64" s="154">
        <f t="shared" si="188"/>
        <v>0</v>
      </c>
      <c r="DD64" s="158">
        <f t="shared" si="189"/>
        <v>0</v>
      </c>
      <c r="DE64" s="156">
        <f t="shared" si="279"/>
        <v>0</v>
      </c>
      <c r="DF64" s="154">
        <f t="shared" si="266"/>
        <v>0</v>
      </c>
      <c r="DG64" s="154">
        <f t="shared" si="192"/>
        <v>0</v>
      </c>
      <c r="DH64" s="154">
        <f t="shared" si="267"/>
        <v>0</v>
      </c>
      <c r="DI64" s="154">
        <f t="shared" si="194"/>
        <v>0</v>
      </c>
      <c r="DJ64" s="154">
        <f t="shared" si="268"/>
        <v>0</v>
      </c>
      <c r="DK64" s="154">
        <f t="shared" si="196"/>
        <v>0</v>
      </c>
      <c r="DL64" s="154">
        <f t="shared" si="269"/>
        <v>0</v>
      </c>
      <c r="DM64" s="154">
        <f t="shared" si="198"/>
        <v>0</v>
      </c>
      <c r="DN64" s="154">
        <f t="shared" si="270"/>
        <v>0</v>
      </c>
      <c r="DO64" s="157">
        <f t="shared" si="200"/>
        <v>0</v>
      </c>
      <c r="DP64" s="154">
        <f t="shared" si="201"/>
        <v>0</v>
      </c>
      <c r="DQ64" s="158">
        <f t="shared" si="202"/>
        <v>0</v>
      </c>
      <c r="DR64" s="156">
        <f t="shared" si="279"/>
        <v>0</v>
      </c>
      <c r="DS64" s="154">
        <f t="shared" si="271"/>
        <v>0</v>
      </c>
      <c r="DT64" s="154">
        <f t="shared" si="205"/>
        <v>0</v>
      </c>
      <c r="DU64" s="154">
        <f t="shared" si="272"/>
        <v>0</v>
      </c>
      <c r="DV64" s="154">
        <f t="shared" si="207"/>
        <v>0</v>
      </c>
      <c r="DW64" s="154">
        <f t="shared" si="273"/>
        <v>0</v>
      </c>
      <c r="DX64" s="154">
        <f t="shared" si="209"/>
        <v>0</v>
      </c>
      <c r="DY64" s="154">
        <f t="shared" si="274"/>
        <v>0</v>
      </c>
      <c r="DZ64" s="154">
        <f t="shared" si="211"/>
        <v>0</v>
      </c>
      <c r="EA64" s="154">
        <f t="shared" si="275"/>
        <v>0</v>
      </c>
      <c r="EB64" s="157">
        <f t="shared" si="213"/>
        <v>0</v>
      </c>
      <c r="EC64" s="154">
        <f t="shared" si="214"/>
        <v>0</v>
      </c>
      <c r="ED64" s="158">
        <f t="shared" si="215"/>
        <v>0</v>
      </c>
    </row>
    <row r="65" spans="1:134" x14ac:dyDescent="0.35">
      <c r="A65" s="172"/>
      <c r="B65" s="173"/>
      <c r="C65" s="174"/>
      <c r="D65" s="175"/>
      <c r="E65" s="176"/>
      <c r="F65" s="177"/>
      <c r="G65" s="178"/>
      <c r="H65" s="179"/>
      <c r="I65" s="180"/>
      <c r="J65" s="181"/>
      <c r="K65" s="152">
        <f t="shared" si="216"/>
        <v>0</v>
      </c>
      <c r="L65" s="153">
        <f t="shared" si="217"/>
        <v>0</v>
      </c>
      <c r="M65" s="154">
        <f t="shared" si="218"/>
        <v>0</v>
      </c>
      <c r="N65" s="154"/>
      <c r="O65" s="154">
        <f t="shared" si="219"/>
        <v>0</v>
      </c>
      <c r="P65" s="155"/>
      <c r="Q65" s="154">
        <f t="shared" si="220"/>
        <v>0</v>
      </c>
      <c r="R65" s="156">
        <f t="shared" si="221"/>
        <v>0</v>
      </c>
      <c r="S65" s="154">
        <f t="shared" si="222"/>
        <v>0</v>
      </c>
      <c r="T65" s="154">
        <f t="shared" si="223"/>
        <v>0</v>
      </c>
      <c r="U65" s="154">
        <f t="shared" si="224"/>
        <v>0</v>
      </c>
      <c r="V65" s="154">
        <f t="shared" si="225"/>
        <v>0</v>
      </c>
      <c r="W65" s="154">
        <f t="shared" si="226"/>
        <v>0</v>
      </c>
      <c r="X65" s="154">
        <f t="shared" si="227"/>
        <v>0</v>
      </c>
      <c r="Y65" s="154">
        <f t="shared" si="228"/>
        <v>0</v>
      </c>
      <c r="Z65" s="154">
        <f t="shared" si="229"/>
        <v>0</v>
      </c>
      <c r="AA65" s="154">
        <f t="shared" si="230"/>
        <v>0</v>
      </c>
      <c r="AB65" s="157">
        <f t="shared" si="231"/>
        <v>0</v>
      </c>
      <c r="AC65" s="154">
        <f t="shared" si="232"/>
        <v>0</v>
      </c>
      <c r="AD65" s="158">
        <f t="shared" si="233"/>
        <v>0</v>
      </c>
      <c r="AE65" s="156">
        <f t="shared" si="278"/>
        <v>0</v>
      </c>
      <c r="AF65" s="154">
        <f t="shared" si="235"/>
        <v>0</v>
      </c>
      <c r="AG65" s="154">
        <f t="shared" si="114"/>
        <v>0</v>
      </c>
      <c r="AH65" s="154">
        <f t="shared" si="236"/>
        <v>0</v>
      </c>
      <c r="AI65" s="154">
        <f t="shared" si="116"/>
        <v>0</v>
      </c>
      <c r="AJ65" s="154">
        <f t="shared" si="237"/>
        <v>0</v>
      </c>
      <c r="AK65" s="154">
        <f t="shared" si="118"/>
        <v>0</v>
      </c>
      <c r="AL65" s="154">
        <f t="shared" si="238"/>
        <v>0</v>
      </c>
      <c r="AM65" s="154">
        <f t="shared" si="120"/>
        <v>0</v>
      </c>
      <c r="AN65" s="154">
        <f t="shared" si="239"/>
        <v>0</v>
      </c>
      <c r="AO65" s="157">
        <f t="shared" si="122"/>
        <v>0</v>
      </c>
      <c r="AP65" s="154">
        <f t="shared" si="123"/>
        <v>0</v>
      </c>
      <c r="AQ65" s="158">
        <f t="shared" si="124"/>
        <v>0</v>
      </c>
      <c r="AR65" s="156">
        <f t="shared" si="278"/>
        <v>0</v>
      </c>
      <c r="AS65" s="154">
        <f t="shared" si="240"/>
        <v>0</v>
      </c>
      <c r="AT65" s="154">
        <f t="shared" si="127"/>
        <v>0</v>
      </c>
      <c r="AU65" s="154">
        <f t="shared" si="241"/>
        <v>0</v>
      </c>
      <c r="AV65" s="154">
        <f t="shared" si="129"/>
        <v>0</v>
      </c>
      <c r="AW65" s="154">
        <f t="shared" si="242"/>
        <v>0</v>
      </c>
      <c r="AX65" s="154">
        <f t="shared" si="131"/>
        <v>0</v>
      </c>
      <c r="AY65" s="154">
        <f t="shared" si="243"/>
        <v>0</v>
      </c>
      <c r="AZ65" s="154">
        <f t="shared" si="133"/>
        <v>0</v>
      </c>
      <c r="BA65" s="154">
        <f t="shared" si="244"/>
        <v>0</v>
      </c>
      <c r="BB65" s="157">
        <f t="shared" si="135"/>
        <v>0</v>
      </c>
      <c r="BC65" s="154">
        <f t="shared" si="136"/>
        <v>0</v>
      </c>
      <c r="BD65" s="158">
        <f t="shared" si="137"/>
        <v>0</v>
      </c>
      <c r="BE65" s="156">
        <f t="shared" si="278"/>
        <v>0</v>
      </c>
      <c r="BF65" s="154">
        <f t="shared" si="245"/>
        <v>0</v>
      </c>
      <c r="BG65" s="154">
        <f t="shared" si="140"/>
        <v>0</v>
      </c>
      <c r="BH65" s="154">
        <f t="shared" si="246"/>
        <v>0</v>
      </c>
      <c r="BI65" s="154">
        <f t="shared" si="142"/>
        <v>0</v>
      </c>
      <c r="BJ65" s="154">
        <f t="shared" si="247"/>
        <v>0</v>
      </c>
      <c r="BK65" s="154">
        <f t="shared" si="144"/>
        <v>0</v>
      </c>
      <c r="BL65" s="154">
        <f t="shared" si="248"/>
        <v>0</v>
      </c>
      <c r="BM65" s="154">
        <f t="shared" si="146"/>
        <v>0</v>
      </c>
      <c r="BN65" s="154">
        <f t="shared" si="249"/>
        <v>0</v>
      </c>
      <c r="BO65" s="157">
        <f t="shared" si="148"/>
        <v>0</v>
      </c>
      <c r="BP65" s="154">
        <f t="shared" si="149"/>
        <v>0</v>
      </c>
      <c r="BQ65" s="158">
        <f t="shared" si="150"/>
        <v>0</v>
      </c>
      <c r="BR65" s="156">
        <f t="shared" si="278"/>
        <v>0</v>
      </c>
      <c r="BS65" s="154">
        <f t="shared" si="250"/>
        <v>0</v>
      </c>
      <c r="BT65" s="154">
        <f t="shared" si="153"/>
        <v>0</v>
      </c>
      <c r="BU65" s="154">
        <f t="shared" si="251"/>
        <v>0</v>
      </c>
      <c r="BV65" s="154">
        <f t="shared" si="155"/>
        <v>0</v>
      </c>
      <c r="BW65" s="154">
        <f t="shared" si="252"/>
        <v>0</v>
      </c>
      <c r="BX65" s="154">
        <f t="shared" si="157"/>
        <v>0</v>
      </c>
      <c r="BY65" s="154">
        <f t="shared" si="253"/>
        <v>0</v>
      </c>
      <c r="BZ65" s="154">
        <f t="shared" si="159"/>
        <v>0</v>
      </c>
      <c r="CA65" s="154">
        <f t="shared" si="254"/>
        <v>0</v>
      </c>
      <c r="CB65" s="157">
        <f t="shared" si="161"/>
        <v>0</v>
      </c>
      <c r="CC65" s="154">
        <f t="shared" si="162"/>
        <v>0</v>
      </c>
      <c r="CD65" s="158">
        <f t="shared" si="163"/>
        <v>0</v>
      </c>
      <c r="CE65" s="156">
        <f t="shared" si="278"/>
        <v>0</v>
      </c>
      <c r="CF65" s="154">
        <f t="shared" si="255"/>
        <v>0</v>
      </c>
      <c r="CG65" s="154">
        <f t="shared" si="166"/>
        <v>0</v>
      </c>
      <c r="CH65" s="154">
        <f t="shared" si="256"/>
        <v>0</v>
      </c>
      <c r="CI65" s="154">
        <f t="shared" si="168"/>
        <v>0</v>
      </c>
      <c r="CJ65" s="154">
        <f t="shared" si="257"/>
        <v>0</v>
      </c>
      <c r="CK65" s="154">
        <f t="shared" si="170"/>
        <v>0</v>
      </c>
      <c r="CL65" s="154">
        <f t="shared" si="258"/>
        <v>0</v>
      </c>
      <c r="CM65" s="154">
        <f t="shared" si="172"/>
        <v>0</v>
      </c>
      <c r="CN65" s="154">
        <f t="shared" si="259"/>
        <v>0</v>
      </c>
      <c r="CO65" s="157">
        <f t="shared" si="174"/>
        <v>0</v>
      </c>
      <c r="CP65" s="154">
        <f t="shared" si="175"/>
        <v>0</v>
      </c>
      <c r="CQ65" s="158">
        <f t="shared" si="176"/>
        <v>0</v>
      </c>
      <c r="CR65" s="156">
        <f t="shared" si="279"/>
        <v>0</v>
      </c>
      <c r="CS65" s="154">
        <f t="shared" si="261"/>
        <v>0</v>
      </c>
      <c r="CT65" s="154">
        <f t="shared" si="179"/>
        <v>0</v>
      </c>
      <c r="CU65" s="154">
        <f t="shared" si="262"/>
        <v>0</v>
      </c>
      <c r="CV65" s="154">
        <f t="shared" si="181"/>
        <v>0</v>
      </c>
      <c r="CW65" s="154">
        <f t="shared" si="263"/>
        <v>0</v>
      </c>
      <c r="CX65" s="154">
        <f t="shared" si="183"/>
        <v>0</v>
      </c>
      <c r="CY65" s="154">
        <f t="shared" si="264"/>
        <v>0</v>
      </c>
      <c r="CZ65" s="154">
        <f t="shared" si="185"/>
        <v>0</v>
      </c>
      <c r="DA65" s="154">
        <f t="shared" si="265"/>
        <v>0</v>
      </c>
      <c r="DB65" s="157">
        <f t="shared" si="187"/>
        <v>0</v>
      </c>
      <c r="DC65" s="154">
        <f t="shared" si="188"/>
        <v>0</v>
      </c>
      <c r="DD65" s="158">
        <f t="shared" si="189"/>
        <v>0</v>
      </c>
      <c r="DE65" s="156">
        <f t="shared" si="279"/>
        <v>0</v>
      </c>
      <c r="DF65" s="154">
        <f t="shared" si="266"/>
        <v>0</v>
      </c>
      <c r="DG65" s="154">
        <f t="shared" si="192"/>
        <v>0</v>
      </c>
      <c r="DH65" s="154">
        <f t="shared" si="267"/>
        <v>0</v>
      </c>
      <c r="DI65" s="154">
        <f t="shared" si="194"/>
        <v>0</v>
      </c>
      <c r="DJ65" s="154">
        <f t="shared" si="268"/>
        <v>0</v>
      </c>
      <c r="DK65" s="154">
        <f t="shared" si="196"/>
        <v>0</v>
      </c>
      <c r="DL65" s="154">
        <f t="shared" si="269"/>
        <v>0</v>
      </c>
      <c r="DM65" s="154">
        <f t="shared" si="198"/>
        <v>0</v>
      </c>
      <c r="DN65" s="154">
        <f t="shared" si="270"/>
        <v>0</v>
      </c>
      <c r="DO65" s="157">
        <f t="shared" si="200"/>
        <v>0</v>
      </c>
      <c r="DP65" s="154">
        <f t="shared" si="201"/>
        <v>0</v>
      </c>
      <c r="DQ65" s="158">
        <f t="shared" si="202"/>
        <v>0</v>
      </c>
      <c r="DR65" s="156">
        <f t="shared" si="279"/>
        <v>0</v>
      </c>
      <c r="DS65" s="154">
        <f t="shared" si="271"/>
        <v>0</v>
      </c>
      <c r="DT65" s="154">
        <f t="shared" si="205"/>
        <v>0</v>
      </c>
      <c r="DU65" s="154">
        <f t="shared" si="272"/>
        <v>0</v>
      </c>
      <c r="DV65" s="154">
        <f t="shared" si="207"/>
        <v>0</v>
      </c>
      <c r="DW65" s="154">
        <f t="shared" si="273"/>
        <v>0</v>
      </c>
      <c r="DX65" s="154">
        <f t="shared" si="209"/>
        <v>0</v>
      </c>
      <c r="DY65" s="154">
        <f t="shared" si="274"/>
        <v>0</v>
      </c>
      <c r="DZ65" s="154">
        <f t="shared" si="211"/>
        <v>0</v>
      </c>
      <c r="EA65" s="154">
        <f t="shared" si="275"/>
        <v>0</v>
      </c>
      <c r="EB65" s="157">
        <f t="shared" si="213"/>
        <v>0</v>
      </c>
      <c r="EC65" s="154">
        <f t="shared" si="214"/>
        <v>0</v>
      </c>
      <c r="ED65" s="158">
        <f t="shared" si="215"/>
        <v>0</v>
      </c>
    </row>
    <row r="66" spans="1:134" x14ac:dyDescent="0.35">
      <c r="A66" s="172"/>
      <c r="B66" s="173"/>
      <c r="C66" s="174"/>
      <c r="D66" s="175"/>
      <c r="E66" s="176"/>
      <c r="F66" s="177"/>
      <c r="G66" s="178"/>
      <c r="H66" s="179"/>
      <c r="I66" s="180"/>
      <c r="J66" s="181"/>
      <c r="K66" s="152">
        <f t="shared" si="216"/>
        <v>0</v>
      </c>
      <c r="L66" s="153">
        <f t="shared" si="217"/>
        <v>0</v>
      </c>
      <c r="M66" s="154">
        <f t="shared" si="218"/>
        <v>0</v>
      </c>
      <c r="N66" s="154"/>
      <c r="O66" s="154">
        <f t="shared" si="219"/>
        <v>0</v>
      </c>
      <c r="P66" s="155"/>
      <c r="Q66" s="154">
        <f t="shared" si="220"/>
        <v>0</v>
      </c>
      <c r="R66" s="156">
        <f t="shared" si="221"/>
        <v>0</v>
      </c>
      <c r="S66" s="154">
        <f t="shared" si="222"/>
        <v>0</v>
      </c>
      <c r="T66" s="154">
        <f t="shared" si="223"/>
        <v>0</v>
      </c>
      <c r="U66" s="154">
        <f t="shared" si="224"/>
        <v>0</v>
      </c>
      <c r="V66" s="154">
        <f t="shared" si="225"/>
        <v>0</v>
      </c>
      <c r="W66" s="154">
        <f t="shared" si="226"/>
        <v>0</v>
      </c>
      <c r="X66" s="154">
        <f t="shared" si="227"/>
        <v>0</v>
      </c>
      <c r="Y66" s="154">
        <f t="shared" si="228"/>
        <v>0</v>
      </c>
      <c r="Z66" s="154">
        <f t="shared" si="229"/>
        <v>0</v>
      </c>
      <c r="AA66" s="154">
        <f t="shared" si="230"/>
        <v>0</v>
      </c>
      <c r="AB66" s="157">
        <f t="shared" si="231"/>
        <v>0</v>
      </c>
      <c r="AC66" s="154">
        <f t="shared" si="232"/>
        <v>0</v>
      </c>
      <c r="AD66" s="158">
        <f t="shared" si="233"/>
        <v>0</v>
      </c>
      <c r="AE66" s="156">
        <f t="shared" si="278"/>
        <v>0</v>
      </c>
      <c r="AF66" s="154">
        <f t="shared" si="235"/>
        <v>0</v>
      </c>
      <c r="AG66" s="154">
        <f t="shared" si="114"/>
        <v>0</v>
      </c>
      <c r="AH66" s="154">
        <f t="shared" si="236"/>
        <v>0</v>
      </c>
      <c r="AI66" s="154">
        <f t="shared" si="116"/>
        <v>0</v>
      </c>
      <c r="AJ66" s="154">
        <f t="shared" si="237"/>
        <v>0</v>
      </c>
      <c r="AK66" s="154">
        <f t="shared" si="118"/>
        <v>0</v>
      </c>
      <c r="AL66" s="154">
        <f t="shared" si="238"/>
        <v>0</v>
      </c>
      <c r="AM66" s="154">
        <f t="shared" si="120"/>
        <v>0</v>
      </c>
      <c r="AN66" s="154">
        <f t="shared" si="239"/>
        <v>0</v>
      </c>
      <c r="AO66" s="157">
        <f t="shared" si="122"/>
        <v>0</v>
      </c>
      <c r="AP66" s="154">
        <f t="shared" si="123"/>
        <v>0</v>
      </c>
      <c r="AQ66" s="158">
        <f t="shared" si="124"/>
        <v>0</v>
      </c>
      <c r="AR66" s="156">
        <f t="shared" si="278"/>
        <v>0</v>
      </c>
      <c r="AS66" s="154">
        <f t="shared" si="240"/>
        <v>0</v>
      </c>
      <c r="AT66" s="154">
        <f t="shared" si="127"/>
        <v>0</v>
      </c>
      <c r="AU66" s="154">
        <f t="shared" si="241"/>
        <v>0</v>
      </c>
      <c r="AV66" s="154">
        <f t="shared" si="129"/>
        <v>0</v>
      </c>
      <c r="AW66" s="154">
        <f t="shared" si="242"/>
        <v>0</v>
      </c>
      <c r="AX66" s="154">
        <f t="shared" si="131"/>
        <v>0</v>
      </c>
      <c r="AY66" s="154">
        <f t="shared" si="243"/>
        <v>0</v>
      </c>
      <c r="AZ66" s="154">
        <f t="shared" si="133"/>
        <v>0</v>
      </c>
      <c r="BA66" s="154">
        <f t="shared" si="244"/>
        <v>0</v>
      </c>
      <c r="BB66" s="157">
        <f t="shared" si="135"/>
        <v>0</v>
      </c>
      <c r="BC66" s="154">
        <f t="shared" si="136"/>
        <v>0</v>
      </c>
      <c r="BD66" s="158">
        <f t="shared" si="137"/>
        <v>0</v>
      </c>
      <c r="BE66" s="156">
        <f t="shared" si="278"/>
        <v>0</v>
      </c>
      <c r="BF66" s="154">
        <f t="shared" si="245"/>
        <v>0</v>
      </c>
      <c r="BG66" s="154">
        <f t="shared" si="140"/>
        <v>0</v>
      </c>
      <c r="BH66" s="154">
        <f t="shared" si="246"/>
        <v>0</v>
      </c>
      <c r="BI66" s="154">
        <f t="shared" si="142"/>
        <v>0</v>
      </c>
      <c r="BJ66" s="154">
        <f t="shared" si="247"/>
        <v>0</v>
      </c>
      <c r="BK66" s="154">
        <f t="shared" si="144"/>
        <v>0</v>
      </c>
      <c r="BL66" s="154">
        <f t="shared" si="248"/>
        <v>0</v>
      </c>
      <c r="BM66" s="154">
        <f t="shared" si="146"/>
        <v>0</v>
      </c>
      <c r="BN66" s="154">
        <f t="shared" si="249"/>
        <v>0</v>
      </c>
      <c r="BO66" s="157">
        <f t="shared" si="148"/>
        <v>0</v>
      </c>
      <c r="BP66" s="154">
        <f t="shared" si="149"/>
        <v>0</v>
      </c>
      <c r="BQ66" s="158">
        <f t="shared" si="150"/>
        <v>0</v>
      </c>
      <c r="BR66" s="156">
        <f t="shared" si="278"/>
        <v>0</v>
      </c>
      <c r="BS66" s="154">
        <f t="shared" si="250"/>
        <v>0</v>
      </c>
      <c r="BT66" s="154">
        <f t="shared" si="153"/>
        <v>0</v>
      </c>
      <c r="BU66" s="154">
        <f t="shared" si="251"/>
        <v>0</v>
      </c>
      <c r="BV66" s="154">
        <f t="shared" si="155"/>
        <v>0</v>
      </c>
      <c r="BW66" s="154">
        <f t="shared" si="252"/>
        <v>0</v>
      </c>
      <c r="BX66" s="154">
        <f t="shared" si="157"/>
        <v>0</v>
      </c>
      <c r="BY66" s="154">
        <f t="shared" si="253"/>
        <v>0</v>
      </c>
      <c r="BZ66" s="154">
        <f t="shared" si="159"/>
        <v>0</v>
      </c>
      <c r="CA66" s="154">
        <f t="shared" si="254"/>
        <v>0</v>
      </c>
      <c r="CB66" s="157">
        <f t="shared" si="161"/>
        <v>0</v>
      </c>
      <c r="CC66" s="154">
        <f t="shared" si="162"/>
        <v>0</v>
      </c>
      <c r="CD66" s="158">
        <f t="shared" si="163"/>
        <v>0</v>
      </c>
      <c r="CE66" s="156">
        <f t="shared" si="278"/>
        <v>0</v>
      </c>
      <c r="CF66" s="154">
        <f t="shared" si="255"/>
        <v>0</v>
      </c>
      <c r="CG66" s="154">
        <f t="shared" si="166"/>
        <v>0</v>
      </c>
      <c r="CH66" s="154">
        <f t="shared" si="256"/>
        <v>0</v>
      </c>
      <c r="CI66" s="154">
        <f t="shared" si="168"/>
        <v>0</v>
      </c>
      <c r="CJ66" s="154">
        <f t="shared" si="257"/>
        <v>0</v>
      </c>
      <c r="CK66" s="154">
        <f t="shared" si="170"/>
        <v>0</v>
      </c>
      <c r="CL66" s="154">
        <f t="shared" si="258"/>
        <v>0</v>
      </c>
      <c r="CM66" s="154">
        <f t="shared" si="172"/>
        <v>0</v>
      </c>
      <c r="CN66" s="154">
        <f t="shared" si="259"/>
        <v>0</v>
      </c>
      <c r="CO66" s="157">
        <f t="shared" si="174"/>
        <v>0</v>
      </c>
      <c r="CP66" s="154">
        <f t="shared" si="175"/>
        <v>0</v>
      </c>
      <c r="CQ66" s="158">
        <f t="shared" si="176"/>
        <v>0</v>
      </c>
      <c r="CR66" s="156">
        <f t="shared" si="279"/>
        <v>0</v>
      </c>
      <c r="CS66" s="154">
        <f t="shared" si="261"/>
        <v>0</v>
      </c>
      <c r="CT66" s="154">
        <f t="shared" si="179"/>
        <v>0</v>
      </c>
      <c r="CU66" s="154">
        <f t="shared" si="262"/>
        <v>0</v>
      </c>
      <c r="CV66" s="154">
        <f t="shared" si="181"/>
        <v>0</v>
      </c>
      <c r="CW66" s="154">
        <f t="shared" si="263"/>
        <v>0</v>
      </c>
      <c r="CX66" s="154">
        <f t="shared" si="183"/>
        <v>0</v>
      </c>
      <c r="CY66" s="154">
        <f t="shared" si="264"/>
        <v>0</v>
      </c>
      <c r="CZ66" s="154">
        <f t="shared" si="185"/>
        <v>0</v>
      </c>
      <c r="DA66" s="154">
        <f t="shared" si="265"/>
        <v>0</v>
      </c>
      <c r="DB66" s="157">
        <f t="shared" si="187"/>
        <v>0</v>
      </c>
      <c r="DC66" s="154">
        <f t="shared" si="188"/>
        <v>0</v>
      </c>
      <c r="DD66" s="158">
        <f t="shared" si="189"/>
        <v>0</v>
      </c>
      <c r="DE66" s="156">
        <f t="shared" si="279"/>
        <v>0</v>
      </c>
      <c r="DF66" s="154">
        <f t="shared" si="266"/>
        <v>0</v>
      </c>
      <c r="DG66" s="154">
        <f t="shared" si="192"/>
        <v>0</v>
      </c>
      <c r="DH66" s="154">
        <f t="shared" si="267"/>
        <v>0</v>
      </c>
      <c r="DI66" s="154">
        <f t="shared" si="194"/>
        <v>0</v>
      </c>
      <c r="DJ66" s="154">
        <f t="shared" si="268"/>
        <v>0</v>
      </c>
      <c r="DK66" s="154">
        <f t="shared" si="196"/>
        <v>0</v>
      </c>
      <c r="DL66" s="154">
        <f t="shared" si="269"/>
        <v>0</v>
      </c>
      <c r="DM66" s="154">
        <f t="shared" si="198"/>
        <v>0</v>
      </c>
      <c r="DN66" s="154">
        <f t="shared" si="270"/>
        <v>0</v>
      </c>
      <c r="DO66" s="157">
        <f t="shared" si="200"/>
        <v>0</v>
      </c>
      <c r="DP66" s="154">
        <f t="shared" si="201"/>
        <v>0</v>
      </c>
      <c r="DQ66" s="158">
        <f t="shared" si="202"/>
        <v>0</v>
      </c>
      <c r="DR66" s="156">
        <f t="shared" si="279"/>
        <v>0</v>
      </c>
      <c r="DS66" s="154">
        <f t="shared" si="271"/>
        <v>0</v>
      </c>
      <c r="DT66" s="154">
        <f t="shared" si="205"/>
        <v>0</v>
      </c>
      <c r="DU66" s="154">
        <f t="shared" si="272"/>
        <v>0</v>
      </c>
      <c r="DV66" s="154">
        <f t="shared" si="207"/>
        <v>0</v>
      </c>
      <c r="DW66" s="154">
        <f t="shared" si="273"/>
        <v>0</v>
      </c>
      <c r="DX66" s="154">
        <f t="shared" si="209"/>
        <v>0</v>
      </c>
      <c r="DY66" s="154">
        <f t="shared" si="274"/>
        <v>0</v>
      </c>
      <c r="DZ66" s="154">
        <f t="shared" si="211"/>
        <v>0</v>
      </c>
      <c r="EA66" s="154">
        <f t="shared" si="275"/>
        <v>0</v>
      </c>
      <c r="EB66" s="157">
        <f t="shared" si="213"/>
        <v>0</v>
      </c>
      <c r="EC66" s="154">
        <f t="shared" si="214"/>
        <v>0</v>
      </c>
      <c r="ED66" s="158">
        <f t="shared" si="215"/>
        <v>0</v>
      </c>
    </row>
    <row r="67" spans="1:134" x14ac:dyDescent="0.35">
      <c r="A67" s="172"/>
      <c r="B67" s="173"/>
      <c r="C67" s="174"/>
      <c r="D67" s="175"/>
      <c r="E67" s="176"/>
      <c r="F67" s="177"/>
      <c r="G67" s="178"/>
      <c r="H67" s="179"/>
      <c r="I67" s="180"/>
      <c r="J67" s="181"/>
      <c r="K67" s="152">
        <f t="shared" si="216"/>
        <v>0</v>
      </c>
      <c r="L67" s="153">
        <f t="shared" si="217"/>
        <v>0</v>
      </c>
      <c r="M67" s="154">
        <f t="shared" si="218"/>
        <v>0</v>
      </c>
      <c r="N67" s="154"/>
      <c r="O67" s="154">
        <f t="shared" si="219"/>
        <v>0</v>
      </c>
      <c r="P67" s="155"/>
      <c r="Q67" s="154">
        <f t="shared" si="220"/>
        <v>0</v>
      </c>
      <c r="R67" s="156">
        <f t="shared" si="221"/>
        <v>0</v>
      </c>
      <c r="S67" s="154">
        <f t="shared" si="222"/>
        <v>0</v>
      </c>
      <c r="T67" s="154">
        <f t="shared" si="223"/>
        <v>0</v>
      </c>
      <c r="U67" s="154">
        <f t="shared" si="224"/>
        <v>0</v>
      </c>
      <c r="V67" s="154">
        <f t="shared" si="225"/>
        <v>0</v>
      </c>
      <c r="W67" s="154">
        <f t="shared" si="226"/>
        <v>0</v>
      </c>
      <c r="X67" s="154">
        <f t="shared" si="227"/>
        <v>0</v>
      </c>
      <c r="Y67" s="154">
        <f t="shared" si="228"/>
        <v>0</v>
      </c>
      <c r="Z67" s="154">
        <f t="shared" si="229"/>
        <v>0</v>
      </c>
      <c r="AA67" s="154">
        <f t="shared" si="230"/>
        <v>0</v>
      </c>
      <c r="AB67" s="157">
        <f t="shared" si="231"/>
        <v>0</v>
      </c>
      <c r="AC67" s="154">
        <f t="shared" si="232"/>
        <v>0</v>
      </c>
      <c r="AD67" s="158">
        <f t="shared" si="233"/>
        <v>0</v>
      </c>
      <c r="AE67" s="156">
        <f t="shared" si="278"/>
        <v>0</v>
      </c>
      <c r="AF67" s="154">
        <f t="shared" si="235"/>
        <v>0</v>
      </c>
      <c r="AG67" s="154">
        <f t="shared" si="114"/>
        <v>0</v>
      </c>
      <c r="AH67" s="154">
        <f t="shared" si="236"/>
        <v>0</v>
      </c>
      <c r="AI67" s="154">
        <f t="shared" si="116"/>
        <v>0</v>
      </c>
      <c r="AJ67" s="154">
        <f t="shared" si="237"/>
        <v>0</v>
      </c>
      <c r="AK67" s="154">
        <f t="shared" si="118"/>
        <v>0</v>
      </c>
      <c r="AL67" s="154">
        <f t="shared" si="238"/>
        <v>0</v>
      </c>
      <c r="AM67" s="154">
        <f t="shared" si="120"/>
        <v>0</v>
      </c>
      <c r="AN67" s="154">
        <f t="shared" si="239"/>
        <v>0</v>
      </c>
      <c r="AO67" s="157">
        <f t="shared" si="122"/>
        <v>0</v>
      </c>
      <c r="AP67" s="154">
        <f t="shared" si="123"/>
        <v>0</v>
      </c>
      <c r="AQ67" s="158">
        <f t="shared" si="124"/>
        <v>0</v>
      </c>
      <c r="AR67" s="156">
        <f t="shared" si="278"/>
        <v>0</v>
      </c>
      <c r="AS67" s="154">
        <f t="shared" si="240"/>
        <v>0</v>
      </c>
      <c r="AT67" s="154">
        <f t="shared" si="127"/>
        <v>0</v>
      </c>
      <c r="AU67" s="154">
        <f t="shared" si="241"/>
        <v>0</v>
      </c>
      <c r="AV67" s="154">
        <f t="shared" si="129"/>
        <v>0</v>
      </c>
      <c r="AW67" s="154">
        <f t="shared" si="242"/>
        <v>0</v>
      </c>
      <c r="AX67" s="154">
        <f t="shared" si="131"/>
        <v>0</v>
      </c>
      <c r="AY67" s="154">
        <f t="shared" si="243"/>
        <v>0</v>
      </c>
      <c r="AZ67" s="154">
        <f t="shared" si="133"/>
        <v>0</v>
      </c>
      <c r="BA67" s="154">
        <f t="shared" si="244"/>
        <v>0</v>
      </c>
      <c r="BB67" s="157">
        <f t="shared" si="135"/>
        <v>0</v>
      </c>
      <c r="BC67" s="154">
        <f t="shared" si="136"/>
        <v>0</v>
      </c>
      <c r="BD67" s="158">
        <f t="shared" si="137"/>
        <v>0</v>
      </c>
      <c r="BE67" s="156">
        <f t="shared" si="278"/>
        <v>0</v>
      </c>
      <c r="BF67" s="154">
        <f t="shared" si="245"/>
        <v>0</v>
      </c>
      <c r="BG67" s="154">
        <f t="shared" si="140"/>
        <v>0</v>
      </c>
      <c r="BH67" s="154">
        <f t="shared" si="246"/>
        <v>0</v>
      </c>
      <c r="BI67" s="154">
        <f t="shared" si="142"/>
        <v>0</v>
      </c>
      <c r="BJ67" s="154">
        <f t="shared" si="247"/>
        <v>0</v>
      </c>
      <c r="BK67" s="154">
        <f t="shared" si="144"/>
        <v>0</v>
      </c>
      <c r="BL67" s="154">
        <f t="shared" si="248"/>
        <v>0</v>
      </c>
      <c r="BM67" s="154">
        <f t="shared" si="146"/>
        <v>0</v>
      </c>
      <c r="BN67" s="154">
        <f t="shared" si="249"/>
        <v>0</v>
      </c>
      <c r="BO67" s="157">
        <f t="shared" si="148"/>
        <v>0</v>
      </c>
      <c r="BP67" s="154">
        <f t="shared" si="149"/>
        <v>0</v>
      </c>
      <c r="BQ67" s="158">
        <f t="shared" si="150"/>
        <v>0</v>
      </c>
      <c r="BR67" s="156">
        <f t="shared" si="278"/>
        <v>0</v>
      </c>
      <c r="BS67" s="154">
        <f t="shared" si="250"/>
        <v>0</v>
      </c>
      <c r="BT67" s="154">
        <f t="shared" si="153"/>
        <v>0</v>
      </c>
      <c r="BU67" s="154">
        <f t="shared" si="251"/>
        <v>0</v>
      </c>
      <c r="BV67" s="154">
        <f t="shared" si="155"/>
        <v>0</v>
      </c>
      <c r="BW67" s="154">
        <f t="shared" si="252"/>
        <v>0</v>
      </c>
      <c r="BX67" s="154">
        <f t="shared" si="157"/>
        <v>0</v>
      </c>
      <c r="BY67" s="154">
        <f t="shared" si="253"/>
        <v>0</v>
      </c>
      <c r="BZ67" s="154">
        <f t="shared" si="159"/>
        <v>0</v>
      </c>
      <c r="CA67" s="154">
        <f t="shared" si="254"/>
        <v>0</v>
      </c>
      <c r="CB67" s="157">
        <f t="shared" si="161"/>
        <v>0</v>
      </c>
      <c r="CC67" s="154">
        <f t="shared" si="162"/>
        <v>0</v>
      </c>
      <c r="CD67" s="158">
        <f t="shared" si="163"/>
        <v>0</v>
      </c>
      <c r="CE67" s="156">
        <f t="shared" si="278"/>
        <v>0</v>
      </c>
      <c r="CF67" s="154">
        <f t="shared" si="255"/>
        <v>0</v>
      </c>
      <c r="CG67" s="154">
        <f t="shared" si="166"/>
        <v>0</v>
      </c>
      <c r="CH67" s="154">
        <f t="shared" si="256"/>
        <v>0</v>
      </c>
      <c r="CI67" s="154">
        <f t="shared" si="168"/>
        <v>0</v>
      </c>
      <c r="CJ67" s="154">
        <f t="shared" si="257"/>
        <v>0</v>
      </c>
      <c r="CK67" s="154">
        <f t="shared" si="170"/>
        <v>0</v>
      </c>
      <c r="CL67" s="154">
        <f t="shared" si="258"/>
        <v>0</v>
      </c>
      <c r="CM67" s="154">
        <f t="shared" si="172"/>
        <v>0</v>
      </c>
      <c r="CN67" s="154">
        <f t="shared" si="259"/>
        <v>0</v>
      </c>
      <c r="CO67" s="157">
        <f t="shared" si="174"/>
        <v>0</v>
      </c>
      <c r="CP67" s="154">
        <f t="shared" si="175"/>
        <v>0</v>
      </c>
      <c r="CQ67" s="158">
        <f t="shared" si="176"/>
        <v>0</v>
      </c>
      <c r="CR67" s="156">
        <f t="shared" si="279"/>
        <v>0</v>
      </c>
      <c r="CS67" s="154">
        <f t="shared" si="261"/>
        <v>0</v>
      </c>
      <c r="CT67" s="154">
        <f t="shared" si="179"/>
        <v>0</v>
      </c>
      <c r="CU67" s="154">
        <f t="shared" si="262"/>
        <v>0</v>
      </c>
      <c r="CV67" s="154">
        <f t="shared" si="181"/>
        <v>0</v>
      </c>
      <c r="CW67" s="154">
        <f t="shared" si="263"/>
        <v>0</v>
      </c>
      <c r="CX67" s="154">
        <f t="shared" si="183"/>
        <v>0</v>
      </c>
      <c r="CY67" s="154">
        <f t="shared" si="264"/>
        <v>0</v>
      </c>
      <c r="CZ67" s="154">
        <f t="shared" si="185"/>
        <v>0</v>
      </c>
      <c r="DA67" s="154">
        <f t="shared" si="265"/>
        <v>0</v>
      </c>
      <c r="DB67" s="157">
        <f t="shared" si="187"/>
        <v>0</v>
      </c>
      <c r="DC67" s="154">
        <f t="shared" si="188"/>
        <v>0</v>
      </c>
      <c r="DD67" s="158">
        <f t="shared" si="189"/>
        <v>0</v>
      </c>
      <c r="DE67" s="156">
        <f t="shared" si="279"/>
        <v>0</v>
      </c>
      <c r="DF67" s="154">
        <f t="shared" si="266"/>
        <v>0</v>
      </c>
      <c r="DG67" s="154">
        <f t="shared" si="192"/>
        <v>0</v>
      </c>
      <c r="DH67" s="154">
        <f t="shared" si="267"/>
        <v>0</v>
      </c>
      <c r="DI67" s="154">
        <f t="shared" si="194"/>
        <v>0</v>
      </c>
      <c r="DJ67" s="154">
        <f t="shared" si="268"/>
        <v>0</v>
      </c>
      <c r="DK67" s="154">
        <f t="shared" si="196"/>
        <v>0</v>
      </c>
      <c r="DL67" s="154">
        <f t="shared" si="269"/>
        <v>0</v>
      </c>
      <c r="DM67" s="154">
        <f t="shared" si="198"/>
        <v>0</v>
      </c>
      <c r="DN67" s="154">
        <f t="shared" si="270"/>
        <v>0</v>
      </c>
      <c r="DO67" s="157">
        <f t="shared" si="200"/>
        <v>0</v>
      </c>
      <c r="DP67" s="154">
        <f t="shared" si="201"/>
        <v>0</v>
      </c>
      <c r="DQ67" s="158">
        <f t="shared" si="202"/>
        <v>0</v>
      </c>
      <c r="DR67" s="156">
        <f t="shared" si="279"/>
        <v>0</v>
      </c>
      <c r="DS67" s="154">
        <f t="shared" si="271"/>
        <v>0</v>
      </c>
      <c r="DT67" s="154">
        <f t="shared" si="205"/>
        <v>0</v>
      </c>
      <c r="DU67" s="154">
        <f t="shared" si="272"/>
        <v>0</v>
      </c>
      <c r="DV67" s="154">
        <f t="shared" si="207"/>
        <v>0</v>
      </c>
      <c r="DW67" s="154">
        <f t="shared" si="273"/>
        <v>0</v>
      </c>
      <c r="DX67" s="154">
        <f t="shared" si="209"/>
        <v>0</v>
      </c>
      <c r="DY67" s="154">
        <f t="shared" si="274"/>
        <v>0</v>
      </c>
      <c r="DZ67" s="154">
        <f t="shared" si="211"/>
        <v>0</v>
      </c>
      <c r="EA67" s="154">
        <f t="shared" si="275"/>
        <v>0</v>
      </c>
      <c r="EB67" s="157">
        <f t="shared" si="213"/>
        <v>0</v>
      </c>
      <c r="EC67" s="154">
        <f t="shared" si="214"/>
        <v>0</v>
      </c>
      <c r="ED67" s="158">
        <f t="shared" si="215"/>
        <v>0</v>
      </c>
    </row>
    <row r="68" spans="1:134" x14ac:dyDescent="0.35">
      <c r="A68" s="172"/>
      <c r="B68" s="173"/>
      <c r="C68" s="174"/>
      <c r="D68" s="175"/>
      <c r="E68" s="176"/>
      <c r="F68" s="177"/>
      <c r="G68" s="178"/>
      <c r="H68" s="179"/>
      <c r="I68" s="180"/>
      <c r="J68" s="181"/>
      <c r="K68" s="152">
        <f t="shared" si="216"/>
        <v>0</v>
      </c>
      <c r="L68" s="153">
        <f t="shared" si="217"/>
        <v>0</v>
      </c>
      <c r="M68" s="154">
        <f t="shared" si="218"/>
        <v>0</v>
      </c>
      <c r="N68" s="154"/>
      <c r="O68" s="154">
        <f t="shared" si="219"/>
        <v>0</v>
      </c>
      <c r="P68" s="155"/>
      <c r="Q68" s="154">
        <f t="shared" si="220"/>
        <v>0</v>
      </c>
      <c r="R68" s="156">
        <f t="shared" si="221"/>
        <v>0</v>
      </c>
      <c r="S68" s="154">
        <f t="shared" si="222"/>
        <v>0</v>
      </c>
      <c r="T68" s="154">
        <f t="shared" si="223"/>
        <v>0</v>
      </c>
      <c r="U68" s="154">
        <f t="shared" si="224"/>
        <v>0</v>
      </c>
      <c r="V68" s="154">
        <f t="shared" si="225"/>
        <v>0</v>
      </c>
      <c r="W68" s="154">
        <f t="shared" si="226"/>
        <v>0</v>
      </c>
      <c r="X68" s="154">
        <f t="shared" si="227"/>
        <v>0</v>
      </c>
      <c r="Y68" s="154">
        <f t="shared" si="228"/>
        <v>0</v>
      </c>
      <c r="Z68" s="154">
        <f t="shared" si="229"/>
        <v>0</v>
      </c>
      <c r="AA68" s="154">
        <f t="shared" si="230"/>
        <v>0</v>
      </c>
      <c r="AB68" s="157">
        <f t="shared" si="231"/>
        <v>0</v>
      </c>
      <c r="AC68" s="154">
        <f t="shared" si="232"/>
        <v>0</v>
      </c>
      <c r="AD68" s="158">
        <f t="shared" si="233"/>
        <v>0</v>
      </c>
      <c r="AE68" s="156">
        <f t="shared" si="278"/>
        <v>0</v>
      </c>
      <c r="AF68" s="154">
        <f t="shared" si="235"/>
        <v>0</v>
      </c>
      <c r="AG68" s="154">
        <f t="shared" si="114"/>
        <v>0</v>
      </c>
      <c r="AH68" s="154">
        <f t="shared" si="236"/>
        <v>0</v>
      </c>
      <c r="AI68" s="154">
        <f t="shared" si="116"/>
        <v>0</v>
      </c>
      <c r="AJ68" s="154">
        <f t="shared" si="237"/>
        <v>0</v>
      </c>
      <c r="AK68" s="154">
        <f t="shared" si="118"/>
        <v>0</v>
      </c>
      <c r="AL68" s="154">
        <f t="shared" si="238"/>
        <v>0</v>
      </c>
      <c r="AM68" s="154">
        <f t="shared" si="120"/>
        <v>0</v>
      </c>
      <c r="AN68" s="154">
        <f t="shared" si="239"/>
        <v>0</v>
      </c>
      <c r="AO68" s="157">
        <f t="shared" si="122"/>
        <v>0</v>
      </c>
      <c r="AP68" s="154">
        <f t="shared" si="123"/>
        <v>0</v>
      </c>
      <c r="AQ68" s="158">
        <f t="shared" si="124"/>
        <v>0</v>
      </c>
      <c r="AR68" s="156">
        <f t="shared" si="278"/>
        <v>0</v>
      </c>
      <c r="AS68" s="154">
        <f t="shared" si="240"/>
        <v>0</v>
      </c>
      <c r="AT68" s="154">
        <f t="shared" si="127"/>
        <v>0</v>
      </c>
      <c r="AU68" s="154">
        <f t="shared" si="241"/>
        <v>0</v>
      </c>
      <c r="AV68" s="154">
        <f t="shared" si="129"/>
        <v>0</v>
      </c>
      <c r="AW68" s="154">
        <f t="shared" si="242"/>
        <v>0</v>
      </c>
      <c r="AX68" s="154">
        <f t="shared" si="131"/>
        <v>0</v>
      </c>
      <c r="AY68" s="154">
        <f t="shared" si="243"/>
        <v>0</v>
      </c>
      <c r="AZ68" s="154">
        <f t="shared" si="133"/>
        <v>0</v>
      </c>
      <c r="BA68" s="154">
        <f t="shared" si="244"/>
        <v>0</v>
      </c>
      <c r="BB68" s="157">
        <f t="shared" si="135"/>
        <v>0</v>
      </c>
      <c r="BC68" s="154">
        <f t="shared" si="136"/>
        <v>0</v>
      </c>
      <c r="BD68" s="158">
        <f t="shared" si="137"/>
        <v>0</v>
      </c>
      <c r="BE68" s="156">
        <f t="shared" si="278"/>
        <v>0</v>
      </c>
      <c r="BF68" s="154">
        <f t="shared" si="245"/>
        <v>0</v>
      </c>
      <c r="BG68" s="154">
        <f t="shared" si="140"/>
        <v>0</v>
      </c>
      <c r="BH68" s="154">
        <f t="shared" si="246"/>
        <v>0</v>
      </c>
      <c r="BI68" s="154">
        <f t="shared" si="142"/>
        <v>0</v>
      </c>
      <c r="BJ68" s="154">
        <f t="shared" si="247"/>
        <v>0</v>
      </c>
      <c r="BK68" s="154">
        <f t="shared" si="144"/>
        <v>0</v>
      </c>
      <c r="BL68" s="154">
        <f t="shared" si="248"/>
        <v>0</v>
      </c>
      <c r="BM68" s="154">
        <f t="shared" si="146"/>
        <v>0</v>
      </c>
      <c r="BN68" s="154">
        <f t="shared" si="249"/>
        <v>0</v>
      </c>
      <c r="BO68" s="157">
        <f t="shared" si="148"/>
        <v>0</v>
      </c>
      <c r="BP68" s="154">
        <f t="shared" si="149"/>
        <v>0</v>
      </c>
      <c r="BQ68" s="158">
        <f t="shared" si="150"/>
        <v>0</v>
      </c>
      <c r="BR68" s="156">
        <f t="shared" si="278"/>
        <v>0</v>
      </c>
      <c r="BS68" s="154">
        <f t="shared" si="250"/>
        <v>0</v>
      </c>
      <c r="BT68" s="154">
        <f t="shared" si="153"/>
        <v>0</v>
      </c>
      <c r="BU68" s="154">
        <f t="shared" si="251"/>
        <v>0</v>
      </c>
      <c r="BV68" s="154">
        <f t="shared" si="155"/>
        <v>0</v>
      </c>
      <c r="BW68" s="154">
        <f t="shared" si="252"/>
        <v>0</v>
      </c>
      <c r="BX68" s="154">
        <f t="shared" si="157"/>
        <v>0</v>
      </c>
      <c r="BY68" s="154">
        <f t="shared" si="253"/>
        <v>0</v>
      </c>
      <c r="BZ68" s="154">
        <f t="shared" si="159"/>
        <v>0</v>
      </c>
      <c r="CA68" s="154">
        <f t="shared" si="254"/>
        <v>0</v>
      </c>
      <c r="CB68" s="157">
        <f t="shared" si="161"/>
        <v>0</v>
      </c>
      <c r="CC68" s="154">
        <f t="shared" si="162"/>
        <v>0</v>
      </c>
      <c r="CD68" s="158">
        <f t="shared" si="163"/>
        <v>0</v>
      </c>
      <c r="CE68" s="156">
        <f t="shared" si="278"/>
        <v>0</v>
      </c>
      <c r="CF68" s="154">
        <f t="shared" si="255"/>
        <v>0</v>
      </c>
      <c r="CG68" s="154">
        <f t="shared" si="166"/>
        <v>0</v>
      </c>
      <c r="CH68" s="154">
        <f t="shared" si="256"/>
        <v>0</v>
      </c>
      <c r="CI68" s="154">
        <f t="shared" si="168"/>
        <v>0</v>
      </c>
      <c r="CJ68" s="154">
        <f t="shared" si="257"/>
        <v>0</v>
      </c>
      <c r="CK68" s="154">
        <f t="shared" si="170"/>
        <v>0</v>
      </c>
      <c r="CL68" s="154">
        <f t="shared" si="258"/>
        <v>0</v>
      </c>
      <c r="CM68" s="154">
        <f t="shared" si="172"/>
        <v>0</v>
      </c>
      <c r="CN68" s="154">
        <f t="shared" si="259"/>
        <v>0</v>
      </c>
      <c r="CO68" s="157">
        <f t="shared" si="174"/>
        <v>0</v>
      </c>
      <c r="CP68" s="154">
        <f t="shared" si="175"/>
        <v>0</v>
      </c>
      <c r="CQ68" s="158">
        <f t="shared" si="176"/>
        <v>0</v>
      </c>
      <c r="CR68" s="156">
        <f t="shared" si="279"/>
        <v>0</v>
      </c>
      <c r="CS68" s="154">
        <f t="shared" si="261"/>
        <v>0</v>
      </c>
      <c r="CT68" s="154">
        <f t="shared" si="179"/>
        <v>0</v>
      </c>
      <c r="CU68" s="154">
        <f t="shared" si="262"/>
        <v>0</v>
      </c>
      <c r="CV68" s="154">
        <f t="shared" si="181"/>
        <v>0</v>
      </c>
      <c r="CW68" s="154">
        <f t="shared" si="263"/>
        <v>0</v>
      </c>
      <c r="CX68" s="154">
        <f t="shared" si="183"/>
        <v>0</v>
      </c>
      <c r="CY68" s="154">
        <f t="shared" si="264"/>
        <v>0</v>
      </c>
      <c r="CZ68" s="154">
        <f t="shared" si="185"/>
        <v>0</v>
      </c>
      <c r="DA68" s="154">
        <f t="shared" si="265"/>
        <v>0</v>
      </c>
      <c r="DB68" s="157">
        <f t="shared" si="187"/>
        <v>0</v>
      </c>
      <c r="DC68" s="154">
        <f t="shared" si="188"/>
        <v>0</v>
      </c>
      <c r="DD68" s="158">
        <f t="shared" si="189"/>
        <v>0</v>
      </c>
      <c r="DE68" s="156">
        <f t="shared" si="279"/>
        <v>0</v>
      </c>
      <c r="DF68" s="154">
        <f t="shared" si="266"/>
        <v>0</v>
      </c>
      <c r="DG68" s="154">
        <f t="shared" si="192"/>
        <v>0</v>
      </c>
      <c r="DH68" s="154">
        <f t="shared" si="267"/>
        <v>0</v>
      </c>
      <c r="DI68" s="154">
        <f t="shared" si="194"/>
        <v>0</v>
      </c>
      <c r="DJ68" s="154">
        <f t="shared" si="268"/>
        <v>0</v>
      </c>
      <c r="DK68" s="154">
        <f t="shared" si="196"/>
        <v>0</v>
      </c>
      <c r="DL68" s="154">
        <f t="shared" si="269"/>
        <v>0</v>
      </c>
      <c r="DM68" s="154">
        <f t="shared" si="198"/>
        <v>0</v>
      </c>
      <c r="DN68" s="154">
        <f t="shared" si="270"/>
        <v>0</v>
      </c>
      <c r="DO68" s="157">
        <f t="shared" si="200"/>
        <v>0</v>
      </c>
      <c r="DP68" s="154">
        <f t="shared" si="201"/>
        <v>0</v>
      </c>
      <c r="DQ68" s="158">
        <f t="shared" si="202"/>
        <v>0</v>
      </c>
      <c r="DR68" s="156">
        <f t="shared" si="279"/>
        <v>0</v>
      </c>
      <c r="DS68" s="154">
        <f t="shared" si="271"/>
        <v>0</v>
      </c>
      <c r="DT68" s="154">
        <f t="shared" si="205"/>
        <v>0</v>
      </c>
      <c r="DU68" s="154">
        <f t="shared" si="272"/>
        <v>0</v>
      </c>
      <c r="DV68" s="154">
        <f t="shared" si="207"/>
        <v>0</v>
      </c>
      <c r="DW68" s="154">
        <f t="shared" si="273"/>
        <v>0</v>
      </c>
      <c r="DX68" s="154">
        <f t="shared" si="209"/>
        <v>0</v>
      </c>
      <c r="DY68" s="154">
        <f t="shared" si="274"/>
        <v>0</v>
      </c>
      <c r="DZ68" s="154">
        <f t="shared" si="211"/>
        <v>0</v>
      </c>
      <c r="EA68" s="154">
        <f t="shared" si="275"/>
        <v>0</v>
      </c>
      <c r="EB68" s="157">
        <f t="shared" si="213"/>
        <v>0</v>
      </c>
      <c r="EC68" s="154">
        <f t="shared" si="214"/>
        <v>0</v>
      </c>
      <c r="ED68" s="158">
        <f t="shared" si="215"/>
        <v>0</v>
      </c>
    </row>
    <row r="69" spans="1:134" x14ac:dyDescent="0.35">
      <c r="A69" s="172"/>
      <c r="B69" s="173"/>
      <c r="C69" s="174"/>
      <c r="D69" s="175"/>
      <c r="E69" s="176"/>
      <c r="F69" s="177"/>
      <c r="G69" s="178"/>
      <c r="H69" s="179"/>
      <c r="I69" s="180"/>
      <c r="J69" s="181"/>
      <c r="K69" s="152">
        <f t="shared" si="216"/>
        <v>0</v>
      </c>
      <c r="L69" s="153">
        <f t="shared" si="217"/>
        <v>0</v>
      </c>
      <c r="M69" s="154">
        <f t="shared" si="218"/>
        <v>0</v>
      </c>
      <c r="N69" s="154"/>
      <c r="O69" s="154">
        <f t="shared" si="219"/>
        <v>0</v>
      </c>
      <c r="P69" s="155"/>
      <c r="Q69" s="154">
        <f t="shared" si="220"/>
        <v>0</v>
      </c>
      <c r="R69" s="156">
        <f t="shared" si="221"/>
        <v>0</v>
      </c>
      <c r="S69" s="154">
        <f t="shared" si="222"/>
        <v>0</v>
      </c>
      <c r="T69" s="154">
        <f t="shared" si="223"/>
        <v>0</v>
      </c>
      <c r="U69" s="154">
        <f t="shared" si="224"/>
        <v>0</v>
      </c>
      <c r="V69" s="154">
        <f t="shared" si="225"/>
        <v>0</v>
      </c>
      <c r="W69" s="154">
        <f t="shared" si="226"/>
        <v>0</v>
      </c>
      <c r="X69" s="154">
        <f t="shared" si="227"/>
        <v>0</v>
      </c>
      <c r="Y69" s="154">
        <f t="shared" si="228"/>
        <v>0</v>
      </c>
      <c r="Z69" s="154">
        <f t="shared" si="229"/>
        <v>0</v>
      </c>
      <c r="AA69" s="154">
        <f t="shared" si="230"/>
        <v>0</v>
      </c>
      <c r="AB69" s="157">
        <f t="shared" si="231"/>
        <v>0</v>
      </c>
      <c r="AC69" s="154">
        <f t="shared" si="232"/>
        <v>0</v>
      </c>
      <c r="AD69" s="158">
        <f t="shared" si="233"/>
        <v>0</v>
      </c>
      <c r="AE69" s="156">
        <f t="shared" ref="AE69:CE84" si="280">IF(YEAR($F69)=AE$4,$E69,0)</f>
        <v>0</v>
      </c>
      <c r="AF69" s="154">
        <f t="shared" si="235"/>
        <v>0</v>
      </c>
      <c r="AG69" s="154">
        <f t="shared" ref="AG69:AG125" si="281">IF(AE69&lt;&gt;0,ROUND(AE69*(DAYS360($F69,AM$4)/DAYS360(Z$4,AM$4)),2),0)</f>
        <v>0</v>
      </c>
      <c r="AH69" s="154">
        <f t="shared" si="236"/>
        <v>0</v>
      </c>
      <c r="AI69" s="154">
        <f t="shared" ref="AI69:AI125" si="282">IF(AND($F69&gt;0,$F69&lt;=AM$4),$E69,0)</f>
        <v>0</v>
      </c>
      <c r="AJ69" s="154">
        <f t="shared" si="237"/>
        <v>0</v>
      </c>
      <c r="AK69" s="154">
        <f t="shared" ref="AK69:AK125" si="283">IF(AND(YEAR($F69)=YEAR(AM$4),$E69&lt;1000,$E69&gt;-1000,$F69&gt;0,$K69=1),$E69-$I69,IF(AND(YEAR($F69)=YEAR(AM$4),$F69&gt;0,$K69&gt;0),ROUND(($L69/12)*(13-MONTH($F69)),2),IF(AND(YEAR($F69)&lt;YEAR(AM$4),$E69&gt;0,$F69&gt;0,$K69&gt;0,Z69&gt;$L69+$I69),$L69,IF(AND(YEAR($F69)&lt;YEAR(AM$4),$E69&gt;0,$F69&gt;0,$K69&gt;0,Z69&gt;0,Z69&lt;=$L69+$I69),Z69-$I69,IF(AND(YEAR($F69)&lt;YEAR(AM$4),$E69&lt;0,$F69&gt;0,$K69&gt;0,Z69&lt;0,Z69&lt;=$L69),$L69,IF(AND(YEAR($F69)&lt;YEAR(AM$4),$E69&lt;0,$F69&gt;0,$K69&gt;0,Z69&lt;0,Z69&gt;$L69),Z69,0))))))</f>
        <v>0</v>
      </c>
      <c r="AL69" s="154">
        <f t="shared" si="238"/>
        <v>0</v>
      </c>
      <c r="AM69" s="154">
        <f t="shared" ref="AM69:AM125" si="284">IF(AND(YEAR(AM$4)=YEAR($F69),$E69&gt;0,$F69&gt;0,$E69-AK69&gt;=0),$E69-AK69,IF(AND(YEAR(AM$4)&gt;YEAR($F69),$E69&gt;0,$F69&gt;0,Z69-AK69&gt;=0),Z69-AK69,IF(AND(YEAR(AM$4)=YEAR($F69),$E69&lt;0,$F69&gt;0,$E69-AK69&lt;0),$E69-AK69,IF(AND(YEAR(AM$4)&gt;YEAR($F69),$E69&lt;0,$F69&gt;0,Z69-AK69&lt;=0),Z69-AK69,0))))</f>
        <v>0</v>
      </c>
      <c r="AN69" s="154">
        <f t="shared" si="239"/>
        <v>0</v>
      </c>
      <c r="AO69" s="157">
        <f t="shared" ref="AO69:AO125" si="285">AB69+AK69</f>
        <v>0</v>
      </c>
      <c r="AP69" s="154">
        <f t="shared" ref="AP69:AP125" si="286">IF(AND(AE69&lt;&gt;0,$J69="H",$L69=0),AG69,IF(AND(YEAR(AM$4)&gt;YEAR($F69),$J69="H",$F69&gt;0,$L69=0),$E69,0))</f>
        <v>0</v>
      </c>
      <c r="AQ69" s="158">
        <f t="shared" ref="AQ69:AQ125" si="287">IF(AND(YEAR(AM$4)&gt;=YEAR($F69),$E69&gt;0,$F69&gt;0,AK69&gt;0,$J69="H"),ROUND(AK69/$L69*$E69,2),IF(AND(YEAR(AM$4)&gt;=YEAR($F69),$E69&lt;0,$F69&gt;0,AK69&lt;0,$J69="H"),ROUND(AK69/$L69*$E69,2),0))</f>
        <v>0</v>
      </c>
      <c r="AR69" s="156">
        <f t="shared" si="280"/>
        <v>0</v>
      </c>
      <c r="AS69" s="154">
        <f t="shared" si="240"/>
        <v>0</v>
      </c>
      <c r="AT69" s="154">
        <f t="shared" ref="AT69:AT125" si="288">IF(AR69&lt;&gt;0,ROUND(AR69*(DAYS360($F69,AZ$4)/DAYS360(AM$4,AZ$4)),2),0)</f>
        <v>0</v>
      </c>
      <c r="AU69" s="154">
        <f t="shared" si="241"/>
        <v>0</v>
      </c>
      <c r="AV69" s="154">
        <f t="shared" ref="AV69:AV125" si="289">IF(AND($F69&gt;0,$F69&lt;=AZ$4),$E69,0)</f>
        <v>0</v>
      </c>
      <c r="AW69" s="154">
        <f t="shared" si="242"/>
        <v>0</v>
      </c>
      <c r="AX69" s="154">
        <f t="shared" ref="AX69:AX125" si="290">IF(AND(YEAR($F69)=YEAR(AZ$4),$E69&lt;1000,$E69&gt;-1000,$F69&gt;0,$K69=1),$E69-$I69,IF(AND(YEAR($F69)=YEAR(AZ$4),$F69&gt;0,$K69&gt;0),ROUND(($L69/12)*(13-MONTH($F69)),2),IF(AND(YEAR($F69)&lt;YEAR(AZ$4),$E69&gt;0,$F69&gt;0,$K69&gt;0,AM69&gt;$L69+$I69),$L69,IF(AND(YEAR($F69)&lt;YEAR(AZ$4),$E69&gt;0,$F69&gt;0,$K69&gt;0,AM69&gt;0,AM69&lt;=$L69+$I69),AM69-$I69,IF(AND(YEAR($F69)&lt;YEAR(AZ$4),$E69&lt;0,$F69&gt;0,$K69&gt;0,AM69&lt;0,AM69&lt;=$L69),$L69,IF(AND(YEAR($F69)&lt;YEAR(AZ$4),$E69&lt;0,$F69&gt;0,$K69&gt;0,AM69&lt;0,AM69&gt;$L69),AM69,0))))))</f>
        <v>0</v>
      </c>
      <c r="AY69" s="154">
        <f t="shared" si="243"/>
        <v>0</v>
      </c>
      <c r="AZ69" s="154">
        <f t="shared" ref="AZ69:AZ125" si="291">IF(AND(YEAR(AZ$4)=YEAR($F69),$E69&gt;0,$F69&gt;0,$E69-AX69&gt;=0),$E69-AX69,IF(AND(YEAR(AZ$4)&gt;YEAR($F69),$E69&gt;0,$F69&gt;0,AM69-AX69&gt;=0),AM69-AX69,IF(AND(YEAR(AZ$4)=YEAR($F69),$E69&lt;0,$F69&gt;0,$E69-AX69&lt;0),$E69-AX69,IF(AND(YEAR(AZ$4)&gt;YEAR($F69),$E69&lt;0,$F69&gt;0,AM69-AX69&lt;=0),AM69-AX69,0))))</f>
        <v>0</v>
      </c>
      <c r="BA69" s="154">
        <f t="shared" si="244"/>
        <v>0</v>
      </c>
      <c r="BB69" s="157">
        <f t="shared" ref="BB69:BB125" si="292">AO69+AX69</f>
        <v>0</v>
      </c>
      <c r="BC69" s="154">
        <f t="shared" ref="BC69:BC125" si="293">IF(AND(AR69&lt;&gt;0,$J69="H",$L69=0),AT69,IF(AND(YEAR(AZ$4)&gt;YEAR($F69),$J69="H",$F69&gt;0,$L69=0),$E69,0))</f>
        <v>0</v>
      </c>
      <c r="BD69" s="158">
        <f t="shared" ref="BD69:BD125" si="294">IF(AND(YEAR(AZ$4)&gt;=YEAR($F69),$E69&gt;0,$F69&gt;0,AX69&gt;0,$J69="H"),ROUND(AX69/$L69*$E69,2),IF(AND(YEAR(AZ$4)&gt;=YEAR($F69),$E69&lt;0,$F69&gt;0,AX69&lt;0,$J69="H"),ROUND(AX69/$L69*$E69,2),0))</f>
        <v>0</v>
      </c>
      <c r="BE69" s="156">
        <f t="shared" si="280"/>
        <v>0</v>
      </c>
      <c r="BF69" s="154">
        <f t="shared" si="245"/>
        <v>0</v>
      </c>
      <c r="BG69" s="154">
        <f t="shared" ref="BG69:BG125" si="295">IF(BE69&lt;&gt;0,ROUND(BE69*(DAYS360($F69,BM$4)/DAYS360(AZ$4,BM$4)),2),0)</f>
        <v>0</v>
      </c>
      <c r="BH69" s="154">
        <f t="shared" si="246"/>
        <v>0</v>
      </c>
      <c r="BI69" s="154">
        <f t="shared" ref="BI69:BI125" si="296">IF(AND($F69&gt;0,$F69&lt;=BM$4),$E69,0)</f>
        <v>0</v>
      </c>
      <c r="BJ69" s="154">
        <f t="shared" si="247"/>
        <v>0</v>
      </c>
      <c r="BK69" s="154">
        <f t="shared" ref="BK69:BK125" si="297">IF(AND(YEAR($F69)=YEAR(BM$4),$E69&lt;1000,$E69&gt;-1000,$F69&gt;0,$K69=1),$E69-$I69,IF(AND(YEAR($F69)=YEAR(BM$4),$F69&gt;0,$K69&gt;0),ROUND(($L69/12)*(13-MONTH($F69)),2),IF(AND(YEAR($F69)&lt;YEAR(BM$4),$E69&gt;0,$F69&gt;0,$K69&gt;0,AZ69&gt;$L69+$I69),$L69,IF(AND(YEAR($F69)&lt;YEAR(BM$4),$E69&gt;0,$F69&gt;0,$K69&gt;0,AZ69&gt;0,AZ69&lt;=$L69+$I69),AZ69-$I69,IF(AND(YEAR($F69)&lt;YEAR(BM$4),$E69&lt;0,$F69&gt;0,$K69&gt;0,AZ69&lt;0,AZ69&lt;=$L69),$L69,IF(AND(YEAR($F69)&lt;YEAR(BM$4),$E69&lt;0,$F69&gt;0,$K69&gt;0,AZ69&lt;0,AZ69&gt;$L69),AZ69,0))))))</f>
        <v>0</v>
      </c>
      <c r="BL69" s="154">
        <f t="shared" si="248"/>
        <v>0</v>
      </c>
      <c r="BM69" s="154">
        <f t="shared" ref="BM69:BM125" si="298">IF(AND(YEAR(BM$4)=YEAR($F69),$E69&gt;0,$F69&gt;0,$E69-BK69&gt;=0),$E69-BK69,IF(AND(YEAR(BM$4)&gt;YEAR($F69),$E69&gt;0,$F69&gt;0,AZ69-BK69&gt;=0),AZ69-BK69,IF(AND(YEAR(BM$4)=YEAR($F69),$E69&lt;0,$F69&gt;0,$E69-BK69&lt;0),$E69-BK69,IF(AND(YEAR(BM$4)&gt;YEAR($F69),$E69&lt;0,$F69&gt;0,AZ69-BK69&lt;=0),AZ69-BK69,0))))</f>
        <v>0</v>
      </c>
      <c r="BN69" s="154">
        <f t="shared" si="249"/>
        <v>0</v>
      </c>
      <c r="BO69" s="157">
        <f t="shared" ref="BO69:BO125" si="299">BB69+BK69</f>
        <v>0</v>
      </c>
      <c r="BP69" s="154">
        <f t="shared" ref="BP69:BP125" si="300">IF(AND(BE69&lt;&gt;0,$J69="H",$L69=0),BG69,IF(AND(YEAR(BM$4)&gt;YEAR($F69),$J69="H",$F69&gt;0,$L69=0),$E69,0))</f>
        <v>0</v>
      </c>
      <c r="BQ69" s="158">
        <f t="shared" ref="BQ69:BQ125" si="301">IF(AND(YEAR(BM$4)&gt;=YEAR($F69),$E69&gt;0,$F69&gt;0,BK69&gt;0,$J69="H"),ROUND(BK69/$L69*$E69,2),IF(AND(YEAR(BM$4)&gt;=YEAR($F69),$E69&lt;0,$F69&gt;0,BK69&lt;0,$J69="H"),ROUND(BK69/$L69*$E69,2),0))</f>
        <v>0</v>
      </c>
      <c r="BR69" s="156">
        <f t="shared" si="280"/>
        <v>0</v>
      </c>
      <c r="BS69" s="154">
        <f t="shared" si="250"/>
        <v>0</v>
      </c>
      <c r="BT69" s="154">
        <f t="shared" ref="BT69:BT125" si="302">IF(BR69&lt;&gt;0,ROUND(BR69*(DAYS360($F69,BZ$4)/DAYS360(BM$4,BZ$4)),2),0)</f>
        <v>0</v>
      </c>
      <c r="BU69" s="154">
        <f t="shared" si="251"/>
        <v>0</v>
      </c>
      <c r="BV69" s="154">
        <f t="shared" ref="BV69:BV125" si="303">IF(AND($F69&gt;0,$F69&lt;=BZ$4),$E69,0)</f>
        <v>0</v>
      </c>
      <c r="BW69" s="154">
        <f t="shared" si="252"/>
        <v>0</v>
      </c>
      <c r="BX69" s="154">
        <f t="shared" ref="BX69:BX125" si="304">IF(AND(YEAR($F69)=YEAR(BZ$4),$E69&lt;1000,$E69&gt;-1000,$F69&gt;0,$K69=1),$E69-$I69,IF(AND(YEAR($F69)=YEAR(BZ$4),$F69&gt;0,$K69&gt;0),ROUND(($L69/12)*(13-MONTH($F69)),2),IF(AND(YEAR($F69)&lt;YEAR(BZ$4),$E69&gt;0,$F69&gt;0,$K69&gt;0,BM69&gt;$L69+$I69),$L69,IF(AND(YEAR($F69)&lt;YEAR(BZ$4),$E69&gt;0,$F69&gt;0,$K69&gt;0,BM69&gt;0,BM69&lt;=$L69+$I69),BM69-$I69,IF(AND(YEAR($F69)&lt;YEAR(BZ$4),$E69&lt;0,$F69&gt;0,$K69&gt;0,BM69&lt;0,BM69&lt;=$L69),$L69,IF(AND(YEAR($F69)&lt;YEAR(BZ$4),$E69&lt;0,$F69&gt;0,$K69&gt;0,BM69&lt;0,BM69&gt;$L69),BM69,0))))))</f>
        <v>0</v>
      </c>
      <c r="BY69" s="154">
        <f t="shared" si="253"/>
        <v>0</v>
      </c>
      <c r="BZ69" s="154">
        <f t="shared" ref="BZ69:BZ125" si="305">IF(AND(YEAR(BZ$4)=YEAR($F69),$E69&gt;0,$F69&gt;0,$E69-BX69&gt;=0),$E69-BX69,IF(AND(YEAR(BZ$4)&gt;YEAR($F69),$E69&gt;0,$F69&gt;0,BM69-BX69&gt;=0),BM69-BX69,IF(AND(YEAR(BZ$4)=YEAR($F69),$E69&lt;0,$F69&gt;0,$E69-BX69&lt;0),$E69-BX69,IF(AND(YEAR(BZ$4)&gt;YEAR($F69),$E69&lt;0,$F69&gt;0,BM69-BX69&lt;=0),BM69-BX69,0))))</f>
        <v>0</v>
      </c>
      <c r="CA69" s="154">
        <f t="shared" si="254"/>
        <v>0</v>
      </c>
      <c r="CB69" s="157">
        <f t="shared" ref="CB69:CB125" si="306">BO69+BX69</f>
        <v>0</v>
      </c>
      <c r="CC69" s="154">
        <f t="shared" ref="CC69:CC125" si="307">IF(AND(BR69&lt;&gt;0,$J69="H",$L69=0),BT69,IF(AND(YEAR(BZ$4)&gt;YEAR($F69),$J69="H",$F69&gt;0,$L69=0),$E69,0))</f>
        <v>0</v>
      </c>
      <c r="CD69" s="158">
        <f t="shared" ref="CD69:CD125" si="308">IF(AND(YEAR(BZ$4)&gt;=YEAR($F69),$E69&gt;0,$F69&gt;0,BX69&gt;0,$J69="H"),ROUND(BX69/$L69*$E69,2),IF(AND(YEAR(BZ$4)&gt;=YEAR($F69),$E69&lt;0,$F69&gt;0,BX69&lt;0,$J69="H"),ROUND(BX69/$L69*$E69,2),0))</f>
        <v>0</v>
      </c>
      <c r="CE69" s="156">
        <f t="shared" si="280"/>
        <v>0</v>
      </c>
      <c r="CF69" s="154">
        <f t="shared" si="255"/>
        <v>0</v>
      </c>
      <c r="CG69" s="154">
        <f t="shared" ref="CG69:CG125" si="309">IF(CE69&lt;&gt;0,ROUND(CE69*(DAYS360($F69,CM$4)/DAYS360(BZ$4,CM$4)),2),0)</f>
        <v>0</v>
      </c>
      <c r="CH69" s="154">
        <f t="shared" si="256"/>
        <v>0</v>
      </c>
      <c r="CI69" s="154">
        <f t="shared" ref="CI69:CI125" si="310">IF(AND($F69&gt;0,$F69&lt;=CM$4),$E69,0)</f>
        <v>0</v>
      </c>
      <c r="CJ69" s="154">
        <f t="shared" si="257"/>
        <v>0</v>
      </c>
      <c r="CK69" s="154">
        <f t="shared" ref="CK69:CK125" si="311">IF(AND(YEAR($F69)=YEAR(CM$4),$E69&lt;1000,$E69&gt;-1000,$F69&gt;0,$K69=1),$E69-$I69,IF(AND(YEAR($F69)=YEAR(CM$4),$F69&gt;0,$K69&gt;0),ROUND(($L69/12)*(13-MONTH($F69)),2),IF(AND(YEAR($F69)&lt;YEAR(CM$4),$E69&gt;0,$F69&gt;0,$K69&gt;0,BZ69&gt;$L69+$I69),$L69,IF(AND(YEAR($F69)&lt;YEAR(CM$4),$E69&gt;0,$F69&gt;0,$K69&gt;0,BZ69&gt;0,BZ69&lt;=$L69+$I69),BZ69-$I69,IF(AND(YEAR($F69)&lt;YEAR(CM$4),$E69&lt;0,$F69&gt;0,$K69&gt;0,BZ69&lt;0,BZ69&lt;=$L69),$L69,IF(AND(YEAR($F69)&lt;YEAR(CM$4),$E69&lt;0,$F69&gt;0,$K69&gt;0,BZ69&lt;0,BZ69&gt;$L69),BZ69,0))))))</f>
        <v>0</v>
      </c>
      <c r="CL69" s="154">
        <f t="shared" si="258"/>
        <v>0</v>
      </c>
      <c r="CM69" s="154">
        <f t="shared" ref="CM69:CM125" si="312">IF(AND(YEAR(CM$4)=YEAR($F69),$E69&gt;0,$F69&gt;0,$E69-CK69&gt;=0),$E69-CK69,IF(AND(YEAR(CM$4)&gt;YEAR($F69),$E69&gt;0,$F69&gt;0,BZ69-CK69&gt;=0),BZ69-CK69,IF(AND(YEAR(CM$4)=YEAR($F69),$E69&lt;0,$F69&gt;0,$E69-CK69&lt;0),$E69-CK69,IF(AND(YEAR(CM$4)&gt;YEAR($F69),$E69&lt;0,$F69&gt;0,BZ69-CK69&lt;=0),BZ69-CK69,0))))</f>
        <v>0</v>
      </c>
      <c r="CN69" s="154">
        <f t="shared" si="259"/>
        <v>0</v>
      </c>
      <c r="CO69" s="157">
        <f t="shared" ref="CO69:CO125" si="313">CB69+CK69</f>
        <v>0</v>
      </c>
      <c r="CP69" s="154">
        <f t="shared" ref="CP69:CP125" si="314">IF(AND(CE69&lt;&gt;0,$J69="H",$L69=0),CG69,IF(AND(YEAR(CM$4)&gt;YEAR($F69),$J69="H",$F69&gt;0,$L69=0),$E69,0))</f>
        <v>0</v>
      </c>
      <c r="CQ69" s="158">
        <f t="shared" ref="CQ69:CQ125" si="315">IF(AND(YEAR(CM$4)&gt;=YEAR($F69),$E69&gt;0,$F69&gt;0,CK69&gt;0,$J69="H"),ROUND(CK69/$L69*$E69,2),IF(AND(YEAR(CM$4)&gt;=YEAR($F69),$E69&lt;0,$F69&gt;0,CK69&lt;0,$J69="H"),ROUND(CK69/$L69*$E69,2),0))</f>
        <v>0</v>
      </c>
      <c r="CR69" s="156">
        <f t="shared" ref="CR69:DR84" si="316">IF(YEAR($F69)=CR$4,$E69,0)</f>
        <v>0</v>
      </c>
      <c r="CS69" s="154">
        <f t="shared" si="261"/>
        <v>0</v>
      </c>
      <c r="CT69" s="154">
        <f t="shared" ref="CT69:CT125" si="317">IF(CR69&lt;&gt;0,ROUND(CR69*(DAYS360($F69,CZ$4)/DAYS360(CM$4,CZ$4)),2),0)</f>
        <v>0</v>
      </c>
      <c r="CU69" s="154">
        <f t="shared" si="262"/>
        <v>0</v>
      </c>
      <c r="CV69" s="154">
        <f t="shared" ref="CV69:CV125" si="318">IF(AND($F69&gt;0,$F69&lt;=CZ$4),$E69,0)</f>
        <v>0</v>
      </c>
      <c r="CW69" s="154">
        <f t="shared" si="263"/>
        <v>0</v>
      </c>
      <c r="CX69" s="154">
        <f t="shared" ref="CX69:CX125" si="319">IF(AND(YEAR($F69)=YEAR(CZ$4),$E69&lt;1000,$E69&gt;-1000,$F69&gt;0,$K69=1),$E69-$I69,IF(AND(YEAR($F69)=YEAR(CZ$4),$F69&gt;0,$K69&gt;0),ROUND(($L69/12)*(13-MONTH($F69)),2),IF(AND(YEAR($F69)&lt;YEAR(CZ$4),$E69&gt;0,$F69&gt;0,$K69&gt;0,CM69&gt;$L69+$I69),$L69,IF(AND(YEAR($F69)&lt;YEAR(CZ$4),$E69&gt;0,$F69&gt;0,$K69&gt;0,CM69&gt;0,CM69&lt;=$L69+$I69),CM69-$I69,IF(AND(YEAR($F69)&lt;YEAR(CZ$4),$E69&lt;0,$F69&gt;0,$K69&gt;0,CM69&lt;0,CM69&lt;=$L69),$L69,IF(AND(YEAR($F69)&lt;YEAR(CZ$4),$E69&lt;0,$F69&gt;0,$K69&gt;0,CM69&lt;0,CM69&gt;$L69),CM69,0))))))</f>
        <v>0</v>
      </c>
      <c r="CY69" s="154">
        <f t="shared" si="264"/>
        <v>0</v>
      </c>
      <c r="CZ69" s="154">
        <f t="shared" ref="CZ69:CZ125" si="320">IF(AND(YEAR(CZ$4)=YEAR($F69),$E69&gt;0,$F69&gt;0,$E69-CX69&gt;=0),$E69-CX69,IF(AND(YEAR(CZ$4)&gt;YEAR($F69),$E69&gt;0,$F69&gt;0,CM69-CX69&gt;=0),CM69-CX69,IF(AND(YEAR(CZ$4)=YEAR($F69),$E69&lt;0,$F69&gt;0,$E69-CX69&lt;0),$E69-CX69,IF(AND(YEAR(CZ$4)&gt;YEAR($F69),$E69&lt;0,$F69&gt;0,CM69-CX69&lt;=0),CM69-CX69,0))))</f>
        <v>0</v>
      </c>
      <c r="DA69" s="154">
        <f t="shared" si="265"/>
        <v>0</v>
      </c>
      <c r="DB69" s="157">
        <f t="shared" ref="DB69:DB125" si="321">CO69+CX69</f>
        <v>0</v>
      </c>
      <c r="DC69" s="154">
        <f t="shared" ref="DC69:DC125" si="322">IF(AND(CR69&lt;&gt;0,$J69="H",$L69=0),CT69,IF(AND(YEAR(CZ$4)&gt;YEAR($F69),$J69="H",$F69&gt;0,$L69=0),$E69,0))</f>
        <v>0</v>
      </c>
      <c r="DD69" s="158">
        <f t="shared" ref="DD69:DD125" si="323">IF(AND(YEAR(CZ$4)&gt;=YEAR($F69),$E69&gt;0,$F69&gt;0,CX69&gt;0,$J69="H"),ROUND(CX69/$L69*$E69,2),IF(AND(YEAR(CZ$4)&gt;=YEAR($F69),$E69&lt;0,$F69&gt;0,CX69&lt;0,$J69="H"),ROUND(CX69/$L69*$E69,2),0))</f>
        <v>0</v>
      </c>
      <c r="DE69" s="156">
        <f t="shared" si="316"/>
        <v>0</v>
      </c>
      <c r="DF69" s="154">
        <f t="shared" si="266"/>
        <v>0</v>
      </c>
      <c r="DG69" s="154">
        <f t="shared" ref="DG69:DG125" si="324">IF(DE69&lt;&gt;0,ROUND(DE69*(DAYS360($F69,DM$4)/DAYS360(CZ$4,DM$4)),2),0)</f>
        <v>0</v>
      </c>
      <c r="DH69" s="154">
        <f t="shared" si="267"/>
        <v>0</v>
      </c>
      <c r="DI69" s="154">
        <f t="shared" ref="DI69:DI125" si="325">IF(AND($F69&gt;0,$F69&lt;=DM$4),$E69,0)</f>
        <v>0</v>
      </c>
      <c r="DJ69" s="154">
        <f t="shared" si="268"/>
        <v>0</v>
      </c>
      <c r="DK69" s="154">
        <f t="shared" ref="DK69:DK125" si="326">IF(AND(YEAR($F69)=YEAR(DM$4),$E69&lt;1000,$E69&gt;-1000,$F69&gt;0,$K69=1),$E69-$I69,IF(AND(YEAR($F69)=YEAR(DM$4),$F69&gt;0,$K69&gt;0),ROUND(($L69/12)*(13-MONTH($F69)),2),IF(AND(YEAR($F69)&lt;YEAR(DM$4),$E69&gt;0,$F69&gt;0,$K69&gt;0,CZ69&gt;$L69+$I69),$L69,IF(AND(YEAR($F69)&lt;YEAR(DM$4),$E69&gt;0,$F69&gt;0,$K69&gt;0,CZ69&gt;0,CZ69&lt;=$L69+$I69),CZ69-$I69,IF(AND(YEAR($F69)&lt;YEAR(DM$4),$E69&lt;0,$F69&gt;0,$K69&gt;0,CZ69&lt;0,CZ69&lt;=$L69),$L69,IF(AND(YEAR($F69)&lt;YEAR(DM$4),$E69&lt;0,$F69&gt;0,$K69&gt;0,CZ69&lt;0,CZ69&gt;$L69),CZ69,0))))))</f>
        <v>0</v>
      </c>
      <c r="DL69" s="154">
        <f t="shared" si="269"/>
        <v>0</v>
      </c>
      <c r="DM69" s="154">
        <f t="shared" ref="DM69:DM125" si="327">IF(AND(YEAR(DM$4)=YEAR($F69),$E69&gt;0,$F69&gt;0,$E69-DK69&gt;=0),$E69-DK69,IF(AND(YEAR(DM$4)&gt;YEAR($F69),$E69&gt;0,$F69&gt;0,CZ69-DK69&gt;=0),CZ69-DK69,IF(AND(YEAR(DM$4)=YEAR($F69),$E69&lt;0,$F69&gt;0,$E69-DK69&lt;0),$E69-DK69,IF(AND(YEAR(DM$4)&gt;YEAR($F69),$E69&lt;0,$F69&gt;0,CZ69-DK69&lt;=0),CZ69-DK69,0))))</f>
        <v>0</v>
      </c>
      <c r="DN69" s="154">
        <f t="shared" si="270"/>
        <v>0</v>
      </c>
      <c r="DO69" s="157">
        <f t="shared" ref="DO69:DO125" si="328">DB69+DK69</f>
        <v>0</v>
      </c>
      <c r="DP69" s="154">
        <f t="shared" ref="DP69:DP125" si="329">IF(AND(DE69&lt;&gt;0,$J69="H",$L69=0),DG69,IF(AND(YEAR(DM$4)&gt;YEAR($F69),$J69="H",$F69&gt;0,$L69=0),$E69,0))</f>
        <v>0</v>
      </c>
      <c r="DQ69" s="158">
        <f t="shared" ref="DQ69:DQ125" si="330">IF(AND(YEAR(DM$4)&gt;=YEAR($F69),$E69&gt;0,$F69&gt;0,DK69&gt;0,$J69="H"),ROUND(DK69/$L69*$E69,2),IF(AND(YEAR(DM$4)&gt;=YEAR($F69),$E69&lt;0,$F69&gt;0,DK69&lt;0,$J69="H"),ROUND(DK69/$L69*$E69,2),0))</f>
        <v>0</v>
      </c>
      <c r="DR69" s="156">
        <f t="shared" si="316"/>
        <v>0</v>
      </c>
      <c r="DS69" s="154">
        <f t="shared" si="271"/>
        <v>0</v>
      </c>
      <c r="DT69" s="154">
        <f t="shared" ref="DT69:DT125" si="331">IF(DR69&lt;&gt;0,ROUND(DR69*(DAYS360($F69,DZ$4)/DAYS360(DM$4,DZ$4)),2),0)</f>
        <v>0</v>
      </c>
      <c r="DU69" s="154">
        <f t="shared" si="272"/>
        <v>0</v>
      </c>
      <c r="DV69" s="154">
        <f t="shared" ref="DV69:DV125" si="332">IF(AND($F69&gt;0,$F69&lt;=DZ$4),$E69,0)</f>
        <v>0</v>
      </c>
      <c r="DW69" s="154">
        <f t="shared" si="273"/>
        <v>0</v>
      </c>
      <c r="DX69" s="154">
        <f t="shared" ref="DX69:DX125" si="333">IF(AND(YEAR($F69)=YEAR(DZ$4),$E69&lt;1000,$E69&gt;-1000,$F69&gt;0,$K69=1),$E69-$I69,IF(AND(YEAR($F69)=YEAR(DZ$4),$F69&gt;0,$K69&gt;0),ROUND(($L69/12)*(13-MONTH($F69)),2),IF(AND(YEAR($F69)&lt;YEAR(DZ$4),$E69&gt;0,$F69&gt;0,$K69&gt;0,DM69&gt;$L69+$I69),$L69,IF(AND(YEAR($F69)&lt;YEAR(DZ$4),$E69&gt;0,$F69&gt;0,$K69&gt;0,DM69&gt;0,DM69&lt;=$L69+$I69),DM69-$I69,IF(AND(YEAR($F69)&lt;YEAR(DZ$4),$E69&lt;0,$F69&gt;0,$K69&gt;0,DM69&lt;0,DM69&lt;=$L69),$L69,IF(AND(YEAR($F69)&lt;YEAR(DZ$4),$E69&lt;0,$F69&gt;0,$K69&gt;0,DM69&lt;0,DM69&gt;$L69),DM69,0))))))</f>
        <v>0</v>
      </c>
      <c r="DY69" s="154">
        <f t="shared" si="274"/>
        <v>0</v>
      </c>
      <c r="DZ69" s="154">
        <f t="shared" ref="DZ69:DZ125" si="334">IF(AND(YEAR(DZ$4)=YEAR($F69),$E69&gt;0,$F69&gt;0,$E69-DX69&gt;=0),$E69-DX69,IF(AND(YEAR(DZ$4)&gt;YEAR($F69),$E69&gt;0,$F69&gt;0,DM69-DX69&gt;=0),DM69-DX69,IF(AND(YEAR(DZ$4)=YEAR($F69),$E69&lt;0,$F69&gt;0,$E69-DX69&lt;0),$E69-DX69,IF(AND(YEAR(DZ$4)&gt;YEAR($F69),$E69&lt;0,$F69&gt;0,DM69-DX69&lt;=0),DM69-DX69,0))))</f>
        <v>0</v>
      </c>
      <c r="EA69" s="154">
        <f t="shared" si="275"/>
        <v>0</v>
      </c>
      <c r="EB69" s="157">
        <f t="shared" ref="EB69:EB125" si="335">DO69+DX69</f>
        <v>0</v>
      </c>
      <c r="EC69" s="154">
        <f t="shared" ref="EC69:EC125" si="336">IF(AND(DR69&lt;&gt;0,$J69="H",$L69=0),DT69,IF(AND(YEAR(DZ$4)&gt;YEAR($F69),$J69="H",$F69&gt;0,$L69=0),$E69,0))</f>
        <v>0</v>
      </c>
      <c r="ED69" s="158">
        <f t="shared" ref="ED69:ED125" si="337">IF(AND(YEAR(DZ$4)&gt;=YEAR($F69),$E69&gt;0,$F69&gt;0,DX69&gt;0,$J69="H"),ROUND(DX69/$L69*$E69,2),IF(AND(YEAR(DZ$4)&gt;=YEAR($F69),$E69&lt;0,$F69&gt;0,DX69&lt;0,$J69="H"),ROUND(DX69/$L69*$E69,2),0))</f>
        <v>0</v>
      </c>
    </row>
    <row r="70" spans="1:134" x14ac:dyDescent="0.35">
      <c r="A70" s="172"/>
      <c r="B70" s="173"/>
      <c r="C70" s="174"/>
      <c r="D70" s="175"/>
      <c r="E70" s="176"/>
      <c r="F70" s="177"/>
      <c r="G70" s="178"/>
      <c r="H70" s="179"/>
      <c r="I70" s="180"/>
      <c r="J70" s="181"/>
      <c r="K70" s="152">
        <f t="shared" ref="K70:K125" si="338">IF(AND(G70&gt;0,G70&lt;=1,H70=0),1,IF(H70&gt;=1,1,IF(AND(H70&gt;0,H70&lt;1),H70,IF(AND(G70&gt;1,OR(H70=0,H70="")),ROUND(1/G70,4),0))))</f>
        <v>0</v>
      </c>
      <c r="L70" s="153">
        <f t="shared" ref="L70:L125" si="339">IF(AND(E70&gt;0,F70&gt;0,OR(G70&gt;0,H70&gt;0)),ROUND((E70-I70)*K70,2),IF(AND(E70&lt;0,F70&gt;0,OR(G70&gt;0,H70&gt;0)),ROUND(E70*K70,2),0))</f>
        <v>0</v>
      </c>
      <c r="M70" s="154">
        <f t="shared" ref="M70:M125" si="340">IF(AND(E70-O70&gt;=0,F70&gt;0,YEAR(M$4)&gt;=YEAR(F70)),E70-O70,IF(AND(E70-O70&lt;0,F70&gt;0,YEAR(M$4)&gt;=YEAR(F70)),E70-O70,0))</f>
        <v>0</v>
      </c>
      <c r="N70" s="154"/>
      <c r="O70" s="154">
        <f t="shared" ref="O70:O125" si="341">IF(AND(YEAR(F70)&lt;=YEAR(M$4),E70&lt;1000,E70&gt;-1000,F70&gt;0,K70=1),E70-I70,IF(AND(YEAR(F70)&lt;=YEAR(M$4),E70&gt;0,F70&gt;0,K70&gt;0,E70&gt;L70*(YEAR(M$4)-YEAR(F70))+ROUND((L70/12)*(13-MONTH(F70)),2)+I70),L70*(YEAR(M$4)-YEAR(F70))+ROUND((L70/12)*(13-MONTH(F70)),2),IF(AND(YEAR(F70)&lt;=YEAR(M$4),E70&gt;0,F70&gt;0,K70&gt;0,E70&lt;=(L70*(YEAR(M$4)-YEAR(F70)+ROUND((L70/12)*(13-MONTH(F70)),2)))+I70),E70-I70,IF(AND(YEAR(F70)&lt;=YEAR(M$4),E70&lt;0,F70&gt;0,K70&gt;0,E70&lt;L70*(YEAR(M$4)-YEAR(F70))+ROUND((L70/12)*(13-MONTH(F70)),2)+I70),L70*(YEAR(M$4)-YEAR(F70))+ROUND((L70/12)*(13-MONTH(F70)),2),IF(AND(YEAR(F70)&lt;=YEAR(M$4),E70&lt;0,F70&gt;0,K70&gt;0,E70&lt;=(L70*(YEAR(M$4)-YEAR(F70)+ROUND((L70/12)*(13-MONTH(F70)),2)))),E70,0)))))</f>
        <v>0</v>
      </c>
      <c r="P70" s="155"/>
      <c r="Q70" s="154">
        <f t="shared" ref="Q70:Q125" si="342">IF(AND($F70&gt;0,$F70&lt;=O$4),$E70,0)</f>
        <v>0</v>
      </c>
      <c r="R70" s="156">
        <f t="shared" ref="R70:R125" si="343">IF(YEAR($F70)=R$4,$E70,0)</f>
        <v>0</v>
      </c>
      <c r="S70" s="154">
        <f t="shared" ref="S70:S125" si="344">IF($J70&lt;&gt;"H",R70,0)</f>
        <v>0</v>
      </c>
      <c r="T70" s="154">
        <f t="shared" ref="T70:T125" si="345">IF(R70&lt;&gt;0,ROUND(R70*(DAYS360($F70,Z$4)/DAYS360(M$4,Z$4)),2),0)</f>
        <v>0</v>
      </c>
      <c r="U70" s="154">
        <f t="shared" ref="U70:U125" si="346">IF($J70&lt;&gt;"H",T70,0)</f>
        <v>0</v>
      </c>
      <c r="V70" s="154">
        <f t="shared" ref="V70:V125" si="347">IF(AND($F70&gt;0,$F70&lt;=Z$4),$E70,0)</f>
        <v>0</v>
      </c>
      <c r="W70" s="154">
        <f t="shared" ref="W70:W125" si="348">IF(X70&lt;&gt;0,ROUND(X70/$L70*V70,2),0)</f>
        <v>0</v>
      </c>
      <c r="X70" s="154">
        <f t="shared" ref="X70:X125" si="349">IF(AND(YEAR($F70)=YEAR(Z$4),$E70&lt;1000,$E70&gt;-1000,$F70&gt;0,$K70=1),$E70-$I70,IF(AND(YEAR($F70)=YEAR(Z$4),$F70&gt;0,$K70&gt;0),ROUND(($L70/12)*(13-MONTH($F70)),2),IF(AND(YEAR($F70)&lt;YEAR(Z$4),$E70&gt;0,$F70&gt;0,$K70&gt;0,M70&gt;$L70+$I70),$L70,IF(AND(YEAR($F70)&lt;YEAR(Z$4),$E70&gt;0,$F70&gt;0,$K70&gt;0,M70&gt;0,M70&lt;=$L70+$I70),M70-$I70,IF(AND(YEAR($F70)&lt;YEAR(Z$4),$E70&lt;0,$F70&gt;0,$K70&gt;0,M70&lt;0,M70&lt;=$L70),$L70,IF(AND(YEAR($F70)&lt;YEAR(Z$4),$E70&lt;0,$F70&gt;0,$K70&gt;0,M70&lt;0,M70&gt;$L70),M70,0))))))</f>
        <v>0</v>
      </c>
      <c r="Y70" s="154">
        <f t="shared" ref="Y70:Y125" si="350">IF($J70&lt;&gt;"H",X70,0)</f>
        <v>0</v>
      </c>
      <c r="Z70" s="154">
        <f t="shared" ref="Z70:Z125" si="351">IF(AND(YEAR(Z$4)=YEAR($F70),$E70&gt;0,$F70&gt;0,$E70-X70&gt;=0),$E70-X70,IF(AND(YEAR(Z$4)&gt;YEAR($F70),$E70&gt;0,$F70&gt;0,M70-X70&gt;=0),M70-X70,IF(AND(YEAR(Z$4)=YEAR($F70),$E70&lt;0,$F70&gt;0,$E70-X70&lt;0),$E70-X70,IF(AND(YEAR(Z$4)&gt;YEAR($F70),$E70&lt;0,$F70&gt;0,M70-X70&lt;=0),M70-X70,0))))</f>
        <v>0</v>
      </c>
      <c r="AA70" s="154">
        <f t="shared" ref="AA70:AA125" si="352">IF($J70&lt;&gt;"H",Z70,0)</f>
        <v>0</v>
      </c>
      <c r="AB70" s="157">
        <f t="shared" ref="AB70:AB125" si="353">O70+X70</f>
        <v>0</v>
      </c>
      <c r="AC70" s="154">
        <f t="shared" ref="AC70:AC125" si="354">IF(AND(R70&lt;&gt;0,$J70="H",$L70=0),T70,IF(AND(YEAR(Z$4)&gt;YEAR($F70),$J70="H",$F70&gt;0,$L70=0),$E70,0))</f>
        <v>0</v>
      </c>
      <c r="AD70" s="158">
        <f t="shared" ref="AD70:AD125" si="355">IF(AND(YEAR(Z$4)&gt;=YEAR($F70),$E70&gt;0,$F70&gt;0,X70&gt;0,$J70="H"),ROUND(X70/$L70*$E70,2),IF(AND(YEAR(Z$4)&gt;=YEAR($F70),$E70&lt;0,$F70&gt;0,X70&lt;0,$J70="H"),ROUND(X70/$L70*$E70,2),0))</f>
        <v>0</v>
      </c>
      <c r="AE70" s="156">
        <f t="shared" si="280"/>
        <v>0</v>
      </c>
      <c r="AF70" s="154">
        <f t="shared" si="235"/>
        <v>0</v>
      </c>
      <c r="AG70" s="154">
        <f t="shared" si="281"/>
        <v>0</v>
      </c>
      <c r="AH70" s="154">
        <f t="shared" si="236"/>
        <v>0</v>
      </c>
      <c r="AI70" s="154">
        <f t="shared" si="282"/>
        <v>0</v>
      </c>
      <c r="AJ70" s="154">
        <f t="shared" si="237"/>
        <v>0</v>
      </c>
      <c r="AK70" s="154">
        <f t="shared" si="283"/>
        <v>0</v>
      </c>
      <c r="AL70" s="154">
        <f t="shared" si="238"/>
        <v>0</v>
      </c>
      <c r="AM70" s="154">
        <f t="shared" si="284"/>
        <v>0</v>
      </c>
      <c r="AN70" s="154">
        <f t="shared" si="239"/>
        <v>0</v>
      </c>
      <c r="AO70" s="157">
        <f t="shared" si="285"/>
        <v>0</v>
      </c>
      <c r="AP70" s="154">
        <f t="shared" si="286"/>
        <v>0</v>
      </c>
      <c r="AQ70" s="158">
        <f t="shared" si="287"/>
        <v>0</v>
      </c>
      <c r="AR70" s="156">
        <f t="shared" si="280"/>
        <v>0</v>
      </c>
      <c r="AS70" s="154">
        <f t="shared" si="240"/>
        <v>0</v>
      </c>
      <c r="AT70" s="154">
        <f t="shared" si="288"/>
        <v>0</v>
      </c>
      <c r="AU70" s="154">
        <f t="shared" si="241"/>
        <v>0</v>
      </c>
      <c r="AV70" s="154">
        <f t="shared" si="289"/>
        <v>0</v>
      </c>
      <c r="AW70" s="154">
        <f t="shared" si="242"/>
        <v>0</v>
      </c>
      <c r="AX70" s="154">
        <f t="shared" si="290"/>
        <v>0</v>
      </c>
      <c r="AY70" s="154">
        <f t="shared" si="243"/>
        <v>0</v>
      </c>
      <c r="AZ70" s="154">
        <f t="shared" si="291"/>
        <v>0</v>
      </c>
      <c r="BA70" s="154">
        <f t="shared" si="244"/>
        <v>0</v>
      </c>
      <c r="BB70" s="157">
        <f t="shared" si="292"/>
        <v>0</v>
      </c>
      <c r="BC70" s="154">
        <f t="shared" si="293"/>
        <v>0</v>
      </c>
      <c r="BD70" s="158">
        <f t="shared" si="294"/>
        <v>0</v>
      </c>
      <c r="BE70" s="156">
        <f t="shared" si="280"/>
        <v>0</v>
      </c>
      <c r="BF70" s="154">
        <f t="shared" si="245"/>
        <v>0</v>
      </c>
      <c r="BG70" s="154">
        <f t="shared" si="295"/>
        <v>0</v>
      </c>
      <c r="BH70" s="154">
        <f t="shared" si="246"/>
        <v>0</v>
      </c>
      <c r="BI70" s="154">
        <f t="shared" si="296"/>
        <v>0</v>
      </c>
      <c r="BJ70" s="154">
        <f t="shared" si="247"/>
        <v>0</v>
      </c>
      <c r="BK70" s="154">
        <f t="shared" si="297"/>
        <v>0</v>
      </c>
      <c r="BL70" s="154">
        <f t="shared" si="248"/>
        <v>0</v>
      </c>
      <c r="BM70" s="154">
        <f t="shared" si="298"/>
        <v>0</v>
      </c>
      <c r="BN70" s="154">
        <f t="shared" si="249"/>
        <v>0</v>
      </c>
      <c r="BO70" s="157">
        <f t="shared" si="299"/>
        <v>0</v>
      </c>
      <c r="BP70" s="154">
        <f t="shared" si="300"/>
        <v>0</v>
      </c>
      <c r="BQ70" s="158">
        <f t="shared" si="301"/>
        <v>0</v>
      </c>
      <c r="BR70" s="156">
        <f t="shared" si="280"/>
        <v>0</v>
      </c>
      <c r="BS70" s="154">
        <f t="shared" si="250"/>
        <v>0</v>
      </c>
      <c r="BT70" s="154">
        <f t="shared" si="302"/>
        <v>0</v>
      </c>
      <c r="BU70" s="154">
        <f t="shared" si="251"/>
        <v>0</v>
      </c>
      <c r="BV70" s="154">
        <f t="shared" si="303"/>
        <v>0</v>
      </c>
      <c r="BW70" s="154">
        <f t="shared" si="252"/>
        <v>0</v>
      </c>
      <c r="BX70" s="154">
        <f t="shared" si="304"/>
        <v>0</v>
      </c>
      <c r="BY70" s="154">
        <f t="shared" si="253"/>
        <v>0</v>
      </c>
      <c r="BZ70" s="154">
        <f t="shared" si="305"/>
        <v>0</v>
      </c>
      <c r="CA70" s="154">
        <f t="shared" si="254"/>
        <v>0</v>
      </c>
      <c r="CB70" s="157">
        <f t="shared" si="306"/>
        <v>0</v>
      </c>
      <c r="CC70" s="154">
        <f t="shared" si="307"/>
        <v>0</v>
      </c>
      <c r="CD70" s="158">
        <f t="shared" si="308"/>
        <v>0</v>
      </c>
      <c r="CE70" s="156">
        <f t="shared" si="280"/>
        <v>0</v>
      </c>
      <c r="CF70" s="154">
        <f t="shared" si="255"/>
        <v>0</v>
      </c>
      <c r="CG70" s="154">
        <f t="shared" si="309"/>
        <v>0</v>
      </c>
      <c r="CH70" s="154">
        <f t="shared" si="256"/>
        <v>0</v>
      </c>
      <c r="CI70" s="154">
        <f t="shared" si="310"/>
        <v>0</v>
      </c>
      <c r="CJ70" s="154">
        <f t="shared" si="257"/>
        <v>0</v>
      </c>
      <c r="CK70" s="154">
        <f t="shared" si="311"/>
        <v>0</v>
      </c>
      <c r="CL70" s="154">
        <f t="shared" si="258"/>
        <v>0</v>
      </c>
      <c r="CM70" s="154">
        <f t="shared" si="312"/>
        <v>0</v>
      </c>
      <c r="CN70" s="154">
        <f t="shared" si="259"/>
        <v>0</v>
      </c>
      <c r="CO70" s="157">
        <f t="shared" si="313"/>
        <v>0</v>
      </c>
      <c r="CP70" s="154">
        <f t="shared" si="314"/>
        <v>0</v>
      </c>
      <c r="CQ70" s="158">
        <f t="shared" si="315"/>
        <v>0</v>
      </c>
      <c r="CR70" s="156">
        <f t="shared" si="316"/>
        <v>0</v>
      </c>
      <c r="CS70" s="154">
        <f t="shared" si="261"/>
        <v>0</v>
      </c>
      <c r="CT70" s="154">
        <f t="shared" si="317"/>
        <v>0</v>
      </c>
      <c r="CU70" s="154">
        <f t="shared" si="262"/>
        <v>0</v>
      </c>
      <c r="CV70" s="154">
        <f t="shared" si="318"/>
        <v>0</v>
      </c>
      <c r="CW70" s="154">
        <f t="shared" si="263"/>
        <v>0</v>
      </c>
      <c r="CX70" s="154">
        <f t="shared" si="319"/>
        <v>0</v>
      </c>
      <c r="CY70" s="154">
        <f t="shared" si="264"/>
        <v>0</v>
      </c>
      <c r="CZ70" s="154">
        <f t="shared" si="320"/>
        <v>0</v>
      </c>
      <c r="DA70" s="154">
        <f t="shared" si="265"/>
        <v>0</v>
      </c>
      <c r="DB70" s="157">
        <f t="shared" si="321"/>
        <v>0</v>
      </c>
      <c r="DC70" s="154">
        <f t="shared" si="322"/>
        <v>0</v>
      </c>
      <c r="DD70" s="158">
        <f t="shared" si="323"/>
        <v>0</v>
      </c>
      <c r="DE70" s="156">
        <f t="shared" si="316"/>
        <v>0</v>
      </c>
      <c r="DF70" s="154">
        <f t="shared" si="266"/>
        <v>0</v>
      </c>
      <c r="DG70" s="154">
        <f t="shared" si="324"/>
        <v>0</v>
      </c>
      <c r="DH70" s="154">
        <f t="shared" si="267"/>
        <v>0</v>
      </c>
      <c r="DI70" s="154">
        <f t="shared" si="325"/>
        <v>0</v>
      </c>
      <c r="DJ70" s="154">
        <f t="shared" si="268"/>
        <v>0</v>
      </c>
      <c r="DK70" s="154">
        <f t="shared" si="326"/>
        <v>0</v>
      </c>
      <c r="DL70" s="154">
        <f t="shared" si="269"/>
        <v>0</v>
      </c>
      <c r="DM70" s="154">
        <f t="shared" si="327"/>
        <v>0</v>
      </c>
      <c r="DN70" s="154">
        <f t="shared" si="270"/>
        <v>0</v>
      </c>
      <c r="DO70" s="157">
        <f t="shared" si="328"/>
        <v>0</v>
      </c>
      <c r="DP70" s="154">
        <f t="shared" si="329"/>
        <v>0</v>
      </c>
      <c r="DQ70" s="158">
        <f t="shared" si="330"/>
        <v>0</v>
      </c>
      <c r="DR70" s="156">
        <f t="shared" si="316"/>
        <v>0</v>
      </c>
      <c r="DS70" s="154">
        <f t="shared" si="271"/>
        <v>0</v>
      </c>
      <c r="DT70" s="154">
        <f t="shared" si="331"/>
        <v>0</v>
      </c>
      <c r="DU70" s="154">
        <f t="shared" si="272"/>
        <v>0</v>
      </c>
      <c r="DV70" s="154">
        <f t="shared" si="332"/>
        <v>0</v>
      </c>
      <c r="DW70" s="154">
        <f t="shared" si="273"/>
        <v>0</v>
      </c>
      <c r="DX70" s="154">
        <f t="shared" si="333"/>
        <v>0</v>
      </c>
      <c r="DY70" s="154">
        <f t="shared" si="274"/>
        <v>0</v>
      </c>
      <c r="DZ70" s="154">
        <f t="shared" si="334"/>
        <v>0</v>
      </c>
      <c r="EA70" s="154">
        <f t="shared" si="275"/>
        <v>0</v>
      </c>
      <c r="EB70" s="157">
        <f t="shared" si="335"/>
        <v>0</v>
      </c>
      <c r="EC70" s="154">
        <f t="shared" si="336"/>
        <v>0</v>
      </c>
      <c r="ED70" s="158">
        <f t="shared" si="337"/>
        <v>0</v>
      </c>
    </row>
    <row r="71" spans="1:134" x14ac:dyDescent="0.35">
      <c r="A71" s="172"/>
      <c r="B71" s="173"/>
      <c r="C71" s="174"/>
      <c r="D71" s="175"/>
      <c r="E71" s="176"/>
      <c r="F71" s="177"/>
      <c r="G71" s="178"/>
      <c r="H71" s="179"/>
      <c r="I71" s="180"/>
      <c r="J71" s="181"/>
      <c r="K71" s="152">
        <f t="shared" si="338"/>
        <v>0</v>
      </c>
      <c r="L71" s="153">
        <f t="shared" si="339"/>
        <v>0</v>
      </c>
      <c r="M71" s="154">
        <f t="shared" si="340"/>
        <v>0</v>
      </c>
      <c r="N71" s="154"/>
      <c r="O71" s="154">
        <f t="shared" si="341"/>
        <v>0</v>
      </c>
      <c r="P71" s="155"/>
      <c r="Q71" s="154">
        <f t="shared" si="342"/>
        <v>0</v>
      </c>
      <c r="R71" s="156">
        <f t="shared" si="343"/>
        <v>0</v>
      </c>
      <c r="S71" s="154">
        <f t="shared" si="344"/>
        <v>0</v>
      </c>
      <c r="T71" s="154">
        <f t="shared" si="345"/>
        <v>0</v>
      </c>
      <c r="U71" s="154">
        <f t="shared" si="346"/>
        <v>0</v>
      </c>
      <c r="V71" s="154">
        <f t="shared" si="347"/>
        <v>0</v>
      </c>
      <c r="W71" s="154">
        <f t="shared" si="348"/>
        <v>0</v>
      </c>
      <c r="X71" s="154">
        <f t="shared" si="349"/>
        <v>0</v>
      </c>
      <c r="Y71" s="154">
        <f t="shared" si="350"/>
        <v>0</v>
      </c>
      <c r="Z71" s="154">
        <f t="shared" si="351"/>
        <v>0</v>
      </c>
      <c r="AA71" s="154">
        <f t="shared" si="352"/>
        <v>0</v>
      </c>
      <c r="AB71" s="157">
        <f t="shared" si="353"/>
        <v>0</v>
      </c>
      <c r="AC71" s="154">
        <f t="shared" si="354"/>
        <v>0</v>
      </c>
      <c r="AD71" s="158">
        <f t="shared" si="355"/>
        <v>0</v>
      </c>
      <c r="AE71" s="156">
        <f t="shared" si="280"/>
        <v>0</v>
      </c>
      <c r="AF71" s="154">
        <f t="shared" si="235"/>
        <v>0</v>
      </c>
      <c r="AG71" s="154">
        <f t="shared" si="281"/>
        <v>0</v>
      </c>
      <c r="AH71" s="154">
        <f t="shared" si="236"/>
        <v>0</v>
      </c>
      <c r="AI71" s="154">
        <f t="shared" si="282"/>
        <v>0</v>
      </c>
      <c r="AJ71" s="154">
        <f t="shared" si="237"/>
        <v>0</v>
      </c>
      <c r="AK71" s="154">
        <f t="shared" si="283"/>
        <v>0</v>
      </c>
      <c r="AL71" s="154">
        <f t="shared" si="238"/>
        <v>0</v>
      </c>
      <c r="AM71" s="154">
        <f t="shared" si="284"/>
        <v>0</v>
      </c>
      <c r="AN71" s="154">
        <f t="shared" si="239"/>
        <v>0</v>
      </c>
      <c r="AO71" s="157">
        <f t="shared" si="285"/>
        <v>0</v>
      </c>
      <c r="AP71" s="154">
        <f t="shared" si="286"/>
        <v>0</v>
      </c>
      <c r="AQ71" s="158">
        <f t="shared" si="287"/>
        <v>0</v>
      </c>
      <c r="AR71" s="156">
        <f t="shared" si="280"/>
        <v>0</v>
      </c>
      <c r="AS71" s="154">
        <f t="shared" si="240"/>
        <v>0</v>
      </c>
      <c r="AT71" s="154">
        <f t="shared" si="288"/>
        <v>0</v>
      </c>
      <c r="AU71" s="154">
        <f t="shared" si="241"/>
        <v>0</v>
      </c>
      <c r="AV71" s="154">
        <f t="shared" si="289"/>
        <v>0</v>
      </c>
      <c r="AW71" s="154">
        <f t="shared" si="242"/>
        <v>0</v>
      </c>
      <c r="AX71" s="154">
        <f t="shared" si="290"/>
        <v>0</v>
      </c>
      <c r="AY71" s="154">
        <f t="shared" si="243"/>
        <v>0</v>
      </c>
      <c r="AZ71" s="154">
        <f t="shared" si="291"/>
        <v>0</v>
      </c>
      <c r="BA71" s="154">
        <f t="shared" si="244"/>
        <v>0</v>
      </c>
      <c r="BB71" s="157">
        <f t="shared" si="292"/>
        <v>0</v>
      </c>
      <c r="BC71" s="154">
        <f t="shared" si="293"/>
        <v>0</v>
      </c>
      <c r="BD71" s="158">
        <f t="shared" si="294"/>
        <v>0</v>
      </c>
      <c r="BE71" s="156">
        <f t="shared" si="280"/>
        <v>0</v>
      </c>
      <c r="BF71" s="154">
        <f t="shared" si="245"/>
        <v>0</v>
      </c>
      <c r="BG71" s="154">
        <f t="shared" si="295"/>
        <v>0</v>
      </c>
      <c r="BH71" s="154">
        <f t="shared" si="246"/>
        <v>0</v>
      </c>
      <c r="BI71" s="154">
        <f t="shared" si="296"/>
        <v>0</v>
      </c>
      <c r="BJ71" s="154">
        <f t="shared" si="247"/>
        <v>0</v>
      </c>
      <c r="BK71" s="154">
        <f t="shared" si="297"/>
        <v>0</v>
      </c>
      <c r="BL71" s="154">
        <f t="shared" si="248"/>
        <v>0</v>
      </c>
      <c r="BM71" s="154">
        <f t="shared" si="298"/>
        <v>0</v>
      </c>
      <c r="BN71" s="154">
        <f t="shared" si="249"/>
        <v>0</v>
      </c>
      <c r="BO71" s="157">
        <f t="shared" si="299"/>
        <v>0</v>
      </c>
      <c r="BP71" s="154">
        <f t="shared" si="300"/>
        <v>0</v>
      </c>
      <c r="BQ71" s="158">
        <f t="shared" si="301"/>
        <v>0</v>
      </c>
      <c r="BR71" s="156">
        <f t="shared" si="280"/>
        <v>0</v>
      </c>
      <c r="BS71" s="154">
        <f t="shared" si="250"/>
        <v>0</v>
      </c>
      <c r="BT71" s="154">
        <f t="shared" si="302"/>
        <v>0</v>
      </c>
      <c r="BU71" s="154">
        <f t="shared" si="251"/>
        <v>0</v>
      </c>
      <c r="BV71" s="154">
        <f t="shared" si="303"/>
        <v>0</v>
      </c>
      <c r="BW71" s="154">
        <f t="shared" si="252"/>
        <v>0</v>
      </c>
      <c r="BX71" s="154">
        <f t="shared" si="304"/>
        <v>0</v>
      </c>
      <c r="BY71" s="154">
        <f t="shared" si="253"/>
        <v>0</v>
      </c>
      <c r="BZ71" s="154">
        <f t="shared" si="305"/>
        <v>0</v>
      </c>
      <c r="CA71" s="154">
        <f t="shared" si="254"/>
        <v>0</v>
      </c>
      <c r="CB71" s="157">
        <f t="shared" si="306"/>
        <v>0</v>
      </c>
      <c r="CC71" s="154">
        <f t="shared" si="307"/>
        <v>0</v>
      </c>
      <c r="CD71" s="158">
        <f t="shared" si="308"/>
        <v>0</v>
      </c>
      <c r="CE71" s="156">
        <f t="shared" si="280"/>
        <v>0</v>
      </c>
      <c r="CF71" s="154">
        <f t="shared" si="255"/>
        <v>0</v>
      </c>
      <c r="CG71" s="154">
        <f t="shared" si="309"/>
        <v>0</v>
      </c>
      <c r="CH71" s="154">
        <f t="shared" si="256"/>
        <v>0</v>
      </c>
      <c r="CI71" s="154">
        <f t="shared" si="310"/>
        <v>0</v>
      </c>
      <c r="CJ71" s="154">
        <f t="shared" si="257"/>
        <v>0</v>
      </c>
      <c r="CK71" s="154">
        <f t="shared" si="311"/>
        <v>0</v>
      </c>
      <c r="CL71" s="154">
        <f t="shared" si="258"/>
        <v>0</v>
      </c>
      <c r="CM71" s="154">
        <f t="shared" si="312"/>
        <v>0</v>
      </c>
      <c r="CN71" s="154">
        <f t="shared" si="259"/>
        <v>0</v>
      </c>
      <c r="CO71" s="157">
        <f t="shared" si="313"/>
        <v>0</v>
      </c>
      <c r="CP71" s="154">
        <f t="shared" si="314"/>
        <v>0</v>
      </c>
      <c r="CQ71" s="158">
        <f t="shared" si="315"/>
        <v>0</v>
      </c>
      <c r="CR71" s="156">
        <f t="shared" si="316"/>
        <v>0</v>
      </c>
      <c r="CS71" s="154">
        <f t="shared" si="261"/>
        <v>0</v>
      </c>
      <c r="CT71" s="154">
        <f t="shared" si="317"/>
        <v>0</v>
      </c>
      <c r="CU71" s="154">
        <f t="shared" si="262"/>
        <v>0</v>
      </c>
      <c r="CV71" s="154">
        <f t="shared" si="318"/>
        <v>0</v>
      </c>
      <c r="CW71" s="154">
        <f t="shared" si="263"/>
        <v>0</v>
      </c>
      <c r="CX71" s="154">
        <f t="shared" si="319"/>
        <v>0</v>
      </c>
      <c r="CY71" s="154">
        <f t="shared" si="264"/>
        <v>0</v>
      </c>
      <c r="CZ71" s="154">
        <f t="shared" si="320"/>
        <v>0</v>
      </c>
      <c r="DA71" s="154">
        <f t="shared" si="265"/>
        <v>0</v>
      </c>
      <c r="DB71" s="157">
        <f t="shared" si="321"/>
        <v>0</v>
      </c>
      <c r="DC71" s="154">
        <f t="shared" si="322"/>
        <v>0</v>
      </c>
      <c r="DD71" s="158">
        <f t="shared" si="323"/>
        <v>0</v>
      </c>
      <c r="DE71" s="156">
        <f t="shared" si="316"/>
        <v>0</v>
      </c>
      <c r="DF71" s="154">
        <f t="shared" si="266"/>
        <v>0</v>
      </c>
      <c r="DG71" s="154">
        <f t="shared" si="324"/>
        <v>0</v>
      </c>
      <c r="DH71" s="154">
        <f t="shared" si="267"/>
        <v>0</v>
      </c>
      <c r="DI71" s="154">
        <f t="shared" si="325"/>
        <v>0</v>
      </c>
      <c r="DJ71" s="154">
        <f t="shared" si="268"/>
        <v>0</v>
      </c>
      <c r="DK71" s="154">
        <f t="shared" si="326"/>
        <v>0</v>
      </c>
      <c r="DL71" s="154">
        <f t="shared" si="269"/>
        <v>0</v>
      </c>
      <c r="DM71" s="154">
        <f t="shared" si="327"/>
        <v>0</v>
      </c>
      <c r="DN71" s="154">
        <f t="shared" si="270"/>
        <v>0</v>
      </c>
      <c r="DO71" s="157">
        <f t="shared" si="328"/>
        <v>0</v>
      </c>
      <c r="DP71" s="154">
        <f t="shared" si="329"/>
        <v>0</v>
      </c>
      <c r="DQ71" s="158">
        <f t="shared" si="330"/>
        <v>0</v>
      </c>
      <c r="DR71" s="156">
        <f t="shared" si="316"/>
        <v>0</v>
      </c>
      <c r="DS71" s="154">
        <f t="shared" si="271"/>
        <v>0</v>
      </c>
      <c r="DT71" s="154">
        <f t="shared" si="331"/>
        <v>0</v>
      </c>
      <c r="DU71" s="154">
        <f t="shared" si="272"/>
        <v>0</v>
      </c>
      <c r="DV71" s="154">
        <f t="shared" si="332"/>
        <v>0</v>
      </c>
      <c r="DW71" s="154">
        <f t="shared" si="273"/>
        <v>0</v>
      </c>
      <c r="DX71" s="154">
        <f t="shared" si="333"/>
        <v>0</v>
      </c>
      <c r="DY71" s="154">
        <f t="shared" si="274"/>
        <v>0</v>
      </c>
      <c r="DZ71" s="154">
        <f t="shared" si="334"/>
        <v>0</v>
      </c>
      <c r="EA71" s="154">
        <f t="shared" si="275"/>
        <v>0</v>
      </c>
      <c r="EB71" s="157">
        <f t="shared" si="335"/>
        <v>0</v>
      </c>
      <c r="EC71" s="154">
        <f t="shared" si="336"/>
        <v>0</v>
      </c>
      <c r="ED71" s="158">
        <f t="shared" si="337"/>
        <v>0</v>
      </c>
    </row>
    <row r="72" spans="1:134" x14ac:dyDescent="0.35">
      <c r="A72" s="172"/>
      <c r="B72" s="173"/>
      <c r="C72" s="174"/>
      <c r="D72" s="175"/>
      <c r="E72" s="176"/>
      <c r="F72" s="177"/>
      <c r="G72" s="178"/>
      <c r="H72" s="179"/>
      <c r="I72" s="180"/>
      <c r="J72" s="181"/>
      <c r="K72" s="152">
        <f t="shared" si="338"/>
        <v>0</v>
      </c>
      <c r="L72" s="153">
        <f t="shared" si="339"/>
        <v>0</v>
      </c>
      <c r="M72" s="154">
        <f t="shared" si="340"/>
        <v>0</v>
      </c>
      <c r="N72" s="154"/>
      <c r="O72" s="154">
        <f t="shared" si="341"/>
        <v>0</v>
      </c>
      <c r="P72" s="155"/>
      <c r="Q72" s="154">
        <f t="shared" si="342"/>
        <v>0</v>
      </c>
      <c r="R72" s="156">
        <f t="shared" si="343"/>
        <v>0</v>
      </c>
      <c r="S72" s="154">
        <f t="shared" si="344"/>
        <v>0</v>
      </c>
      <c r="T72" s="154">
        <f t="shared" si="345"/>
        <v>0</v>
      </c>
      <c r="U72" s="154">
        <f t="shared" si="346"/>
        <v>0</v>
      </c>
      <c r="V72" s="154">
        <f t="shared" si="347"/>
        <v>0</v>
      </c>
      <c r="W72" s="154">
        <f t="shared" si="348"/>
        <v>0</v>
      </c>
      <c r="X72" s="154">
        <f t="shared" si="349"/>
        <v>0</v>
      </c>
      <c r="Y72" s="154">
        <f t="shared" si="350"/>
        <v>0</v>
      </c>
      <c r="Z72" s="154">
        <f t="shared" si="351"/>
        <v>0</v>
      </c>
      <c r="AA72" s="154">
        <f t="shared" si="352"/>
        <v>0</v>
      </c>
      <c r="AB72" s="157">
        <f t="shared" si="353"/>
        <v>0</v>
      </c>
      <c r="AC72" s="154">
        <f t="shared" si="354"/>
        <v>0</v>
      </c>
      <c r="AD72" s="158">
        <f t="shared" si="355"/>
        <v>0</v>
      </c>
      <c r="AE72" s="156">
        <f t="shared" si="280"/>
        <v>0</v>
      </c>
      <c r="AF72" s="154">
        <f t="shared" si="235"/>
        <v>0</v>
      </c>
      <c r="AG72" s="154">
        <f t="shared" si="281"/>
        <v>0</v>
      </c>
      <c r="AH72" s="154">
        <f t="shared" si="236"/>
        <v>0</v>
      </c>
      <c r="AI72" s="154">
        <f t="shared" si="282"/>
        <v>0</v>
      </c>
      <c r="AJ72" s="154">
        <f t="shared" si="237"/>
        <v>0</v>
      </c>
      <c r="AK72" s="154">
        <f t="shared" si="283"/>
        <v>0</v>
      </c>
      <c r="AL72" s="154">
        <f t="shared" si="238"/>
        <v>0</v>
      </c>
      <c r="AM72" s="154">
        <f t="shared" si="284"/>
        <v>0</v>
      </c>
      <c r="AN72" s="154">
        <f t="shared" si="239"/>
        <v>0</v>
      </c>
      <c r="AO72" s="157">
        <f t="shared" si="285"/>
        <v>0</v>
      </c>
      <c r="AP72" s="154">
        <f t="shared" si="286"/>
        <v>0</v>
      </c>
      <c r="AQ72" s="158">
        <f t="shared" si="287"/>
        <v>0</v>
      </c>
      <c r="AR72" s="156">
        <f t="shared" si="280"/>
        <v>0</v>
      </c>
      <c r="AS72" s="154">
        <f t="shared" si="240"/>
        <v>0</v>
      </c>
      <c r="AT72" s="154">
        <f t="shared" si="288"/>
        <v>0</v>
      </c>
      <c r="AU72" s="154">
        <f t="shared" si="241"/>
        <v>0</v>
      </c>
      <c r="AV72" s="154">
        <f t="shared" si="289"/>
        <v>0</v>
      </c>
      <c r="AW72" s="154">
        <f t="shared" si="242"/>
        <v>0</v>
      </c>
      <c r="AX72" s="154">
        <f t="shared" si="290"/>
        <v>0</v>
      </c>
      <c r="AY72" s="154">
        <f t="shared" si="243"/>
        <v>0</v>
      </c>
      <c r="AZ72" s="154">
        <f t="shared" si="291"/>
        <v>0</v>
      </c>
      <c r="BA72" s="154">
        <f t="shared" si="244"/>
        <v>0</v>
      </c>
      <c r="BB72" s="157">
        <f t="shared" si="292"/>
        <v>0</v>
      </c>
      <c r="BC72" s="154">
        <f t="shared" si="293"/>
        <v>0</v>
      </c>
      <c r="BD72" s="158">
        <f t="shared" si="294"/>
        <v>0</v>
      </c>
      <c r="BE72" s="156">
        <f t="shared" si="280"/>
        <v>0</v>
      </c>
      <c r="BF72" s="154">
        <f t="shared" si="245"/>
        <v>0</v>
      </c>
      <c r="BG72" s="154">
        <f t="shared" si="295"/>
        <v>0</v>
      </c>
      <c r="BH72" s="154">
        <f t="shared" si="246"/>
        <v>0</v>
      </c>
      <c r="BI72" s="154">
        <f t="shared" si="296"/>
        <v>0</v>
      </c>
      <c r="BJ72" s="154">
        <f t="shared" si="247"/>
        <v>0</v>
      </c>
      <c r="BK72" s="154">
        <f t="shared" si="297"/>
        <v>0</v>
      </c>
      <c r="BL72" s="154">
        <f t="shared" si="248"/>
        <v>0</v>
      </c>
      <c r="BM72" s="154">
        <f t="shared" si="298"/>
        <v>0</v>
      </c>
      <c r="BN72" s="154">
        <f t="shared" si="249"/>
        <v>0</v>
      </c>
      <c r="BO72" s="157">
        <f t="shared" si="299"/>
        <v>0</v>
      </c>
      <c r="BP72" s="154">
        <f t="shared" si="300"/>
        <v>0</v>
      </c>
      <c r="BQ72" s="158">
        <f t="shared" si="301"/>
        <v>0</v>
      </c>
      <c r="BR72" s="156">
        <f t="shared" si="280"/>
        <v>0</v>
      </c>
      <c r="BS72" s="154">
        <f t="shared" si="250"/>
        <v>0</v>
      </c>
      <c r="BT72" s="154">
        <f t="shared" si="302"/>
        <v>0</v>
      </c>
      <c r="BU72" s="154">
        <f t="shared" si="251"/>
        <v>0</v>
      </c>
      <c r="BV72" s="154">
        <f t="shared" si="303"/>
        <v>0</v>
      </c>
      <c r="BW72" s="154">
        <f t="shared" si="252"/>
        <v>0</v>
      </c>
      <c r="BX72" s="154">
        <f t="shared" si="304"/>
        <v>0</v>
      </c>
      <c r="BY72" s="154">
        <f t="shared" si="253"/>
        <v>0</v>
      </c>
      <c r="BZ72" s="154">
        <f t="shared" si="305"/>
        <v>0</v>
      </c>
      <c r="CA72" s="154">
        <f t="shared" si="254"/>
        <v>0</v>
      </c>
      <c r="CB72" s="157">
        <f t="shared" si="306"/>
        <v>0</v>
      </c>
      <c r="CC72" s="154">
        <f t="shared" si="307"/>
        <v>0</v>
      </c>
      <c r="CD72" s="158">
        <f t="shared" si="308"/>
        <v>0</v>
      </c>
      <c r="CE72" s="156">
        <f t="shared" si="280"/>
        <v>0</v>
      </c>
      <c r="CF72" s="154">
        <f t="shared" si="255"/>
        <v>0</v>
      </c>
      <c r="CG72" s="154">
        <f t="shared" si="309"/>
        <v>0</v>
      </c>
      <c r="CH72" s="154">
        <f t="shared" si="256"/>
        <v>0</v>
      </c>
      <c r="CI72" s="154">
        <f t="shared" si="310"/>
        <v>0</v>
      </c>
      <c r="CJ72" s="154">
        <f t="shared" si="257"/>
        <v>0</v>
      </c>
      <c r="CK72" s="154">
        <f t="shared" si="311"/>
        <v>0</v>
      </c>
      <c r="CL72" s="154">
        <f t="shared" si="258"/>
        <v>0</v>
      </c>
      <c r="CM72" s="154">
        <f t="shared" si="312"/>
        <v>0</v>
      </c>
      <c r="CN72" s="154">
        <f t="shared" si="259"/>
        <v>0</v>
      </c>
      <c r="CO72" s="157">
        <f t="shared" si="313"/>
        <v>0</v>
      </c>
      <c r="CP72" s="154">
        <f t="shared" si="314"/>
        <v>0</v>
      </c>
      <c r="CQ72" s="158">
        <f t="shared" si="315"/>
        <v>0</v>
      </c>
      <c r="CR72" s="156">
        <f t="shared" si="316"/>
        <v>0</v>
      </c>
      <c r="CS72" s="154">
        <f t="shared" si="261"/>
        <v>0</v>
      </c>
      <c r="CT72" s="154">
        <f t="shared" si="317"/>
        <v>0</v>
      </c>
      <c r="CU72" s="154">
        <f t="shared" si="262"/>
        <v>0</v>
      </c>
      <c r="CV72" s="154">
        <f t="shared" si="318"/>
        <v>0</v>
      </c>
      <c r="CW72" s="154">
        <f t="shared" si="263"/>
        <v>0</v>
      </c>
      <c r="CX72" s="154">
        <f t="shared" si="319"/>
        <v>0</v>
      </c>
      <c r="CY72" s="154">
        <f t="shared" si="264"/>
        <v>0</v>
      </c>
      <c r="CZ72" s="154">
        <f t="shared" si="320"/>
        <v>0</v>
      </c>
      <c r="DA72" s="154">
        <f t="shared" si="265"/>
        <v>0</v>
      </c>
      <c r="DB72" s="157">
        <f t="shared" si="321"/>
        <v>0</v>
      </c>
      <c r="DC72" s="154">
        <f t="shared" si="322"/>
        <v>0</v>
      </c>
      <c r="DD72" s="158">
        <f t="shared" si="323"/>
        <v>0</v>
      </c>
      <c r="DE72" s="156">
        <f t="shared" si="316"/>
        <v>0</v>
      </c>
      <c r="DF72" s="154">
        <f t="shared" si="266"/>
        <v>0</v>
      </c>
      <c r="DG72" s="154">
        <f t="shared" si="324"/>
        <v>0</v>
      </c>
      <c r="DH72" s="154">
        <f t="shared" si="267"/>
        <v>0</v>
      </c>
      <c r="DI72" s="154">
        <f t="shared" si="325"/>
        <v>0</v>
      </c>
      <c r="DJ72" s="154">
        <f t="shared" si="268"/>
        <v>0</v>
      </c>
      <c r="DK72" s="154">
        <f t="shared" si="326"/>
        <v>0</v>
      </c>
      <c r="DL72" s="154">
        <f t="shared" si="269"/>
        <v>0</v>
      </c>
      <c r="DM72" s="154">
        <f t="shared" si="327"/>
        <v>0</v>
      </c>
      <c r="DN72" s="154">
        <f t="shared" si="270"/>
        <v>0</v>
      </c>
      <c r="DO72" s="157">
        <f t="shared" si="328"/>
        <v>0</v>
      </c>
      <c r="DP72" s="154">
        <f t="shared" si="329"/>
        <v>0</v>
      </c>
      <c r="DQ72" s="158">
        <f t="shared" si="330"/>
        <v>0</v>
      </c>
      <c r="DR72" s="156">
        <f t="shared" si="316"/>
        <v>0</v>
      </c>
      <c r="DS72" s="154">
        <f t="shared" si="271"/>
        <v>0</v>
      </c>
      <c r="DT72" s="154">
        <f t="shared" si="331"/>
        <v>0</v>
      </c>
      <c r="DU72" s="154">
        <f t="shared" si="272"/>
        <v>0</v>
      </c>
      <c r="DV72" s="154">
        <f t="shared" si="332"/>
        <v>0</v>
      </c>
      <c r="DW72" s="154">
        <f t="shared" si="273"/>
        <v>0</v>
      </c>
      <c r="DX72" s="154">
        <f t="shared" si="333"/>
        <v>0</v>
      </c>
      <c r="DY72" s="154">
        <f t="shared" si="274"/>
        <v>0</v>
      </c>
      <c r="DZ72" s="154">
        <f t="shared" si="334"/>
        <v>0</v>
      </c>
      <c r="EA72" s="154">
        <f t="shared" si="275"/>
        <v>0</v>
      </c>
      <c r="EB72" s="157">
        <f t="shared" si="335"/>
        <v>0</v>
      </c>
      <c r="EC72" s="154">
        <f t="shared" si="336"/>
        <v>0</v>
      </c>
      <c r="ED72" s="158">
        <f t="shared" si="337"/>
        <v>0</v>
      </c>
    </row>
    <row r="73" spans="1:134" x14ac:dyDescent="0.35">
      <c r="A73" s="172"/>
      <c r="B73" s="173"/>
      <c r="C73" s="174"/>
      <c r="D73" s="175"/>
      <c r="E73" s="176"/>
      <c r="F73" s="177"/>
      <c r="G73" s="178"/>
      <c r="H73" s="179"/>
      <c r="I73" s="180"/>
      <c r="J73" s="181"/>
      <c r="K73" s="152">
        <f t="shared" si="338"/>
        <v>0</v>
      </c>
      <c r="L73" s="153">
        <f t="shared" si="339"/>
        <v>0</v>
      </c>
      <c r="M73" s="154">
        <f t="shared" si="340"/>
        <v>0</v>
      </c>
      <c r="N73" s="154"/>
      <c r="O73" s="154">
        <f t="shared" si="341"/>
        <v>0</v>
      </c>
      <c r="P73" s="155"/>
      <c r="Q73" s="154">
        <f t="shared" si="342"/>
        <v>0</v>
      </c>
      <c r="R73" s="156">
        <f t="shared" si="343"/>
        <v>0</v>
      </c>
      <c r="S73" s="154">
        <f t="shared" si="344"/>
        <v>0</v>
      </c>
      <c r="T73" s="154">
        <f t="shared" si="345"/>
        <v>0</v>
      </c>
      <c r="U73" s="154">
        <f t="shared" si="346"/>
        <v>0</v>
      </c>
      <c r="V73" s="154">
        <f t="shared" si="347"/>
        <v>0</v>
      </c>
      <c r="W73" s="154">
        <f t="shared" si="348"/>
        <v>0</v>
      </c>
      <c r="X73" s="154">
        <f t="shared" si="349"/>
        <v>0</v>
      </c>
      <c r="Y73" s="154">
        <f t="shared" si="350"/>
        <v>0</v>
      </c>
      <c r="Z73" s="154">
        <f t="shared" si="351"/>
        <v>0</v>
      </c>
      <c r="AA73" s="154">
        <f t="shared" si="352"/>
        <v>0</v>
      </c>
      <c r="AB73" s="157">
        <f t="shared" si="353"/>
        <v>0</v>
      </c>
      <c r="AC73" s="154">
        <f t="shared" si="354"/>
        <v>0</v>
      </c>
      <c r="AD73" s="158">
        <f t="shared" si="355"/>
        <v>0</v>
      </c>
      <c r="AE73" s="156">
        <f t="shared" si="280"/>
        <v>0</v>
      </c>
      <c r="AF73" s="154">
        <f t="shared" si="235"/>
        <v>0</v>
      </c>
      <c r="AG73" s="154">
        <f t="shared" si="281"/>
        <v>0</v>
      </c>
      <c r="AH73" s="154">
        <f t="shared" si="236"/>
        <v>0</v>
      </c>
      <c r="AI73" s="154">
        <f t="shared" si="282"/>
        <v>0</v>
      </c>
      <c r="AJ73" s="154">
        <f t="shared" si="237"/>
        <v>0</v>
      </c>
      <c r="AK73" s="154">
        <f t="shared" si="283"/>
        <v>0</v>
      </c>
      <c r="AL73" s="154">
        <f t="shared" si="238"/>
        <v>0</v>
      </c>
      <c r="AM73" s="154">
        <f t="shared" si="284"/>
        <v>0</v>
      </c>
      <c r="AN73" s="154">
        <f t="shared" si="239"/>
        <v>0</v>
      </c>
      <c r="AO73" s="157">
        <f t="shared" si="285"/>
        <v>0</v>
      </c>
      <c r="AP73" s="154">
        <f t="shared" si="286"/>
        <v>0</v>
      </c>
      <c r="AQ73" s="158">
        <f t="shared" si="287"/>
        <v>0</v>
      </c>
      <c r="AR73" s="156">
        <f t="shared" si="280"/>
        <v>0</v>
      </c>
      <c r="AS73" s="154">
        <f t="shared" si="240"/>
        <v>0</v>
      </c>
      <c r="AT73" s="154">
        <f t="shared" si="288"/>
        <v>0</v>
      </c>
      <c r="AU73" s="154">
        <f t="shared" si="241"/>
        <v>0</v>
      </c>
      <c r="AV73" s="154">
        <f t="shared" si="289"/>
        <v>0</v>
      </c>
      <c r="AW73" s="154">
        <f t="shared" si="242"/>
        <v>0</v>
      </c>
      <c r="AX73" s="154">
        <f t="shared" si="290"/>
        <v>0</v>
      </c>
      <c r="AY73" s="154">
        <f t="shared" si="243"/>
        <v>0</v>
      </c>
      <c r="AZ73" s="154">
        <f t="shared" si="291"/>
        <v>0</v>
      </c>
      <c r="BA73" s="154">
        <f t="shared" si="244"/>
        <v>0</v>
      </c>
      <c r="BB73" s="157">
        <f t="shared" si="292"/>
        <v>0</v>
      </c>
      <c r="BC73" s="154">
        <f t="shared" si="293"/>
        <v>0</v>
      </c>
      <c r="BD73" s="158">
        <f t="shared" si="294"/>
        <v>0</v>
      </c>
      <c r="BE73" s="156">
        <f t="shared" si="280"/>
        <v>0</v>
      </c>
      <c r="BF73" s="154">
        <f t="shared" si="245"/>
        <v>0</v>
      </c>
      <c r="BG73" s="154">
        <f t="shared" si="295"/>
        <v>0</v>
      </c>
      <c r="BH73" s="154">
        <f t="shared" si="246"/>
        <v>0</v>
      </c>
      <c r="BI73" s="154">
        <f t="shared" si="296"/>
        <v>0</v>
      </c>
      <c r="BJ73" s="154">
        <f t="shared" si="247"/>
        <v>0</v>
      </c>
      <c r="BK73" s="154">
        <f t="shared" si="297"/>
        <v>0</v>
      </c>
      <c r="BL73" s="154">
        <f t="shared" si="248"/>
        <v>0</v>
      </c>
      <c r="BM73" s="154">
        <f t="shared" si="298"/>
        <v>0</v>
      </c>
      <c r="BN73" s="154">
        <f t="shared" si="249"/>
        <v>0</v>
      </c>
      <c r="BO73" s="157">
        <f t="shared" si="299"/>
        <v>0</v>
      </c>
      <c r="BP73" s="154">
        <f t="shared" si="300"/>
        <v>0</v>
      </c>
      <c r="BQ73" s="158">
        <f t="shared" si="301"/>
        <v>0</v>
      </c>
      <c r="BR73" s="156">
        <f t="shared" si="280"/>
        <v>0</v>
      </c>
      <c r="BS73" s="154">
        <f t="shared" si="250"/>
        <v>0</v>
      </c>
      <c r="BT73" s="154">
        <f t="shared" si="302"/>
        <v>0</v>
      </c>
      <c r="BU73" s="154">
        <f t="shared" si="251"/>
        <v>0</v>
      </c>
      <c r="BV73" s="154">
        <f t="shared" si="303"/>
        <v>0</v>
      </c>
      <c r="BW73" s="154">
        <f t="shared" si="252"/>
        <v>0</v>
      </c>
      <c r="BX73" s="154">
        <f t="shared" si="304"/>
        <v>0</v>
      </c>
      <c r="BY73" s="154">
        <f t="shared" si="253"/>
        <v>0</v>
      </c>
      <c r="BZ73" s="154">
        <f t="shared" si="305"/>
        <v>0</v>
      </c>
      <c r="CA73" s="154">
        <f t="shared" si="254"/>
        <v>0</v>
      </c>
      <c r="CB73" s="157">
        <f t="shared" si="306"/>
        <v>0</v>
      </c>
      <c r="CC73" s="154">
        <f t="shared" si="307"/>
        <v>0</v>
      </c>
      <c r="CD73" s="158">
        <f t="shared" si="308"/>
        <v>0</v>
      </c>
      <c r="CE73" s="156">
        <f t="shared" si="280"/>
        <v>0</v>
      </c>
      <c r="CF73" s="154">
        <f t="shared" si="255"/>
        <v>0</v>
      </c>
      <c r="CG73" s="154">
        <f t="shared" si="309"/>
        <v>0</v>
      </c>
      <c r="CH73" s="154">
        <f t="shared" si="256"/>
        <v>0</v>
      </c>
      <c r="CI73" s="154">
        <f t="shared" si="310"/>
        <v>0</v>
      </c>
      <c r="CJ73" s="154">
        <f t="shared" si="257"/>
        <v>0</v>
      </c>
      <c r="CK73" s="154">
        <f t="shared" si="311"/>
        <v>0</v>
      </c>
      <c r="CL73" s="154">
        <f t="shared" si="258"/>
        <v>0</v>
      </c>
      <c r="CM73" s="154">
        <f t="shared" si="312"/>
        <v>0</v>
      </c>
      <c r="CN73" s="154">
        <f t="shared" si="259"/>
        <v>0</v>
      </c>
      <c r="CO73" s="157">
        <f t="shared" si="313"/>
        <v>0</v>
      </c>
      <c r="CP73" s="154">
        <f t="shared" si="314"/>
        <v>0</v>
      </c>
      <c r="CQ73" s="158">
        <f t="shared" si="315"/>
        <v>0</v>
      </c>
      <c r="CR73" s="156">
        <f t="shared" si="316"/>
        <v>0</v>
      </c>
      <c r="CS73" s="154">
        <f t="shared" si="261"/>
        <v>0</v>
      </c>
      <c r="CT73" s="154">
        <f t="shared" si="317"/>
        <v>0</v>
      </c>
      <c r="CU73" s="154">
        <f t="shared" si="262"/>
        <v>0</v>
      </c>
      <c r="CV73" s="154">
        <f t="shared" si="318"/>
        <v>0</v>
      </c>
      <c r="CW73" s="154">
        <f t="shared" si="263"/>
        <v>0</v>
      </c>
      <c r="CX73" s="154">
        <f t="shared" si="319"/>
        <v>0</v>
      </c>
      <c r="CY73" s="154">
        <f t="shared" si="264"/>
        <v>0</v>
      </c>
      <c r="CZ73" s="154">
        <f t="shared" si="320"/>
        <v>0</v>
      </c>
      <c r="DA73" s="154">
        <f t="shared" si="265"/>
        <v>0</v>
      </c>
      <c r="DB73" s="157">
        <f t="shared" si="321"/>
        <v>0</v>
      </c>
      <c r="DC73" s="154">
        <f t="shared" si="322"/>
        <v>0</v>
      </c>
      <c r="DD73" s="158">
        <f t="shared" si="323"/>
        <v>0</v>
      </c>
      <c r="DE73" s="156">
        <f t="shared" si="316"/>
        <v>0</v>
      </c>
      <c r="DF73" s="154">
        <f t="shared" si="266"/>
        <v>0</v>
      </c>
      <c r="DG73" s="154">
        <f t="shared" si="324"/>
        <v>0</v>
      </c>
      <c r="DH73" s="154">
        <f t="shared" si="267"/>
        <v>0</v>
      </c>
      <c r="DI73" s="154">
        <f t="shared" si="325"/>
        <v>0</v>
      </c>
      <c r="DJ73" s="154">
        <f t="shared" si="268"/>
        <v>0</v>
      </c>
      <c r="DK73" s="154">
        <f t="shared" si="326"/>
        <v>0</v>
      </c>
      <c r="DL73" s="154">
        <f t="shared" si="269"/>
        <v>0</v>
      </c>
      <c r="DM73" s="154">
        <f t="shared" si="327"/>
        <v>0</v>
      </c>
      <c r="DN73" s="154">
        <f t="shared" si="270"/>
        <v>0</v>
      </c>
      <c r="DO73" s="157">
        <f t="shared" si="328"/>
        <v>0</v>
      </c>
      <c r="DP73" s="154">
        <f t="shared" si="329"/>
        <v>0</v>
      </c>
      <c r="DQ73" s="158">
        <f t="shared" si="330"/>
        <v>0</v>
      </c>
      <c r="DR73" s="156">
        <f t="shared" si="316"/>
        <v>0</v>
      </c>
      <c r="DS73" s="154">
        <f t="shared" si="271"/>
        <v>0</v>
      </c>
      <c r="DT73" s="154">
        <f t="shared" si="331"/>
        <v>0</v>
      </c>
      <c r="DU73" s="154">
        <f t="shared" si="272"/>
        <v>0</v>
      </c>
      <c r="DV73" s="154">
        <f t="shared" si="332"/>
        <v>0</v>
      </c>
      <c r="DW73" s="154">
        <f t="shared" si="273"/>
        <v>0</v>
      </c>
      <c r="DX73" s="154">
        <f t="shared" si="333"/>
        <v>0</v>
      </c>
      <c r="DY73" s="154">
        <f t="shared" si="274"/>
        <v>0</v>
      </c>
      <c r="DZ73" s="154">
        <f t="shared" si="334"/>
        <v>0</v>
      </c>
      <c r="EA73" s="154">
        <f t="shared" si="275"/>
        <v>0</v>
      </c>
      <c r="EB73" s="157">
        <f t="shared" si="335"/>
        <v>0</v>
      </c>
      <c r="EC73" s="154">
        <f t="shared" si="336"/>
        <v>0</v>
      </c>
      <c r="ED73" s="158">
        <f t="shared" si="337"/>
        <v>0</v>
      </c>
    </row>
    <row r="74" spans="1:134" x14ac:dyDescent="0.35">
      <c r="A74" s="172"/>
      <c r="B74" s="173"/>
      <c r="C74" s="174"/>
      <c r="D74" s="175"/>
      <c r="E74" s="176"/>
      <c r="F74" s="177"/>
      <c r="G74" s="178"/>
      <c r="H74" s="179"/>
      <c r="I74" s="180"/>
      <c r="J74" s="181"/>
      <c r="K74" s="152">
        <f t="shared" si="338"/>
        <v>0</v>
      </c>
      <c r="L74" s="153">
        <f t="shared" si="339"/>
        <v>0</v>
      </c>
      <c r="M74" s="154">
        <f t="shared" si="340"/>
        <v>0</v>
      </c>
      <c r="N74" s="154"/>
      <c r="O74" s="154">
        <f t="shared" si="341"/>
        <v>0</v>
      </c>
      <c r="P74" s="155"/>
      <c r="Q74" s="154">
        <f t="shared" si="342"/>
        <v>0</v>
      </c>
      <c r="R74" s="156">
        <f t="shared" si="343"/>
        <v>0</v>
      </c>
      <c r="S74" s="154">
        <f t="shared" si="344"/>
        <v>0</v>
      </c>
      <c r="T74" s="154">
        <f t="shared" si="345"/>
        <v>0</v>
      </c>
      <c r="U74" s="154">
        <f t="shared" si="346"/>
        <v>0</v>
      </c>
      <c r="V74" s="154">
        <f t="shared" si="347"/>
        <v>0</v>
      </c>
      <c r="W74" s="154">
        <f t="shared" si="348"/>
        <v>0</v>
      </c>
      <c r="X74" s="154">
        <f t="shared" si="349"/>
        <v>0</v>
      </c>
      <c r="Y74" s="154">
        <f t="shared" si="350"/>
        <v>0</v>
      </c>
      <c r="Z74" s="154">
        <f t="shared" si="351"/>
        <v>0</v>
      </c>
      <c r="AA74" s="154">
        <f t="shared" si="352"/>
        <v>0</v>
      </c>
      <c r="AB74" s="157">
        <f t="shared" si="353"/>
        <v>0</v>
      </c>
      <c r="AC74" s="154">
        <f t="shared" si="354"/>
        <v>0</v>
      </c>
      <c r="AD74" s="158">
        <f t="shared" si="355"/>
        <v>0</v>
      </c>
      <c r="AE74" s="156">
        <f t="shared" si="280"/>
        <v>0</v>
      </c>
      <c r="AF74" s="154">
        <f t="shared" si="235"/>
        <v>0</v>
      </c>
      <c r="AG74" s="154">
        <f t="shared" si="281"/>
        <v>0</v>
      </c>
      <c r="AH74" s="154">
        <f t="shared" si="236"/>
        <v>0</v>
      </c>
      <c r="AI74" s="154">
        <f t="shared" si="282"/>
        <v>0</v>
      </c>
      <c r="AJ74" s="154">
        <f t="shared" si="237"/>
        <v>0</v>
      </c>
      <c r="AK74" s="154">
        <f t="shared" si="283"/>
        <v>0</v>
      </c>
      <c r="AL74" s="154">
        <f t="shared" si="238"/>
        <v>0</v>
      </c>
      <c r="AM74" s="154">
        <f t="shared" si="284"/>
        <v>0</v>
      </c>
      <c r="AN74" s="154">
        <f t="shared" si="239"/>
        <v>0</v>
      </c>
      <c r="AO74" s="157">
        <f t="shared" si="285"/>
        <v>0</v>
      </c>
      <c r="AP74" s="154">
        <f t="shared" si="286"/>
        <v>0</v>
      </c>
      <c r="AQ74" s="158">
        <f t="shared" si="287"/>
        <v>0</v>
      </c>
      <c r="AR74" s="156">
        <f t="shared" si="280"/>
        <v>0</v>
      </c>
      <c r="AS74" s="154">
        <f t="shared" si="240"/>
        <v>0</v>
      </c>
      <c r="AT74" s="154">
        <f t="shared" si="288"/>
        <v>0</v>
      </c>
      <c r="AU74" s="154">
        <f t="shared" si="241"/>
        <v>0</v>
      </c>
      <c r="AV74" s="154">
        <f t="shared" si="289"/>
        <v>0</v>
      </c>
      <c r="AW74" s="154">
        <f t="shared" si="242"/>
        <v>0</v>
      </c>
      <c r="AX74" s="154">
        <f t="shared" si="290"/>
        <v>0</v>
      </c>
      <c r="AY74" s="154">
        <f t="shared" si="243"/>
        <v>0</v>
      </c>
      <c r="AZ74" s="154">
        <f t="shared" si="291"/>
        <v>0</v>
      </c>
      <c r="BA74" s="154">
        <f t="shared" si="244"/>
        <v>0</v>
      </c>
      <c r="BB74" s="157">
        <f t="shared" si="292"/>
        <v>0</v>
      </c>
      <c r="BC74" s="154">
        <f t="shared" si="293"/>
        <v>0</v>
      </c>
      <c r="BD74" s="158">
        <f t="shared" si="294"/>
        <v>0</v>
      </c>
      <c r="BE74" s="156">
        <f t="shared" si="280"/>
        <v>0</v>
      </c>
      <c r="BF74" s="154">
        <f t="shared" si="245"/>
        <v>0</v>
      </c>
      <c r="BG74" s="154">
        <f t="shared" si="295"/>
        <v>0</v>
      </c>
      <c r="BH74" s="154">
        <f t="shared" si="246"/>
        <v>0</v>
      </c>
      <c r="BI74" s="154">
        <f t="shared" si="296"/>
        <v>0</v>
      </c>
      <c r="BJ74" s="154">
        <f t="shared" si="247"/>
        <v>0</v>
      </c>
      <c r="BK74" s="154">
        <f t="shared" si="297"/>
        <v>0</v>
      </c>
      <c r="BL74" s="154">
        <f t="shared" si="248"/>
        <v>0</v>
      </c>
      <c r="BM74" s="154">
        <f t="shared" si="298"/>
        <v>0</v>
      </c>
      <c r="BN74" s="154">
        <f t="shared" si="249"/>
        <v>0</v>
      </c>
      <c r="BO74" s="157">
        <f t="shared" si="299"/>
        <v>0</v>
      </c>
      <c r="BP74" s="154">
        <f t="shared" si="300"/>
        <v>0</v>
      </c>
      <c r="BQ74" s="158">
        <f t="shared" si="301"/>
        <v>0</v>
      </c>
      <c r="BR74" s="156">
        <f t="shared" si="280"/>
        <v>0</v>
      </c>
      <c r="BS74" s="154">
        <f t="shared" si="250"/>
        <v>0</v>
      </c>
      <c r="BT74" s="154">
        <f t="shared" si="302"/>
        <v>0</v>
      </c>
      <c r="BU74" s="154">
        <f t="shared" si="251"/>
        <v>0</v>
      </c>
      <c r="BV74" s="154">
        <f t="shared" si="303"/>
        <v>0</v>
      </c>
      <c r="BW74" s="154">
        <f t="shared" si="252"/>
        <v>0</v>
      </c>
      <c r="BX74" s="154">
        <f t="shared" si="304"/>
        <v>0</v>
      </c>
      <c r="BY74" s="154">
        <f t="shared" si="253"/>
        <v>0</v>
      </c>
      <c r="BZ74" s="154">
        <f t="shared" si="305"/>
        <v>0</v>
      </c>
      <c r="CA74" s="154">
        <f t="shared" si="254"/>
        <v>0</v>
      </c>
      <c r="CB74" s="157">
        <f t="shared" si="306"/>
        <v>0</v>
      </c>
      <c r="CC74" s="154">
        <f t="shared" si="307"/>
        <v>0</v>
      </c>
      <c r="CD74" s="158">
        <f t="shared" si="308"/>
        <v>0</v>
      </c>
      <c r="CE74" s="156">
        <f t="shared" si="280"/>
        <v>0</v>
      </c>
      <c r="CF74" s="154">
        <f t="shared" si="255"/>
        <v>0</v>
      </c>
      <c r="CG74" s="154">
        <f t="shared" si="309"/>
        <v>0</v>
      </c>
      <c r="CH74" s="154">
        <f t="shared" si="256"/>
        <v>0</v>
      </c>
      <c r="CI74" s="154">
        <f t="shared" si="310"/>
        <v>0</v>
      </c>
      <c r="CJ74" s="154">
        <f t="shared" si="257"/>
        <v>0</v>
      </c>
      <c r="CK74" s="154">
        <f t="shared" si="311"/>
        <v>0</v>
      </c>
      <c r="CL74" s="154">
        <f t="shared" si="258"/>
        <v>0</v>
      </c>
      <c r="CM74" s="154">
        <f t="shared" si="312"/>
        <v>0</v>
      </c>
      <c r="CN74" s="154">
        <f t="shared" si="259"/>
        <v>0</v>
      </c>
      <c r="CO74" s="157">
        <f t="shared" si="313"/>
        <v>0</v>
      </c>
      <c r="CP74" s="154">
        <f t="shared" si="314"/>
        <v>0</v>
      </c>
      <c r="CQ74" s="158">
        <f t="shared" si="315"/>
        <v>0</v>
      </c>
      <c r="CR74" s="156">
        <f t="shared" si="316"/>
        <v>0</v>
      </c>
      <c r="CS74" s="154">
        <f t="shared" si="261"/>
        <v>0</v>
      </c>
      <c r="CT74" s="154">
        <f t="shared" si="317"/>
        <v>0</v>
      </c>
      <c r="CU74" s="154">
        <f t="shared" si="262"/>
        <v>0</v>
      </c>
      <c r="CV74" s="154">
        <f t="shared" si="318"/>
        <v>0</v>
      </c>
      <c r="CW74" s="154">
        <f t="shared" si="263"/>
        <v>0</v>
      </c>
      <c r="CX74" s="154">
        <f t="shared" si="319"/>
        <v>0</v>
      </c>
      <c r="CY74" s="154">
        <f t="shared" si="264"/>
        <v>0</v>
      </c>
      <c r="CZ74" s="154">
        <f t="shared" si="320"/>
        <v>0</v>
      </c>
      <c r="DA74" s="154">
        <f t="shared" si="265"/>
        <v>0</v>
      </c>
      <c r="DB74" s="157">
        <f t="shared" si="321"/>
        <v>0</v>
      </c>
      <c r="DC74" s="154">
        <f t="shared" si="322"/>
        <v>0</v>
      </c>
      <c r="DD74" s="158">
        <f t="shared" si="323"/>
        <v>0</v>
      </c>
      <c r="DE74" s="156">
        <f t="shared" si="316"/>
        <v>0</v>
      </c>
      <c r="DF74" s="154">
        <f t="shared" si="266"/>
        <v>0</v>
      </c>
      <c r="DG74" s="154">
        <f t="shared" si="324"/>
        <v>0</v>
      </c>
      <c r="DH74" s="154">
        <f t="shared" si="267"/>
        <v>0</v>
      </c>
      <c r="DI74" s="154">
        <f t="shared" si="325"/>
        <v>0</v>
      </c>
      <c r="DJ74" s="154">
        <f t="shared" si="268"/>
        <v>0</v>
      </c>
      <c r="DK74" s="154">
        <f t="shared" si="326"/>
        <v>0</v>
      </c>
      <c r="DL74" s="154">
        <f t="shared" si="269"/>
        <v>0</v>
      </c>
      <c r="DM74" s="154">
        <f t="shared" si="327"/>
        <v>0</v>
      </c>
      <c r="DN74" s="154">
        <f t="shared" si="270"/>
        <v>0</v>
      </c>
      <c r="DO74" s="157">
        <f t="shared" si="328"/>
        <v>0</v>
      </c>
      <c r="DP74" s="154">
        <f t="shared" si="329"/>
        <v>0</v>
      </c>
      <c r="DQ74" s="158">
        <f t="shared" si="330"/>
        <v>0</v>
      </c>
      <c r="DR74" s="156">
        <f t="shared" si="316"/>
        <v>0</v>
      </c>
      <c r="DS74" s="154">
        <f t="shared" si="271"/>
        <v>0</v>
      </c>
      <c r="DT74" s="154">
        <f t="shared" si="331"/>
        <v>0</v>
      </c>
      <c r="DU74" s="154">
        <f t="shared" si="272"/>
        <v>0</v>
      </c>
      <c r="DV74" s="154">
        <f t="shared" si="332"/>
        <v>0</v>
      </c>
      <c r="DW74" s="154">
        <f t="shared" si="273"/>
        <v>0</v>
      </c>
      <c r="DX74" s="154">
        <f t="shared" si="333"/>
        <v>0</v>
      </c>
      <c r="DY74" s="154">
        <f t="shared" si="274"/>
        <v>0</v>
      </c>
      <c r="DZ74" s="154">
        <f t="shared" si="334"/>
        <v>0</v>
      </c>
      <c r="EA74" s="154">
        <f t="shared" si="275"/>
        <v>0</v>
      </c>
      <c r="EB74" s="157">
        <f t="shared" si="335"/>
        <v>0</v>
      </c>
      <c r="EC74" s="154">
        <f t="shared" si="336"/>
        <v>0</v>
      </c>
      <c r="ED74" s="158">
        <f t="shared" si="337"/>
        <v>0</v>
      </c>
    </row>
    <row r="75" spans="1:134" x14ac:dyDescent="0.35">
      <c r="A75" s="172"/>
      <c r="B75" s="173"/>
      <c r="C75" s="174"/>
      <c r="D75" s="175"/>
      <c r="E75" s="176"/>
      <c r="F75" s="177"/>
      <c r="G75" s="178"/>
      <c r="H75" s="179"/>
      <c r="I75" s="180"/>
      <c r="J75" s="181"/>
      <c r="K75" s="152">
        <f t="shared" si="338"/>
        <v>0</v>
      </c>
      <c r="L75" s="153">
        <f t="shared" si="339"/>
        <v>0</v>
      </c>
      <c r="M75" s="154">
        <f t="shared" si="340"/>
        <v>0</v>
      </c>
      <c r="N75" s="154"/>
      <c r="O75" s="154">
        <f t="shared" si="341"/>
        <v>0</v>
      </c>
      <c r="P75" s="155"/>
      <c r="Q75" s="154">
        <f t="shared" si="342"/>
        <v>0</v>
      </c>
      <c r="R75" s="156">
        <f t="shared" si="343"/>
        <v>0</v>
      </c>
      <c r="S75" s="154">
        <f t="shared" si="344"/>
        <v>0</v>
      </c>
      <c r="T75" s="154">
        <f t="shared" si="345"/>
        <v>0</v>
      </c>
      <c r="U75" s="154">
        <f t="shared" si="346"/>
        <v>0</v>
      </c>
      <c r="V75" s="154">
        <f t="shared" si="347"/>
        <v>0</v>
      </c>
      <c r="W75" s="154">
        <f t="shared" si="348"/>
        <v>0</v>
      </c>
      <c r="X75" s="154">
        <f t="shared" si="349"/>
        <v>0</v>
      </c>
      <c r="Y75" s="154">
        <f t="shared" si="350"/>
        <v>0</v>
      </c>
      <c r="Z75" s="154">
        <f t="shared" si="351"/>
        <v>0</v>
      </c>
      <c r="AA75" s="154">
        <f t="shared" si="352"/>
        <v>0</v>
      </c>
      <c r="AB75" s="157">
        <f t="shared" si="353"/>
        <v>0</v>
      </c>
      <c r="AC75" s="154">
        <f t="shared" si="354"/>
        <v>0</v>
      </c>
      <c r="AD75" s="158">
        <f t="shared" si="355"/>
        <v>0</v>
      </c>
      <c r="AE75" s="156">
        <f t="shared" si="280"/>
        <v>0</v>
      </c>
      <c r="AF75" s="154">
        <f t="shared" si="235"/>
        <v>0</v>
      </c>
      <c r="AG75" s="154">
        <f t="shared" si="281"/>
        <v>0</v>
      </c>
      <c r="AH75" s="154">
        <f t="shared" si="236"/>
        <v>0</v>
      </c>
      <c r="AI75" s="154">
        <f t="shared" si="282"/>
        <v>0</v>
      </c>
      <c r="AJ75" s="154">
        <f t="shared" si="237"/>
        <v>0</v>
      </c>
      <c r="AK75" s="154">
        <f t="shared" si="283"/>
        <v>0</v>
      </c>
      <c r="AL75" s="154">
        <f t="shared" si="238"/>
        <v>0</v>
      </c>
      <c r="AM75" s="154">
        <f t="shared" si="284"/>
        <v>0</v>
      </c>
      <c r="AN75" s="154">
        <f t="shared" si="239"/>
        <v>0</v>
      </c>
      <c r="AO75" s="157">
        <f t="shared" si="285"/>
        <v>0</v>
      </c>
      <c r="AP75" s="154">
        <f t="shared" si="286"/>
        <v>0</v>
      </c>
      <c r="AQ75" s="158">
        <f t="shared" si="287"/>
        <v>0</v>
      </c>
      <c r="AR75" s="156">
        <f t="shared" si="280"/>
        <v>0</v>
      </c>
      <c r="AS75" s="154">
        <f t="shared" si="240"/>
        <v>0</v>
      </c>
      <c r="AT75" s="154">
        <f t="shared" si="288"/>
        <v>0</v>
      </c>
      <c r="AU75" s="154">
        <f t="shared" si="241"/>
        <v>0</v>
      </c>
      <c r="AV75" s="154">
        <f t="shared" si="289"/>
        <v>0</v>
      </c>
      <c r="AW75" s="154">
        <f t="shared" si="242"/>
        <v>0</v>
      </c>
      <c r="AX75" s="154">
        <f t="shared" si="290"/>
        <v>0</v>
      </c>
      <c r="AY75" s="154">
        <f t="shared" si="243"/>
        <v>0</v>
      </c>
      <c r="AZ75" s="154">
        <f t="shared" si="291"/>
        <v>0</v>
      </c>
      <c r="BA75" s="154">
        <f t="shared" si="244"/>
        <v>0</v>
      </c>
      <c r="BB75" s="157">
        <f t="shared" si="292"/>
        <v>0</v>
      </c>
      <c r="BC75" s="154">
        <f t="shared" si="293"/>
        <v>0</v>
      </c>
      <c r="BD75" s="158">
        <f t="shared" si="294"/>
        <v>0</v>
      </c>
      <c r="BE75" s="156">
        <f t="shared" si="280"/>
        <v>0</v>
      </c>
      <c r="BF75" s="154">
        <f t="shared" si="245"/>
        <v>0</v>
      </c>
      <c r="BG75" s="154">
        <f t="shared" si="295"/>
        <v>0</v>
      </c>
      <c r="BH75" s="154">
        <f t="shared" si="246"/>
        <v>0</v>
      </c>
      <c r="BI75" s="154">
        <f t="shared" si="296"/>
        <v>0</v>
      </c>
      <c r="BJ75" s="154">
        <f t="shared" si="247"/>
        <v>0</v>
      </c>
      <c r="BK75" s="154">
        <f t="shared" si="297"/>
        <v>0</v>
      </c>
      <c r="BL75" s="154">
        <f t="shared" si="248"/>
        <v>0</v>
      </c>
      <c r="BM75" s="154">
        <f t="shared" si="298"/>
        <v>0</v>
      </c>
      <c r="BN75" s="154">
        <f t="shared" si="249"/>
        <v>0</v>
      </c>
      <c r="BO75" s="157">
        <f t="shared" si="299"/>
        <v>0</v>
      </c>
      <c r="BP75" s="154">
        <f t="shared" si="300"/>
        <v>0</v>
      </c>
      <c r="BQ75" s="158">
        <f t="shared" si="301"/>
        <v>0</v>
      </c>
      <c r="BR75" s="156">
        <f t="shared" si="280"/>
        <v>0</v>
      </c>
      <c r="BS75" s="154">
        <f t="shared" si="250"/>
        <v>0</v>
      </c>
      <c r="BT75" s="154">
        <f t="shared" si="302"/>
        <v>0</v>
      </c>
      <c r="BU75" s="154">
        <f t="shared" si="251"/>
        <v>0</v>
      </c>
      <c r="BV75" s="154">
        <f t="shared" si="303"/>
        <v>0</v>
      </c>
      <c r="BW75" s="154">
        <f t="shared" si="252"/>
        <v>0</v>
      </c>
      <c r="BX75" s="154">
        <f t="shared" si="304"/>
        <v>0</v>
      </c>
      <c r="BY75" s="154">
        <f t="shared" si="253"/>
        <v>0</v>
      </c>
      <c r="BZ75" s="154">
        <f t="shared" si="305"/>
        <v>0</v>
      </c>
      <c r="CA75" s="154">
        <f t="shared" si="254"/>
        <v>0</v>
      </c>
      <c r="CB75" s="157">
        <f t="shared" si="306"/>
        <v>0</v>
      </c>
      <c r="CC75" s="154">
        <f t="shared" si="307"/>
        <v>0</v>
      </c>
      <c r="CD75" s="158">
        <f t="shared" si="308"/>
        <v>0</v>
      </c>
      <c r="CE75" s="156">
        <f t="shared" si="280"/>
        <v>0</v>
      </c>
      <c r="CF75" s="154">
        <f t="shared" si="255"/>
        <v>0</v>
      </c>
      <c r="CG75" s="154">
        <f t="shared" si="309"/>
        <v>0</v>
      </c>
      <c r="CH75" s="154">
        <f t="shared" si="256"/>
        <v>0</v>
      </c>
      <c r="CI75" s="154">
        <f t="shared" si="310"/>
        <v>0</v>
      </c>
      <c r="CJ75" s="154">
        <f t="shared" si="257"/>
        <v>0</v>
      </c>
      <c r="CK75" s="154">
        <f t="shared" si="311"/>
        <v>0</v>
      </c>
      <c r="CL75" s="154">
        <f t="shared" si="258"/>
        <v>0</v>
      </c>
      <c r="CM75" s="154">
        <f t="shared" si="312"/>
        <v>0</v>
      </c>
      <c r="CN75" s="154">
        <f t="shared" si="259"/>
        <v>0</v>
      </c>
      <c r="CO75" s="157">
        <f t="shared" si="313"/>
        <v>0</v>
      </c>
      <c r="CP75" s="154">
        <f t="shared" si="314"/>
        <v>0</v>
      </c>
      <c r="CQ75" s="158">
        <f t="shared" si="315"/>
        <v>0</v>
      </c>
      <c r="CR75" s="156">
        <f t="shared" si="316"/>
        <v>0</v>
      </c>
      <c r="CS75" s="154">
        <f t="shared" si="261"/>
        <v>0</v>
      </c>
      <c r="CT75" s="154">
        <f t="shared" si="317"/>
        <v>0</v>
      </c>
      <c r="CU75" s="154">
        <f t="shared" si="262"/>
        <v>0</v>
      </c>
      <c r="CV75" s="154">
        <f t="shared" si="318"/>
        <v>0</v>
      </c>
      <c r="CW75" s="154">
        <f t="shared" si="263"/>
        <v>0</v>
      </c>
      <c r="CX75" s="154">
        <f t="shared" si="319"/>
        <v>0</v>
      </c>
      <c r="CY75" s="154">
        <f t="shared" si="264"/>
        <v>0</v>
      </c>
      <c r="CZ75" s="154">
        <f t="shared" si="320"/>
        <v>0</v>
      </c>
      <c r="DA75" s="154">
        <f t="shared" si="265"/>
        <v>0</v>
      </c>
      <c r="DB75" s="157">
        <f t="shared" si="321"/>
        <v>0</v>
      </c>
      <c r="DC75" s="154">
        <f t="shared" si="322"/>
        <v>0</v>
      </c>
      <c r="DD75" s="158">
        <f t="shared" si="323"/>
        <v>0</v>
      </c>
      <c r="DE75" s="156">
        <f t="shared" si="316"/>
        <v>0</v>
      </c>
      <c r="DF75" s="154">
        <f t="shared" si="266"/>
        <v>0</v>
      </c>
      <c r="DG75" s="154">
        <f t="shared" si="324"/>
        <v>0</v>
      </c>
      <c r="DH75" s="154">
        <f t="shared" si="267"/>
        <v>0</v>
      </c>
      <c r="DI75" s="154">
        <f t="shared" si="325"/>
        <v>0</v>
      </c>
      <c r="DJ75" s="154">
        <f t="shared" si="268"/>
        <v>0</v>
      </c>
      <c r="DK75" s="154">
        <f t="shared" si="326"/>
        <v>0</v>
      </c>
      <c r="DL75" s="154">
        <f t="shared" si="269"/>
        <v>0</v>
      </c>
      <c r="DM75" s="154">
        <f t="shared" si="327"/>
        <v>0</v>
      </c>
      <c r="DN75" s="154">
        <f t="shared" si="270"/>
        <v>0</v>
      </c>
      <c r="DO75" s="157">
        <f t="shared" si="328"/>
        <v>0</v>
      </c>
      <c r="DP75" s="154">
        <f t="shared" si="329"/>
        <v>0</v>
      </c>
      <c r="DQ75" s="158">
        <f t="shared" si="330"/>
        <v>0</v>
      </c>
      <c r="DR75" s="156">
        <f t="shared" si="316"/>
        <v>0</v>
      </c>
      <c r="DS75" s="154">
        <f t="shared" si="271"/>
        <v>0</v>
      </c>
      <c r="DT75" s="154">
        <f t="shared" si="331"/>
        <v>0</v>
      </c>
      <c r="DU75" s="154">
        <f t="shared" si="272"/>
        <v>0</v>
      </c>
      <c r="DV75" s="154">
        <f t="shared" si="332"/>
        <v>0</v>
      </c>
      <c r="DW75" s="154">
        <f t="shared" si="273"/>
        <v>0</v>
      </c>
      <c r="DX75" s="154">
        <f t="shared" si="333"/>
        <v>0</v>
      </c>
      <c r="DY75" s="154">
        <f t="shared" si="274"/>
        <v>0</v>
      </c>
      <c r="DZ75" s="154">
        <f t="shared" si="334"/>
        <v>0</v>
      </c>
      <c r="EA75" s="154">
        <f t="shared" si="275"/>
        <v>0</v>
      </c>
      <c r="EB75" s="157">
        <f t="shared" si="335"/>
        <v>0</v>
      </c>
      <c r="EC75" s="154">
        <f t="shared" si="336"/>
        <v>0</v>
      </c>
      <c r="ED75" s="158">
        <f t="shared" si="337"/>
        <v>0</v>
      </c>
    </row>
    <row r="76" spans="1:134" x14ac:dyDescent="0.35">
      <c r="A76" s="172"/>
      <c r="B76" s="173"/>
      <c r="C76" s="174"/>
      <c r="D76" s="175"/>
      <c r="E76" s="176"/>
      <c r="F76" s="177"/>
      <c r="G76" s="178"/>
      <c r="H76" s="179"/>
      <c r="I76" s="180"/>
      <c r="J76" s="181"/>
      <c r="K76" s="152">
        <f t="shared" si="338"/>
        <v>0</v>
      </c>
      <c r="L76" s="153">
        <f t="shared" si="339"/>
        <v>0</v>
      </c>
      <c r="M76" s="154">
        <f t="shared" si="340"/>
        <v>0</v>
      </c>
      <c r="N76" s="154"/>
      <c r="O76" s="154">
        <f t="shared" si="341"/>
        <v>0</v>
      </c>
      <c r="P76" s="155"/>
      <c r="Q76" s="154">
        <f t="shared" si="342"/>
        <v>0</v>
      </c>
      <c r="R76" s="156">
        <f t="shared" si="343"/>
        <v>0</v>
      </c>
      <c r="S76" s="154">
        <f t="shared" si="344"/>
        <v>0</v>
      </c>
      <c r="T76" s="154">
        <f t="shared" si="345"/>
        <v>0</v>
      </c>
      <c r="U76" s="154">
        <f t="shared" si="346"/>
        <v>0</v>
      </c>
      <c r="V76" s="154">
        <f t="shared" si="347"/>
        <v>0</v>
      </c>
      <c r="W76" s="154">
        <f t="shared" si="348"/>
        <v>0</v>
      </c>
      <c r="X76" s="154">
        <f t="shared" si="349"/>
        <v>0</v>
      </c>
      <c r="Y76" s="154">
        <f t="shared" si="350"/>
        <v>0</v>
      </c>
      <c r="Z76" s="154">
        <f t="shared" si="351"/>
        <v>0</v>
      </c>
      <c r="AA76" s="154">
        <f t="shared" si="352"/>
        <v>0</v>
      </c>
      <c r="AB76" s="157">
        <f t="shared" si="353"/>
        <v>0</v>
      </c>
      <c r="AC76" s="154">
        <f t="shared" si="354"/>
        <v>0</v>
      </c>
      <c r="AD76" s="158">
        <f t="shared" si="355"/>
        <v>0</v>
      </c>
      <c r="AE76" s="156">
        <f t="shared" si="280"/>
        <v>0</v>
      </c>
      <c r="AF76" s="154">
        <f t="shared" si="235"/>
        <v>0</v>
      </c>
      <c r="AG76" s="154">
        <f t="shared" si="281"/>
        <v>0</v>
      </c>
      <c r="AH76" s="154">
        <f t="shared" si="236"/>
        <v>0</v>
      </c>
      <c r="AI76" s="154">
        <f t="shared" si="282"/>
        <v>0</v>
      </c>
      <c r="AJ76" s="154">
        <f t="shared" si="237"/>
        <v>0</v>
      </c>
      <c r="AK76" s="154">
        <f t="shared" si="283"/>
        <v>0</v>
      </c>
      <c r="AL76" s="154">
        <f t="shared" si="238"/>
        <v>0</v>
      </c>
      <c r="AM76" s="154">
        <f t="shared" si="284"/>
        <v>0</v>
      </c>
      <c r="AN76" s="154">
        <f t="shared" si="239"/>
        <v>0</v>
      </c>
      <c r="AO76" s="157">
        <f t="shared" si="285"/>
        <v>0</v>
      </c>
      <c r="AP76" s="154">
        <f t="shared" si="286"/>
        <v>0</v>
      </c>
      <c r="AQ76" s="158">
        <f t="shared" si="287"/>
        <v>0</v>
      </c>
      <c r="AR76" s="156">
        <f t="shared" si="280"/>
        <v>0</v>
      </c>
      <c r="AS76" s="154">
        <f t="shared" si="240"/>
        <v>0</v>
      </c>
      <c r="AT76" s="154">
        <f t="shared" si="288"/>
        <v>0</v>
      </c>
      <c r="AU76" s="154">
        <f t="shared" si="241"/>
        <v>0</v>
      </c>
      <c r="AV76" s="154">
        <f t="shared" si="289"/>
        <v>0</v>
      </c>
      <c r="AW76" s="154">
        <f t="shared" si="242"/>
        <v>0</v>
      </c>
      <c r="AX76" s="154">
        <f t="shared" si="290"/>
        <v>0</v>
      </c>
      <c r="AY76" s="154">
        <f t="shared" si="243"/>
        <v>0</v>
      </c>
      <c r="AZ76" s="154">
        <f t="shared" si="291"/>
        <v>0</v>
      </c>
      <c r="BA76" s="154">
        <f t="shared" si="244"/>
        <v>0</v>
      </c>
      <c r="BB76" s="157">
        <f t="shared" si="292"/>
        <v>0</v>
      </c>
      <c r="BC76" s="154">
        <f t="shared" si="293"/>
        <v>0</v>
      </c>
      <c r="BD76" s="158">
        <f t="shared" si="294"/>
        <v>0</v>
      </c>
      <c r="BE76" s="156">
        <f t="shared" si="280"/>
        <v>0</v>
      </c>
      <c r="BF76" s="154">
        <f t="shared" si="245"/>
        <v>0</v>
      </c>
      <c r="BG76" s="154">
        <f t="shared" si="295"/>
        <v>0</v>
      </c>
      <c r="BH76" s="154">
        <f t="shared" si="246"/>
        <v>0</v>
      </c>
      <c r="BI76" s="154">
        <f t="shared" si="296"/>
        <v>0</v>
      </c>
      <c r="BJ76" s="154">
        <f t="shared" si="247"/>
        <v>0</v>
      </c>
      <c r="BK76" s="154">
        <f t="shared" si="297"/>
        <v>0</v>
      </c>
      <c r="BL76" s="154">
        <f t="shared" si="248"/>
        <v>0</v>
      </c>
      <c r="BM76" s="154">
        <f t="shared" si="298"/>
        <v>0</v>
      </c>
      <c r="BN76" s="154">
        <f t="shared" si="249"/>
        <v>0</v>
      </c>
      <c r="BO76" s="157">
        <f t="shared" si="299"/>
        <v>0</v>
      </c>
      <c r="BP76" s="154">
        <f t="shared" si="300"/>
        <v>0</v>
      </c>
      <c r="BQ76" s="158">
        <f t="shared" si="301"/>
        <v>0</v>
      </c>
      <c r="BR76" s="156">
        <f t="shared" si="280"/>
        <v>0</v>
      </c>
      <c r="BS76" s="154">
        <f t="shared" si="250"/>
        <v>0</v>
      </c>
      <c r="BT76" s="154">
        <f t="shared" si="302"/>
        <v>0</v>
      </c>
      <c r="BU76" s="154">
        <f t="shared" si="251"/>
        <v>0</v>
      </c>
      <c r="BV76" s="154">
        <f t="shared" si="303"/>
        <v>0</v>
      </c>
      <c r="BW76" s="154">
        <f t="shared" si="252"/>
        <v>0</v>
      </c>
      <c r="BX76" s="154">
        <f t="shared" si="304"/>
        <v>0</v>
      </c>
      <c r="BY76" s="154">
        <f t="shared" si="253"/>
        <v>0</v>
      </c>
      <c r="BZ76" s="154">
        <f t="shared" si="305"/>
        <v>0</v>
      </c>
      <c r="CA76" s="154">
        <f t="shared" si="254"/>
        <v>0</v>
      </c>
      <c r="CB76" s="157">
        <f t="shared" si="306"/>
        <v>0</v>
      </c>
      <c r="CC76" s="154">
        <f t="shared" si="307"/>
        <v>0</v>
      </c>
      <c r="CD76" s="158">
        <f t="shared" si="308"/>
        <v>0</v>
      </c>
      <c r="CE76" s="156">
        <f t="shared" si="280"/>
        <v>0</v>
      </c>
      <c r="CF76" s="154">
        <f t="shared" si="255"/>
        <v>0</v>
      </c>
      <c r="CG76" s="154">
        <f t="shared" si="309"/>
        <v>0</v>
      </c>
      <c r="CH76" s="154">
        <f t="shared" si="256"/>
        <v>0</v>
      </c>
      <c r="CI76" s="154">
        <f t="shared" si="310"/>
        <v>0</v>
      </c>
      <c r="CJ76" s="154">
        <f t="shared" si="257"/>
        <v>0</v>
      </c>
      <c r="CK76" s="154">
        <f t="shared" si="311"/>
        <v>0</v>
      </c>
      <c r="CL76" s="154">
        <f t="shared" si="258"/>
        <v>0</v>
      </c>
      <c r="CM76" s="154">
        <f t="shared" si="312"/>
        <v>0</v>
      </c>
      <c r="CN76" s="154">
        <f t="shared" si="259"/>
        <v>0</v>
      </c>
      <c r="CO76" s="157">
        <f t="shared" si="313"/>
        <v>0</v>
      </c>
      <c r="CP76" s="154">
        <f t="shared" si="314"/>
        <v>0</v>
      </c>
      <c r="CQ76" s="158">
        <f t="shared" si="315"/>
        <v>0</v>
      </c>
      <c r="CR76" s="156">
        <f t="shared" si="316"/>
        <v>0</v>
      </c>
      <c r="CS76" s="154">
        <f t="shared" si="261"/>
        <v>0</v>
      </c>
      <c r="CT76" s="154">
        <f t="shared" si="317"/>
        <v>0</v>
      </c>
      <c r="CU76" s="154">
        <f t="shared" si="262"/>
        <v>0</v>
      </c>
      <c r="CV76" s="154">
        <f t="shared" si="318"/>
        <v>0</v>
      </c>
      <c r="CW76" s="154">
        <f t="shared" si="263"/>
        <v>0</v>
      </c>
      <c r="CX76" s="154">
        <f t="shared" si="319"/>
        <v>0</v>
      </c>
      <c r="CY76" s="154">
        <f t="shared" si="264"/>
        <v>0</v>
      </c>
      <c r="CZ76" s="154">
        <f t="shared" si="320"/>
        <v>0</v>
      </c>
      <c r="DA76" s="154">
        <f t="shared" si="265"/>
        <v>0</v>
      </c>
      <c r="DB76" s="157">
        <f t="shared" si="321"/>
        <v>0</v>
      </c>
      <c r="DC76" s="154">
        <f t="shared" si="322"/>
        <v>0</v>
      </c>
      <c r="DD76" s="158">
        <f t="shared" si="323"/>
        <v>0</v>
      </c>
      <c r="DE76" s="156">
        <f t="shared" si="316"/>
        <v>0</v>
      </c>
      <c r="DF76" s="154">
        <f t="shared" si="266"/>
        <v>0</v>
      </c>
      <c r="DG76" s="154">
        <f t="shared" si="324"/>
        <v>0</v>
      </c>
      <c r="DH76" s="154">
        <f t="shared" si="267"/>
        <v>0</v>
      </c>
      <c r="DI76" s="154">
        <f t="shared" si="325"/>
        <v>0</v>
      </c>
      <c r="DJ76" s="154">
        <f t="shared" si="268"/>
        <v>0</v>
      </c>
      <c r="DK76" s="154">
        <f t="shared" si="326"/>
        <v>0</v>
      </c>
      <c r="DL76" s="154">
        <f t="shared" si="269"/>
        <v>0</v>
      </c>
      <c r="DM76" s="154">
        <f t="shared" si="327"/>
        <v>0</v>
      </c>
      <c r="DN76" s="154">
        <f t="shared" si="270"/>
        <v>0</v>
      </c>
      <c r="DO76" s="157">
        <f t="shared" si="328"/>
        <v>0</v>
      </c>
      <c r="DP76" s="154">
        <f t="shared" si="329"/>
        <v>0</v>
      </c>
      <c r="DQ76" s="158">
        <f t="shared" si="330"/>
        <v>0</v>
      </c>
      <c r="DR76" s="156">
        <f t="shared" si="316"/>
        <v>0</v>
      </c>
      <c r="DS76" s="154">
        <f t="shared" si="271"/>
        <v>0</v>
      </c>
      <c r="DT76" s="154">
        <f t="shared" si="331"/>
        <v>0</v>
      </c>
      <c r="DU76" s="154">
        <f t="shared" si="272"/>
        <v>0</v>
      </c>
      <c r="DV76" s="154">
        <f t="shared" si="332"/>
        <v>0</v>
      </c>
      <c r="DW76" s="154">
        <f t="shared" si="273"/>
        <v>0</v>
      </c>
      <c r="DX76" s="154">
        <f t="shared" si="333"/>
        <v>0</v>
      </c>
      <c r="DY76" s="154">
        <f t="shared" si="274"/>
        <v>0</v>
      </c>
      <c r="DZ76" s="154">
        <f t="shared" si="334"/>
        <v>0</v>
      </c>
      <c r="EA76" s="154">
        <f t="shared" si="275"/>
        <v>0</v>
      </c>
      <c r="EB76" s="157">
        <f t="shared" si="335"/>
        <v>0</v>
      </c>
      <c r="EC76" s="154">
        <f t="shared" si="336"/>
        <v>0</v>
      </c>
      <c r="ED76" s="158">
        <f t="shared" si="337"/>
        <v>0</v>
      </c>
    </row>
    <row r="77" spans="1:134" x14ac:dyDescent="0.35">
      <c r="A77" s="172"/>
      <c r="B77" s="173"/>
      <c r="C77" s="174"/>
      <c r="D77" s="175"/>
      <c r="E77" s="176"/>
      <c r="F77" s="177"/>
      <c r="G77" s="178"/>
      <c r="H77" s="179"/>
      <c r="I77" s="180"/>
      <c r="J77" s="181"/>
      <c r="K77" s="152">
        <f t="shared" si="338"/>
        <v>0</v>
      </c>
      <c r="L77" s="153">
        <f t="shared" si="339"/>
        <v>0</v>
      </c>
      <c r="M77" s="154">
        <f t="shared" si="340"/>
        <v>0</v>
      </c>
      <c r="N77" s="154"/>
      <c r="O77" s="154">
        <f t="shared" si="341"/>
        <v>0</v>
      </c>
      <c r="P77" s="155"/>
      <c r="Q77" s="154">
        <f t="shared" si="342"/>
        <v>0</v>
      </c>
      <c r="R77" s="156">
        <f t="shared" si="343"/>
        <v>0</v>
      </c>
      <c r="S77" s="154">
        <f t="shared" si="344"/>
        <v>0</v>
      </c>
      <c r="T77" s="154">
        <f t="shared" si="345"/>
        <v>0</v>
      </c>
      <c r="U77" s="154">
        <f t="shared" si="346"/>
        <v>0</v>
      </c>
      <c r="V77" s="154">
        <f t="shared" si="347"/>
        <v>0</v>
      </c>
      <c r="W77" s="154">
        <f t="shared" si="348"/>
        <v>0</v>
      </c>
      <c r="X77" s="154">
        <f t="shared" si="349"/>
        <v>0</v>
      </c>
      <c r="Y77" s="154">
        <f t="shared" si="350"/>
        <v>0</v>
      </c>
      <c r="Z77" s="154">
        <f t="shared" si="351"/>
        <v>0</v>
      </c>
      <c r="AA77" s="154">
        <f t="shared" si="352"/>
        <v>0</v>
      </c>
      <c r="AB77" s="157">
        <f t="shared" si="353"/>
        <v>0</v>
      </c>
      <c r="AC77" s="154">
        <f t="shared" si="354"/>
        <v>0</v>
      </c>
      <c r="AD77" s="158">
        <f t="shared" si="355"/>
        <v>0</v>
      </c>
      <c r="AE77" s="156">
        <f t="shared" si="280"/>
        <v>0</v>
      </c>
      <c r="AF77" s="154">
        <f t="shared" si="235"/>
        <v>0</v>
      </c>
      <c r="AG77" s="154">
        <f t="shared" si="281"/>
        <v>0</v>
      </c>
      <c r="AH77" s="154">
        <f t="shared" si="236"/>
        <v>0</v>
      </c>
      <c r="AI77" s="154">
        <f t="shared" si="282"/>
        <v>0</v>
      </c>
      <c r="AJ77" s="154">
        <f t="shared" si="237"/>
        <v>0</v>
      </c>
      <c r="AK77" s="154">
        <f t="shared" si="283"/>
        <v>0</v>
      </c>
      <c r="AL77" s="154">
        <f t="shared" si="238"/>
        <v>0</v>
      </c>
      <c r="AM77" s="154">
        <f t="shared" si="284"/>
        <v>0</v>
      </c>
      <c r="AN77" s="154">
        <f t="shared" si="239"/>
        <v>0</v>
      </c>
      <c r="AO77" s="157">
        <f t="shared" si="285"/>
        <v>0</v>
      </c>
      <c r="AP77" s="154">
        <f t="shared" si="286"/>
        <v>0</v>
      </c>
      <c r="AQ77" s="158">
        <f t="shared" si="287"/>
        <v>0</v>
      </c>
      <c r="AR77" s="156">
        <f t="shared" si="280"/>
        <v>0</v>
      </c>
      <c r="AS77" s="154">
        <f t="shared" si="240"/>
        <v>0</v>
      </c>
      <c r="AT77" s="154">
        <f t="shared" si="288"/>
        <v>0</v>
      </c>
      <c r="AU77" s="154">
        <f t="shared" si="241"/>
        <v>0</v>
      </c>
      <c r="AV77" s="154">
        <f t="shared" si="289"/>
        <v>0</v>
      </c>
      <c r="AW77" s="154">
        <f t="shared" si="242"/>
        <v>0</v>
      </c>
      <c r="AX77" s="154">
        <f t="shared" si="290"/>
        <v>0</v>
      </c>
      <c r="AY77" s="154">
        <f t="shared" si="243"/>
        <v>0</v>
      </c>
      <c r="AZ77" s="154">
        <f t="shared" si="291"/>
        <v>0</v>
      </c>
      <c r="BA77" s="154">
        <f t="shared" si="244"/>
        <v>0</v>
      </c>
      <c r="BB77" s="157">
        <f t="shared" si="292"/>
        <v>0</v>
      </c>
      <c r="BC77" s="154">
        <f t="shared" si="293"/>
        <v>0</v>
      </c>
      <c r="BD77" s="158">
        <f t="shared" si="294"/>
        <v>0</v>
      </c>
      <c r="BE77" s="156">
        <f t="shared" si="280"/>
        <v>0</v>
      </c>
      <c r="BF77" s="154">
        <f t="shared" si="245"/>
        <v>0</v>
      </c>
      <c r="BG77" s="154">
        <f t="shared" si="295"/>
        <v>0</v>
      </c>
      <c r="BH77" s="154">
        <f t="shared" si="246"/>
        <v>0</v>
      </c>
      <c r="BI77" s="154">
        <f t="shared" si="296"/>
        <v>0</v>
      </c>
      <c r="BJ77" s="154">
        <f t="shared" si="247"/>
        <v>0</v>
      </c>
      <c r="BK77" s="154">
        <f t="shared" si="297"/>
        <v>0</v>
      </c>
      <c r="BL77" s="154">
        <f t="shared" si="248"/>
        <v>0</v>
      </c>
      <c r="BM77" s="154">
        <f t="shared" si="298"/>
        <v>0</v>
      </c>
      <c r="BN77" s="154">
        <f t="shared" si="249"/>
        <v>0</v>
      </c>
      <c r="BO77" s="157">
        <f t="shared" si="299"/>
        <v>0</v>
      </c>
      <c r="BP77" s="154">
        <f t="shared" si="300"/>
        <v>0</v>
      </c>
      <c r="BQ77" s="158">
        <f t="shared" si="301"/>
        <v>0</v>
      </c>
      <c r="BR77" s="156">
        <f t="shared" si="280"/>
        <v>0</v>
      </c>
      <c r="BS77" s="154">
        <f t="shared" si="250"/>
        <v>0</v>
      </c>
      <c r="BT77" s="154">
        <f t="shared" si="302"/>
        <v>0</v>
      </c>
      <c r="BU77" s="154">
        <f t="shared" si="251"/>
        <v>0</v>
      </c>
      <c r="BV77" s="154">
        <f t="shared" si="303"/>
        <v>0</v>
      </c>
      <c r="BW77" s="154">
        <f t="shared" si="252"/>
        <v>0</v>
      </c>
      <c r="BX77" s="154">
        <f t="shared" si="304"/>
        <v>0</v>
      </c>
      <c r="BY77" s="154">
        <f t="shared" si="253"/>
        <v>0</v>
      </c>
      <c r="BZ77" s="154">
        <f t="shared" si="305"/>
        <v>0</v>
      </c>
      <c r="CA77" s="154">
        <f t="shared" si="254"/>
        <v>0</v>
      </c>
      <c r="CB77" s="157">
        <f t="shared" si="306"/>
        <v>0</v>
      </c>
      <c r="CC77" s="154">
        <f t="shared" si="307"/>
        <v>0</v>
      </c>
      <c r="CD77" s="158">
        <f t="shared" si="308"/>
        <v>0</v>
      </c>
      <c r="CE77" s="156">
        <f t="shared" si="280"/>
        <v>0</v>
      </c>
      <c r="CF77" s="154">
        <f t="shared" si="255"/>
        <v>0</v>
      </c>
      <c r="CG77" s="154">
        <f t="shared" si="309"/>
        <v>0</v>
      </c>
      <c r="CH77" s="154">
        <f t="shared" si="256"/>
        <v>0</v>
      </c>
      <c r="CI77" s="154">
        <f t="shared" si="310"/>
        <v>0</v>
      </c>
      <c r="CJ77" s="154">
        <f t="shared" si="257"/>
        <v>0</v>
      </c>
      <c r="CK77" s="154">
        <f t="shared" si="311"/>
        <v>0</v>
      </c>
      <c r="CL77" s="154">
        <f t="shared" si="258"/>
        <v>0</v>
      </c>
      <c r="CM77" s="154">
        <f t="shared" si="312"/>
        <v>0</v>
      </c>
      <c r="CN77" s="154">
        <f t="shared" si="259"/>
        <v>0</v>
      </c>
      <c r="CO77" s="157">
        <f t="shared" si="313"/>
        <v>0</v>
      </c>
      <c r="CP77" s="154">
        <f t="shared" si="314"/>
        <v>0</v>
      </c>
      <c r="CQ77" s="158">
        <f t="shared" si="315"/>
        <v>0</v>
      </c>
      <c r="CR77" s="156">
        <f t="shared" si="316"/>
        <v>0</v>
      </c>
      <c r="CS77" s="154">
        <f t="shared" si="261"/>
        <v>0</v>
      </c>
      <c r="CT77" s="154">
        <f t="shared" si="317"/>
        <v>0</v>
      </c>
      <c r="CU77" s="154">
        <f t="shared" si="262"/>
        <v>0</v>
      </c>
      <c r="CV77" s="154">
        <f t="shared" si="318"/>
        <v>0</v>
      </c>
      <c r="CW77" s="154">
        <f t="shared" si="263"/>
        <v>0</v>
      </c>
      <c r="CX77" s="154">
        <f t="shared" si="319"/>
        <v>0</v>
      </c>
      <c r="CY77" s="154">
        <f t="shared" si="264"/>
        <v>0</v>
      </c>
      <c r="CZ77" s="154">
        <f t="shared" si="320"/>
        <v>0</v>
      </c>
      <c r="DA77" s="154">
        <f t="shared" si="265"/>
        <v>0</v>
      </c>
      <c r="DB77" s="157">
        <f t="shared" si="321"/>
        <v>0</v>
      </c>
      <c r="DC77" s="154">
        <f t="shared" si="322"/>
        <v>0</v>
      </c>
      <c r="DD77" s="158">
        <f t="shared" si="323"/>
        <v>0</v>
      </c>
      <c r="DE77" s="156">
        <f t="shared" si="316"/>
        <v>0</v>
      </c>
      <c r="DF77" s="154">
        <f t="shared" si="266"/>
        <v>0</v>
      </c>
      <c r="DG77" s="154">
        <f t="shared" si="324"/>
        <v>0</v>
      </c>
      <c r="DH77" s="154">
        <f t="shared" si="267"/>
        <v>0</v>
      </c>
      <c r="DI77" s="154">
        <f t="shared" si="325"/>
        <v>0</v>
      </c>
      <c r="DJ77" s="154">
        <f t="shared" si="268"/>
        <v>0</v>
      </c>
      <c r="DK77" s="154">
        <f t="shared" si="326"/>
        <v>0</v>
      </c>
      <c r="DL77" s="154">
        <f t="shared" si="269"/>
        <v>0</v>
      </c>
      <c r="DM77" s="154">
        <f t="shared" si="327"/>
        <v>0</v>
      </c>
      <c r="DN77" s="154">
        <f t="shared" si="270"/>
        <v>0</v>
      </c>
      <c r="DO77" s="157">
        <f t="shared" si="328"/>
        <v>0</v>
      </c>
      <c r="DP77" s="154">
        <f t="shared" si="329"/>
        <v>0</v>
      </c>
      <c r="DQ77" s="158">
        <f t="shared" si="330"/>
        <v>0</v>
      </c>
      <c r="DR77" s="156">
        <f t="shared" si="316"/>
        <v>0</v>
      </c>
      <c r="DS77" s="154">
        <f t="shared" si="271"/>
        <v>0</v>
      </c>
      <c r="DT77" s="154">
        <f t="shared" si="331"/>
        <v>0</v>
      </c>
      <c r="DU77" s="154">
        <f t="shared" si="272"/>
        <v>0</v>
      </c>
      <c r="DV77" s="154">
        <f t="shared" si="332"/>
        <v>0</v>
      </c>
      <c r="DW77" s="154">
        <f t="shared" si="273"/>
        <v>0</v>
      </c>
      <c r="DX77" s="154">
        <f t="shared" si="333"/>
        <v>0</v>
      </c>
      <c r="DY77" s="154">
        <f t="shared" si="274"/>
        <v>0</v>
      </c>
      <c r="DZ77" s="154">
        <f t="shared" si="334"/>
        <v>0</v>
      </c>
      <c r="EA77" s="154">
        <f t="shared" si="275"/>
        <v>0</v>
      </c>
      <c r="EB77" s="157">
        <f t="shared" si="335"/>
        <v>0</v>
      </c>
      <c r="EC77" s="154">
        <f t="shared" si="336"/>
        <v>0</v>
      </c>
      <c r="ED77" s="158">
        <f t="shared" si="337"/>
        <v>0</v>
      </c>
    </row>
    <row r="78" spans="1:134" x14ac:dyDescent="0.35">
      <c r="A78" s="172"/>
      <c r="B78" s="173"/>
      <c r="C78" s="174"/>
      <c r="D78" s="175"/>
      <c r="E78" s="176"/>
      <c r="F78" s="177"/>
      <c r="G78" s="178"/>
      <c r="H78" s="179"/>
      <c r="I78" s="180"/>
      <c r="J78" s="181"/>
      <c r="K78" s="152">
        <f t="shared" si="338"/>
        <v>0</v>
      </c>
      <c r="L78" s="153">
        <f t="shared" si="339"/>
        <v>0</v>
      </c>
      <c r="M78" s="154">
        <f t="shared" si="340"/>
        <v>0</v>
      </c>
      <c r="N78" s="154"/>
      <c r="O78" s="154">
        <f t="shared" si="341"/>
        <v>0</v>
      </c>
      <c r="P78" s="155"/>
      <c r="Q78" s="154">
        <f t="shared" si="342"/>
        <v>0</v>
      </c>
      <c r="R78" s="156">
        <f t="shared" si="343"/>
        <v>0</v>
      </c>
      <c r="S78" s="154">
        <f t="shared" si="344"/>
        <v>0</v>
      </c>
      <c r="T78" s="154">
        <f t="shared" si="345"/>
        <v>0</v>
      </c>
      <c r="U78" s="154">
        <f t="shared" si="346"/>
        <v>0</v>
      </c>
      <c r="V78" s="154">
        <f t="shared" si="347"/>
        <v>0</v>
      </c>
      <c r="W78" s="154">
        <f t="shared" si="348"/>
        <v>0</v>
      </c>
      <c r="X78" s="154">
        <f t="shared" si="349"/>
        <v>0</v>
      </c>
      <c r="Y78" s="154">
        <f t="shared" si="350"/>
        <v>0</v>
      </c>
      <c r="Z78" s="154">
        <f t="shared" si="351"/>
        <v>0</v>
      </c>
      <c r="AA78" s="154">
        <f t="shared" si="352"/>
        <v>0</v>
      </c>
      <c r="AB78" s="157">
        <f t="shared" si="353"/>
        <v>0</v>
      </c>
      <c r="AC78" s="154">
        <f t="shared" si="354"/>
        <v>0</v>
      </c>
      <c r="AD78" s="158">
        <f t="shared" si="355"/>
        <v>0</v>
      </c>
      <c r="AE78" s="156">
        <f t="shared" si="280"/>
        <v>0</v>
      </c>
      <c r="AF78" s="154">
        <f t="shared" si="235"/>
        <v>0</v>
      </c>
      <c r="AG78" s="154">
        <f t="shared" si="281"/>
        <v>0</v>
      </c>
      <c r="AH78" s="154">
        <f t="shared" si="236"/>
        <v>0</v>
      </c>
      <c r="AI78" s="154">
        <f t="shared" si="282"/>
        <v>0</v>
      </c>
      <c r="AJ78" s="154">
        <f t="shared" si="237"/>
        <v>0</v>
      </c>
      <c r="AK78" s="154">
        <f t="shared" si="283"/>
        <v>0</v>
      </c>
      <c r="AL78" s="154">
        <f t="shared" si="238"/>
        <v>0</v>
      </c>
      <c r="AM78" s="154">
        <f t="shared" si="284"/>
        <v>0</v>
      </c>
      <c r="AN78" s="154">
        <f t="shared" si="239"/>
        <v>0</v>
      </c>
      <c r="AO78" s="157">
        <f t="shared" si="285"/>
        <v>0</v>
      </c>
      <c r="AP78" s="154">
        <f t="shared" si="286"/>
        <v>0</v>
      </c>
      <c r="AQ78" s="158">
        <f t="shared" si="287"/>
        <v>0</v>
      </c>
      <c r="AR78" s="156">
        <f t="shared" si="280"/>
        <v>0</v>
      </c>
      <c r="AS78" s="154">
        <f t="shared" si="240"/>
        <v>0</v>
      </c>
      <c r="AT78" s="154">
        <f t="shared" si="288"/>
        <v>0</v>
      </c>
      <c r="AU78" s="154">
        <f t="shared" si="241"/>
        <v>0</v>
      </c>
      <c r="AV78" s="154">
        <f t="shared" si="289"/>
        <v>0</v>
      </c>
      <c r="AW78" s="154">
        <f t="shared" si="242"/>
        <v>0</v>
      </c>
      <c r="AX78" s="154">
        <f t="shared" si="290"/>
        <v>0</v>
      </c>
      <c r="AY78" s="154">
        <f t="shared" si="243"/>
        <v>0</v>
      </c>
      <c r="AZ78" s="154">
        <f t="shared" si="291"/>
        <v>0</v>
      </c>
      <c r="BA78" s="154">
        <f t="shared" si="244"/>
        <v>0</v>
      </c>
      <c r="BB78" s="157">
        <f t="shared" si="292"/>
        <v>0</v>
      </c>
      <c r="BC78" s="154">
        <f t="shared" si="293"/>
        <v>0</v>
      </c>
      <c r="BD78" s="158">
        <f t="shared" si="294"/>
        <v>0</v>
      </c>
      <c r="BE78" s="156">
        <f t="shared" si="280"/>
        <v>0</v>
      </c>
      <c r="BF78" s="154">
        <f t="shared" si="245"/>
        <v>0</v>
      </c>
      <c r="BG78" s="154">
        <f t="shared" si="295"/>
        <v>0</v>
      </c>
      <c r="BH78" s="154">
        <f t="shared" si="246"/>
        <v>0</v>
      </c>
      <c r="BI78" s="154">
        <f t="shared" si="296"/>
        <v>0</v>
      </c>
      <c r="BJ78" s="154">
        <f t="shared" si="247"/>
        <v>0</v>
      </c>
      <c r="BK78" s="154">
        <f t="shared" si="297"/>
        <v>0</v>
      </c>
      <c r="BL78" s="154">
        <f t="shared" si="248"/>
        <v>0</v>
      </c>
      <c r="BM78" s="154">
        <f t="shared" si="298"/>
        <v>0</v>
      </c>
      <c r="BN78" s="154">
        <f t="shared" si="249"/>
        <v>0</v>
      </c>
      <c r="BO78" s="157">
        <f t="shared" si="299"/>
        <v>0</v>
      </c>
      <c r="BP78" s="154">
        <f t="shared" si="300"/>
        <v>0</v>
      </c>
      <c r="BQ78" s="158">
        <f t="shared" si="301"/>
        <v>0</v>
      </c>
      <c r="BR78" s="156">
        <f t="shared" si="280"/>
        <v>0</v>
      </c>
      <c r="BS78" s="154">
        <f t="shared" si="250"/>
        <v>0</v>
      </c>
      <c r="BT78" s="154">
        <f t="shared" si="302"/>
        <v>0</v>
      </c>
      <c r="BU78" s="154">
        <f t="shared" si="251"/>
        <v>0</v>
      </c>
      <c r="BV78" s="154">
        <f t="shared" si="303"/>
        <v>0</v>
      </c>
      <c r="BW78" s="154">
        <f t="shared" si="252"/>
        <v>0</v>
      </c>
      <c r="BX78" s="154">
        <f t="shared" si="304"/>
        <v>0</v>
      </c>
      <c r="BY78" s="154">
        <f t="shared" si="253"/>
        <v>0</v>
      </c>
      <c r="BZ78" s="154">
        <f t="shared" si="305"/>
        <v>0</v>
      </c>
      <c r="CA78" s="154">
        <f t="shared" si="254"/>
        <v>0</v>
      </c>
      <c r="CB78" s="157">
        <f t="shared" si="306"/>
        <v>0</v>
      </c>
      <c r="CC78" s="154">
        <f t="shared" si="307"/>
        <v>0</v>
      </c>
      <c r="CD78" s="158">
        <f t="shared" si="308"/>
        <v>0</v>
      </c>
      <c r="CE78" s="156">
        <f t="shared" si="280"/>
        <v>0</v>
      </c>
      <c r="CF78" s="154">
        <f t="shared" si="255"/>
        <v>0</v>
      </c>
      <c r="CG78" s="154">
        <f t="shared" si="309"/>
        <v>0</v>
      </c>
      <c r="CH78" s="154">
        <f t="shared" si="256"/>
        <v>0</v>
      </c>
      <c r="CI78" s="154">
        <f t="shared" si="310"/>
        <v>0</v>
      </c>
      <c r="CJ78" s="154">
        <f t="shared" si="257"/>
        <v>0</v>
      </c>
      <c r="CK78" s="154">
        <f t="shared" si="311"/>
        <v>0</v>
      </c>
      <c r="CL78" s="154">
        <f t="shared" si="258"/>
        <v>0</v>
      </c>
      <c r="CM78" s="154">
        <f t="shared" si="312"/>
        <v>0</v>
      </c>
      <c r="CN78" s="154">
        <f t="shared" si="259"/>
        <v>0</v>
      </c>
      <c r="CO78" s="157">
        <f t="shared" si="313"/>
        <v>0</v>
      </c>
      <c r="CP78" s="154">
        <f t="shared" si="314"/>
        <v>0</v>
      </c>
      <c r="CQ78" s="158">
        <f t="shared" si="315"/>
        <v>0</v>
      </c>
      <c r="CR78" s="156">
        <f t="shared" si="316"/>
        <v>0</v>
      </c>
      <c r="CS78" s="154">
        <f t="shared" si="261"/>
        <v>0</v>
      </c>
      <c r="CT78" s="154">
        <f t="shared" si="317"/>
        <v>0</v>
      </c>
      <c r="CU78" s="154">
        <f t="shared" si="262"/>
        <v>0</v>
      </c>
      <c r="CV78" s="154">
        <f t="shared" si="318"/>
        <v>0</v>
      </c>
      <c r="CW78" s="154">
        <f t="shared" si="263"/>
        <v>0</v>
      </c>
      <c r="CX78" s="154">
        <f t="shared" si="319"/>
        <v>0</v>
      </c>
      <c r="CY78" s="154">
        <f t="shared" si="264"/>
        <v>0</v>
      </c>
      <c r="CZ78" s="154">
        <f t="shared" si="320"/>
        <v>0</v>
      </c>
      <c r="DA78" s="154">
        <f t="shared" si="265"/>
        <v>0</v>
      </c>
      <c r="DB78" s="157">
        <f t="shared" si="321"/>
        <v>0</v>
      </c>
      <c r="DC78" s="154">
        <f t="shared" si="322"/>
        <v>0</v>
      </c>
      <c r="DD78" s="158">
        <f t="shared" si="323"/>
        <v>0</v>
      </c>
      <c r="DE78" s="156">
        <f t="shared" si="316"/>
        <v>0</v>
      </c>
      <c r="DF78" s="154">
        <f t="shared" si="266"/>
        <v>0</v>
      </c>
      <c r="DG78" s="154">
        <f t="shared" si="324"/>
        <v>0</v>
      </c>
      <c r="DH78" s="154">
        <f t="shared" si="267"/>
        <v>0</v>
      </c>
      <c r="DI78" s="154">
        <f t="shared" si="325"/>
        <v>0</v>
      </c>
      <c r="DJ78" s="154">
        <f t="shared" si="268"/>
        <v>0</v>
      </c>
      <c r="DK78" s="154">
        <f t="shared" si="326"/>
        <v>0</v>
      </c>
      <c r="DL78" s="154">
        <f t="shared" si="269"/>
        <v>0</v>
      </c>
      <c r="DM78" s="154">
        <f t="shared" si="327"/>
        <v>0</v>
      </c>
      <c r="DN78" s="154">
        <f t="shared" si="270"/>
        <v>0</v>
      </c>
      <c r="DO78" s="157">
        <f t="shared" si="328"/>
        <v>0</v>
      </c>
      <c r="DP78" s="154">
        <f t="shared" si="329"/>
        <v>0</v>
      </c>
      <c r="DQ78" s="158">
        <f t="shared" si="330"/>
        <v>0</v>
      </c>
      <c r="DR78" s="156">
        <f t="shared" si="316"/>
        <v>0</v>
      </c>
      <c r="DS78" s="154">
        <f t="shared" si="271"/>
        <v>0</v>
      </c>
      <c r="DT78" s="154">
        <f t="shared" si="331"/>
        <v>0</v>
      </c>
      <c r="DU78" s="154">
        <f t="shared" si="272"/>
        <v>0</v>
      </c>
      <c r="DV78" s="154">
        <f t="shared" si="332"/>
        <v>0</v>
      </c>
      <c r="DW78" s="154">
        <f t="shared" si="273"/>
        <v>0</v>
      </c>
      <c r="DX78" s="154">
        <f t="shared" si="333"/>
        <v>0</v>
      </c>
      <c r="DY78" s="154">
        <f t="shared" si="274"/>
        <v>0</v>
      </c>
      <c r="DZ78" s="154">
        <f t="shared" si="334"/>
        <v>0</v>
      </c>
      <c r="EA78" s="154">
        <f t="shared" si="275"/>
        <v>0</v>
      </c>
      <c r="EB78" s="157">
        <f t="shared" si="335"/>
        <v>0</v>
      </c>
      <c r="EC78" s="154">
        <f t="shared" si="336"/>
        <v>0</v>
      </c>
      <c r="ED78" s="158">
        <f t="shared" si="337"/>
        <v>0</v>
      </c>
    </row>
    <row r="79" spans="1:134" x14ac:dyDescent="0.35">
      <c r="A79" s="172"/>
      <c r="B79" s="173"/>
      <c r="C79" s="174"/>
      <c r="D79" s="175"/>
      <c r="E79" s="176"/>
      <c r="F79" s="177"/>
      <c r="G79" s="178"/>
      <c r="H79" s="179"/>
      <c r="I79" s="180"/>
      <c r="J79" s="181"/>
      <c r="K79" s="152">
        <f t="shared" si="338"/>
        <v>0</v>
      </c>
      <c r="L79" s="153">
        <f t="shared" si="339"/>
        <v>0</v>
      </c>
      <c r="M79" s="154">
        <f t="shared" si="340"/>
        <v>0</v>
      </c>
      <c r="N79" s="154"/>
      <c r="O79" s="154">
        <f t="shared" si="341"/>
        <v>0</v>
      </c>
      <c r="P79" s="155"/>
      <c r="Q79" s="154">
        <f t="shared" si="342"/>
        <v>0</v>
      </c>
      <c r="R79" s="156">
        <f t="shared" si="343"/>
        <v>0</v>
      </c>
      <c r="S79" s="154">
        <f t="shared" si="344"/>
        <v>0</v>
      </c>
      <c r="T79" s="154">
        <f t="shared" si="345"/>
        <v>0</v>
      </c>
      <c r="U79" s="154">
        <f t="shared" si="346"/>
        <v>0</v>
      </c>
      <c r="V79" s="154">
        <f t="shared" si="347"/>
        <v>0</v>
      </c>
      <c r="W79" s="154">
        <f t="shared" si="348"/>
        <v>0</v>
      </c>
      <c r="X79" s="154">
        <f t="shared" si="349"/>
        <v>0</v>
      </c>
      <c r="Y79" s="154">
        <f t="shared" si="350"/>
        <v>0</v>
      </c>
      <c r="Z79" s="154">
        <f t="shared" si="351"/>
        <v>0</v>
      </c>
      <c r="AA79" s="154">
        <f t="shared" si="352"/>
        <v>0</v>
      </c>
      <c r="AB79" s="157">
        <f t="shared" si="353"/>
        <v>0</v>
      </c>
      <c r="AC79" s="154">
        <f t="shared" si="354"/>
        <v>0</v>
      </c>
      <c r="AD79" s="158">
        <f t="shared" si="355"/>
        <v>0</v>
      </c>
      <c r="AE79" s="156">
        <f t="shared" si="280"/>
        <v>0</v>
      </c>
      <c r="AF79" s="154">
        <f t="shared" si="235"/>
        <v>0</v>
      </c>
      <c r="AG79" s="154">
        <f t="shared" si="281"/>
        <v>0</v>
      </c>
      <c r="AH79" s="154">
        <f t="shared" si="236"/>
        <v>0</v>
      </c>
      <c r="AI79" s="154">
        <f t="shared" si="282"/>
        <v>0</v>
      </c>
      <c r="AJ79" s="154">
        <f t="shared" si="237"/>
        <v>0</v>
      </c>
      <c r="AK79" s="154">
        <f t="shared" si="283"/>
        <v>0</v>
      </c>
      <c r="AL79" s="154">
        <f t="shared" si="238"/>
        <v>0</v>
      </c>
      <c r="AM79" s="154">
        <f t="shared" si="284"/>
        <v>0</v>
      </c>
      <c r="AN79" s="154">
        <f t="shared" si="239"/>
        <v>0</v>
      </c>
      <c r="AO79" s="157">
        <f t="shared" si="285"/>
        <v>0</v>
      </c>
      <c r="AP79" s="154">
        <f t="shared" si="286"/>
        <v>0</v>
      </c>
      <c r="AQ79" s="158">
        <f t="shared" si="287"/>
        <v>0</v>
      </c>
      <c r="AR79" s="156">
        <f t="shared" si="280"/>
        <v>0</v>
      </c>
      <c r="AS79" s="154">
        <f t="shared" si="240"/>
        <v>0</v>
      </c>
      <c r="AT79" s="154">
        <f t="shared" si="288"/>
        <v>0</v>
      </c>
      <c r="AU79" s="154">
        <f t="shared" si="241"/>
        <v>0</v>
      </c>
      <c r="AV79" s="154">
        <f t="shared" si="289"/>
        <v>0</v>
      </c>
      <c r="AW79" s="154">
        <f t="shared" si="242"/>
        <v>0</v>
      </c>
      <c r="AX79" s="154">
        <f t="shared" si="290"/>
        <v>0</v>
      </c>
      <c r="AY79" s="154">
        <f t="shared" si="243"/>
        <v>0</v>
      </c>
      <c r="AZ79" s="154">
        <f t="shared" si="291"/>
        <v>0</v>
      </c>
      <c r="BA79" s="154">
        <f t="shared" si="244"/>
        <v>0</v>
      </c>
      <c r="BB79" s="157">
        <f t="shared" si="292"/>
        <v>0</v>
      </c>
      <c r="BC79" s="154">
        <f t="shared" si="293"/>
        <v>0</v>
      </c>
      <c r="BD79" s="158">
        <f t="shared" si="294"/>
        <v>0</v>
      </c>
      <c r="BE79" s="156">
        <f t="shared" si="280"/>
        <v>0</v>
      </c>
      <c r="BF79" s="154">
        <f t="shared" si="245"/>
        <v>0</v>
      </c>
      <c r="BG79" s="154">
        <f t="shared" si="295"/>
        <v>0</v>
      </c>
      <c r="BH79" s="154">
        <f t="shared" si="246"/>
        <v>0</v>
      </c>
      <c r="BI79" s="154">
        <f t="shared" si="296"/>
        <v>0</v>
      </c>
      <c r="BJ79" s="154">
        <f t="shared" si="247"/>
        <v>0</v>
      </c>
      <c r="BK79" s="154">
        <f t="shared" si="297"/>
        <v>0</v>
      </c>
      <c r="BL79" s="154">
        <f t="shared" si="248"/>
        <v>0</v>
      </c>
      <c r="BM79" s="154">
        <f t="shared" si="298"/>
        <v>0</v>
      </c>
      <c r="BN79" s="154">
        <f t="shared" si="249"/>
        <v>0</v>
      </c>
      <c r="BO79" s="157">
        <f t="shared" si="299"/>
        <v>0</v>
      </c>
      <c r="BP79" s="154">
        <f t="shared" si="300"/>
        <v>0</v>
      </c>
      <c r="BQ79" s="158">
        <f t="shared" si="301"/>
        <v>0</v>
      </c>
      <c r="BR79" s="156">
        <f t="shared" si="280"/>
        <v>0</v>
      </c>
      <c r="BS79" s="154">
        <f t="shared" si="250"/>
        <v>0</v>
      </c>
      <c r="BT79" s="154">
        <f t="shared" si="302"/>
        <v>0</v>
      </c>
      <c r="BU79" s="154">
        <f t="shared" si="251"/>
        <v>0</v>
      </c>
      <c r="BV79" s="154">
        <f t="shared" si="303"/>
        <v>0</v>
      </c>
      <c r="BW79" s="154">
        <f t="shared" si="252"/>
        <v>0</v>
      </c>
      <c r="BX79" s="154">
        <f t="shared" si="304"/>
        <v>0</v>
      </c>
      <c r="BY79" s="154">
        <f t="shared" si="253"/>
        <v>0</v>
      </c>
      <c r="BZ79" s="154">
        <f t="shared" si="305"/>
        <v>0</v>
      </c>
      <c r="CA79" s="154">
        <f t="shared" si="254"/>
        <v>0</v>
      </c>
      <c r="CB79" s="157">
        <f t="shared" si="306"/>
        <v>0</v>
      </c>
      <c r="CC79" s="154">
        <f t="shared" si="307"/>
        <v>0</v>
      </c>
      <c r="CD79" s="158">
        <f t="shared" si="308"/>
        <v>0</v>
      </c>
      <c r="CE79" s="156">
        <f t="shared" si="280"/>
        <v>0</v>
      </c>
      <c r="CF79" s="154">
        <f t="shared" si="255"/>
        <v>0</v>
      </c>
      <c r="CG79" s="154">
        <f t="shared" si="309"/>
        <v>0</v>
      </c>
      <c r="CH79" s="154">
        <f t="shared" si="256"/>
        <v>0</v>
      </c>
      <c r="CI79" s="154">
        <f t="shared" si="310"/>
        <v>0</v>
      </c>
      <c r="CJ79" s="154">
        <f t="shared" si="257"/>
        <v>0</v>
      </c>
      <c r="CK79" s="154">
        <f t="shared" si="311"/>
        <v>0</v>
      </c>
      <c r="CL79" s="154">
        <f t="shared" si="258"/>
        <v>0</v>
      </c>
      <c r="CM79" s="154">
        <f t="shared" si="312"/>
        <v>0</v>
      </c>
      <c r="CN79" s="154">
        <f t="shared" si="259"/>
        <v>0</v>
      </c>
      <c r="CO79" s="157">
        <f t="shared" si="313"/>
        <v>0</v>
      </c>
      <c r="CP79" s="154">
        <f t="shared" si="314"/>
        <v>0</v>
      </c>
      <c r="CQ79" s="158">
        <f t="shared" si="315"/>
        <v>0</v>
      </c>
      <c r="CR79" s="156">
        <f t="shared" si="316"/>
        <v>0</v>
      </c>
      <c r="CS79" s="154">
        <f t="shared" si="261"/>
        <v>0</v>
      </c>
      <c r="CT79" s="154">
        <f t="shared" si="317"/>
        <v>0</v>
      </c>
      <c r="CU79" s="154">
        <f t="shared" si="262"/>
        <v>0</v>
      </c>
      <c r="CV79" s="154">
        <f t="shared" si="318"/>
        <v>0</v>
      </c>
      <c r="CW79" s="154">
        <f t="shared" si="263"/>
        <v>0</v>
      </c>
      <c r="CX79" s="154">
        <f t="shared" si="319"/>
        <v>0</v>
      </c>
      <c r="CY79" s="154">
        <f t="shared" si="264"/>
        <v>0</v>
      </c>
      <c r="CZ79" s="154">
        <f t="shared" si="320"/>
        <v>0</v>
      </c>
      <c r="DA79" s="154">
        <f t="shared" si="265"/>
        <v>0</v>
      </c>
      <c r="DB79" s="157">
        <f t="shared" si="321"/>
        <v>0</v>
      </c>
      <c r="DC79" s="154">
        <f t="shared" si="322"/>
        <v>0</v>
      </c>
      <c r="DD79" s="158">
        <f t="shared" si="323"/>
        <v>0</v>
      </c>
      <c r="DE79" s="156">
        <f t="shared" si="316"/>
        <v>0</v>
      </c>
      <c r="DF79" s="154">
        <f t="shared" si="266"/>
        <v>0</v>
      </c>
      <c r="DG79" s="154">
        <f t="shared" si="324"/>
        <v>0</v>
      </c>
      <c r="DH79" s="154">
        <f t="shared" si="267"/>
        <v>0</v>
      </c>
      <c r="DI79" s="154">
        <f t="shared" si="325"/>
        <v>0</v>
      </c>
      <c r="DJ79" s="154">
        <f t="shared" si="268"/>
        <v>0</v>
      </c>
      <c r="DK79" s="154">
        <f t="shared" si="326"/>
        <v>0</v>
      </c>
      <c r="DL79" s="154">
        <f t="shared" si="269"/>
        <v>0</v>
      </c>
      <c r="DM79" s="154">
        <f t="shared" si="327"/>
        <v>0</v>
      </c>
      <c r="DN79" s="154">
        <f t="shared" si="270"/>
        <v>0</v>
      </c>
      <c r="DO79" s="157">
        <f t="shared" si="328"/>
        <v>0</v>
      </c>
      <c r="DP79" s="154">
        <f t="shared" si="329"/>
        <v>0</v>
      </c>
      <c r="DQ79" s="158">
        <f t="shared" si="330"/>
        <v>0</v>
      </c>
      <c r="DR79" s="156">
        <f t="shared" si="316"/>
        <v>0</v>
      </c>
      <c r="DS79" s="154">
        <f t="shared" si="271"/>
        <v>0</v>
      </c>
      <c r="DT79" s="154">
        <f t="shared" si="331"/>
        <v>0</v>
      </c>
      <c r="DU79" s="154">
        <f t="shared" si="272"/>
        <v>0</v>
      </c>
      <c r="DV79" s="154">
        <f t="shared" si="332"/>
        <v>0</v>
      </c>
      <c r="DW79" s="154">
        <f t="shared" si="273"/>
        <v>0</v>
      </c>
      <c r="DX79" s="154">
        <f t="shared" si="333"/>
        <v>0</v>
      </c>
      <c r="DY79" s="154">
        <f t="shared" si="274"/>
        <v>0</v>
      </c>
      <c r="DZ79" s="154">
        <f t="shared" si="334"/>
        <v>0</v>
      </c>
      <c r="EA79" s="154">
        <f t="shared" si="275"/>
        <v>0</v>
      </c>
      <c r="EB79" s="157">
        <f t="shared" si="335"/>
        <v>0</v>
      </c>
      <c r="EC79" s="154">
        <f t="shared" si="336"/>
        <v>0</v>
      </c>
      <c r="ED79" s="158">
        <f t="shared" si="337"/>
        <v>0</v>
      </c>
    </row>
    <row r="80" spans="1:134" x14ac:dyDescent="0.35">
      <c r="A80" s="172"/>
      <c r="B80" s="173"/>
      <c r="C80" s="174"/>
      <c r="D80" s="175"/>
      <c r="E80" s="176"/>
      <c r="F80" s="177"/>
      <c r="G80" s="178"/>
      <c r="H80" s="179"/>
      <c r="I80" s="180"/>
      <c r="J80" s="181"/>
      <c r="K80" s="152">
        <f t="shared" si="338"/>
        <v>0</v>
      </c>
      <c r="L80" s="153">
        <f t="shared" si="339"/>
        <v>0</v>
      </c>
      <c r="M80" s="154">
        <f t="shared" si="340"/>
        <v>0</v>
      </c>
      <c r="N80" s="154"/>
      <c r="O80" s="154">
        <f t="shared" si="341"/>
        <v>0</v>
      </c>
      <c r="P80" s="155"/>
      <c r="Q80" s="154">
        <f t="shared" si="342"/>
        <v>0</v>
      </c>
      <c r="R80" s="156">
        <f t="shared" si="343"/>
        <v>0</v>
      </c>
      <c r="S80" s="154">
        <f t="shared" si="344"/>
        <v>0</v>
      </c>
      <c r="T80" s="154">
        <f t="shared" si="345"/>
        <v>0</v>
      </c>
      <c r="U80" s="154">
        <f t="shared" si="346"/>
        <v>0</v>
      </c>
      <c r="V80" s="154">
        <f t="shared" si="347"/>
        <v>0</v>
      </c>
      <c r="W80" s="154">
        <f t="shared" si="348"/>
        <v>0</v>
      </c>
      <c r="X80" s="154">
        <f t="shared" si="349"/>
        <v>0</v>
      </c>
      <c r="Y80" s="154">
        <f t="shared" si="350"/>
        <v>0</v>
      </c>
      <c r="Z80" s="154">
        <f t="shared" si="351"/>
        <v>0</v>
      </c>
      <c r="AA80" s="154">
        <f t="shared" si="352"/>
        <v>0</v>
      </c>
      <c r="AB80" s="157">
        <f t="shared" si="353"/>
        <v>0</v>
      </c>
      <c r="AC80" s="154">
        <f t="shared" si="354"/>
        <v>0</v>
      </c>
      <c r="AD80" s="158">
        <f t="shared" si="355"/>
        <v>0</v>
      </c>
      <c r="AE80" s="156">
        <f t="shared" si="280"/>
        <v>0</v>
      </c>
      <c r="AF80" s="154">
        <f t="shared" si="235"/>
        <v>0</v>
      </c>
      <c r="AG80" s="154">
        <f t="shared" si="281"/>
        <v>0</v>
      </c>
      <c r="AH80" s="154">
        <f t="shared" si="236"/>
        <v>0</v>
      </c>
      <c r="AI80" s="154">
        <f t="shared" si="282"/>
        <v>0</v>
      </c>
      <c r="AJ80" s="154">
        <f t="shared" si="237"/>
        <v>0</v>
      </c>
      <c r="AK80" s="154">
        <f t="shared" si="283"/>
        <v>0</v>
      </c>
      <c r="AL80" s="154">
        <f t="shared" si="238"/>
        <v>0</v>
      </c>
      <c r="AM80" s="154">
        <f t="shared" si="284"/>
        <v>0</v>
      </c>
      <c r="AN80" s="154">
        <f t="shared" si="239"/>
        <v>0</v>
      </c>
      <c r="AO80" s="157">
        <f t="shared" si="285"/>
        <v>0</v>
      </c>
      <c r="AP80" s="154">
        <f t="shared" si="286"/>
        <v>0</v>
      </c>
      <c r="AQ80" s="158">
        <f t="shared" si="287"/>
        <v>0</v>
      </c>
      <c r="AR80" s="156">
        <f t="shared" si="280"/>
        <v>0</v>
      </c>
      <c r="AS80" s="154">
        <f t="shared" si="240"/>
        <v>0</v>
      </c>
      <c r="AT80" s="154">
        <f t="shared" si="288"/>
        <v>0</v>
      </c>
      <c r="AU80" s="154">
        <f t="shared" si="241"/>
        <v>0</v>
      </c>
      <c r="AV80" s="154">
        <f t="shared" si="289"/>
        <v>0</v>
      </c>
      <c r="AW80" s="154">
        <f t="shared" si="242"/>
        <v>0</v>
      </c>
      <c r="AX80" s="154">
        <f t="shared" si="290"/>
        <v>0</v>
      </c>
      <c r="AY80" s="154">
        <f t="shared" si="243"/>
        <v>0</v>
      </c>
      <c r="AZ80" s="154">
        <f t="shared" si="291"/>
        <v>0</v>
      </c>
      <c r="BA80" s="154">
        <f t="shared" si="244"/>
        <v>0</v>
      </c>
      <c r="BB80" s="157">
        <f t="shared" si="292"/>
        <v>0</v>
      </c>
      <c r="BC80" s="154">
        <f t="shared" si="293"/>
        <v>0</v>
      </c>
      <c r="BD80" s="158">
        <f t="shared" si="294"/>
        <v>0</v>
      </c>
      <c r="BE80" s="156">
        <f t="shared" si="280"/>
        <v>0</v>
      </c>
      <c r="BF80" s="154">
        <f t="shared" si="245"/>
        <v>0</v>
      </c>
      <c r="BG80" s="154">
        <f t="shared" si="295"/>
        <v>0</v>
      </c>
      <c r="BH80" s="154">
        <f t="shared" si="246"/>
        <v>0</v>
      </c>
      <c r="BI80" s="154">
        <f t="shared" si="296"/>
        <v>0</v>
      </c>
      <c r="BJ80" s="154">
        <f t="shared" si="247"/>
        <v>0</v>
      </c>
      <c r="BK80" s="154">
        <f t="shared" si="297"/>
        <v>0</v>
      </c>
      <c r="BL80" s="154">
        <f t="shared" si="248"/>
        <v>0</v>
      </c>
      <c r="BM80" s="154">
        <f t="shared" si="298"/>
        <v>0</v>
      </c>
      <c r="BN80" s="154">
        <f t="shared" si="249"/>
        <v>0</v>
      </c>
      <c r="BO80" s="157">
        <f t="shared" si="299"/>
        <v>0</v>
      </c>
      <c r="BP80" s="154">
        <f t="shared" si="300"/>
        <v>0</v>
      </c>
      <c r="BQ80" s="158">
        <f t="shared" si="301"/>
        <v>0</v>
      </c>
      <c r="BR80" s="156">
        <f t="shared" si="280"/>
        <v>0</v>
      </c>
      <c r="BS80" s="154">
        <f t="shared" si="250"/>
        <v>0</v>
      </c>
      <c r="BT80" s="154">
        <f t="shared" si="302"/>
        <v>0</v>
      </c>
      <c r="BU80" s="154">
        <f t="shared" si="251"/>
        <v>0</v>
      </c>
      <c r="BV80" s="154">
        <f t="shared" si="303"/>
        <v>0</v>
      </c>
      <c r="BW80" s="154">
        <f t="shared" si="252"/>
        <v>0</v>
      </c>
      <c r="BX80" s="154">
        <f t="shared" si="304"/>
        <v>0</v>
      </c>
      <c r="BY80" s="154">
        <f t="shared" si="253"/>
        <v>0</v>
      </c>
      <c r="BZ80" s="154">
        <f t="shared" si="305"/>
        <v>0</v>
      </c>
      <c r="CA80" s="154">
        <f t="shared" si="254"/>
        <v>0</v>
      </c>
      <c r="CB80" s="157">
        <f t="shared" si="306"/>
        <v>0</v>
      </c>
      <c r="CC80" s="154">
        <f t="shared" si="307"/>
        <v>0</v>
      </c>
      <c r="CD80" s="158">
        <f t="shared" si="308"/>
        <v>0</v>
      </c>
      <c r="CE80" s="156">
        <f t="shared" si="280"/>
        <v>0</v>
      </c>
      <c r="CF80" s="154">
        <f t="shared" si="255"/>
        <v>0</v>
      </c>
      <c r="CG80" s="154">
        <f t="shared" si="309"/>
        <v>0</v>
      </c>
      <c r="CH80" s="154">
        <f t="shared" si="256"/>
        <v>0</v>
      </c>
      <c r="CI80" s="154">
        <f t="shared" si="310"/>
        <v>0</v>
      </c>
      <c r="CJ80" s="154">
        <f t="shared" si="257"/>
        <v>0</v>
      </c>
      <c r="CK80" s="154">
        <f t="shared" si="311"/>
        <v>0</v>
      </c>
      <c r="CL80" s="154">
        <f t="shared" si="258"/>
        <v>0</v>
      </c>
      <c r="CM80" s="154">
        <f t="shared" si="312"/>
        <v>0</v>
      </c>
      <c r="CN80" s="154">
        <f t="shared" si="259"/>
        <v>0</v>
      </c>
      <c r="CO80" s="157">
        <f t="shared" si="313"/>
        <v>0</v>
      </c>
      <c r="CP80" s="154">
        <f t="shared" si="314"/>
        <v>0</v>
      </c>
      <c r="CQ80" s="158">
        <f t="shared" si="315"/>
        <v>0</v>
      </c>
      <c r="CR80" s="156">
        <f t="shared" si="316"/>
        <v>0</v>
      </c>
      <c r="CS80" s="154">
        <f t="shared" si="261"/>
        <v>0</v>
      </c>
      <c r="CT80" s="154">
        <f t="shared" si="317"/>
        <v>0</v>
      </c>
      <c r="CU80" s="154">
        <f t="shared" si="262"/>
        <v>0</v>
      </c>
      <c r="CV80" s="154">
        <f t="shared" si="318"/>
        <v>0</v>
      </c>
      <c r="CW80" s="154">
        <f t="shared" si="263"/>
        <v>0</v>
      </c>
      <c r="CX80" s="154">
        <f t="shared" si="319"/>
        <v>0</v>
      </c>
      <c r="CY80" s="154">
        <f t="shared" si="264"/>
        <v>0</v>
      </c>
      <c r="CZ80" s="154">
        <f t="shared" si="320"/>
        <v>0</v>
      </c>
      <c r="DA80" s="154">
        <f t="shared" si="265"/>
        <v>0</v>
      </c>
      <c r="DB80" s="157">
        <f t="shared" si="321"/>
        <v>0</v>
      </c>
      <c r="DC80" s="154">
        <f t="shared" si="322"/>
        <v>0</v>
      </c>
      <c r="DD80" s="158">
        <f t="shared" si="323"/>
        <v>0</v>
      </c>
      <c r="DE80" s="156">
        <f t="shared" si="316"/>
        <v>0</v>
      </c>
      <c r="DF80" s="154">
        <f t="shared" si="266"/>
        <v>0</v>
      </c>
      <c r="DG80" s="154">
        <f t="shared" si="324"/>
        <v>0</v>
      </c>
      <c r="DH80" s="154">
        <f t="shared" si="267"/>
        <v>0</v>
      </c>
      <c r="DI80" s="154">
        <f t="shared" si="325"/>
        <v>0</v>
      </c>
      <c r="DJ80" s="154">
        <f t="shared" si="268"/>
        <v>0</v>
      </c>
      <c r="DK80" s="154">
        <f t="shared" si="326"/>
        <v>0</v>
      </c>
      <c r="DL80" s="154">
        <f t="shared" si="269"/>
        <v>0</v>
      </c>
      <c r="DM80" s="154">
        <f t="shared" si="327"/>
        <v>0</v>
      </c>
      <c r="DN80" s="154">
        <f t="shared" si="270"/>
        <v>0</v>
      </c>
      <c r="DO80" s="157">
        <f t="shared" si="328"/>
        <v>0</v>
      </c>
      <c r="DP80" s="154">
        <f t="shared" si="329"/>
        <v>0</v>
      </c>
      <c r="DQ80" s="158">
        <f t="shared" si="330"/>
        <v>0</v>
      </c>
      <c r="DR80" s="156">
        <f t="shared" si="316"/>
        <v>0</v>
      </c>
      <c r="DS80" s="154">
        <f t="shared" si="271"/>
        <v>0</v>
      </c>
      <c r="DT80" s="154">
        <f t="shared" si="331"/>
        <v>0</v>
      </c>
      <c r="DU80" s="154">
        <f t="shared" si="272"/>
        <v>0</v>
      </c>
      <c r="DV80" s="154">
        <f t="shared" si="332"/>
        <v>0</v>
      </c>
      <c r="DW80" s="154">
        <f t="shared" si="273"/>
        <v>0</v>
      </c>
      <c r="DX80" s="154">
        <f t="shared" si="333"/>
        <v>0</v>
      </c>
      <c r="DY80" s="154">
        <f t="shared" si="274"/>
        <v>0</v>
      </c>
      <c r="DZ80" s="154">
        <f t="shared" si="334"/>
        <v>0</v>
      </c>
      <c r="EA80" s="154">
        <f t="shared" si="275"/>
        <v>0</v>
      </c>
      <c r="EB80" s="157">
        <f t="shared" si="335"/>
        <v>0</v>
      </c>
      <c r="EC80" s="154">
        <f t="shared" si="336"/>
        <v>0</v>
      </c>
      <c r="ED80" s="158">
        <f t="shared" si="337"/>
        <v>0</v>
      </c>
    </row>
    <row r="81" spans="1:134" x14ac:dyDescent="0.35">
      <c r="A81" s="172"/>
      <c r="B81" s="173"/>
      <c r="C81" s="174"/>
      <c r="D81" s="175"/>
      <c r="E81" s="176"/>
      <c r="F81" s="177"/>
      <c r="G81" s="178"/>
      <c r="H81" s="179"/>
      <c r="I81" s="180"/>
      <c r="J81" s="181"/>
      <c r="K81" s="152">
        <f t="shared" si="338"/>
        <v>0</v>
      </c>
      <c r="L81" s="153">
        <f t="shared" si="339"/>
        <v>0</v>
      </c>
      <c r="M81" s="154">
        <f t="shared" si="340"/>
        <v>0</v>
      </c>
      <c r="N81" s="154"/>
      <c r="O81" s="154">
        <f t="shared" si="341"/>
        <v>0</v>
      </c>
      <c r="P81" s="155"/>
      <c r="Q81" s="154">
        <f t="shared" si="342"/>
        <v>0</v>
      </c>
      <c r="R81" s="156">
        <f t="shared" si="343"/>
        <v>0</v>
      </c>
      <c r="S81" s="154">
        <f t="shared" si="344"/>
        <v>0</v>
      </c>
      <c r="T81" s="154">
        <f t="shared" si="345"/>
        <v>0</v>
      </c>
      <c r="U81" s="154">
        <f t="shared" si="346"/>
        <v>0</v>
      </c>
      <c r="V81" s="154">
        <f t="shared" si="347"/>
        <v>0</v>
      </c>
      <c r="W81" s="154">
        <f t="shared" si="348"/>
        <v>0</v>
      </c>
      <c r="X81" s="154">
        <f t="shared" si="349"/>
        <v>0</v>
      </c>
      <c r="Y81" s="154">
        <f t="shared" si="350"/>
        <v>0</v>
      </c>
      <c r="Z81" s="154">
        <f t="shared" si="351"/>
        <v>0</v>
      </c>
      <c r="AA81" s="154">
        <f t="shared" si="352"/>
        <v>0</v>
      </c>
      <c r="AB81" s="157">
        <f t="shared" si="353"/>
        <v>0</v>
      </c>
      <c r="AC81" s="154">
        <f t="shared" si="354"/>
        <v>0</v>
      </c>
      <c r="AD81" s="158">
        <f t="shared" si="355"/>
        <v>0</v>
      </c>
      <c r="AE81" s="156">
        <f t="shared" si="280"/>
        <v>0</v>
      </c>
      <c r="AF81" s="154">
        <f t="shared" si="235"/>
        <v>0</v>
      </c>
      <c r="AG81" s="154">
        <f t="shared" si="281"/>
        <v>0</v>
      </c>
      <c r="AH81" s="154">
        <f t="shared" si="236"/>
        <v>0</v>
      </c>
      <c r="AI81" s="154">
        <f t="shared" si="282"/>
        <v>0</v>
      </c>
      <c r="AJ81" s="154">
        <f t="shared" si="237"/>
        <v>0</v>
      </c>
      <c r="AK81" s="154">
        <f t="shared" si="283"/>
        <v>0</v>
      </c>
      <c r="AL81" s="154">
        <f t="shared" si="238"/>
        <v>0</v>
      </c>
      <c r="AM81" s="154">
        <f t="shared" si="284"/>
        <v>0</v>
      </c>
      <c r="AN81" s="154">
        <f t="shared" si="239"/>
        <v>0</v>
      </c>
      <c r="AO81" s="157">
        <f t="shared" si="285"/>
        <v>0</v>
      </c>
      <c r="AP81" s="154">
        <f t="shared" si="286"/>
        <v>0</v>
      </c>
      <c r="AQ81" s="158">
        <f t="shared" si="287"/>
        <v>0</v>
      </c>
      <c r="AR81" s="156">
        <f t="shared" si="280"/>
        <v>0</v>
      </c>
      <c r="AS81" s="154">
        <f t="shared" si="240"/>
        <v>0</v>
      </c>
      <c r="AT81" s="154">
        <f t="shared" si="288"/>
        <v>0</v>
      </c>
      <c r="AU81" s="154">
        <f t="shared" si="241"/>
        <v>0</v>
      </c>
      <c r="AV81" s="154">
        <f t="shared" si="289"/>
        <v>0</v>
      </c>
      <c r="AW81" s="154">
        <f t="shared" si="242"/>
        <v>0</v>
      </c>
      <c r="AX81" s="154">
        <f t="shared" si="290"/>
        <v>0</v>
      </c>
      <c r="AY81" s="154">
        <f t="shared" si="243"/>
        <v>0</v>
      </c>
      <c r="AZ81" s="154">
        <f t="shared" si="291"/>
        <v>0</v>
      </c>
      <c r="BA81" s="154">
        <f t="shared" si="244"/>
        <v>0</v>
      </c>
      <c r="BB81" s="157">
        <f t="shared" si="292"/>
        <v>0</v>
      </c>
      <c r="BC81" s="154">
        <f t="shared" si="293"/>
        <v>0</v>
      </c>
      <c r="BD81" s="158">
        <f t="shared" si="294"/>
        <v>0</v>
      </c>
      <c r="BE81" s="156">
        <f t="shared" si="280"/>
        <v>0</v>
      </c>
      <c r="BF81" s="154">
        <f t="shared" si="245"/>
        <v>0</v>
      </c>
      <c r="BG81" s="154">
        <f t="shared" si="295"/>
        <v>0</v>
      </c>
      <c r="BH81" s="154">
        <f t="shared" si="246"/>
        <v>0</v>
      </c>
      <c r="BI81" s="154">
        <f t="shared" si="296"/>
        <v>0</v>
      </c>
      <c r="BJ81" s="154">
        <f t="shared" si="247"/>
        <v>0</v>
      </c>
      <c r="BK81" s="154">
        <f t="shared" si="297"/>
        <v>0</v>
      </c>
      <c r="BL81" s="154">
        <f t="shared" si="248"/>
        <v>0</v>
      </c>
      <c r="BM81" s="154">
        <f t="shared" si="298"/>
        <v>0</v>
      </c>
      <c r="BN81" s="154">
        <f t="shared" si="249"/>
        <v>0</v>
      </c>
      <c r="BO81" s="157">
        <f t="shared" si="299"/>
        <v>0</v>
      </c>
      <c r="BP81" s="154">
        <f t="shared" si="300"/>
        <v>0</v>
      </c>
      <c r="BQ81" s="158">
        <f t="shared" si="301"/>
        <v>0</v>
      </c>
      <c r="BR81" s="156">
        <f t="shared" si="280"/>
        <v>0</v>
      </c>
      <c r="BS81" s="154">
        <f t="shared" si="250"/>
        <v>0</v>
      </c>
      <c r="BT81" s="154">
        <f t="shared" si="302"/>
        <v>0</v>
      </c>
      <c r="BU81" s="154">
        <f t="shared" si="251"/>
        <v>0</v>
      </c>
      <c r="BV81" s="154">
        <f t="shared" si="303"/>
        <v>0</v>
      </c>
      <c r="BW81" s="154">
        <f t="shared" si="252"/>
        <v>0</v>
      </c>
      <c r="BX81" s="154">
        <f t="shared" si="304"/>
        <v>0</v>
      </c>
      <c r="BY81" s="154">
        <f t="shared" si="253"/>
        <v>0</v>
      </c>
      <c r="BZ81" s="154">
        <f t="shared" si="305"/>
        <v>0</v>
      </c>
      <c r="CA81" s="154">
        <f t="shared" si="254"/>
        <v>0</v>
      </c>
      <c r="CB81" s="157">
        <f t="shared" si="306"/>
        <v>0</v>
      </c>
      <c r="CC81" s="154">
        <f t="shared" si="307"/>
        <v>0</v>
      </c>
      <c r="CD81" s="158">
        <f t="shared" si="308"/>
        <v>0</v>
      </c>
      <c r="CE81" s="156">
        <f t="shared" si="280"/>
        <v>0</v>
      </c>
      <c r="CF81" s="154">
        <f t="shared" si="255"/>
        <v>0</v>
      </c>
      <c r="CG81" s="154">
        <f t="shared" si="309"/>
        <v>0</v>
      </c>
      <c r="CH81" s="154">
        <f t="shared" si="256"/>
        <v>0</v>
      </c>
      <c r="CI81" s="154">
        <f t="shared" si="310"/>
        <v>0</v>
      </c>
      <c r="CJ81" s="154">
        <f t="shared" si="257"/>
        <v>0</v>
      </c>
      <c r="CK81" s="154">
        <f t="shared" si="311"/>
        <v>0</v>
      </c>
      <c r="CL81" s="154">
        <f t="shared" si="258"/>
        <v>0</v>
      </c>
      <c r="CM81" s="154">
        <f t="shared" si="312"/>
        <v>0</v>
      </c>
      <c r="CN81" s="154">
        <f t="shared" si="259"/>
        <v>0</v>
      </c>
      <c r="CO81" s="157">
        <f t="shared" si="313"/>
        <v>0</v>
      </c>
      <c r="CP81" s="154">
        <f t="shared" si="314"/>
        <v>0</v>
      </c>
      <c r="CQ81" s="158">
        <f t="shared" si="315"/>
        <v>0</v>
      </c>
      <c r="CR81" s="156">
        <f t="shared" si="316"/>
        <v>0</v>
      </c>
      <c r="CS81" s="154">
        <f t="shared" si="261"/>
        <v>0</v>
      </c>
      <c r="CT81" s="154">
        <f t="shared" si="317"/>
        <v>0</v>
      </c>
      <c r="CU81" s="154">
        <f t="shared" si="262"/>
        <v>0</v>
      </c>
      <c r="CV81" s="154">
        <f t="shared" si="318"/>
        <v>0</v>
      </c>
      <c r="CW81" s="154">
        <f t="shared" si="263"/>
        <v>0</v>
      </c>
      <c r="CX81" s="154">
        <f t="shared" si="319"/>
        <v>0</v>
      </c>
      <c r="CY81" s="154">
        <f t="shared" si="264"/>
        <v>0</v>
      </c>
      <c r="CZ81" s="154">
        <f t="shared" si="320"/>
        <v>0</v>
      </c>
      <c r="DA81" s="154">
        <f t="shared" si="265"/>
        <v>0</v>
      </c>
      <c r="DB81" s="157">
        <f t="shared" si="321"/>
        <v>0</v>
      </c>
      <c r="DC81" s="154">
        <f t="shared" si="322"/>
        <v>0</v>
      </c>
      <c r="DD81" s="158">
        <f t="shared" si="323"/>
        <v>0</v>
      </c>
      <c r="DE81" s="156">
        <f t="shared" si="316"/>
        <v>0</v>
      </c>
      <c r="DF81" s="154">
        <f t="shared" si="266"/>
        <v>0</v>
      </c>
      <c r="DG81" s="154">
        <f t="shared" si="324"/>
        <v>0</v>
      </c>
      <c r="DH81" s="154">
        <f t="shared" si="267"/>
        <v>0</v>
      </c>
      <c r="DI81" s="154">
        <f t="shared" si="325"/>
        <v>0</v>
      </c>
      <c r="DJ81" s="154">
        <f t="shared" si="268"/>
        <v>0</v>
      </c>
      <c r="DK81" s="154">
        <f t="shared" si="326"/>
        <v>0</v>
      </c>
      <c r="DL81" s="154">
        <f t="shared" si="269"/>
        <v>0</v>
      </c>
      <c r="DM81" s="154">
        <f t="shared" si="327"/>
        <v>0</v>
      </c>
      <c r="DN81" s="154">
        <f t="shared" si="270"/>
        <v>0</v>
      </c>
      <c r="DO81" s="157">
        <f t="shared" si="328"/>
        <v>0</v>
      </c>
      <c r="DP81" s="154">
        <f t="shared" si="329"/>
        <v>0</v>
      </c>
      <c r="DQ81" s="158">
        <f t="shared" si="330"/>
        <v>0</v>
      </c>
      <c r="DR81" s="156">
        <f t="shared" si="316"/>
        <v>0</v>
      </c>
      <c r="DS81" s="154">
        <f t="shared" si="271"/>
        <v>0</v>
      </c>
      <c r="DT81" s="154">
        <f t="shared" si="331"/>
        <v>0</v>
      </c>
      <c r="DU81" s="154">
        <f t="shared" si="272"/>
        <v>0</v>
      </c>
      <c r="DV81" s="154">
        <f t="shared" si="332"/>
        <v>0</v>
      </c>
      <c r="DW81" s="154">
        <f t="shared" si="273"/>
        <v>0</v>
      </c>
      <c r="DX81" s="154">
        <f t="shared" si="333"/>
        <v>0</v>
      </c>
      <c r="DY81" s="154">
        <f t="shared" si="274"/>
        <v>0</v>
      </c>
      <c r="DZ81" s="154">
        <f t="shared" si="334"/>
        <v>0</v>
      </c>
      <c r="EA81" s="154">
        <f t="shared" si="275"/>
        <v>0</v>
      </c>
      <c r="EB81" s="157">
        <f t="shared" si="335"/>
        <v>0</v>
      </c>
      <c r="EC81" s="154">
        <f t="shared" si="336"/>
        <v>0</v>
      </c>
      <c r="ED81" s="158">
        <f t="shared" si="337"/>
        <v>0</v>
      </c>
    </row>
    <row r="82" spans="1:134" x14ac:dyDescent="0.35">
      <c r="A82" s="172"/>
      <c r="B82" s="173"/>
      <c r="C82" s="174"/>
      <c r="D82" s="175"/>
      <c r="E82" s="176"/>
      <c r="F82" s="177"/>
      <c r="G82" s="178"/>
      <c r="H82" s="179"/>
      <c r="I82" s="180"/>
      <c r="J82" s="181"/>
      <c r="K82" s="152">
        <f t="shared" si="338"/>
        <v>0</v>
      </c>
      <c r="L82" s="153">
        <f t="shared" si="339"/>
        <v>0</v>
      </c>
      <c r="M82" s="154">
        <f t="shared" si="340"/>
        <v>0</v>
      </c>
      <c r="N82" s="154"/>
      <c r="O82" s="154">
        <f t="shared" si="341"/>
        <v>0</v>
      </c>
      <c r="P82" s="155"/>
      <c r="Q82" s="154">
        <f t="shared" si="342"/>
        <v>0</v>
      </c>
      <c r="R82" s="156">
        <f t="shared" si="343"/>
        <v>0</v>
      </c>
      <c r="S82" s="154">
        <f t="shared" si="344"/>
        <v>0</v>
      </c>
      <c r="T82" s="154">
        <f t="shared" si="345"/>
        <v>0</v>
      </c>
      <c r="U82" s="154">
        <f t="shared" si="346"/>
        <v>0</v>
      </c>
      <c r="V82" s="154">
        <f t="shared" si="347"/>
        <v>0</v>
      </c>
      <c r="W82" s="154">
        <f t="shared" si="348"/>
        <v>0</v>
      </c>
      <c r="X82" s="154">
        <f t="shared" si="349"/>
        <v>0</v>
      </c>
      <c r="Y82" s="154">
        <f t="shared" si="350"/>
        <v>0</v>
      </c>
      <c r="Z82" s="154">
        <f t="shared" si="351"/>
        <v>0</v>
      </c>
      <c r="AA82" s="154">
        <f t="shared" si="352"/>
        <v>0</v>
      </c>
      <c r="AB82" s="157">
        <f t="shared" si="353"/>
        <v>0</v>
      </c>
      <c r="AC82" s="154">
        <f t="shared" si="354"/>
        <v>0</v>
      </c>
      <c r="AD82" s="158">
        <f t="shared" si="355"/>
        <v>0</v>
      </c>
      <c r="AE82" s="156">
        <f t="shared" si="280"/>
        <v>0</v>
      </c>
      <c r="AF82" s="154">
        <f t="shared" si="235"/>
        <v>0</v>
      </c>
      <c r="AG82" s="154">
        <f t="shared" si="281"/>
        <v>0</v>
      </c>
      <c r="AH82" s="154">
        <f t="shared" si="236"/>
        <v>0</v>
      </c>
      <c r="AI82" s="154">
        <f t="shared" si="282"/>
        <v>0</v>
      </c>
      <c r="AJ82" s="154">
        <f t="shared" si="237"/>
        <v>0</v>
      </c>
      <c r="AK82" s="154">
        <f t="shared" si="283"/>
        <v>0</v>
      </c>
      <c r="AL82" s="154">
        <f t="shared" si="238"/>
        <v>0</v>
      </c>
      <c r="AM82" s="154">
        <f t="shared" si="284"/>
        <v>0</v>
      </c>
      <c r="AN82" s="154">
        <f t="shared" si="239"/>
        <v>0</v>
      </c>
      <c r="AO82" s="157">
        <f t="shared" si="285"/>
        <v>0</v>
      </c>
      <c r="AP82" s="154">
        <f t="shared" si="286"/>
        <v>0</v>
      </c>
      <c r="AQ82" s="158">
        <f t="shared" si="287"/>
        <v>0</v>
      </c>
      <c r="AR82" s="156">
        <f t="shared" si="280"/>
        <v>0</v>
      </c>
      <c r="AS82" s="154">
        <f t="shared" si="240"/>
        <v>0</v>
      </c>
      <c r="AT82" s="154">
        <f t="shared" si="288"/>
        <v>0</v>
      </c>
      <c r="AU82" s="154">
        <f t="shared" si="241"/>
        <v>0</v>
      </c>
      <c r="AV82" s="154">
        <f t="shared" si="289"/>
        <v>0</v>
      </c>
      <c r="AW82" s="154">
        <f t="shared" si="242"/>
        <v>0</v>
      </c>
      <c r="AX82" s="154">
        <f t="shared" si="290"/>
        <v>0</v>
      </c>
      <c r="AY82" s="154">
        <f t="shared" si="243"/>
        <v>0</v>
      </c>
      <c r="AZ82" s="154">
        <f t="shared" si="291"/>
        <v>0</v>
      </c>
      <c r="BA82" s="154">
        <f t="shared" si="244"/>
        <v>0</v>
      </c>
      <c r="BB82" s="157">
        <f t="shared" si="292"/>
        <v>0</v>
      </c>
      <c r="BC82" s="154">
        <f t="shared" si="293"/>
        <v>0</v>
      </c>
      <c r="BD82" s="158">
        <f t="shared" si="294"/>
        <v>0</v>
      </c>
      <c r="BE82" s="156">
        <f t="shared" si="280"/>
        <v>0</v>
      </c>
      <c r="BF82" s="154">
        <f t="shared" si="245"/>
        <v>0</v>
      </c>
      <c r="BG82" s="154">
        <f t="shared" si="295"/>
        <v>0</v>
      </c>
      <c r="BH82" s="154">
        <f t="shared" si="246"/>
        <v>0</v>
      </c>
      <c r="BI82" s="154">
        <f t="shared" si="296"/>
        <v>0</v>
      </c>
      <c r="BJ82" s="154">
        <f t="shared" si="247"/>
        <v>0</v>
      </c>
      <c r="BK82" s="154">
        <f t="shared" si="297"/>
        <v>0</v>
      </c>
      <c r="BL82" s="154">
        <f t="shared" si="248"/>
        <v>0</v>
      </c>
      <c r="BM82" s="154">
        <f t="shared" si="298"/>
        <v>0</v>
      </c>
      <c r="BN82" s="154">
        <f t="shared" si="249"/>
        <v>0</v>
      </c>
      <c r="BO82" s="157">
        <f t="shared" si="299"/>
        <v>0</v>
      </c>
      <c r="BP82" s="154">
        <f t="shared" si="300"/>
        <v>0</v>
      </c>
      <c r="BQ82" s="158">
        <f t="shared" si="301"/>
        <v>0</v>
      </c>
      <c r="BR82" s="156">
        <f t="shared" si="280"/>
        <v>0</v>
      </c>
      <c r="BS82" s="154">
        <f t="shared" si="250"/>
        <v>0</v>
      </c>
      <c r="BT82" s="154">
        <f t="shared" si="302"/>
        <v>0</v>
      </c>
      <c r="BU82" s="154">
        <f t="shared" si="251"/>
        <v>0</v>
      </c>
      <c r="BV82" s="154">
        <f t="shared" si="303"/>
        <v>0</v>
      </c>
      <c r="BW82" s="154">
        <f t="shared" si="252"/>
        <v>0</v>
      </c>
      <c r="BX82" s="154">
        <f t="shared" si="304"/>
        <v>0</v>
      </c>
      <c r="BY82" s="154">
        <f t="shared" si="253"/>
        <v>0</v>
      </c>
      <c r="BZ82" s="154">
        <f t="shared" si="305"/>
        <v>0</v>
      </c>
      <c r="CA82" s="154">
        <f t="shared" si="254"/>
        <v>0</v>
      </c>
      <c r="CB82" s="157">
        <f t="shared" si="306"/>
        <v>0</v>
      </c>
      <c r="CC82" s="154">
        <f t="shared" si="307"/>
        <v>0</v>
      </c>
      <c r="CD82" s="158">
        <f t="shared" si="308"/>
        <v>0</v>
      </c>
      <c r="CE82" s="156">
        <f t="shared" si="280"/>
        <v>0</v>
      </c>
      <c r="CF82" s="154">
        <f t="shared" si="255"/>
        <v>0</v>
      </c>
      <c r="CG82" s="154">
        <f t="shared" si="309"/>
        <v>0</v>
      </c>
      <c r="CH82" s="154">
        <f t="shared" si="256"/>
        <v>0</v>
      </c>
      <c r="CI82" s="154">
        <f t="shared" si="310"/>
        <v>0</v>
      </c>
      <c r="CJ82" s="154">
        <f t="shared" si="257"/>
        <v>0</v>
      </c>
      <c r="CK82" s="154">
        <f t="shared" si="311"/>
        <v>0</v>
      </c>
      <c r="CL82" s="154">
        <f t="shared" si="258"/>
        <v>0</v>
      </c>
      <c r="CM82" s="154">
        <f t="shared" si="312"/>
        <v>0</v>
      </c>
      <c r="CN82" s="154">
        <f t="shared" si="259"/>
        <v>0</v>
      </c>
      <c r="CO82" s="157">
        <f t="shared" si="313"/>
        <v>0</v>
      </c>
      <c r="CP82" s="154">
        <f t="shared" si="314"/>
        <v>0</v>
      </c>
      <c r="CQ82" s="158">
        <f t="shared" si="315"/>
        <v>0</v>
      </c>
      <c r="CR82" s="156">
        <f t="shared" si="316"/>
        <v>0</v>
      </c>
      <c r="CS82" s="154">
        <f t="shared" si="261"/>
        <v>0</v>
      </c>
      <c r="CT82" s="154">
        <f t="shared" si="317"/>
        <v>0</v>
      </c>
      <c r="CU82" s="154">
        <f t="shared" si="262"/>
        <v>0</v>
      </c>
      <c r="CV82" s="154">
        <f t="shared" si="318"/>
        <v>0</v>
      </c>
      <c r="CW82" s="154">
        <f t="shared" si="263"/>
        <v>0</v>
      </c>
      <c r="CX82" s="154">
        <f t="shared" si="319"/>
        <v>0</v>
      </c>
      <c r="CY82" s="154">
        <f t="shared" si="264"/>
        <v>0</v>
      </c>
      <c r="CZ82" s="154">
        <f t="shared" si="320"/>
        <v>0</v>
      </c>
      <c r="DA82" s="154">
        <f t="shared" si="265"/>
        <v>0</v>
      </c>
      <c r="DB82" s="157">
        <f t="shared" si="321"/>
        <v>0</v>
      </c>
      <c r="DC82" s="154">
        <f t="shared" si="322"/>
        <v>0</v>
      </c>
      <c r="DD82" s="158">
        <f t="shared" si="323"/>
        <v>0</v>
      </c>
      <c r="DE82" s="156">
        <f t="shared" si="316"/>
        <v>0</v>
      </c>
      <c r="DF82" s="154">
        <f t="shared" si="266"/>
        <v>0</v>
      </c>
      <c r="DG82" s="154">
        <f t="shared" si="324"/>
        <v>0</v>
      </c>
      <c r="DH82" s="154">
        <f t="shared" si="267"/>
        <v>0</v>
      </c>
      <c r="DI82" s="154">
        <f t="shared" si="325"/>
        <v>0</v>
      </c>
      <c r="DJ82" s="154">
        <f t="shared" si="268"/>
        <v>0</v>
      </c>
      <c r="DK82" s="154">
        <f t="shared" si="326"/>
        <v>0</v>
      </c>
      <c r="DL82" s="154">
        <f t="shared" si="269"/>
        <v>0</v>
      </c>
      <c r="DM82" s="154">
        <f t="shared" si="327"/>
        <v>0</v>
      </c>
      <c r="DN82" s="154">
        <f t="shared" si="270"/>
        <v>0</v>
      </c>
      <c r="DO82" s="157">
        <f t="shared" si="328"/>
        <v>0</v>
      </c>
      <c r="DP82" s="154">
        <f t="shared" si="329"/>
        <v>0</v>
      </c>
      <c r="DQ82" s="158">
        <f t="shared" si="330"/>
        <v>0</v>
      </c>
      <c r="DR82" s="156">
        <f t="shared" si="316"/>
        <v>0</v>
      </c>
      <c r="DS82" s="154">
        <f t="shared" si="271"/>
        <v>0</v>
      </c>
      <c r="DT82" s="154">
        <f t="shared" si="331"/>
        <v>0</v>
      </c>
      <c r="DU82" s="154">
        <f t="shared" si="272"/>
        <v>0</v>
      </c>
      <c r="DV82" s="154">
        <f t="shared" si="332"/>
        <v>0</v>
      </c>
      <c r="DW82" s="154">
        <f t="shared" si="273"/>
        <v>0</v>
      </c>
      <c r="DX82" s="154">
        <f t="shared" si="333"/>
        <v>0</v>
      </c>
      <c r="DY82" s="154">
        <f t="shared" si="274"/>
        <v>0</v>
      </c>
      <c r="DZ82" s="154">
        <f t="shared" si="334"/>
        <v>0</v>
      </c>
      <c r="EA82" s="154">
        <f t="shared" si="275"/>
        <v>0</v>
      </c>
      <c r="EB82" s="157">
        <f t="shared" si="335"/>
        <v>0</v>
      </c>
      <c r="EC82" s="154">
        <f t="shared" si="336"/>
        <v>0</v>
      </c>
      <c r="ED82" s="158">
        <f t="shared" si="337"/>
        <v>0</v>
      </c>
    </row>
    <row r="83" spans="1:134" x14ac:dyDescent="0.35">
      <c r="A83" s="172"/>
      <c r="B83" s="173"/>
      <c r="C83" s="174"/>
      <c r="D83" s="175"/>
      <c r="E83" s="176"/>
      <c r="F83" s="177"/>
      <c r="G83" s="178"/>
      <c r="H83" s="179"/>
      <c r="I83" s="180"/>
      <c r="J83" s="181"/>
      <c r="K83" s="152">
        <f t="shared" si="338"/>
        <v>0</v>
      </c>
      <c r="L83" s="153">
        <f t="shared" si="339"/>
        <v>0</v>
      </c>
      <c r="M83" s="154">
        <f t="shared" si="340"/>
        <v>0</v>
      </c>
      <c r="N83" s="154"/>
      <c r="O83" s="154">
        <f t="shared" si="341"/>
        <v>0</v>
      </c>
      <c r="P83" s="155"/>
      <c r="Q83" s="154">
        <f t="shared" si="342"/>
        <v>0</v>
      </c>
      <c r="R83" s="156">
        <f t="shared" si="343"/>
        <v>0</v>
      </c>
      <c r="S83" s="154">
        <f t="shared" si="344"/>
        <v>0</v>
      </c>
      <c r="T83" s="154">
        <f t="shared" si="345"/>
        <v>0</v>
      </c>
      <c r="U83" s="154">
        <f t="shared" si="346"/>
        <v>0</v>
      </c>
      <c r="V83" s="154">
        <f t="shared" si="347"/>
        <v>0</v>
      </c>
      <c r="W83" s="154">
        <f t="shared" si="348"/>
        <v>0</v>
      </c>
      <c r="X83" s="154">
        <f t="shared" si="349"/>
        <v>0</v>
      </c>
      <c r="Y83" s="154">
        <f t="shared" si="350"/>
        <v>0</v>
      </c>
      <c r="Z83" s="154">
        <f t="shared" si="351"/>
        <v>0</v>
      </c>
      <c r="AA83" s="154">
        <f t="shared" si="352"/>
        <v>0</v>
      </c>
      <c r="AB83" s="157">
        <f t="shared" si="353"/>
        <v>0</v>
      </c>
      <c r="AC83" s="154">
        <f t="shared" si="354"/>
        <v>0</v>
      </c>
      <c r="AD83" s="158">
        <f t="shared" si="355"/>
        <v>0</v>
      </c>
      <c r="AE83" s="156">
        <f t="shared" si="280"/>
        <v>0</v>
      </c>
      <c r="AF83" s="154">
        <f t="shared" si="235"/>
        <v>0</v>
      </c>
      <c r="AG83" s="154">
        <f t="shared" si="281"/>
        <v>0</v>
      </c>
      <c r="AH83" s="154">
        <f t="shared" si="236"/>
        <v>0</v>
      </c>
      <c r="AI83" s="154">
        <f t="shared" si="282"/>
        <v>0</v>
      </c>
      <c r="AJ83" s="154">
        <f t="shared" si="237"/>
        <v>0</v>
      </c>
      <c r="AK83" s="154">
        <f t="shared" si="283"/>
        <v>0</v>
      </c>
      <c r="AL83" s="154">
        <f t="shared" si="238"/>
        <v>0</v>
      </c>
      <c r="AM83" s="154">
        <f t="shared" si="284"/>
        <v>0</v>
      </c>
      <c r="AN83" s="154">
        <f t="shared" si="239"/>
        <v>0</v>
      </c>
      <c r="AO83" s="157">
        <f t="shared" si="285"/>
        <v>0</v>
      </c>
      <c r="AP83" s="154">
        <f t="shared" si="286"/>
        <v>0</v>
      </c>
      <c r="AQ83" s="158">
        <f t="shared" si="287"/>
        <v>0</v>
      </c>
      <c r="AR83" s="156">
        <f t="shared" si="280"/>
        <v>0</v>
      </c>
      <c r="AS83" s="154">
        <f t="shared" si="240"/>
        <v>0</v>
      </c>
      <c r="AT83" s="154">
        <f t="shared" si="288"/>
        <v>0</v>
      </c>
      <c r="AU83" s="154">
        <f t="shared" si="241"/>
        <v>0</v>
      </c>
      <c r="AV83" s="154">
        <f t="shared" si="289"/>
        <v>0</v>
      </c>
      <c r="AW83" s="154">
        <f t="shared" si="242"/>
        <v>0</v>
      </c>
      <c r="AX83" s="154">
        <f t="shared" si="290"/>
        <v>0</v>
      </c>
      <c r="AY83" s="154">
        <f t="shared" si="243"/>
        <v>0</v>
      </c>
      <c r="AZ83" s="154">
        <f t="shared" si="291"/>
        <v>0</v>
      </c>
      <c r="BA83" s="154">
        <f t="shared" si="244"/>
        <v>0</v>
      </c>
      <c r="BB83" s="157">
        <f t="shared" si="292"/>
        <v>0</v>
      </c>
      <c r="BC83" s="154">
        <f t="shared" si="293"/>
        <v>0</v>
      </c>
      <c r="BD83" s="158">
        <f t="shared" si="294"/>
        <v>0</v>
      </c>
      <c r="BE83" s="156">
        <f t="shared" si="280"/>
        <v>0</v>
      </c>
      <c r="BF83" s="154">
        <f t="shared" si="245"/>
        <v>0</v>
      </c>
      <c r="BG83" s="154">
        <f t="shared" si="295"/>
        <v>0</v>
      </c>
      <c r="BH83" s="154">
        <f t="shared" si="246"/>
        <v>0</v>
      </c>
      <c r="BI83" s="154">
        <f t="shared" si="296"/>
        <v>0</v>
      </c>
      <c r="BJ83" s="154">
        <f t="shared" si="247"/>
        <v>0</v>
      </c>
      <c r="BK83" s="154">
        <f t="shared" si="297"/>
        <v>0</v>
      </c>
      <c r="BL83" s="154">
        <f t="shared" si="248"/>
        <v>0</v>
      </c>
      <c r="BM83" s="154">
        <f t="shared" si="298"/>
        <v>0</v>
      </c>
      <c r="BN83" s="154">
        <f t="shared" si="249"/>
        <v>0</v>
      </c>
      <c r="BO83" s="157">
        <f t="shared" si="299"/>
        <v>0</v>
      </c>
      <c r="BP83" s="154">
        <f t="shared" si="300"/>
        <v>0</v>
      </c>
      <c r="BQ83" s="158">
        <f t="shared" si="301"/>
        <v>0</v>
      </c>
      <c r="BR83" s="156">
        <f t="shared" si="280"/>
        <v>0</v>
      </c>
      <c r="BS83" s="154">
        <f t="shared" si="250"/>
        <v>0</v>
      </c>
      <c r="BT83" s="154">
        <f t="shared" si="302"/>
        <v>0</v>
      </c>
      <c r="BU83" s="154">
        <f t="shared" si="251"/>
        <v>0</v>
      </c>
      <c r="BV83" s="154">
        <f t="shared" si="303"/>
        <v>0</v>
      </c>
      <c r="BW83" s="154">
        <f t="shared" si="252"/>
        <v>0</v>
      </c>
      <c r="BX83" s="154">
        <f t="shared" si="304"/>
        <v>0</v>
      </c>
      <c r="BY83" s="154">
        <f t="shared" si="253"/>
        <v>0</v>
      </c>
      <c r="BZ83" s="154">
        <f t="shared" si="305"/>
        <v>0</v>
      </c>
      <c r="CA83" s="154">
        <f t="shared" si="254"/>
        <v>0</v>
      </c>
      <c r="CB83" s="157">
        <f t="shared" si="306"/>
        <v>0</v>
      </c>
      <c r="CC83" s="154">
        <f t="shared" si="307"/>
        <v>0</v>
      </c>
      <c r="CD83" s="158">
        <f t="shared" si="308"/>
        <v>0</v>
      </c>
      <c r="CE83" s="156">
        <f t="shared" si="280"/>
        <v>0</v>
      </c>
      <c r="CF83" s="154">
        <f t="shared" si="255"/>
        <v>0</v>
      </c>
      <c r="CG83" s="154">
        <f t="shared" si="309"/>
        <v>0</v>
      </c>
      <c r="CH83" s="154">
        <f t="shared" si="256"/>
        <v>0</v>
      </c>
      <c r="CI83" s="154">
        <f t="shared" si="310"/>
        <v>0</v>
      </c>
      <c r="CJ83" s="154">
        <f t="shared" si="257"/>
        <v>0</v>
      </c>
      <c r="CK83" s="154">
        <f t="shared" si="311"/>
        <v>0</v>
      </c>
      <c r="CL83" s="154">
        <f t="shared" si="258"/>
        <v>0</v>
      </c>
      <c r="CM83" s="154">
        <f t="shared" si="312"/>
        <v>0</v>
      </c>
      <c r="CN83" s="154">
        <f t="shared" si="259"/>
        <v>0</v>
      </c>
      <c r="CO83" s="157">
        <f t="shared" si="313"/>
        <v>0</v>
      </c>
      <c r="CP83" s="154">
        <f t="shared" si="314"/>
        <v>0</v>
      </c>
      <c r="CQ83" s="158">
        <f t="shared" si="315"/>
        <v>0</v>
      </c>
      <c r="CR83" s="156">
        <f t="shared" si="316"/>
        <v>0</v>
      </c>
      <c r="CS83" s="154">
        <f t="shared" si="261"/>
        <v>0</v>
      </c>
      <c r="CT83" s="154">
        <f t="shared" si="317"/>
        <v>0</v>
      </c>
      <c r="CU83" s="154">
        <f t="shared" si="262"/>
        <v>0</v>
      </c>
      <c r="CV83" s="154">
        <f t="shared" si="318"/>
        <v>0</v>
      </c>
      <c r="CW83" s="154">
        <f t="shared" si="263"/>
        <v>0</v>
      </c>
      <c r="CX83" s="154">
        <f t="shared" si="319"/>
        <v>0</v>
      </c>
      <c r="CY83" s="154">
        <f t="shared" si="264"/>
        <v>0</v>
      </c>
      <c r="CZ83" s="154">
        <f t="shared" si="320"/>
        <v>0</v>
      </c>
      <c r="DA83" s="154">
        <f t="shared" si="265"/>
        <v>0</v>
      </c>
      <c r="DB83" s="157">
        <f t="shared" si="321"/>
        <v>0</v>
      </c>
      <c r="DC83" s="154">
        <f t="shared" si="322"/>
        <v>0</v>
      </c>
      <c r="DD83" s="158">
        <f t="shared" si="323"/>
        <v>0</v>
      </c>
      <c r="DE83" s="156">
        <f t="shared" si="316"/>
        <v>0</v>
      </c>
      <c r="DF83" s="154">
        <f t="shared" si="266"/>
        <v>0</v>
      </c>
      <c r="DG83" s="154">
        <f t="shared" si="324"/>
        <v>0</v>
      </c>
      <c r="DH83" s="154">
        <f t="shared" si="267"/>
        <v>0</v>
      </c>
      <c r="DI83" s="154">
        <f t="shared" si="325"/>
        <v>0</v>
      </c>
      <c r="DJ83" s="154">
        <f t="shared" si="268"/>
        <v>0</v>
      </c>
      <c r="DK83" s="154">
        <f t="shared" si="326"/>
        <v>0</v>
      </c>
      <c r="DL83" s="154">
        <f t="shared" si="269"/>
        <v>0</v>
      </c>
      <c r="DM83" s="154">
        <f t="shared" si="327"/>
        <v>0</v>
      </c>
      <c r="DN83" s="154">
        <f t="shared" si="270"/>
        <v>0</v>
      </c>
      <c r="DO83" s="157">
        <f t="shared" si="328"/>
        <v>0</v>
      </c>
      <c r="DP83" s="154">
        <f t="shared" si="329"/>
        <v>0</v>
      </c>
      <c r="DQ83" s="158">
        <f t="shared" si="330"/>
        <v>0</v>
      </c>
      <c r="DR83" s="156">
        <f t="shared" si="316"/>
        <v>0</v>
      </c>
      <c r="DS83" s="154">
        <f t="shared" si="271"/>
        <v>0</v>
      </c>
      <c r="DT83" s="154">
        <f t="shared" si="331"/>
        <v>0</v>
      </c>
      <c r="DU83" s="154">
        <f t="shared" si="272"/>
        <v>0</v>
      </c>
      <c r="DV83" s="154">
        <f t="shared" si="332"/>
        <v>0</v>
      </c>
      <c r="DW83" s="154">
        <f t="shared" si="273"/>
        <v>0</v>
      </c>
      <c r="DX83" s="154">
        <f t="shared" si="333"/>
        <v>0</v>
      </c>
      <c r="DY83" s="154">
        <f t="shared" si="274"/>
        <v>0</v>
      </c>
      <c r="DZ83" s="154">
        <f t="shared" si="334"/>
        <v>0</v>
      </c>
      <c r="EA83" s="154">
        <f t="shared" si="275"/>
        <v>0</v>
      </c>
      <c r="EB83" s="157">
        <f t="shared" si="335"/>
        <v>0</v>
      </c>
      <c r="EC83" s="154">
        <f t="shared" si="336"/>
        <v>0</v>
      </c>
      <c r="ED83" s="158">
        <f t="shared" si="337"/>
        <v>0</v>
      </c>
    </row>
    <row r="84" spans="1:134" x14ac:dyDescent="0.35">
      <c r="A84" s="172"/>
      <c r="B84" s="173"/>
      <c r="C84" s="174"/>
      <c r="D84" s="175"/>
      <c r="E84" s="176"/>
      <c r="F84" s="177"/>
      <c r="G84" s="178"/>
      <c r="H84" s="179"/>
      <c r="I84" s="180"/>
      <c r="J84" s="181"/>
      <c r="K84" s="152">
        <f t="shared" si="338"/>
        <v>0</v>
      </c>
      <c r="L84" s="153">
        <f t="shared" si="339"/>
        <v>0</v>
      </c>
      <c r="M84" s="154">
        <f t="shared" si="340"/>
        <v>0</v>
      </c>
      <c r="N84" s="154"/>
      <c r="O84" s="154">
        <f t="shared" si="341"/>
        <v>0</v>
      </c>
      <c r="P84" s="155"/>
      <c r="Q84" s="154">
        <f t="shared" si="342"/>
        <v>0</v>
      </c>
      <c r="R84" s="156">
        <f t="shared" si="343"/>
        <v>0</v>
      </c>
      <c r="S84" s="154">
        <f t="shared" si="344"/>
        <v>0</v>
      </c>
      <c r="T84" s="154">
        <f t="shared" si="345"/>
        <v>0</v>
      </c>
      <c r="U84" s="154">
        <f t="shared" si="346"/>
        <v>0</v>
      </c>
      <c r="V84" s="154">
        <f t="shared" si="347"/>
        <v>0</v>
      </c>
      <c r="W84" s="154">
        <f t="shared" si="348"/>
        <v>0</v>
      </c>
      <c r="X84" s="154">
        <f t="shared" si="349"/>
        <v>0</v>
      </c>
      <c r="Y84" s="154">
        <f t="shared" si="350"/>
        <v>0</v>
      </c>
      <c r="Z84" s="154">
        <f t="shared" si="351"/>
        <v>0</v>
      </c>
      <c r="AA84" s="154">
        <f t="shared" si="352"/>
        <v>0</v>
      </c>
      <c r="AB84" s="157">
        <f t="shared" si="353"/>
        <v>0</v>
      </c>
      <c r="AC84" s="154">
        <f t="shared" si="354"/>
        <v>0</v>
      </c>
      <c r="AD84" s="158">
        <f t="shared" si="355"/>
        <v>0</v>
      </c>
      <c r="AE84" s="156">
        <f t="shared" si="280"/>
        <v>0</v>
      </c>
      <c r="AF84" s="154">
        <f t="shared" si="235"/>
        <v>0</v>
      </c>
      <c r="AG84" s="154">
        <f t="shared" si="281"/>
        <v>0</v>
      </c>
      <c r="AH84" s="154">
        <f t="shared" si="236"/>
        <v>0</v>
      </c>
      <c r="AI84" s="154">
        <f t="shared" si="282"/>
        <v>0</v>
      </c>
      <c r="AJ84" s="154">
        <f t="shared" si="237"/>
        <v>0</v>
      </c>
      <c r="AK84" s="154">
        <f t="shared" si="283"/>
        <v>0</v>
      </c>
      <c r="AL84" s="154">
        <f t="shared" si="238"/>
        <v>0</v>
      </c>
      <c r="AM84" s="154">
        <f t="shared" si="284"/>
        <v>0</v>
      </c>
      <c r="AN84" s="154">
        <f t="shared" si="239"/>
        <v>0</v>
      </c>
      <c r="AO84" s="157">
        <f t="shared" si="285"/>
        <v>0</v>
      </c>
      <c r="AP84" s="154">
        <f t="shared" si="286"/>
        <v>0</v>
      </c>
      <c r="AQ84" s="158">
        <f t="shared" si="287"/>
        <v>0</v>
      </c>
      <c r="AR84" s="156">
        <f t="shared" si="280"/>
        <v>0</v>
      </c>
      <c r="AS84" s="154">
        <f t="shared" si="240"/>
        <v>0</v>
      </c>
      <c r="AT84" s="154">
        <f t="shared" si="288"/>
        <v>0</v>
      </c>
      <c r="AU84" s="154">
        <f t="shared" si="241"/>
        <v>0</v>
      </c>
      <c r="AV84" s="154">
        <f t="shared" si="289"/>
        <v>0</v>
      </c>
      <c r="AW84" s="154">
        <f t="shared" si="242"/>
        <v>0</v>
      </c>
      <c r="AX84" s="154">
        <f t="shared" si="290"/>
        <v>0</v>
      </c>
      <c r="AY84" s="154">
        <f t="shared" si="243"/>
        <v>0</v>
      </c>
      <c r="AZ84" s="154">
        <f t="shared" si="291"/>
        <v>0</v>
      </c>
      <c r="BA84" s="154">
        <f t="shared" si="244"/>
        <v>0</v>
      </c>
      <c r="BB84" s="157">
        <f t="shared" si="292"/>
        <v>0</v>
      </c>
      <c r="BC84" s="154">
        <f t="shared" si="293"/>
        <v>0</v>
      </c>
      <c r="BD84" s="158">
        <f t="shared" si="294"/>
        <v>0</v>
      </c>
      <c r="BE84" s="156">
        <f t="shared" si="280"/>
        <v>0</v>
      </c>
      <c r="BF84" s="154">
        <f t="shared" si="245"/>
        <v>0</v>
      </c>
      <c r="BG84" s="154">
        <f t="shared" si="295"/>
        <v>0</v>
      </c>
      <c r="BH84" s="154">
        <f t="shared" si="246"/>
        <v>0</v>
      </c>
      <c r="BI84" s="154">
        <f t="shared" si="296"/>
        <v>0</v>
      </c>
      <c r="BJ84" s="154">
        <f t="shared" si="247"/>
        <v>0</v>
      </c>
      <c r="BK84" s="154">
        <f t="shared" si="297"/>
        <v>0</v>
      </c>
      <c r="BL84" s="154">
        <f t="shared" si="248"/>
        <v>0</v>
      </c>
      <c r="BM84" s="154">
        <f t="shared" si="298"/>
        <v>0</v>
      </c>
      <c r="BN84" s="154">
        <f t="shared" si="249"/>
        <v>0</v>
      </c>
      <c r="BO84" s="157">
        <f t="shared" si="299"/>
        <v>0</v>
      </c>
      <c r="BP84" s="154">
        <f t="shared" si="300"/>
        <v>0</v>
      </c>
      <c r="BQ84" s="158">
        <f t="shared" si="301"/>
        <v>0</v>
      </c>
      <c r="BR84" s="156">
        <f t="shared" si="280"/>
        <v>0</v>
      </c>
      <c r="BS84" s="154">
        <f t="shared" si="250"/>
        <v>0</v>
      </c>
      <c r="BT84" s="154">
        <f t="shared" si="302"/>
        <v>0</v>
      </c>
      <c r="BU84" s="154">
        <f t="shared" si="251"/>
        <v>0</v>
      </c>
      <c r="BV84" s="154">
        <f t="shared" si="303"/>
        <v>0</v>
      </c>
      <c r="BW84" s="154">
        <f t="shared" si="252"/>
        <v>0</v>
      </c>
      <c r="BX84" s="154">
        <f t="shared" si="304"/>
        <v>0</v>
      </c>
      <c r="BY84" s="154">
        <f t="shared" si="253"/>
        <v>0</v>
      </c>
      <c r="BZ84" s="154">
        <f t="shared" si="305"/>
        <v>0</v>
      </c>
      <c r="CA84" s="154">
        <f t="shared" si="254"/>
        <v>0</v>
      </c>
      <c r="CB84" s="157">
        <f t="shared" si="306"/>
        <v>0</v>
      </c>
      <c r="CC84" s="154">
        <f t="shared" si="307"/>
        <v>0</v>
      </c>
      <c r="CD84" s="158">
        <f t="shared" si="308"/>
        <v>0</v>
      </c>
      <c r="CE84" s="156">
        <f t="shared" si="280"/>
        <v>0</v>
      </c>
      <c r="CF84" s="154">
        <f t="shared" si="255"/>
        <v>0</v>
      </c>
      <c r="CG84" s="154">
        <f t="shared" si="309"/>
        <v>0</v>
      </c>
      <c r="CH84" s="154">
        <f t="shared" si="256"/>
        <v>0</v>
      </c>
      <c r="CI84" s="154">
        <f t="shared" si="310"/>
        <v>0</v>
      </c>
      <c r="CJ84" s="154">
        <f t="shared" si="257"/>
        <v>0</v>
      </c>
      <c r="CK84" s="154">
        <f t="shared" si="311"/>
        <v>0</v>
      </c>
      <c r="CL84" s="154">
        <f t="shared" si="258"/>
        <v>0</v>
      </c>
      <c r="CM84" s="154">
        <f t="shared" si="312"/>
        <v>0</v>
      </c>
      <c r="CN84" s="154">
        <f t="shared" si="259"/>
        <v>0</v>
      </c>
      <c r="CO84" s="157">
        <f t="shared" si="313"/>
        <v>0</v>
      </c>
      <c r="CP84" s="154">
        <f t="shared" si="314"/>
        <v>0</v>
      </c>
      <c r="CQ84" s="158">
        <f t="shared" si="315"/>
        <v>0</v>
      </c>
      <c r="CR84" s="156">
        <f t="shared" si="316"/>
        <v>0</v>
      </c>
      <c r="CS84" s="154">
        <f t="shared" si="261"/>
        <v>0</v>
      </c>
      <c r="CT84" s="154">
        <f t="shared" si="317"/>
        <v>0</v>
      </c>
      <c r="CU84" s="154">
        <f t="shared" si="262"/>
        <v>0</v>
      </c>
      <c r="CV84" s="154">
        <f t="shared" si="318"/>
        <v>0</v>
      </c>
      <c r="CW84" s="154">
        <f t="shared" si="263"/>
        <v>0</v>
      </c>
      <c r="CX84" s="154">
        <f t="shared" si="319"/>
        <v>0</v>
      </c>
      <c r="CY84" s="154">
        <f t="shared" si="264"/>
        <v>0</v>
      </c>
      <c r="CZ84" s="154">
        <f t="shared" si="320"/>
        <v>0</v>
      </c>
      <c r="DA84" s="154">
        <f t="shared" si="265"/>
        <v>0</v>
      </c>
      <c r="DB84" s="157">
        <f t="shared" si="321"/>
        <v>0</v>
      </c>
      <c r="DC84" s="154">
        <f t="shared" si="322"/>
        <v>0</v>
      </c>
      <c r="DD84" s="158">
        <f t="shared" si="323"/>
        <v>0</v>
      </c>
      <c r="DE84" s="156">
        <f t="shared" si="316"/>
        <v>0</v>
      </c>
      <c r="DF84" s="154">
        <f t="shared" si="266"/>
        <v>0</v>
      </c>
      <c r="DG84" s="154">
        <f t="shared" si="324"/>
        <v>0</v>
      </c>
      <c r="DH84" s="154">
        <f t="shared" si="267"/>
        <v>0</v>
      </c>
      <c r="DI84" s="154">
        <f t="shared" si="325"/>
        <v>0</v>
      </c>
      <c r="DJ84" s="154">
        <f t="shared" si="268"/>
        <v>0</v>
      </c>
      <c r="DK84" s="154">
        <f t="shared" si="326"/>
        <v>0</v>
      </c>
      <c r="DL84" s="154">
        <f t="shared" si="269"/>
        <v>0</v>
      </c>
      <c r="DM84" s="154">
        <f t="shared" si="327"/>
        <v>0</v>
      </c>
      <c r="DN84" s="154">
        <f t="shared" si="270"/>
        <v>0</v>
      </c>
      <c r="DO84" s="157">
        <f t="shared" si="328"/>
        <v>0</v>
      </c>
      <c r="DP84" s="154">
        <f t="shared" si="329"/>
        <v>0</v>
      </c>
      <c r="DQ84" s="158">
        <f t="shared" si="330"/>
        <v>0</v>
      </c>
      <c r="DR84" s="156">
        <f t="shared" si="316"/>
        <v>0</v>
      </c>
      <c r="DS84" s="154">
        <f t="shared" si="271"/>
        <v>0</v>
      </c>
      <c r="DT84" s="154">
        <f t="shared" si="331"/>
        <v>0</v>
      </c>
      <c r="DU84" s="154">
        <f t="shared" si="272"/>
        <v>0</v>
      </c>
      <c r="DV84" s="154">
        <f t="shared" si="332"/>
        <v>0</v>
      </c>
      <c r="DW84" s="154">
        <f t="shared" si="273"/>
        <v>0</v>
      </c>
      <c r="DX84" s="154">
        <f t="shared" si="333"/>
        <v>0</v>
      </c>
      <c r="DY84" s="154">
        <f t="shared" si="274"/>
        <v>0</v>
      </c>
      <c r="DZ84" s="154">
        <f t="shared" si="334"/>
        <v>0</v>
      </c>
      <c r="EA84" s="154">
        <f t="shared" si="275"/>
        <v>0</v>
      </c>
      <c r="EB84" s="157">
        <f t="shared" si="335"/>
        <v>0</v>
      </c>
      <c r="EC84" s="154">
        <f t="shared" si="336"/>
        <v>0</v>
      </c>
      <c r="ED84" s="158">
        <f t="shared" si="337"/>
        <v>0</v>
      </c>
    </row>
    <row r="85" spans="1:134" x14ac:dyDescent="0.35">
      <c r="A85" s="172"/>
      <c r="B85" s="173"/>
      <c r="C85" s="174"/>
      <c r="D85" s="175"/>
      <c r="E85" s="176"/>
      <c r="F85" s="177"/>
      <c r="G85" s="178"/>
      <c r="H85" s="179"/>
      <c r="I85" s="180"/>
      <c r="J85" s="181"/>
      <c r="K85" s="152">
        <f t="shared" si="338"/>
        <v>0</v>
      </c>
      <c r="L85" s="153">
        <f t="shared" si="339"/>
        <v>0</v>
      </c>
      <c r="M85" s="154">
        <f t="shared" si="340"/>
        <v>0</v>
      </c>
      <c r="N85" s="154"/>
      <c r="O85" s="154">
        <f t="shared" si="341"/>
        <v>0</v>
      </c>
      <c r="P85" s="155"/>
      <c r="Q85" s="154">
        <f t="shared" si="342"/>
        <v>0</v>
      </c>
      <c r="R85" s="156">
        <f t="shared" si="343"/>
        <v>0</v>
      </c>
      <c r="S85" s="154">
        <f t="shared" si="344"/>
        <v>0</v>
      </c>
      <c r="T85" s="154">
        <f t="shared" si="345"/>
        <v>0</v>
      </c>
      <c r="U85" s="154">
        <f t="shared" si="346"/>
        <v>0</v>
      </c>
      <c r="V85" s="154">
        <f t="shared" si="347"/>
        <v>0</v>
      </c>
      <c r="W85" s="154">
        <f t="shared" si="348"/>
        <v>0</v>
      </c>
      <c r="X85" s="154">
        <f t="shared" si="349"/>
        <v>0</v>
      </c>
      <c r="Y85" s="154">
        <f t="shared" si="350"/>
        <v>0</v>
      </c>
      <c r="Z85" s="154">
        <f t="shared" si="351"/>
        <v>0</v>
      </c>
      <c r="AA85" s="154">
        <f t="shared" si="352"/>
        <v>0</v>
      </c>
      <c r="AB85" s="157">
        <f t="shared" si="353"/>
        <v>0</v>
      </c>
      <c r="AC85" s="154">
        <f t="shared" si="354"/>
        <v>0</v>
      </c>
      <c r="AD85" s="158">
        <f t="shared" si="355"/>
        <v>0</v>
      </c>
      <c r="AE85" s="156">
        <f t="shared" ref="AE85:CE100" si="356">IF(YEAR($F85)=AE$4,$E85,0)</f>
        <v>0</v>
      </c>
      <c r="AF85" s="154">
        <f t="shared" ref="AF85:AF125" si="357">IF($J85&lt;&gt;"H",AE85,0)</f>
        <v>0</v>
      </c>
      <c r="AG85" s="154">
        <f t="shared" si="281"/>
        <v>0</v>
      </c>
      <c r="AH85" s="154">
        <f t="shared" ref="AH85:AH125" si="358">IF($J85&lt;&gt;"H",AG85,0)</f>
        <v>0</v>
      </c>
      <c r="AI85" s="154">
        <f t="shared" si="282"/>
        <v>0</v>
      </c>
      <c r="AJ85" s="154">
        <f t="shared" ref="AJ85:AJ125" si="359">IF(AK85&lt;&gt;0,ROUND(AK85/$L85*AI85,2),0)</f>
        <v>0</v>
      </c>
      <c r="AK85" s="154">
        <f t="shared" si="283"/>
        <v>0</v>
      </c>
      <c r="AL85" s="154">
        <f t="shared" ref="AL85:AL125" si="360">IF($J85&lt;&gt;"H",AK85,0)</f>
        <v>0</v>
      </c>
      <c r="AM85" s="154">
        <f t="shared" si="284"/>
        <v>0</v>
      </c>
      <c r="AN85" s="154">
        <f t="shared" ref="AN85:AN125" si="361">IF($J85&lt;&gt;"H",AM85,0)</f>
        <v>0</v>
      </c>
      <c r="AO85" s="157">
        <f t="shared" si="285"/>
        <v>0</v>
      </c>
      <c r="AP85" s="154">
        <f t="shared" si="286"/>
        <v>0</v>
      </c>
      <c r="AQ85" s="158">
        <f t="shared" si="287"/>
        <v>0</v>
      </c>
      <c r="AR85" s="156">
        <f t="shared" si="356"/>
        <v>0</v>
      </c>
      <c r="AS85" s="154">
        <f t="shared" ref="AS85:AS125" si="362">IF($J85&lt;&gt;"H",AR85,0)</f>
        <v>0</v>
      </c>
      <c r="AT85" s="154">
        <f t="shared" si="288"/>
        <v>0</v>
      </c>
      <c r="AU85" s="154">
        <f t="shared" ref="AU85:AU125" si="363">IF($J85&lt;&gt;"H",AT85,0)</f>
        <v>0</v>
      </c>
      <c r="AV85" s="154">
        <f t="shared" si="289"/>
        <v>0</v>
      </c>
      <c r="AW85" s="154">
        <f t="shared" ref="AW85:AW125" si="364">IF(AX85&lt;&gt;0,ROUND(AX85/$L85*AV85,2),0)</f>
        <v>0</v>
      </c>
      <c r="AX85" s="154">
        <f t="shared" si="290"/>
        <v>0</v>
      </c>
      <c r="AY85" s="154">
        <f t="shared" ref="AY85:AY125" si="365">IF($J85&lt;&gt;"H",AX85,0)</f>
        <v>0</v>
      </c>
      <c r="AZ85" s="154">
        <f t="shared" si="291"/>
        <v>0</v>
      </c>
      <c r="BA85" s="154">
        <f t="shared" ref="BA85:BA125" si="366">IF($J85&lt;&gt;"H",AZ85,0)</f>
        <v>0</v>
      </c>
      <c r="BB85" s="157">
        <f t="shared" si="292"/>
        <v>0</v>
      </c>
      <c r="BC85" s="154">
        <f t="shared" si="293"/>
        <v>0</v>
      </c>
      <c r="BD85" s="158">
        <f t="shared" si="294"/>
        <v>0</v>
      </c>
      <c r="BE85" s="156">
        <f t="shared" si="356"/>
        <v>0</v>
      </c>
      <c r="BF85" s="154">
        <f t="shared" ref="BF85:BF125" si="367">IF($J85&lt;&gt;"H",BE85,0)</f>
        <v>0</v>
      </c>
      <c r="BG85" s="154">
        <f t="shared" si="295"/>
        <v>0</v>
      </c>
      <c r="BH85" s="154">
        <f t="shared" ref="BH85:BH125" si="368">IF($J85&lt;&gt;"H",BG85,0)</f>
        <v>0</v>
      </c>
      <c r="BI85" s="154">
        <f t="shared" si="296"/>
        <v>0</v>
      </c>
      <c r="BJ85" s="154">
        <f t="shared" ref="BJ85:BJ125" si="369">IF(BK85&lt;&gt;0,ROUND(BK85/$L85*BI85,2),0)</f>
        <v>0</v>
      </c>
      <c r="BK85" s="154">
        <f t="shared" si="297"/>
        <v>0</v>
      </c>
      <c r="BL85" s="154">
        <f t="shared" ref="BL85:BL125" si="370">IF($J85&lt;&gt;"H",BK85,0)</f>
        <v>0</v>
      </c>
      <c r="BM85" s="154">
        <f t="shared" si="298"/>
        <v>0</v>
      </c>
      <c r="BN85" s="154">
        <f t="shared" ref="BN85:BN125" si="371">IF($J85&lt;&gt;"H",BM85,0)</f>
        <v>0</v>
      </c>
      <c r="BO85" s="157">
        <f t="shared" si="299"/>
        <v>0</v>
      </c>
      <c r="BP85" s="154">
        <f t="shared" si="300"/>
        <v>0</v>
      </c>
      <c r="BQ85" s="158">
        <f t="shared" si="301"/>
        <v>0</v>
      </c>
      <c r="BR85" s="156">
        <f t="shared" si="356"/>
        <v>0</v>
      </c>
      <c r="BS85" s="154">
        <f t="shared" ref="BS85:BS125" si="372">IF($J85&lt;&gt;"H",BR85,0)</f>
        <v>0</v>
      </c>
      <c r="BT85" s="154">
        <f t="shared" si="302"/>
        <v>0</v>
      </c>
      <c r="BU85" s="154">
        <f t="shared" ref="BU85:BU125" si="373">IF($J85&lt;&gt;"H",BT85,0)</f>
        <v>0</v>
      </c>
      <c r="BV85" s="154">
        <f t="shared" si="303"/>
        <v>0</v>
      </c>
      <c r="BW85" s="154">
        <f t="shared" ref="BW85:BW125" si="374">IF(BX85&lt;&gt;0,ROUND(BX85/$L85*BV85,2),0)</f>
        <v>0</v>
      </c>
      <c r="BX85" s="154">
        <f t="shared" si="304"/>
        <v>0</v>
      </c>
      <c r="BY85" s="154">
        <f t="shared" ref="BY85:BY125" si="375">IF($J85&lt;&gt;"H",BX85,0)</f>
        <v>0</v>
      </c>
      <c r="BZ85" s="154">
        <f t="shared" si="305"/>
        <v>0</v>
      </c>
      <c r="CA85" s="154">
        <f t="shared" ref="CA85:CA125" si="376">IF($J85&lt;&gt;"H",BZ85,0)</f>
        <v>0</v>
      </c>
      <c r="CB85" s="157">
        <f t="shared" si="306"/>
        <v>0</v>
      </c>
      <c r="CC85" s="154">
        <f t="shared" si="307"/>
        <v>0</v>
      </c>
      <c r="CD85" s="158">
        <f t="shared" si="308"/>
        <v>0</v>
      </c>
      <c r="CE85" s="156">
        <f t="shared" si="356"/>
        <v>0</v>
      </c>
      <c r="CF85" s="154">
        <f t="shared" ref="CF85:CF125" si="377">IF($J85&lt;&gt;"H",CE85,0)</f>
        <v>0</v>
      </c>
      <c r="CG85" s="154">
        <f t="shared" si="309"/>
        <v>0</v>
      </c>
      <c r="CH85" s="154">
        <f t="shared" ref="CH85:CH125" si="378">IF($J85&lt;&gt;"H",CG85,0)</f>
        <v>0</v>
      </c>
      <c r="CI85" s="154">
        <f t="shared" si="310"/>
        <v>0</v>
      </c>
      <c r="CJ85" s="154">
        <f t="shared" ref="CJ85:CJ125" si="379">IF(CK85&lt;&gt;0,ROUND(CK85/$L85*CI85,2),0)</f>
        <v>0</v>
      </c>
      <c r="CK85" s="154">
        <f t="shared" si="311"/>
        <v>0</v>
      </c>
      <c r="CL85" s="154">
        <f t="shared" ref="CL85:CL125" si="380">IF($J85&lt;&gt;"H",CK85,0)</f>
        <v>0</v>
      </c>
      <c r="CM85" s="154">
        <f t="shared" si="312"/>
        <v>0</v>
      </c>
      <c r="CN85" s="154">
        <f t="shared" ref="CN85:CN125" si="381">IF($J85&lt;&gt;"H",CM85,0)</f>
        <v>0</v>
      </c>
      <c r="CO85" s="157">
        <f t="shared" si="313"/>
        <v>0</v>
      </c>
      <c r="CP85" s="154">
        <f t="shared" si="314"/>
        <v>0</v>
      </c>
      <c r="CQ85" s="158">
        <f t="shared" si="315"/>
        <v>0</v>
      </c>
      <c r="CR85" s="156">
        <f t="shared" ref="CR85:DR100" si="382">IF(YEAR($F85)=CR$4,$E85,0)</f>
        <v>0</v>
      </c>
      <c r="CS85" s="154">
        <f t="shared" ref="CS85:CS125" si="383">IF($J85&lt;&gt;"H",CR85,0)</f>
        <v>0</v>
      </c>
      <c r="CT85" s="154">
        <f t="shared" si="317"/>
        <v>0</v>
      </c>
      <c r="CU85" s="154">
        <f t="shared" ref="CU85:CU125" si="384">IF($J85&lt;&gt;"H",CT85,0)</f>
        <v>0</v>
      </c>
      <c r="CV85" s="154">
        <f t="shared" si="318"/>
        <v>0</v>
      </c>
      <c r="CW85" s="154">
        <f t="shared" ref="CW85:CW125" si="385">IF(CX85&lt;&gt;0,ROUND(CX85/$L85*CV85,2),0)</f>
        <v>0</v>
      </c>
      <c r="CX85" s="154">
        <f t="shared" si="319"/>
        <v>0</v>
      </c>
      <c r="CY85" s="154">
        <f t="shared" ref="CY85:CY125" si="386">IF($J85&lt;&gt;"H",CX85,0)</f>
        <v>0</v>
      </c>
      <c r="CZ85" s="154">
        <f t="shared" si="320"/>
        <v>0</v>
      </c>
      <c r="DA85" s="154">
        <f t="shared" ref="DA85:DA125" si="387">IF($J85&lt;&gt;"H",CZ85,0)</f>
        <v>0</v>
      </c>
      <c r="DB85" s="157">
        <f t="shared" si="321"/>
        <v>0</v>
      </c>
      <c r="DC85" s="154">
        <f t="shared" si="322"/>
        <v>0</v>
      </c>
      <c r="DD85" s="158">
        <f t="shared" si="323"/>
        <v>0</v>
      </c>
      <c r="DE85" s="156">
        <f t="shared" si="382"/>
        <v>0</v>
      </c>
      <c r="DF85" s="154">
        <f t="shared" ref="DF85:DF125" si="388">IF($J85&lt;&gt;"H",DE85,0)</f>
        <v>0</v>
      </c>
      <c r="DG85" s="154">
        <f t="shared" si="324"/>
        <v>0</v>
      </c>
      <c r="DH85" s="154">
        <f t="shared" ref="DH85:DH125" si="389">IF($J85&lt;&gt;"H",DG85,0)</f>
        <v>0</v>
      </c>
      <c r="DI85" s="154">
        <f t="shared" si="325"/>
        <v>0</v>
      </c>
      <c r="DJ85" s="154">
        <f t="shared" ref="DJ85:DJ125" si="390">IF(DK85&lt;&gt;0,ROUND(DK85/$L85*DI85,2),0)</f>
        <v>0</v>
      </c>
      <c r="DK85" s="154">
        <f t="shared" si="326"/>
        <v>0</v>
      </c>
      <c r="DL85" s="154">
        <f t="shared" ref="DL85:DL125" si="391">IF($J85&lt;&gt;"H",DK85,0)</f>
        <v>0</v>
      </c>
      <c r="DM85" s="154">
        <f t="shared" si="327"/>
        <v>0</v>
      </c>
      <c r="DN85" s="154">
        <f t="shared" ref="DN85:DN125" si="392">IF($J85&lt;&gt;"H",DM85,0)</f>
        <v>0</v>
      </c>
      <c r="DO85" s="157">
        <f t="shared" si="328"/>
        <v>0</v>
      </c>
      <c r="DP85" s="154">
        <f t="shared" si="329"/>
        <v>0</v>
      </c>
      <c r="DQ85" s="158">
        <f t="shared" si="330"/>
        <v>0</v>
      </c>
      <c r="DR85" s="156">
        <f t="shared" si="382"/>
        <v>0</v>
      </c>
      <c r="DS85" s="154">
        <f t="shared" ref="DS85:DS125" si="393">IF($J85&lt;&gt;"H",DR85,0)</f>
        <v>0</v>
      </c>
      <c r="DT85" s="154">
        <f t="shared" si="331"/>
        <v>0</v>
      </c>
      <c r="DU85" s="154">
        <f t="shared" ref="DU85:DU125" si="394">IF($J85&lt;&gt;"H",DT85,0)</f>
        <v>0</v>
      </c>
      <c r="DV85" s="154">
        <f t="shared" si="332"/>
        <v>0</v>
      </c>
      <c r="DW85" s="154">
        <f t="shared" ref="DW85:DW125" si="395">IF(DX85&lt;&gt;0,ROUND(DX85/$L85*DV85,2),0)</f>
        <v>0</v>
      </c>
      <c r="DX85" s="154">
        <f t="shared" si="333"/>
        <v>0</v>
      </c>
      <c r="DY85" s="154">
        <f t="shared" ref="DY85:DY125" si="396">IF($J85&lt;&gt;"H",DX85,0)</f>
        <v>0</v>
      </c>
      <c r="DZ85" s="154">
        <f t="shared" si="334"/>
        <v>0</v>
      </c>
      <c r="EA85" s="154">
        <f t="shared" ref="EA85:EA125" si="397">IF($J85&lt;&gt;"H",DZ85,0)</f>
        <v>0</v>
      </c>
      <c r="EB85" s="157">
        <f t="shared" si="335"/>
        <v>0</v>
      </c>
      <c r="EC85" s="154">
        <f t="shared" si="336"/>
        <v>0</v>
      </c>
      <c r="ED85" s="158">
        <f t="shared" si="337"/>
        <v>0</v>
      </c>
    </row>
    <row r="86" spans="1:134" x14ac:dyDescent="0.35">
      <c r="A86" s="172"/>
      <c r="B86" s="173"/>
      <c r="C86" s="174"/>
      <c r="D86" s="175"/>
      <c r="E86" s="176"/>
      <c r="F86" s="177"/>
      <c r="G86" s="178"/>
      <c r="H86" s="179"/>
      <c r="I86" s="180"/>
      <c r="J86" s="181"/>
      <c r="K86" s="152">
        <f t="shared" si="338"/>
        <v>0</v>
      </c>
      <c r="L86" s="153">
        <f t="shared" si="339"/>
        <v>0</v>
      </c>
      <c r="M86" s="154">
        <f t="shared" si="340"/>
        <v>0</v>
      </c>
      <c r="N86" s="154"/>
      <c r="O86" s="154">
        <f t="shared" si="341"/>
        <v>0</v>
      </c>
      <c r="P86" s="155"/>
      <c r="Q86" s="154">
        <f t="shared" si="342"/>
        <v>0</v>
      </c>
      <c r="R86" s="156">
        <f t="shared" si="343"/>
        <v>0</v>
      </c>
      <c r="S86" s="154">
        <f t="shared" si="344"/>
        <v>0</v>
      </c>
      <c r="T86" s="154">
        <f t="shared" si="345"/>
        <v>0</v>
      </c>
      <c r="U86" s="154">
        <f t="shared" si="346"/>
        <v>0</v>
      </c>
      <c r="V86" s="154">
        <f t="shared" si="347"/>
        <v>0</v>
      </c>
      <c r="W86" s="154">
        <f t="shared" si="348"/>
        <v>0</v>
      </c>
      <c r="X86" s="154">
        <f t="shared" si="349"/>
        <v>0</v>
      </c>
      <c r="Y86" s="154">
        <f t="shared" si="350"/>
        <v>0</v>
      </c>
      <c r="Z86" s="154">
        <f t="shared" si="351"/>
        <v>0</v>
      </c>
      <c r="AA86" s="154">
        <f t="shared" si="352"/>
        <v>0</v>
      </c>
      <c r="AB86" s="157">
        <f t="shared" si="353"/>
        <v>0</v>
      </c>
      <c r="AC86" s="154">
        <f t="shared" si="354"/>
        <v>0</v>
      </c>
      <c r="AD86" s="158">
        <f t="shared" si="355"/>
        <v>0</v>
      </c>
      <c r="AE86" s="156">
        <f t="shared" si="356"/>
        <v>0</v>
      </c>
      <c r="AF86" s="154">
        <f t="shared" si="357"/>
        <v>0</v>
      </c>
      <c r="AG86" s="154">
        <f t="shared" si="281"/>
        <v>0</v>
      </c>
      <c r="AH86" s="154">
        <f t="shared" si="358"/>
        <v>0</v>
      </c>
      <c r="AI86" s="154">
        <f t="shared" si="282"/>
        <v>0</v>
      </c>
      <c r="AJ86" s="154">
        <f t="shared" si="359"/>
        <v>0</v>
      </c>
      <c r="AK86" s="154">
        <f t="shared" si="283"/>
        <v>0</v>
      </c>
      <c r="AL86" s="154">
        <f t="shared" si="360"/>
        <v>0</v>
      </c>
      <c r="AM86" s="154">
        <f t="shared" si="284"/>
        <v>0</v>
      </c>
      <c r="AN86" s="154">
        <f t="shared" si="361"/>
        <v>0</v>
      </c>
      <c r="AO86" s="157">
        <f t="shared" si="285"/>
        <v>0</v>
      </c>
      <c r="AP86" s="154">
        <f t="shared" si="286"/>
        <v>0</v>
      </c>
      <c r="AQ86" s="158">
        <f t="shared" si="287"/>
        <v>0</v>
      </c>
      <c r="AR86" s="156">
        <f t="shared" si="356"/>
        <v>0</v>
      </c>
      <c r="AS86" s="154">
        <f t="shared" si="362"/>
        <v>0</v>
      </c>
      <c r="AT86" s="154">
        <f t="shared" si="288"/>
        <v>0</v>
      </c>
      <c r="AU86" s="154">
        <f t="shared" si="363"/>
        <v>0</v>
      </c>
      <c r="AV86" s="154">
        <f t="shared" si="289"/>
        <v>0</v>
      </c>
      <c r="AW86" s="154">
        <f t="shared" si="364"/>
        <v>0</v>
      </c>
      <c r="AX86" s="154">
        <f t="shared" si="290"/>
        <v>0</v>
      </c>
      <c r="AY86" s="154">
        <f t="shared" si="365"/>
        <v>0</v>
      </c>
      <c r="AZ86" s="154">
        <f t="shared" si="291"/>
        <v>0</v>
      </c>
      <c r="BA86" s="154">
        <f t="shared" si="366"/>
        <v>0</v>
      </c>
      <c r="BB86" s="157">
        <f t="shared" si="292"/>
        <v>0</v>
      </c>
      <c r="BC86" s="154">
        <f t="shared" si="293"/>
        <v>0</v>
      </c>
      <c r="BD86" s="158">
        <f t="shared" si="294"/>
        <v>0</v>
      </c>
      <c r="BE86" s="156">
        <f t="shared" si="356"/>
        <v>0</v>
      </c>
      <c r="BF86" s="154">
        <f t="shared" si="367"/>
        <v>0</v>
      </c>
      <c r="BG86" s="154">
        <f t="shared" si="295"/>
        <v>0</v>
      </c>
      <c r="BH86" s="154">
        <f t="shared" si="368"/>
        <v>0</v>
      </c>
      <c r="BI86" s="154">
        <f t="shared" si="296"/>
        <v>0</v>
      </c>
      <c r="BJ86" s="154">
        <f t="shared" si="369"/>
        <v>0</v>
      </c>
      <c r="BK86" s="154">
        <f t="shared" si="297"/>
        <v>0</v>
      </c>
      <c r="BL86" s="154">
        <f t="shared" si="370"/>
        <v>0</v>
      </c>
      <c r="BM86" s="154">
        <f t="shared" si="298"/>
        <v>0</v>
      </c>
      <c r="BN86" s="154">
        <f t="shared" si="371"/>
        <v>0</v>
      </c>
      <c r="BO86" s="157">
        <f t="shared" si="299"/>
        <v>0</v>
      </c>
      <c r="BP86" s="154">
        <f t="shared" si="300"/>
        <v>0</v>
      </c>
      <c r="BQ86" s="158">
        <f t="shared" si="301"/>
        <v>0</v>
      </c>
      <c r="BR86" s="156">
        <f t="shared" si="356"/>
        <v>0</v>
      </c>
      <c r="BS86" s="154">
        <f t="shared" si="372"/>
        <v>0</v>
      </c>
      <c r="BT86" s="154">
        <f t="shared" si="302"/>
        <v>0</v>
      </c>
      <c r="BU86" s="154">
        <f t="shared" si="373"/>
        <v>0</v>
      </c>
      <c r="BV86" s="154">
        <f t="shared" si="303"/>
        <v>0</v>
      </c>
      <c r="BW86" s="154">
        <f t="shared" si="374"/>
        <v>0</v>
      </c>
      <c r="BX86" s="154">
        <f t="shared" si="304"/>
        <v>0</v>
      </c>
      <c r="BY86" s="154">
        <f t="shared" si="375"/>
        <v>0</v>
      </c>
      <c r="BZ86" s="154">
        <f t="shared" si="305"/>
        <v>0</v>
      </c>
      <c r="CA86" s="154">
        <f t="shared" si="376"/>
        <v>0</v>
      </c>
      <c r="CB86" s="157">
        <f t="shared" si="306"/>
        <v>0</v>
      </c>
      <c r="CC86" s="154">
        <f t="shared" si="307"/>
        <v>0</v>
      </c>
      <c r="CD86" s="158">
        <f t="shared" si="308"/>
        <v>0</v>
      </c>
      <c r="CE86" s="156">
        <f t="shared" si="356"/>
        <v>0</v>
      </c>
      <c r="CF86" s="154">
        <f t="shared" si="377"/>
        <v>0</v>
      </c>
      <c r="CG86" s="154">
        <f t="shared" si="309"/>
        <v>0</v>
      </c>
      <c r="CH86" s="154">
        <f t="shared" si="378"/>
        <v>0</v>
      </c>
      <c r="CI86" s="154">
        <f t="shared" si="310"/>
        <v>0</v>
      </c>
      <c r="CJ86" s="154">
        <f t="shared" si="379"/>
        <v>0</v>
      </c>
      <c r="CK86" s="154">
        <f t="shared" si="311"/>
        <v>0</v>
      </c>
      <c r="CL86" s="154">
        <f t="shared" si="380"/>
        <v>0</v>
      </c>
      <c r="CM86" s="154">
        <f t="shared" si="312"/>
        <v>0</v>
      </c>
      <c r="CN86" s="154">
        <f t="shared" si="381"/>
        <v>0</v>
      </c>
      <c r="CO86" s="157">
        <f t="shared" si="313"/>
        <v>0</v>
      </c>
      <c r="CP86" s="154">
        <f t="shared" si="314"/>
        <v>0</v>
      </c>
      <c r="CQ86" s="158">
        <f t="shared" si="315"/>
        <v>0</v>
      </c>
      <c r="CR86" s="156">
        <f t="shared" si="382"/>
        <v>0</v>
      </c>
      <c r="CS86" s="154">
        <f t="shared" si="383"/>
        <v>0</v>
      </c>
      <c r="CT86" s="154">
        <f t="shared" si="317"/>
        <v>0</v>
      </c>
      <c r="CU86" s="154">
        <f t="shared" si="384"/>
        <v>0</v>
      </c>
      <c r="CV86" s="154">
        <f t="shared" si="318"/>
        <v>0</v>
      </c>
      <c r="CW86" s="154">
        <f t="shared" si="385"/>
        <v>0</v>
      </c>
      <c r="CX86" s="154">
        <f t="shared" si="319"/>
        <v>0</v>
      </c>
      <c r="CY86" s="154">
        <f t="shared" si="386"/>
        <v>0</v>
      </c>
      <c r="CZ86" s="154">
        <f t="shared" si="320"/>
        <v>0</v>
      </c>
      <c r="DA86" s="154">
        <f t="shared" si="387"/>
        <v>0</v>
      </c>
      <c r="DB86" s="157">
        <f t="shared" si="321"/>
        <v>0</v>
      </c>
      <c r="DC86" s="154">
        <f t="shared" si="322"/>
        <v>0</v>
      </c>
      <c r="DD86" s="158">
        <f t="shared" si="323"/>
        <v>0</v>
      </c>
      <c r="DE86" s="156">
        <f t="shared" si="382"/>
        <v>0</v>
      </c>
      <c r="DF86" s="154">
        <f t="shared" si="388"/>
        <v>0</v>
      </c>
      <c r="DG86" s="154">
        <f t="shared" si="324"/>
        <v>0</v>
      </c>
      <c r="DH86" s="154">
        <f t="shared" si="389"/>
        <v>0</v>
      </c>
      <c r="DI86" s="154">
        <f t="shared" si="325"/>
        <v>0</v>
      </c>
      <c r="DJ86" s="154">
        <f t="shared" si="390"/>
        <v>0</v>
      </c>
      <c r="DK86" s="154">
        <f t="shared" si="326"/>
        <v>0</v>
      </c>
      <c r="DL86" s="154">
        <f t="shared" si="391"/>
        <v>0</v>
      </c>
      <c r="DM86" s="154">
        <f t="shared" si="327"/>
        <v>0</v>
      </c>
      <c r="DN86" s="154">
        <f t="shared" si="392"/>
        <v>0</v>
      </c>
      <c r="DO86" s="157">
        <f t="shared" si="328"/>
        <v>0</v>
      </c>
      <c r="DP86" s="154">
        <f t="shared" si="329"/>
        <v>0</v>
      </c>
      <c r="DQ86" s="158">
        <f t="shared" si="330"/>
        <v>0</v>
      </c>
      <c r="DR86" s="156">
        <f t="shared" si="382"/>
        <v>0</v>
      </c>
      <c r="DS86" s="154">
        <f t="shared" si="393"/>
        <v>0</v>
      </c>
      <c r="DT86" s="154">
        <f t="shared" si="331"/>
        <v>0</v>
      </c>
      <c r="DU86" s="154">
        <f t="shared" si="394"/>
        <v>0</v>
      </c>
      <c r="DV86" s="154">
        <f t="shared" si="332"/>
        <v>0</v>
      </c>
      <c r="DW86" s="154">
        <f t="shared" si="395"/>
        <v>0</v>
      </c>
      <c r="DX86" s="154">
        <f t="shared" si="333"/>
        <v>0</v>
      </c>
      <c r="DY86" s="154">
        <f t="shared" si="396"/>
        <v>0</v>
      </c>
      <c r="DZ86" s="154">
        <f t="shared" si="334"/>
        <v>0</v>
      </c>
      <c r="EA86" s="154">
        <f t="shared" si="397"/>
        <v>0</v>
      </c>
      <c r="EB86" s="157">
        <f t="shared" si="335"/>
        <v>0</v>
      </c>
      <c r="EC86" s="154">
        <f t="shared" si="336"/>
        <v>0</v>
      </c>
      <c r="ED86" s="158">
        <f t="shared" si="337"/>
        <v>0</v>
      </c>
    </row>
    <row r="87" spans="1:134" x14ac:dyDescent="0.35">
      <c r="A87" s="172"/>
      <c r="B87" s="173"/>
      <c r="C87" s="174"/>
      <c r="D87" s="175"/>
      <c r="E87" s="176"/>
      <c r="F87" s="177"/>
      <c r="G87" s="178"/>
      <c r="H87" s="179"/>
      <c r="I87" s="180"/>
      <c r="J87" s="181"/>
      <c r="K87" s="152">
        <f t="shared" si="338"/>
        <v>0</v>
      </c>
      <c r="L87" s="153">
        <f t="shared" si="339"/>
        <v>0</v>
      </c>
      <c r="M87" s="154">
        <f t="shared" si="340"/>
        <v>0</v>
      </c>
      <c r="N87" s="154"/>
      <c r="O87" s="154">
        <f t="shared" si="341"/>
        <v>0</v>
      </c>
      <c r="P87" s="155"/>
      <c r="Q87" s="154">
        <f t="shared" si="342"/>
        <v>0</v>
      </c>
      <c r="R87" s="156">
        <f t="shared" si="343"/>
        <v>0</v>
      </c>
      <c r="S87" s="154">
        <f t="shared" si="344"/>
        <v>0</v>
      </c>
      <c r="T87" s="154">
        <f t="shared" si="345"/>
        <v>0</v>
      </c>
      <c r="U87" s="154">
        <f t="shared" si="346"/>
        <v>0</v>
      </c>
      <c r="V87" s="154">
        <f t="shared" si="347"/>
        <v>0</v>
      </c>
      <c r="W87" s="154">
        <f t="shared" si="348"/>
        <v>0</v>
      </c>
      <c r="X87" s="154">
        <f t="shared" si="349"/>
        <v>0</v>
      </c>
      <c r="Y87" s="154">
        <f t="shared" si="350"/>
        <v>0</v>
      </c>
      <c r="Z87" s="154">
        <f t="shared" si="351"/>
        <v>0</v>
      </c>
      <c r="AA87" s="154">
        <f t="shared" si="352"/>
        <v>0</v>
      </c>
      <c r="AB87" s="157">
        <f t="shared" si="353"/>
        <v>0</v>
      </c>
      <c r="AC87" s="154">
        <f t="shared" si="354"/>
        <v>0</v>
      </c>
      <c r="AD87" s="158">
        <f t="shared" si="355"/>
        <v>0</v>
      </c>
      <c r="AE87" s="156">
        <f t="shared" si="356"/>
        <v>0</v>
      </c>
      <c r="AF87" s="154">
        <f t="shared" si="357"/>
        <v>0</v>
      </c>
      <c r="AG87" s="154">
        <f t="shared" si="281"/>
        <v>0</v>
      </c>
      <c r="AH87" s="154">
        <f t="shared" si="358"/>
        <v>0</v>
      </c>
      <c r="AI87" s="154">
        <f t="shared" si="282"/>
        <v>0</v>
      </c>
      <c r="AJ87" s="154">
        <f t="shared" si="359"/>
        <v>0</v>
      </c>
      <c r="AK87" s="154">
        <f t="shared" si="283"/>
        <v>0</v>
      </c>
      <c r="AL87" s="154">
        <f t="shared" si="360"/>
        <v>0</v>
      </c>
      <c r="AM87" s="154">
        <f t="shared" si="284"/>
        <v>0</v>
      </c>
      <c r="AN87" s="154">
        <f t="shared" si="361"/>
        <v>0</v>
      </c>
      <c r="AO87" s="157">
        <f t="shared" si="285"/>
        <v>0</v>
      </c>
      <c r="AP87" s="154">
        <f t="shared" si="286"/>
        <v>0</v>
      </c>
      <c r="AQ87" s="158">
        <f t="shared" si="287"/>
        <v>0</v>
      </c>
      <c r="AR87" s="156">
        <f t="shared" si="356"/>
        <v>0</v>
      </c>
      <c r="AS87" s="154">
        <f t="shared" si="362"/>
        <v>0</v>
      </c>
      <c r="AT87" s="154">
        <f t="shared" si="288"/>
        <v>0</v>
      </c>
      <c r="AU87" s="154">
        <f t="shared" si="363"/>
        <v>0</v>
      </c>
      <c r="AV87" s="154">
        <f t="shared" si="289"/>
        <v>0</v>
      </c>
      <c r="AW87" s="154">
        <f t="shared" si="364"/>
        <v>0</v>
      </c>
      <c r="AX87" s="154">
        <f t="shared" si="290"/>
        <v>0</v>
      </c>
      <c r="AY87" s="154">
        <f t="shared" si="365"/>
        <v>0</v>
      </c>
      <c r="AZ87" s="154">
        <f t="shared" si="291"/>
        <v>0</v>
      </c>
      <c r="BA87" s="154">
        <f t="shared" si="366"/>
        <v>0</v>
      </c>
      <c r="BB87" s="157">
        <f t="shared" si="292"/>
        <v>0</v>
      </c>
      <c r="BC87" s="154">
        <f t="shared" si="293"/>
        <v>0</v>
      </c>
      <c r="BD87" s="158">
        <f t="shared" si="294"/>
        <v>0</v>
      </c>
      <c r="BE87" s="156">
        <f t="shared" si="356"/>
        <v>0</v>
      </c>
      <c r="BF87" s="154">
        <f t="shared" si="367"/>
        <v>0</v>
      </c>
      <c r="BG87" s="154">
        <f t="shared" si="295"/>
        <v>0</v>
      </c>
      <c r="BH87" s="154">
        <f t="shared" si="368"/>
        <v>0</v>
      </c>
      <c r="BI87" s="154">
        <f t="shared" si="296"/>
        <v>0</v>
      </c>
      <c r="BJ87" s="154">
        <f t="shared" si="369"/>
        <v>0</v>
      </c>
      <c r="BK87" s="154">
        <f t="shared" si="297"/>
        <v>0</v>
      </c>
      <c r="BL87" s="154">
        <f t="shared" si="370"/>
        <v>0</v>
      </c>
      <c r="BM87" s="154">
        <f t="shared" si="298"/>
        <v>0</v>
      </c>
      <c r="BN87" s="154">
        <f t="shared" si="371"/>
        <v>0</v>
      </c>
      <c r="BO87" s="157">
        <f t="shared" si="299"/>
        <v>0</v>
      </c>
      <c r="BP87" s="154">
        <f t="shared" si="300"/>
        <v>0</v>
      </c>
      <c r="BQ87" s="158">
        <f t="shared" si="301"/>
        <v>0</v>
      </c>
      <c r="BR87" s="156">
        <f t="shared" si="356"/>
        <v>0</v>
      </c>
      <c r="BS87" s="154">
        <f t="shared" si="372"/>
        <v>0</v>
      </c>
      <c r="BT87" s="154">
        <f t="shared" si="302"/>
        <v>0</v>
      </c>
      <c r="BU87" s="154">
        <f t="shared" si="373"/>
        <v>0</v>
      </c>
      <c r="BV87" s="154">
        <f t="shared" si="303"/>
        <v>0</v>
      </c>
      <c r="BW87" s="154">
        <f t="shared" si="374"/>
        <v>0</v>
      </c>
      <c r="BX87" s="154">
        <f t="shared" si="304"/>
        <v>0</v>
      </c>
      <c r="BY87" s="154">
        <f t="shared" si="375"/>
        <v>0</v>
      </c>
      <c r="BZ87" s="154">
        <f t="shared" si="305"/>
        <v>0</v>
      </c>
      <c r="CA87" s="154">
        <f t="shared" si="376"/>
        <v>0</v>
      </c>
      <c r="CB87" s="157">
        <f t="shared" si="306"/>
        <v>0</v>
      </c>
      <c r="CC87" s="154">
        <f t="shared" si="307"/>
        <v>0</v>
      </c>
      <c r="CD87" s="158">
        <f t="shared" si="308"/>
        <v>0</v>
      </c>
      <c r="CE87" s="156">
        <f t="shared" si="356"/>
        <v>0</v>
      </c>
      <c r="CF87" s="154">
        <f t="shared" si="377"/>
        <v>0</v>
      </c>
      <c r="CG87" s="154">
        <f t="shared" si="309"/>
        <v>0</v>
      </c>
      <c r="CH87" s="154">
        <f t="shared" si="378"/>
        <v>0</v>
      </c>
      <c r="CI87" s="154">
        <f t="shared" si="310"/>
        <v>0</v>
      </c>
      <c r="CJ87" s="154">
        <f t="shared" si="379"/>
        <v>0</v>
      </c>
      <c r="CK87" s="154">
        <f t="shared" si="311"/>
        <v>0</v>
      </c>
      <c r="CL87" s="154">
        <f t="shared" si="380"/>
        <v>0</v>
      </c>
      <c r="CM87" s="154">
        <f t="shared" si="312"/>
        <v>0</v>
      </c>
      <c r="CN87" s="154">
        <f t="shared" si="381"/>
        <v>0</v>
      </c>
      <c r="CO87" s="157">
        <f t="shared" si="313"/>
        <v>0</v>
      </c>
      <c r="CP87" s="154">
        <f t="shared" si="314"/>
        <v>0</v>
      </c>
      <c r="CQ87" s="158">
        <f t="shared" si="315"/>
        <v>0</v>
      </c>
      <c r="CR87" s="156">
        <f t="shared" si="382"/>
        <v>0</v>
      </c>
      <c r="CS87" s="154">
        <f t="shared" si="383"/>
        <v>0</v>
      </c>
      <c r="CT87" s="154">
        <f t="shared" si="317"/>
        <v>0</v>
      </c>
      <c r="CU87" s="154">
        <f t="shared" si="384"/>
        <v>0</v>
      </c>
      <c r="CV87" s="154">
        <f t="shared" si="318"/>
        <v>0</v>
      </c>
      <c r="CW87" s="154">
        <f t="shared" si="385"/>
        <v>0</v>
      </c>
      <c r="CX87" s="154">
        <f t="shared" si="319"/>
        <v>0</v>
      </c>
      <c r="CY87" s="154">
        <f t="shared" si="386"/>
        <v>0</v>
      </c>
      <c r="CZ87" s="154">
        <f t="shared" si="320"/>
        <v>0</v>
      </c>
      <c r="DA87" s="154">
        <f t="shared" si="387"/>
        <v>0</v>
      </c>
      <c r="DB87" s="157">
        <f t="shared" si="321"/>
        <v>0</v>
      </c>
      <c r="DC87" s="154">
        <f t="shared" si="322"/>
        <v>0</v>
      </c>
      <c r="DD87" s="158">
        <f t="shared" si="323"/>
        <v>0</v>
      </c>
      <c r="DE87" s="156">
        <f t="shared" si="382"/>
        <v>0</v>
      </c>
      <c r="DF87" s="154">
        <f t="shared" si="388"/>
        <v>0</v>
      </c>
      <c r="DG87" s="154">
        <f t="shared" si="324"/>
        <v>0</v>
      </c>
      <c r="DH87" s="154">
        <f t="shared" si="389"/>
        <v>0</v>
      </c>
      <c r="DI87" s="154">
        <f t="shared" si="325"/>
        <v>0</v>
      </c>
      <c r="DJ87" s="154">
        <f t="shared" si="390"/>
        <v>0</v>
      </c>
      <c r="DK87" s="154">
        <f t="shared" si="326"/>
        <v>0</v>
      </c>
      <c r="DL87" s="154">
        <f t="shared" si="391"/>
        <v>0</v>
      </c>
      <c r="DM87" s="154">
        <f t="shared" si="327"/>
        <v>0</v>
      </c>
      <c r="DN87" s="154">
        <f t="shared" si="392"/>
        <v>0</v>
      </c>
      <c r="DO87" s="157">
        <f t="shared" si="328"/>
        <v>0</v>
      </c>
      <c r="DP87" s="154">
        <f t="shared" si="329"/>
        <v>0</v>
      </c>
      <c r="DQ87" s="158">
        <f t="shared" si="330"/>
        <v>0</v>
      </c>
      <c r="DR87" s="156">
        <f t="shared" si="382"/>
        <v>0</v>
      </c>
      <c r="DS87" s="154">
        <f t="shared" si="393"/>
        <v>0</v>
      </c>
      <c r="DT87" s="154">
        <f t="shared" si="331"/>
        <v>0</v>
      </c>
      <c r="DU87" s="154">
        <f t="shared" si="394"/>
        <v>0</v>
      </c>
      <c r="DV87" s="154">
        <f t="shared" si="332"/>
        <v>0</v>
      </c>
      <c r="DW87" s="154">
        <f t="shared" si="395"/>
        <v>0</v>
      </c>
      <c r="DX87" s="154">
        <f t="shared" si="333"/>
        <v>0</v>
      </c>
      <c r="DY87" s="154">
        <f t="shared" si="396"/>
        <v>0</v>
      </c>
      <c r="DZ87" s="154">
        <f t="shared" si="334"/>
        <v>0</v>
      </c>
      <c r="EA87" s="154">
        <f t="shared" si="397"/>
        <v>0</v>
      </c>
      <c r="EB87" s="157">
        <f t="shared" si="335"/>
        <v>0</v>
      </c>
      <c r="EC87" s="154">
        <f t="shared" si="336"/>
        <v>0</v>
      </c>
      <c r="ED87" s="158">
        <f t="shared" si="337"/>
        <v>0</v>
      </c>
    </row>
    <row r="88" spans="1:134" x14ac:dyDescent="0.35">
      <c r="A88" s="172"/>
      <c r="B88" s="173"/>
      <c r="C88" s="174"/>
      <c r="D88" s="175"/>
      <c r="E88" s="176"/>
      <c r="F88" s="177"/>
      <c r="G88" s="178"/>
      <c r="H88" s="179"/>
      <c r="I88" s="180"/>
      <c r="J88" s="181"/>
      <c r="K88" s="152">
        <f t="shared" si="338"/>
        <v>0</v>
      </c>
      <c r="L88" s="153">
        <f t="shared" si="339"/>
        <v>0</v>
      </c>
      <c r="M88" s="154">
        <f t="shared" si="340"/>
        <v>0</v>
      </c>
      <c r="N88" s="154"/>
      <c r="O88" s="154">
        <f t="shared" si="341"/>
        <v>0</v>
      </c>
      <c r="P88" s="155"/>
      <c r="Q88" s="154">
        <f t="shared" si="342"/>
        <v>0</v>
      </c>
      <c r="R88" s="156">
        <f t="shared" si="343"/>
        <v>0</v>
      </c>
      <c r="S88" s="154">
        <f t="shared" si="344"/>
        <v>0</v>
      </c>
      <c r="T88" s="154">
        <f t="shared" si="345"/>
        <v>0</v>
      </c>
      <c r="U88" s="154">
        <f t="shared" si="346"/>
        <v>0</v>
      </c>
      <c r="V88" s="154">
        <f t="shared" si="347"/>
        <v>0</v>
      </c>
      <c r="W88" s="154">
        <f t="shared" si="348"/>
        <v>0</v>
      </c>
      <c r="X88" s="154">
        <f t="shared" si="349"/>
        <v>0</v>
      </c>
      <c r="Y88" s="154">
        <f t="shared" si="350"/>
        <v>0</v>
      </c>
      <c r="Z88" s="154">
        <f t="shared" si="351"/>
        <v>0</v>
      </c>
      <c r="AA88" s="154">
        <f t="shared" si="352"/>
        <v>0</v>
      </c>
      <c r="AB88" s="157">
        <f t="shared" si="353"/>
        <v>0</v>
      </c>
      <c r="AC88" s="154">
        <f t="shared" si="354"/>
        <v>0</v>
      </c>
      <c r="AD88" s="158">
        <f t="shared" si="355"/>
        <v>0</v>
      </c>
      <c r="AE88" s="156">
        <f t="shared" si="356"/>
        <v>0</v>
      </c>
      <c r="AF88" s="154">
        <f t="shared" si="357"/>
        <v>0</v>
      </c>
      <c r="AG88" s="154">
        <f t="shared" si="281"/>
        <v>0</v>
      </c>
      <c r="AH88" s="154">
        <f t="shared" si="358"/>
        <v>0</v>
      </c>
      <c r="AI88" s="154">
        <f t="shared" si="282"/>
        <v>0</v>
      </c>
      <c r="AJ88" s="154">
        <f t="shared" si="359"/>
        <v>0</v>
      </c>
      <c r="AK88" s="154">
        <f t="shared" si="283"/>
        <v>0</v>
      </c>
      <c r="AL88" s="154">
        <f t="shared" si="360"/>
        <v>0</v>
      </c>
      <c r="AM88" s="154">
        <f t="shared" si="284"/>
        <v>0</v>
      </c>
      <c r="AN88" s="154">
        <f t="shared" si="361"/>
        <v>0</v>
      </c>
      <c r="AO88" s="157">
        <f t="shared" si="285"/>
        <v>0</v>
      </c>
      <c r="AP88" s="154">
        <f t="shared" si="286"/>
        <v>0</v>
      </c>
      <c r="AQ88" s="158">
        <f t="shared" si="287"/>
        <v>0</v>
      </c>
      <c r="AR88" s="156">
        <f t="shared" si="356"/>
        <v>0</v>
      </c>
      <c r="AS88" s="154">
        <f t="shared" si="362"/>
        <v>0</v>
      </c>
      <c r="AT88" s="154">
        <f t="shared" si="288"/>
        <v>0</v>
      </c>
      <c r="AU88" s="154">
        <f t="shared" si="363"/>
        <v>0</v>
      </c>
      <c r="AV88" s="154">
        <f t="shared" si="289"/>
        <v>0</v>
      </c>
      <c r="AW88" s="154">
        <f t="shared" si="364"/>
        <v>0</v>
      </c>
      <c r="AX88" s="154">
        <f t="shared" si="290"/>
        <v>0</v>
      </c>
      <c r="AY88" s="154">
        <f t="shared" si="365"/>
        <v>0</v>
      </c>
      <c r="AZ88" s="154">
        <f t="shared" si="291"/>
        <v>0</v>
      </c>
      <c r="BA88" s="154">
        <f t="shared" si="366"/>
        <v>0</v>
      </c>
      <c r="BB88" s="157">
        <f t="shared" si="292"/>
        <v>0</v>
      </c>
      <c r="BC88" s="154">
        <f t="shared" si="293"/>
        <v>0</v>
      </c>
      <c r="BD88" s="158">
        <f t="shared" si="294"/>
        <v>0</v>
      </c>
      <c r="BE88" s="156">
        <f t="shared" si="356"/>
        <v>0</v>
      </c>
      <c r="BF88" s="154">
        <f t="shared" si="367"/>
        <v>0</v>
      </c>
      <c r="BG88" s="154">
        <f t="shared" si="295"/>
        <v>0</v>
      </c>
      <c r="BH88" s="154">
        <f t="shared" si="368"/>
        <v>0</v>
      </c>
      <c r="BI88" s="154">
        <f t="shared" si="296"/>
        <v>0</v>
      </c>
      <c r="BJ88" s="154">
        <f t="shared" si="369"/>
        <v>0</v>
      </c>
      <c r="BK88" s="154">
        <f t="shared" si="297"/>
        <v>0</v>
      </c>
      <c r="BL88" s="154">
        <f t="shared" si="370"/>
        <v>0</v>
      </c>
      <c r="BM88" s="154">
        <f t="shared" si="298"/>
        <v>0</v>
      </c>
      <c r="BN88" s="154">
        <f t="shared" si="371"/>
        <v>0</v>
      </c>
      <c r="BO88" s="157">
        <f t="shared" si="299"/>
        <v>0</v>
      </c>
      <c r="BP88" s="154">
        <f t="shared" si="300"/>
        <v>0</v>
      </c>
      <c r="BQ88" s="158">
        <f t="shared" si="301"/>
        <v>0</v>
      </c>
      <c r="BR88" s="156">
        <f t="shared" si="356"/>
        <v>0</v>
      </c>
      <c r="BS88" s="154">
        <f t="shared" si="372"/>
        <v>0</v>
      </c>
      <c r="BT88" s="154">
        <f t="shared" si="302"/>
        <v>0</v>
      </c>
      <c r="BU88" s="154">
        <f t="shared" si="373"/>
        <v>0</v>
      </c>
      <c r="BV88" s="154">
        <f t="shared" si="303"/>
        <v>0</v>
      </c>
      <c r="BW88" s="154">
        <f t="shared" si="374"/>
        <v>0</v>
      </c>
      <c r="BX88" s="154">
        <f t="shared" si="304"/>
        <v>0</v>
      </c>
      <c r="BY88" s="154">
        <f t="shared" si="375"/>
        <v>0</v>
      </c>
      <c r="BZ88" s="154">
        <f t="shared" si="305"/>
        <v>0</v>
      </c>
      <c r="CA88" s="154">
        <f t="shared" si="376"/>
        <v>0</v>
      </c>
      <c r="CB88" s="157">
        <f t="shared" si="306"/>
        <v>0</v>
      </c>
      <c r="CC88" s="154">
        <f t="shared" si="307"/>
        <v>0</v>
      </c>
      <c r="CD88" s="158">
        <f t="shared" si="308"/>
        <v>0</v>
      </c>
      <c r="CE88" s="156">
        <f t="shared" si="356"/>
        <v>0</v>
      </c>
      <c r="CF88" s="154">
        <f t="shared" si="377"/>
        <v>0</v>
      </c>
      <c r="CG88" s="154">
        <f t="shared" si="309"/>
        <v>0</v>
      </c>
      <c r="CH88" s="154">
        <f t="shared" si="378"/>
        <v>0</v>
      </c>
      <c r="CI88" s="154">
        <f t="shared" si="310"/>
        <v>0</v>
      </c>
      <c r="CJ88" s="154">
        <f t="shared" si="379"/>
        <v>0</v>
      </c>
      <c r="CK88" s="154">
        <f t="shared" si="311"/>
        <v>0</v>
      </c>
      <c r="CL88" s="154">
        <f t="shared" si="380"/>
        <v>0</v>
      </c>
      <c r="CM88" s="154">
        <f t="shared" si="312"/>
        <v>0</v>
      </c>
      <c r="CN88" s="154">
        <f t="shared" si="381"/>
        <v>0</v>
      </c>
      <c r="CO88" s="157">
        <f t="shared" si="313"/>
        <v>0</v>
      </c>
      <c r="CP88" s="154">
        <f t="shared" si="314"/>
        <v>0</v>
      </c>
      <c r="CQ88" s="158">
        <f t="shared" si="315"/>
        <v>0</v>
      </c>
      <c r="CR88" s="156">
        <f t="shared" si="382"/>
        <v>0</v>
      </c>
      <c r="CS88" s="154">
        <f t="shared" si="383"/>
        <v>0</v>
      </c>
      <c r="CT88" s="154">
        <f t="shared" si="317"/>
        <v>0</v>
      </c>
      <c r="CU88" s="154">
        <f t="shared" si="384"/>
        <v>0</v>
      </c>
      <c r="CV88" s="154">
        <f t="shared" si="318"/>
        <v>0</v>
      </c>
      <c r="CW88" s="154">
        <f t="shared" si="385"/>
        <v>0</v>
      </c>
      <c r="CX88" s="154">
        <f t="shared" si="319"/>
        <v>0</v>
      </c>
      <c r="CY88" s="154">
        <f t="shared" si="386"/>
        <v>0</v>
      </c>
      <c r="CZ88" s="154">
        <f t="shared" si="320"/>
        <v>0</v>
      </c>
      <c r="DA88" s="154">
        <f t="shared" si="387"/>
        <v>0</v>
      </c>
      <c r="DB88" s="157">
        <f t="shared" si="321"/>
        <v>0</v>
      </c>
      <c r="DC88" s="154">
        <f t="shared" si="322"/>
        <v>0</v>
      </c>
      <c r="DD88" s="158">
        <f t="shared" si="323"/>
        <v>0</v>
      </c>
      <c r="DE88" s="156">
        <f t="shared" si="382"/>
        <v>0</v>
      </c>
      <c r="DF88" s="154">
        <f t="shared" si="388"/>
        <v>0</v>
      </c>
      <c r="DG88" s="154">
        <f t="shared" si="324"/>
        <v>0</v>
      </c>
      <c r="DH88" s="154">
        <f t="shared" si="389"/>
        <v>0</v>
      </c>
      <c r="DI88" s="154">
        <f t="shared" si="325"/>
        <v>0</v>
      </c>
      <c r="DJ88" s="154">
        <f t="shared" si="390"/>
        <v>0</v>
      </c>
      <c r="DK88" s="154">
        <f t="shared" si="326"/>
        <v>0</v>
      </c>
      <c r="DL88" s="154">
        <f t="shared" si="391"/>
        <v>0</v>
      </c>
      <c r="DM88" s="154">
        <f t="shared" si="327"/>
        <v>0</v>
      </c>
      <c r="DN88" s="154">
        <f t="shared" si="392"/>
        <v>0</v>
      </c>
      <c r="DO88" s="157">
        <f t="shared" si="328"/>
        <v>0</v>
      </c>
      <c r="DP88" s="154">
        <f t="shared" si="329"/>
        <v>0</v>
      </c>
      <c r="DQ88" s="158">
        <f t="shared" si="330"/>
        <v>0</v>
      </c>
      <c r="DR88" s="156">
        <f t="shared" si="382"/>
        <v>0</v>
      </c>
      <c r="DS88" s="154">
        <f t="shared" si="393"/>
        <v>0</v>
      </c>
      <c r="DT88" s="154">
        <f t="shared" si="331"/>
        <v>0</v>
      </c>
      <c r="DU88" s="154">
        <f t="shared" si="394"/>
        <v>0</v>
      </c>
      <c r="DV88" s="154">
        <f t="shared" si="332"/>
        <v>0</v>
      </c>
      <c r="DW88" s="154">
        <f t="shared" si="395"/>
        <v>0</v>
      </c>
      <c r="DX88" s="154">
        <f t="shared" si="333"/>
        <v>0</v>
      </c>
      <c r="DY88" s="154">
        <f t="shared" si="396"/>
        <v>0</v>
      </c>
      <c r="DZ88" s="154">
        <f t="shared" si="334"/>
        <v>0</v>
      </c>
      <c r="EA88" s="154">
        <f t="shared" si="397"/>
        <v>0</v>
      </c>
      <c r="EB88" s="157">
        <f t="shared" si="335"/>
        <v>0</v>
      </c>
      <c r="EC88" s="154">
        <f t="shared" si="336"/>
        <v>0</v>
      </c>
      <c r="ED88" s="158">
        <f t="shared" si="337"/>
        <v>0</v>
      </c>
    </row>
    <row r="89" spans="1:134" x14ac:dyDescent="0.35">
      <c r="A89" s="172"/>
      <c r="B89" s="173"/>
      <c r="C89" s="174"/>
      <c r="D89" s="175"/>
      <c r="E89" s="176"/>
      <c r="F89" s="177"/>
      <c r="G89" s="178"/>
      <c r="H89" s="179"/>
      <c r="I89" s="180"/>
      <c r="J89" s="181"/>
      <c r="K89" s="152">
        <f t="shared" si="338"/>
        <v>0</v>
      </c>
      <c r="L89" s="153">
        <f t="shared" si="339"/>
        <v>0</v>
      </c>
      <c r="M89" s="154">
        <f t="shared" si="340"/>
        <v>0</v>
      </c>
      <c r="N89" s="154"/>
      <c r="O89" s="154">
        <f t="shared" si="341"/>
        <v>0</v>
      </c>
      <c r="P89" s="155"/>
      <c r="Q89" s="154">
        <f t="shared" si="342"/>
        <v>0</v>
      </c>
      <c r="R89" s="156">
        <f t="shared" si="343"/>
        <v>0</v>
      </c>
      <c r="S89" s="154">
        <f t="shared" si="344"/>
        <v>0</v>
      </c>
      <c r="T89" s="154">
        <f t="shared" si="345"/>
        <v>0</v>
      </c>
      <c r="U89" s="154">
        <f t="shared" si="346"/>
        <v>0</v>
      </c>
      <c r="V89" s="154">
        <f t="shared" si="347"/>
        <v>0</v>
      </c>
      <c r="W89" s="154">
        <f t="shared" si="348"/>
        <v>0</v>
      </c>
      <c r="X89" s="154">
        <f t="shared" si="349"/>
        <v>0</v>
      </c>
      <c r="Y89" s="154">
        <f t="shared" si="350"/>
        <v>0</v>
      </c>
      <c r="Z89" s="154">
        <f t="shared" si="351"/>
        <v>0</v>
      </c>
      <c r="AA89" s="154">
        <f t="shared" si="352"/>
        <v>0</v>
      </c>
      <c r="AB89" s="157">
        <f t="shared" si="353"/>
        <v>0</v>
      </c>
      <c r="AC89" s="154">
        <f t="shared" si="354"/>
        <v>0</v>
      </c>
      <c r="AD89" s="158">
        <f t="shared" si="355"/>
        <v>0</v>
      </c>
      <c r="AE89" s="156">
        <f t="shared" si="356"/>
        <v>0</v>
      </c>
      <c r="AF89" s="154">
        <f t="shared" si="357"/>
        <v>0</v>
      </c>
      <c r="AG89" s="154">
        <f t="shared" si="281"/>
        <v>0</v>
      </c>
      <c r="AH89" s="154">
        <f t="shared" si="358"/>
        <v>0</v>
      </c>
      <c r="AI89" s="154">
        <f t="shared" si="282"/>
        <v>0</v>
      </c>
      <c r="AJ89" s="154">
        <f t="shared" si="359"/>
        <v>0</v>
      </c>
      <c r="AK89" s="154">
        <f t="shared" si="283"/>
        <v>0</v>
      </c>
      <c r="AL89" s="154">
        <f t="shared" si="360"/>
        <v>0</v>
      </c>
      <c r="AM89" s="154">
        <f t="shared" si="284"/>
        <v>0</v>
      </c>
      <c r="AN89" s="154">
        <f t="shared" si="361"/>
        <v>0</v>
      </c>
      <c r="AO89" s="157">
        <f t="shared" si="285"/>
        <v>0</v>
      </c>
      <c r="AP89" s="154">
        <f t="shared" si="286"/>
        <v>0</v>
      </c>
      <c r="AQ89" s="158">
        <f t="shared" si="287"/>
        <v>0</v>
      </c>
      <c r="AR89" s="156">
        <f t="shared" si="356"/>
        <v>0</v>
      </c>
      <c r="AS89" s="154">
        <f t="shared" si="362"/>
        <v>0</v>
      </c>
      <c r="AT89" s="154">
        <f t="shared" si="288"/>
        <v>0</v>
      </c>
      <c r="AU89" s="154">
        <f t="shared" si="363"/>
        <v>0</v>
      </c>
      <c r="AV89" s="154">
        <f t="shared" si="289"/>
        <v>0</v>
      </c>
      <c r="AW89" s="154">
        <f t="shared" si="364"/>
        <v>0</v>
      </c>
      <c r="AX89" s="154">
        <f t="shared" si="290"/>
        <v>0</v>
      </c>
      <c r="AY89" s="154">
        <f t="shared" si="365"/>
        <v>0</v>
      </c>
      <c r="AZ89" s="154">
        <f t="shared" si="291"/>
        <v>0</v>
      </c>
      <c r="BA89" s="154">
        <f t="shared" si="366"/>
        <v>0</v>
      </c>
      <c r="BB89" s="157">
        <f t="shared" si="292"/>
        <v>0</v>
      </c>
      <c r="BC89" s="154">
        <f t="shared" si="293"/>
        <v>0</v>
      </c>
      <c r="BD89" s="158">
        <f t="shared" si="294"/>
        <v>0</v>
      </c>
      <c r="BE89" s="156">
        <f t="shared" si="356"/>
        <v>0</v>
      </c>
      <c r="BF89" s="154">
        <f t="shared" si="367"/>
        <v>0</v>
      </c>
      <c r="BG89" s="154">
        <f t="shared" si="295"/>
        <v>0</v>
      </c>
      <c r="BH89" s="154">
        <f t="shared" si="368"/>
        <v>0</v>
      </c>
      <c r="BI89" s="154">
        <f t="shared" si="296"/>
        <v>0</v>
      </c>
      <c r="BJ89" s="154">
        <f t="shared" si="369"/>
        <v>0</v>
      </c>
      <c r="BK89" s="154">
        <f t="shared" si="297"/>
        <v>0</v>
      </c>
      <c r="BL89" s="154">
        <f t="shared" si="370"/>
        <v>0</v>
      </c>
      <c r="BM89" s="154">
        <f t="shared" si="298"/>
        <v>0</v>
      </c>
      <c r="BN89" s="154">
        <f t="shared" si="371"/>
        <v>0</v>
      </c>
      <c r="BO89" s="157">
        <f t="shared" si="299"/>
        <v>0</v>
      </c>
      <c r="BP89" s="154">
        <f t="shared" si="300"/>
        <v>0</v>
      </c>
      <c r="BQ89" s="158">
        <f t="shared" si="301"/>
        <v>0</v>
      </c>
      <c r="BR89" s="156">
        <f t="shared" si="356"/>
        <v>0</v>
      </c>
      <c r="BS89" s="154">
        <f t="shared" si="372"/>
        <v>0</v>
      </c>
      <c r="BT89" s="154">
        <f t="shared" si="302"/>
        <v>0</v>
      </c>
      <c r="BU89" s="154">
        <f t="shared" si="373"/>
        <v>0</v>
      </c>
      <c r="BV89" s="154">
        <f t="shared" si="303"/>
        <v>0</v>
      </c>
      <c r="BW89" s="154">
        <f t="shared" si="374"/>
        <v>0</v>
      </c>
      <c r="BX89" s="154">
        <f t="shared" si="304"/>
        <v>0</v>
      </c>
      <c r="BY89" s="154">
        <f t="shared" si="375"/>
        <v>0</v>
      </c>
      <c r="BZ89" s="154">
        <f t="shared" si="305"/>
        <v>0</v>
      </c>
      <c r="CA89" s="154">
        <f t="shared" si="376"/>
        <v>0</v>
      </c>
      <c r="CB89" s="157">
        <f t="shared" si="306"/>
        <v>0</v>
      </c>
      <c r="CC89" s="154">
        <f t="shared" si="307"/>
        <v>0</v>
      </c>
      <c r="CD89" s="158">
        <f t="shared" si="308"/>
        <v>0</v>
      </c>
      <c r="CE89" s="156">
        <f t="shared" si="356"/>
        <v>0</v>
      </c>
      <c r="CF89" s="154">
        <f t="shared" si="377"/>
        <v>0</v>
      </c>
      <c r="CG89" s="154">
        <f t="shared" si="309"/>
        <v>0</v>
      </c>
      <c r="CH89" s="154">
        <f t="shared" si="378"/>
        <v>0</v>
      </c>
      <c r="CI89" s="154">
        <f t="shared" si="310"/>
        <v>0</v>
      </c>
      <c r="CJ89" s="154">
        <f t="shared" si="379"/>
        <v>0</v>
      </c>
      <c r="CK89" s="154">
        <f t="shared" si="311"/>
        <v>0</v>
      </c>
      <c r="CL89" s="154">
        <f t="shared" si="380"/>
        <v>0</v>
      </c>
      <c r="CM89" s="154">
        <f t="shared" si="312"/>
        <v>0</v>
      </c>
      <c r="CN89" s="154">
        <f t="shared" si="381"/>
        <v>0</v>
      </c>
      <c r="CO89" s="157">
        <f t="shared" si="313"/>
        <v>0</v>
      </c>
      <c r="CP89" s="154">
        <f t="shared" si="314"/>
        <v>0</v>
      </c>
      <c r="CQ89" s="158">
        <f t="shared" si="315"/>
        <v>0</v>
      </c>
      <c r="CR89" s="156">
        <f t="shared" si="382"/>
        <v>0</v>
      </c>
      <c r="CS89" s="154">
        <f t="shared" si="383"/>
        <v>0</v>
      </c>
      <c r="CT89" s="154">
        <f t="shared" si="317"/>
        <v>0</v>
      </c>
      <c r="CU89" s="154">
        <f t="shared" si="384"/>
        <v>0</v>
      </c>
      <c r="CV89" s="154">
        <f t="shared" si="318"/>
        <v>0</v>
      </c>
      <c r="CW89" s="154">
        <f t="shared" si="385"/>
        <v>0</v>
      </c>
      <c r="CX89" s="154">
        <f t="shared" si="319"/>
        <v>0</v>
      </c>
      <c r="CY89" s="154">
        <f t="shared" si="386"/>
        <v>0</v>
      </c>
      <c r="CZ89" s="154">
        <f t="shared" si="320"/>
        <v>0</v>
      </c>
      <c r="DA89" s="154">
        <f t="shared" si="387"/>
        <v>0</v>
      </c>
      <c r="DB89" s="157">
        <f t="shared" si="321"/>
        <v>0</v>
      </c>
      <c r="DC89" s="154">
        <f t="shared" si="322"/>
        <v>0</v>
      </c>
      <c r="DD89" s="158">
        <f t="shared" si="323"/>
        <v>0</v>
      </c>
      <c r="DE89" s="156">
        <f t="shared" si="382"/>
        <v>0</v>
      </c>
      <c r="DF89" s="154">
        <f t="shared" si="388"/>
        <v>0</v>
      </c>
      <c r="DG89" s="154">
        <f t="shared" si="324"/>
        <v>0</v>
      </c>
      <c r="DH89" s="154">
        <f t="shared" si="389"/>
        <v>0</v>
      </c>
      <c r="DI89" s="154">
        <f t="shared" si="325"/>
        <v>0</v>
      </c>
      <c r="DJ89" s="154">
        <f t="shared" si="390"/>
        <v>0</v>
      </c>
      <c r="DK89" s="154">
        <f t="shared" si="326"/>
        <v>0</v>
      </c>
      <c r="DL89" s="154">
        <f t="shared" si="391"/>
        <v>0</v>
      </c>
      <c r="DM89" s="154">
        <f t="shared" si="327"/>
        <v>0</v>
      </c>
      <c r="DN89" s="154">
        <f t="shared" si="392"/>
        <v>0</v>
      </c>
      <c r="DO89" s="157">
        <f t="shared" si="328"/>
        <v>0</v>
      </c>
      <c r="DP89" s="154">
        <f t="shared" si="329"/>
        <v>0</v>
      </c>
      <c r="DQ89" s="158">
        <f t="shared" si="330"/>
        <v>0</v>
      </c>
      <c r="DR89" s="156">
        <f t="shared" si="382"/>
        <v>0</v>
      </c>
      <c r="DS89" s="154">
        <f t="shared" si="393"/>
        <v>0</v>
      </c>
      <c r="DT89" s="154">
        <f t="shared" si="331"/>
        <v>0</v>
      </c>
      <c r="DU89" s="154">
        <f t="shared" si="394"/>
        <v>0</v>
      </c>
      <c r="DV89" s="154">
        <f t="shared" si="332"/>
        <v>0</v>
      </c>
      <c r="DW89" s="154">
        <f t="shared" si="395"/>
        <v>0</v>
      </c>
      <c r="DX89" s="154">
        <f t="shared" si="333"/>
        <v>0</v>
      </c>
      <c r="DY89" s="154">
        <f t="shared" si="396"/>
        <v>0</v>
      </c>
      <c r="DZ89" s="154">
        <f t="shared" si="334"/>
        <v>0</v>
      </c>
      <c r="EA89" s="154">
        <f t="shared" si="397"/>
        <v>0</v>
      </c>
      <c r="EB89" s="157">
        <f t="shared" si="335"/>
        <v>0</v>
      </c>
      <c r="EC89" s="154">
        <f t="shared" si="336"/>
        <v>0</v>
      </c>
      <c r="ED89" s="158">
        <f t="shared" si="337"/>
        <v>0</v>
      </c>
    </row>
    <row r="90" spans="1:134" x14ac:dyDescent="0.35">
      <c r="A90" s="172"/>
      <c r="B90" s="173"/>
      <c r="C90" s="174"/>
      <c r="D90" s="175"/>
      <c r="E90" s="176"/>
      <c r="F90" s="177"/>
      <c r="G90" s="178"/>
      <c r="H90" s="179"/>
      <c r="I90" s="180"/>
      <c r="J90" s="181"/>
      <c r="K90" s="152">
        <f t="shared" si="338"/>
        <v>0</v>
      </c>
      <c r="L90" s="153">
        <f t="shared" si="339"/>
        <v>0</v>
      </c>
      <c r="M90" s="154">
        <f t="shared" si="340"/>
        <v>0</v>
      </c>
      <c r="N90" s="154"/>
      <c r="O90" s="154">
        <f t="shared" si="341"/>
        <v>0</v>
      </c>
      <c r="P90" s="155"/>
      <c r="Q90" s="154">
        <f t="shared" si="342"/>
        <v>0</v>
      </c>
      <c r="R90" s="156">
        <f t="shared" si="343"/>
        <v>0</v>
      </c>
      <c r="S90" s="154">
        <f t="shared" si="344"/>
        <v>0</v>
      </c>
      <c r="T90" s="154">
        <f t="shared" si="345"/>
        <v>0</v>
      </c>
      <c r="U90" s="154">
        <f t="shared" si="346"/>
        <v>0</v>
      </c>
      <c r="V90" s="154">
        <f t="shared" si="347"/>
        <v>0</v>
      </c>
      <c r="W90" s="154">
        <f t="shared" si="348"/>
        <v>0</v>
      </c>
      <c r="X90" s="154">
        <f t="shared" si="349"/>
        <v>0</v>
      </c>
      <c r="Y90" s="154">
        <f t="shared" si="350"/>
        <v>0</v>
      </c>
      <c r="Z90" s="154">
        <f t="shared" si="351"/>
        <v>0</v>
      </c>
      <c r="AA90" s="154">
        <f t="shared" si="352"/>
        <v>0</v>
      </c>
      <c r="AB90" s="157">
        <f t="shared" si="353"/>
        <v>0</v>
      </c>
      <c r="AC90" s="154">
        <f t="shared" si="354"/>
        <v>0</v>
      </c>
      <c r="AD90" s="158">
        <f t="shared" si="355"/>
        <v>0</v>
      </c>
      <c r="AE90" s="156">
        <f t="shared" si="356"/>
        <v>0</v>
      </c>
      <c r="AF90" s="154">
        <f t="shared" si="357"/>
        <v>0</v>
      </c>
      <c r="AG90" s="154">
        <f t="shared" si="281"/>
        <v>0</v>
      </c>
      <c r="AH90" s="154">
        <f t="shared" si="358"/>
        <v>0</v>
      </c>
      <c r="AI90" s="154">
        <f t="shared" si="282"/>
        <v>0</v>
      </c>
      <c r="AJ90" s="154">
        <f t="shared" si="359"/>
        <v>0</v>
      </c>
      <c r="AK90" s="154">
        <f t="shared" si="283"/>
        <v>0</v>
      </c>
      <c r="AL90" s="154">
        <f t="shared" si="360"/>
        <v>0</v>
      </c>
      <c r="AM90" s="154">
        <f t="shared" si="284"/>
        <v>0</v>
      </c>
      <c r="AN90" s="154">
        <f t="shared" si="361"/>
        <v>0</v>
      </c>
      <c r="AO90" s="157">
        <f t="shared" si="285"/>
        <v>0</v>
      </c>
      <c r="AP90" s="154">
        <f t="shared" si="286"/>
        <v>0</v>
      </c>
      <c r="AQ90" s="158">
        <f t="shared" si="287"/>
        <v>0</v>
      </c>
      <c r="AR90" s="156">
        <f t="shared" si="356"/>
        <v>0</v>
      </c>
      <c r="AS90" s="154">
        <f t="shared" si="362"/>
        <v>0</v>
      </c>
      <c r="AT90" s="154">
        <f t="shared" si="288"/>
        <v>0</v>
      </c>
      <c r="AU90" s="154">
        <f t="shared" si="363"/>
        <v>0</v>
      </c>
      <c r="AV90" s="154">
        <f t="shared" si="289"/>
        <v>0</v>
      </c>
      <c r="AW90" s="154">
        <f t="shared" si="364"/>
        <v>0</v>
      </c>
      <c r="AX90" s="154">
        <f t="shared" si="290"/>
        <v>0</v>
      </c>
      <c r="AY90" s="154">
        <f t="shared" si="365"/>
        <v>0</v>
      </c>
      <c r="AZ90" s="154">
        <f t="shared" si="291"/>
        <v>0</v>
      </c>
      <c r="BA90" s="154">
        <f t="shared" si="366"/>
        <v>0</v>
      </c>
      <c r="BB90" s="157">
        <f t="shared" si="292"/>
        <v>0</v>
      </c>
      <c r="BC90" s="154">
        <f t="shared" si="293"/>
        <v>0</v>
      </c>
      <c r="BD90" s="158">
        <f t="shared" si="294"/>
        <v>0</v>
      </c>
      <c r="BE90" s="156">
        <f t="shared" si="356"/>
        <v>0</v>
      </c>
      <c r="BF90" s="154">
        <f t="shared" si="367"/>
        <v>0</v>
      </c>
      <c r="BG90" s="154">
        <f t="shared" si="295"/>
        <v>0</v>
      </c>
      <c r="BH90" s="154">
        <f t="shared" si="368"/>
        <v>0</v>
      </c>
      <c r="BI90" s="154">
        <f t="shared" si="296"/>
        <v>0</v>
      </c>
      <c r="BJ90" s="154">
        <f t="shared" si="369"/>
        <v>0</v>
      </c>
      <c r="BK90" s="154">
        <f t="shared" si="297"/>
        <v>0</v>
      </c>
      <c r="BL90" s="154">
        <f t="shared" si="370"/>
        <v>0</v>
      </c>
      <c r="BM90" s="154">
        <f t="shared" si="298"/>
        <v>0</v>
      </c>
      <c r="BN90" s="154">
        <f t="shared" si="371"/>
        <v>0</v>
      </c>
      <c r="BO90" s="157">
        <f t="shared" si="299"/>
        <v>0</v>
      </c>
      <c r="BP90" s="154">
        <f t="shared" si="300"/>
        <v>0</v>
      </c>
      <c r="BQ90" s="158">
        <f t="shared" si="301"/>
        <v>0</v>
      </c>
      <c r="BR90" s="156">
        <f t="shared" si="356"/>
        <v>0</v>
      </c>
      <c r="BS90" s="154">
        <f t="shared" si="372"/>
        <v>0</v>
      </c>
      <c r="BT90" s="154">
        <f t="shared" si="302"/>
        <v>0</v>
      </c>
      <c r="BU90" s="154">
        <f t="shared" si="373"/>
        <v>0</v>
      </c>
      <c r="BV90" s="154">
        <f t="shared" si="303"/>
        <v>0</v>
      </c>
      <c r="BW90" s="154">
        <f t="shared" si="374"/>
        <v>0</v>
      </c>
      <c r="BX90" s="154">
        <f t="shared" si="304"/>
        <v>0</v>
      </c>
      <c r="BY90" s="154">
        <f t="shared" si="375"/>
        <v>0</v>
      </c>
      <c r="BZ90" s="154">
        <f t="shared" si="305"/>
        <v>0</v>
      </c>
      <c r="CA90" s="154">
        <f t="shared" si="376"/>
        <v>0</v>
      </c>
      <c r="CB90" s="157">
        <f t="shared" si="306"/>
        <v>0</v>
      </c>
      <c r="CC90" s="154">
        <f t="shared" si="307"/>
        <v>0</v>
      </c>
      <c r="CD90" s="158">
        <f t="shared" si="308"/>
        <v>0</v>
      </c>
      <c r="CE90" s="156">
        <f t="shared" si="356"/>
        <v>0</v>
      </c>
      <c r="CF90" s="154">
        <f t="shared" si="377"/>
        <v>0</v>
      </c>
      <c r="CG90" s="154">
        <f t="shared" si="309"/>
        <v>0</v>
      </c>
      <c r="CH90" s="154">
        <f t="shared" si="378"/>
        <v>0</v>
      </c>
      <c r="CI90" s="154">
        <f t="shared" si="310"/>
        <v>0</v>
      </c>
      <c r="CJ90" s="154">
        <f t="shared" si="379"/>
        <v>0</v>
      </c>
      <c r="CK90" s="154">
        <f t="shared" si="311"/>
        <v>0</v>
      </c>
      <c r="CL90" s="154">
        <f t="shared" si="380"/>
        <v>0</v>
      </c>
      <c r="CM90" s="154">
        <f t="shared" si="312"/>
        <v>0</v>
      </c>
      <c r="CN90" s="154">
        <f t="shared" si="381"/>
        <v>0</v>
      </c>
      <c r="CO90" s="157">
        <f t="shared" si="313"/>
        <v>0</v>
      </c>
      <c r="CP90" s="154">
        <f t="shared" si="314"/>
        <v>0</v>
      </c>
      <c r="CQ90" s="158">
        <f t="shared" si="315"/>
        <v>0</v>
      </c>
      <c r="CR90" s="156">
        <f t="shared" si="382"/>
        <v>0</v>
      </c>
      <c r="CS90" s="154">
        <f t="shared" si="383"/>
        <v>0</v>
      </c>
      <c r="CT90" s="154">
        <f t="shared" si="317"/>
        <v>0</v>
      </c>
      <c r="CU90" s="154">
        <f t="shared" si="384"/>
        <v>0</v>
      </c>
      <c r="CV90" s="154">
        <f t="shared" si="318"/>
        <v>0</v>
      </c>
      <c r="CW90" s="154">
        <f t="shared" si="385"/>
        <v>0</v>
      </c>
      <c r="CX90" s="154">
        <f t="shared" si="319"/>
        <v>0</v>
      </c>
      <c r="CY90" s="154">
        <f t="shared" si="386"/>
        <v>0</v>
      </c>
      <c r="CZ90" s="154">
        <f t="shared" si="320"/>
        <v>0</v>
      </c>
      <c r="DA90" s="154">
        <f t="shared" si="387"/>
        <v>0</v>
      </c>
      <c r="DB90" s="157">
        <f t="shared" si="321"/>
        <v>0</v>
      </c>
      <c r="DC90" s="154">
        <f t="shared" si="322"/>
        <v>0</v>
      </c>
      <c r="DD90" s="158">
        <f t="shared" si="323"/>
        <v>0</v>
      </c>
      <c r="DE90" s="156">
        <f t="shared" si="382"/>
        <v>0</v>
      </c>
      <c r="DF90" s="154">
        <f t="shared" si="388"/>
        <v>0</v>
      </c>
      <c r="DG90" s="154">
        <f t="shared" si="324"/>
        <v>0</v>
      </c>
      <c r="DH90" s="154">
        <f t="shared" si="389"/>
        <v>0</v>
      </c>
      <c r="DI90" s="154">
        <f t="shared" si="325"/>
        <v>0</v>
      </c>
      <c r="DJ90" s="154">
        <f t="shared" si="390"/>
        <v>0</v>
      </c>
      <c r="DK90" s="154">
        <f t="shared" si="326"/>
        <v>0</v>
      </c>
      <c r="DL90" s="154">
        <f t="shared" si="391"/>
        <v>0</v>
      </c>
      <c r="DM90" s="154">
        <f t="shared" si="327"/>
        <v>0</v>
      </c>
      <c r="DN90" s="154">
        <f t="shared" si="392"/>
        <v>0</v>
      </c>
      <c r="DO90" s="157">
        <f t="shared" si="328"/>
        <v>0</v>
      </c>
      <c r="DP90" s="154">
        <f t="shared" si="329"/>
        <v>0</v>
      </c>
      <c r="DQ90" s="158">
        <f t="shared" si="330"/>
        <v>0</v>
      </c>
      <c r="DR90" s="156">
        <f t="shared" si="382"/>
        <v>0</v>
      </c>
      <c r="DS90" s="154">
        <f t="shared" si="393"/>
        <v>0</v>
      </c>
      <c r="DT90" s="154">
        <f t="shared" si="331"/>
        <v>0</v>
      </c>
      <c r="DU90" s="154">
        <f t="shared" si="394"/>
        <v>0</v>
      </c>
      <c r="DV90" s="154">
        <f t="shared" si="332"/>
        <v>0</v>
      </c>
      <c r="DW90" s="154">
        <f t="shared" si="395"/>
        <v>0</v>
      </c>
      <c r="DX90" s="154">
        <f t="shared" si="333"/>
        <v>0</v>
      </c>
      <c r="DY90" s="154">
        <f t="shared" si="396"/>
        <v>0</v>
      </c>
      <c r="DZ90" s="154">
        <f t="shared" si="334"/>
        <v>0</v>
      </c>
      <c r="EA90" s="154">
        <f t="shared" si="397"/>
        <v>0</v>
      </c>
      <c r="EB90" s="157">
        <f t="shared" si="335"/>
        <v>0</v>
      </c>
      <c r="EC90" s="154">
        <f t="shared" si="336"/>
        <v>0</v>
      </c>
      <c r="ED90" s="158">
        <f t="shared" si="337"/>
        <v>0</v>
      </c>
    </row>
    <row r="91" spans="1:134" x14ac:dyDescent="0.35">
      <c r="A91" s="172"/>
      <c r="B91" s="173"/>
      <c r="C91" s="174"/>
      <c r="D91" s="175"/>
      <c r="E91" s="176"/>
      <c r="F91" s="177"/>
      <c r="G91" s="178"/>
      <c r="H91" s="179"/>
      <c r="I91" s="180"/>
      <c r="J91" s="181"/>
      <c r="K91" s="152">
        <f t="shared" si="338"/>
        <v>0</v>
      </c>
      <c r="L91" s="153">
        <f t="shared" si="339"/>
        <v>0</v>
      </c>
      <c r="M91" s="154">
        <f t="shared" si="340"/>
        <v>0</v>
      </c>
      <c r="N91" s="154"/>
      <c r="O91" s="154">
        <f t="shared" si="341"/>
        <v>0</v>
      </c>
      <c r="P91" s="155"/>
      <c r="Q91" s="154">
        <f t="shared" si="342"/>
        <v>0</v>
      </c>
      <c r="R91" s="156">
        <f t="shared" si="343"/>
        <v>0</v>
      </c>
      <c r="S91" s="154">
        <f t="shared" si="344"/>
        <v>0</v>
      </c>
      <c r="T91" s="154">
        <f t="shared" si="345"/>
        <v>0</v>
      </c>
      <c r="U91" s="154">
        <f t="shared" si="346"/>
        <v>0</v>
      </c>
      <c r="V91" s="154">
        <f t="shared" si="347"/>
        <v>0</v>
      </c>
      <c r="W91" s="154">
        <f t="shared" si="348"/>
        <v>0</v>
      </c>
      <c r="X91" s="154">
        <f t="shared" si="349"/>
        <v>0</v>
      </c>
      <c r="Y91" s="154">
        <f t="shared" si="350"/>
        <v>0</v>
      </c>
      <c r="Z91" s="154">
        <f t="shared" si="351"/>
        <v>0</v>
      </c>
      <c r="AA91" s="154">
        <f t="shared" si="352"/>
        <v>0</v>
      </c>
      <c r="AB91" s="157">
        <f t="shared" si="353"/>
        <v>0</v>
      </c>
      <c r="AC91" s="154">
        <f t="shared" si="354"/>
        <v>0</v>
      </c>
      <c r="AD91" s="158">
        <f t="shared" si="355"/>
        <v>0</v>
      </c>
      <c r="AE91" s="156">
        <f t="shared" si="356"/>
        <v>0</v>
      </c>
      <c r="AF91" s="154">
        <f t="shared" si="357"/>
        <v>0</v>
      </c>
      <c r="AG91" s="154">
        <f t="shared" si="281"/>
        <v>0</v>
      </c>
      <c r="AH91" s="154">
        <f t="shared" si="358"/>
        <v>0</v>
      </c>
      <c r="AI91" s="154">
        <f t="shared" si="282"/>
        <v>0</v>
      </c>
      <c r="AJ91" s="154">
        <f t="shared" si="359"/>
        <v>0</v>
      </c>
      <c r="AK91" s="154">
        <f t="shared" si="283"/>
        <v>0</v>
      </c>
      <c r="AL91" s="154">
        <f t="shared" si="360"/>
        <v>0</v>
      </c>
      <c r="AM91" s="154">
        <f t="shared" si="284"/>
        <v>0</v>
      </c>
      <c r="AN91" s="154">
        <f t="shared" si="361"/>
        <v>0</v>
      </c>
      <c r="AO91" s="157">
        <f t="shared" si="285"/>
        <v>0</v>
      </c>
      <c r="AP91" s="154">
        <f t="shared" si="286"/>
        <v>0</v>
      </c>
      <c r="AQ91" s="158">
        <f t="shared" si="287"/>
        <v>0</v>
      </c>
      <c r="AR91" s="156">
        <f t="shared" si="356"/>
        <v>0</v>
      </c>
      <c r="AS91" s="154">
        <f t="shared" si="362"/>
        <v>0</v>
      </c>
      <c r="AT91" s="154">
        <f t="shared" si="288"/>
        <v>0</v>
      </c>
      <c r="AU91" s="154">
        <f t="shared" si="363"/>
        <v>0</v>
      </c>
      <c r="AV91" s="154">
        <f t="shared" si="289"/>
        <v>0</v>
      </c>
      <c r="AW91" s="154">
        <f t="shared" si="364"/>
        <v>0</v>
      </c>
      <c r="AX91" s="154">
        <f t="shared" si="290"/>
        <v>0</v>
      </c>
      <c r="AY91" s="154">
        <f t="shared" si="365"/>
        <v>0</v>
      </c>
      <c r="AZ91" s="154">
        <f t="shared" si="291"/>
        <v>0</v>
      </c>
      <c r="BA91" s="154">
        <f t="shared" si="366"/>
        <v>0</v>
      </c>
      <c r="BB91" s="157">
        <f t="shared" si="292"/>
        <v>0</v>
      </c>
      <c r="BC91" s="154">
        <f t="shared" si="293"/>
        <v>0</v>
      </c>
      <c r="BD91" s="158">
        <f t="shared" si="294"/>
        <v>0</v>
      </c>
      <c r="BE91" s="156">
        <f t="shared" si="356"/>
        <v>0</v>
      </c>
      <c r="BF91" s="154">
        <f t="shared" si="367"/>
        <v>0</v>
      </c>
      <c r="BG91" s="154">
        <f t="shared" si="295"/>
        <v>0</v>
      </c>
      <c r="BH91" s="154">
        <f t="shared" si="368"/>
        <v>0</v>
      </c>
      <c r="BI91" s="154">
        <f t="shared" si="296"/>
        <v>0</v>
      </c>
      <c r="BJ91" s="154">
        <f t="shared" si="369"/>
        <v>0</v>
      </c>
      <c r="BK91" s="154">
        <f t="shared" si="297"/>
        <v>0</v>
      </c>
      <c r="BL91" s="154">
        <f t="shared" si="370"/>
        <v>0</v>
      </c>
      <c r="BM91" s="154">
        <f t="shared" si="298"/>
        <v>0</v>
      </c>
      <c r="BN91" s="154">
        <f t="shared" si="371"/>
        <v>0</v>
      </c>
      <c r="BO91" s="157">
        <f t="shared" si="299"/>
        <v>0</v>
      </c>
      <c r="BP91" s="154">
        <f t="shared" si="300"/>
        <v>0</v>
      </c>
      <c r="BQ91" s="158">
        <f t="shared" si="301"/>
        <v>0</v>
      </c>
      <c r="BR91" s="156">
        <f t="shared" si="356"/>
        <v>0</v>
      </c>
      <c r="BS91" s="154">
        <f t="shared" si="372"/>
        <v>0</v>
      </c>
      <c r="BT91" s="154">
        <f t="shared" si="302"/>
        <v>0</v>
      </c>
      <c r="BU91" s="154">
        <f t="shared" si="373"/>
        <v>0</v>
      </c>
      <c r="BV91" s="154">
        <f t="shared" si="303"/>
        <v>0</v>
      </c>
      <c r="BW91" s="154">
        <f t="shared" si="374"/>
        <v>0</v>
      </c>
      <c r="BX91" s="154">
        <f t="shared" si="304"/>
        <v>0</v>
      </c>
      <c r="BY91" s="154">
        <f t="shared" si="375"/>
        <v>0</v>
      </c>
      <c r="BZ91" s="154">
        <f t="shared" si="305"/>
        <v>0</v>
      </c>
      <c r="CA91" s="154">
        <f t="shared" si="376"/>
        <v>0</v>
      </c>
      <c r="CB91" s="157">
        <f t="shared" si="306"/>
        <v>0</v>
      </c>
      <c r="CC91" s="154">
        <f t="shared" si="307"/>
        <v>0</v>
      </c>
      <c r="CD91" s="158">
        <f t="shared" si="308"/>
        <v>0</v>
      </c>
      <c r="CE91" s="156">
        <f t="shared" si="356"/>
        <v>0</v>
      </c>
      <c r="CF91" s="154">
        <f t="shared" si="377"/>
        <v>0</v>
      </c>
      <c r="CG91" s="154">
        <f t="shared" si="309"/>
        <v>0</v>
      </c>
      <c r="CH91" s="154">
        <f t="shared" si="378"/>
        <v>0</v>
      </c>
      <c r="CI91" s="154">
        <f t="shared" si="310"/>
        <v>0</v>
      </c>
      <c r="CJ91" s="154">
        <f t="shared" si="379"/>
        <v>0</v>
      </c>
      <c r="CK91" s="154">
        <f t="shared" si="311"/>
        <v>0</v>
      </c>
      <c r="CL91" s="154">
        <f t="shared" si="380"/>
        <v>0</v>
      </c>
      <c r="CM91" s="154">
        <f t="shared" si="312"/>
        <v>0</v>
      </c>
      <c r="CN91" s="154">
        <f t="shared" si="381"/>
        <v>0</v>
      </c>
      <c r="CO91" s="157">
        <f t="shared" si="313"/>
        <v>0</v>
      </c>
      <c r="CP91" s="154">
        <f t="shared" si="314"/>
        <v>0</v>
      </c>
      <c r="CQ91" s="158">
        <f t="shared" si="315"/>
        <v>0</v>
      </c>
      <c r="CR91" s="156">
        <f t="shared" si="382"/>
        <v>0</v>
      </c>
      <c r="CS91" s="154">
        <f t="shared" si="383"/>
        <v>0</v>
      </c>
      <c r="CT91" s="154">
        <f t="shared" si="317"/>
        <v>0</v>
      </c>
      <c r="CU91" s="154">
        <f t="shared" si="384"/>
        <v>0</v>
      </c>
      <c r="CV91" s="154">
        <f t="shared" si="318"/>
        <v>0</v>
      </c>
      <c r="CW91" s="154">
        <f t="shared" si="385"/>
        <v>0</v>
      </c>
      <c r="CX91" s="154">
        <f t="shared" si="319"/>
        <v>0</v>
      </c>
      <c r="CY91" s="154">
        <f t="shared" si="386"/>
        <v>0</v>
      </c>
      <c r="CZ91" s="154">
        <f t="shared" si="320"/>
        <v>0</v>
      </c>
      <c r="DA91" s="154">
        <f t="shared" si="387"/>
        <v>0</v>
      </c>
      <c r="DB91" s="157">
        <f t="shared" si="321"/>
        <v>0</v>
      </c>
      <c r="DC91" s="154">
        <f t="shared" si="322"/>
        <v>0</v>
      </c>
      <c r="DD91" s="158">
        <f t="shared" si="323"/>
        <v>0</v>
      </c>
      <c r="DE91" s="156">
        <f t="shared" si="382"/>
        <v>0</v>
      </c>
      <c r="DF91" s="154">
        <f t="shared" si="388"/>
        <v>0</v>
      </c>
      <c r="DG91" s="154">
        <f t="shared" si="324"/>
        <v>0</v>
      </c>
      <c r="DH91" s="154">
        <f t="shared" si="389"/>
        <v>0</v>
      </c>
      <c r="DI91" s="154">
        <f t="shared" si="325"/>
        <v>0</v>
      </c>
      <c r="DJ91" s="154">
        <f t="shared" si="390"/>
        <v>0</v>
      </c>
      <c r="DK91" s="154">
        <f t="shared" si="326"/>
        <v>0</v>
      </c>
      <c r="DL91" s="154">
        <f t="shared" si="391"/>
        <v>0</v>
      </c>
      <c r="DM91" s="154">
        <f t="shared" si="327"/>
        <v>0</v>
      </c>
      <c r="DN91" s="154">
        <f t="shared" si="392"/>
        <v>0</v>
      </c>
      <c r="DO91" s="157">
        <f t="shared" si="328"/>
        <v>0</v>
      </c>
      <c r="DP91" s="154">
        <f t="shared" si="329"/>
        <v>0</v>
      </c>
      <c r="DQ91" s="158">
        <f t="shared" si="330"/>
        <v>0</v>
      </c>
      <c r="DR91" s="156">
        <f t="shared" si="382"/>
        <v>0</v>
      </c>
      <c r="DS91" s="154">
        <f t="shared" si="393"/>
        <v>0</v>
      </c>
      <c r="DT91" s="154">
        <f t="shared" si="331"/>
        <v>0</v>
      </c>
      <c r="DU91" s="154">
        <f t="shared" si="394"/>
        <v>0</v>
      </c>
      <c r="DV91" s="154">
        <f t="shared" si="332"/>
        <v>0</v>
      </c>
      <c r="DW91" s="154">
        <f t="shared" si="395"/>
        <v>0</v>
      </c>
      <c r="DX91" s="154">
        <f t="shared" si="333"/>
        <v>0</v>
      </c>
      <c r="DY91" s="154">
        <f t="shared" si="396"/>
        <v>0</v>
      </c>
      <c r="DZ91" s="154">
        <f t="shared" si="334"/>
        <v>0</v>
      </c>
      <c r="EA91" s="154">
        <f t="shared" si="397"/>
        <v>0</v>
      </c>
      <c r="EB91" s="157">
        <f t="shared" si="335"/>
        <v>0</v>
      </c>
      <c r="EC91" s="154">
        <f t="shared" si="336"/>
        <v>0</v>
      </c>
      <c r="ED91" s="158">
        <f t="shared" si="337"/>
        <v>0</v>
      </c>
    </row>
    <row r="92" spans="1:134" x14ac:dyDescent="0.35">
      <c r="A92" s="172"/>
      <c r="B92" s="173"/>
      <c r="C92" s="174"/>
      <c r="D92" s="175"/>
      <c r="E92" s="176"/>
      <c r="F92" s="177"/>
      <c r="G92" s="178"/>
      <c r="H92" s="179"/>
      <c r="I92" s="180"/>
      <c r="J92" s="181"/>
      <c r="K92" s="152">
        <f t="shared" si="338"/>
        <v>0</v>
      </c>
      <c r="L92" s="153">
        <f t="shared" si="339"/>
        <v>0</v>
      </c>
      <c r="M92" s="154">
        <f t="shared" si="340"/>
        <v>0</v>
      </c>
      <c r="N92" s="154"/>
      <c r="O92" s="154">
        <f t="shared" si="341"/>
        <v>0</v>
      </c>
      <c r="P92" s="155"/>
      <c r="Q92" s="154">
        <f t="shared" si="342"/>
        <v>0</v>
      </c>
      <c r="R92" s="156">
        <f t="shared" si="343"/>
        <v>0</v>
      </c>
      <c r="S92" s="154">
        <f t="shared" si="344"/>
        <v>0</v>
      </c>
      <c r="T92" s="154">
        <f t="shared" si="345"/>
        <v>0</v>
      </c>
      <c r="U92" s="154">
        <f t="shared" si="346"/>
        <v>0</v>
      </c>
      <c r="V92" s="154">
        <f t="shared" si="347"/>
        <v>0</v>
      </c>
      <c r="W92" s="154">
        <f t="shared" si="348"/>
        <v>0</v>
      </c>
      <c r="X92" s="154">
        <f t="shared" si="349"/>
        <v>0</v>
      </c>
      <c r="Y92" s="154">
        <f t="shared" si="350"/>
        <v>0</v>
      </c>
      <c r="Z92" s="154">
        <f t="shared" si="351"/>
        <v>0</v>
      </c>
      <c r="AA92" s="154">
        <f t="shared" si="352"/>
        <v>0</v>
      </c>
      <c r="AB92" s="157">
        <f t="shared" si="353"/>
        <v>0</v>
      </c>
      <c r="AC92" s="154">
        <f t="shared" si="354"/>
        <v>0</v>
      </c>
      <c r="AD92" s="158">
        <f t="shared" si="355"/>
        <v>0</v>
      </c>
      <c r="AE92" s="156">
        <f t="shared" si="356"/>
        <v>0</v>
      </c>
      <c r="AF92" s="154">
        <f t="shared" si="357"/>
        <v>0</v>
      </c>
      <c r="AG92" s="154">
        <f t="shared" si="281"/>
        <v>0</v>
      </c>
      <c r="AH92" s="154">
        <f t="shared" si="358"/>
        <v>0</v>
      </c>
      <c r="AI92" s="154">
        <f t="shared" si="282"/>
        <v>0</v>
      </c>
      <c r="AJ92" s="154">
        <f t="shared" si="359"/>
        <v>0</v>
      </c>
      <c r="AK92" s="154">
        <f t="shared" si="283"/>
        <v>0</v>
      </c>
      <c r="AL92" s="154">
        <f t="shared" si="360"/>
        <v>0</v>
      </c>
      <c r="AM92" s="154">
        <f t="shared" si="284"/>
        <v>0</v>
      </c>
      <c r="AN92" s="154">
        <f t="shared" si="361"/>
        <v>0</v>
      </c>
      <c r="AO92" s="157">
        <f t="shared" si="285"/>
        <v>0</v>
      </c>
      <c r="AP92" s="154">
        <f t="shared" si="286"/>
        <v>0</v>
      </c>
      <c r="AQ92" s="158">
        <f t="shared" si="287"/>
        <v>0</v>
      </c>
      <c r="AR92" s="156">
        <f t="shared" si="356"/>
        <v>0</v>
      </c>
      <c r="AS92" s="154">
        <f t="shared" si="362"/>
        <v>0</v>
      </c>
      <c r="AT92" s="154">
        <f t="shared" si="288"/>
        <v>0</v>
      </c>
      <c r="AU92" s="154">
        <f t="shared" si="363"/>
        <v>0</v>
      </c>
      <c r="AV92" s="154">
        <f t="shared" si="289"/>
        <v>0</v>
      </c>
      <c r="AW92" s="154">
        <f t="shared" si="364"/>
        <v>0</v>
      </c>
      <c r="AX92" s="154">
        <f t="shared" si="290"/>
        <v>0</v>
      </c>
      <c r="AY92" s="154">
        <f t="shared" si="365"/>
        <v>0</v>
      </c>
      <c r="AZ92" s="154">
        <f t="shared" si="291"/>
        <v>0</v>
      </c>
      <c r="BA92" s="154">
        <f t="shared" si="366"/>
        <v>0</v>
      </c>
      <c r="BB92" s="157">
        <f t="shared" si="292"/>
        <v>0</v>
      </c>
      <c r="BC92" s="154">
        <f t="shared" si="293"/>
        <v>0</v>
      </c>
      <c r="BD92" s="158">
        <f t="shared" si="294"/>
        <v>0</v>
      </c>
      <c r="BE92" s="156">
        <f t="shared" si="356"/>
        <v>0</v>
      </c>
      <c r="BF92" s="154">
        <f t="shared" si="367"/>
        <v>0</v>
      </c>
      <c r="BG92" s="154">
        <f t="shared" si="295"/>
        <v>0</v>
      </c>
      <c r="BH92" s="154">
        <f t="shared" si="368"/>
        <v>0</v>
      </c>
      <c r="BI92" s="154">
        <f t="shared" si="296"/>
        <v>0</v>
      </c>
      <c r="BJ92" s="154">
        <f t="shared" si="369"/>
        <v>0</v>
      </c>
      <c r="BK92" s="154">
        <f t="shared" si="297"/>
        <v>0</v>
      </c>
      <c r="BL92" s="154">
        <f t="shared" si="370"/>
        <v>0</v>
      </c>
      <c r="BM92" s="154">
        <f t="shared" si="298"/>
        <v>0</v>
      </c>
      <c r="BN92" s="154">
        <f t="shared" si="371"/>
        <v>0</v>
      </c>
      <c r="BO92" s="157">
        <f t="shared" si="299"/>
        <v>0</v>
      </c>
      <c r="BP92" s="154">
        <f t="shared" si="300"/>
        <v>0</v>
      </c>
      <c r="BQ92" s="158">
        <f t="shared" si="301"/>
        <v>0</v>
      </c>
      <c r="BR92" s="156">
        <f t="shared" si="356"/>
        <v>0</v>
      </c>
      <c r="BS92" s="154">
        <f t="shared" si="372"/>
        <v>0</v>
      </c>
      <c r="BT92" s="154">
        <f t="shared" si="302"/>
        <v>0</v>
      </c>
      <c r="BU92" s="154">
        <f t="shared" si="373"/>
        <v>0</v>
      </c>
      <c r="BV92" s="154">
        <f t="shared" si="303"/>
        <v>0</v>
      </c>
      <c r="BW92" s="154">
        <f t="shared" si="374"/>
        <v>0</v>
      </c>
      <c r="BX92" s="154">
        <f t="shared" si="304"/>
        <v>0</v>
      </c>
      <c r="BY92" s="154">
        <f t="shared" si="375"/>
        <v>0</v>
      </c>
      <c r="BZ92" s="154">
        <f t="shared" si="305"/>
        <v>0</v>
      </c>
      <c r="CA92" s="154">
        <f t="shared" si="376"/>
        <v>0</v>
      </c>
      <c r="CB92" s="157">
        <f t="shared" si="306"/>
        <v>0</v>
      </c>
      <c r="CC92" s="154">
        <f t="shared" si="307"/>
        <v>0</v>
      </c>
      <c r="CD92" s="158">
        <f t="shared" si="308"/>
        <v>0</v>
      </c>
      <c r="CE92" s="156">
        <f t="shared" si="356"/>
        <v>0</v>
      </c>
      <c r="CF92" s="154">
        <f t="shared" si="377"/>
        <v>0</v>
      </c>
      <c r="CG92" s="154">
        <f t="shared" si="309"/>
        <v>0</v>
      </c>
      <c r="CH92" s="154">
        <f t="shared" si="378"/>
        <v>0</v>
      </c>
      <c r="CI92" s="154">
        <f t="shared" si="310"/>
        <v>0</v>
      </c>
      <c r="CJ92" s="154">
        <f t="shared" si="379"/>
        <v>0</v>
      </c>
      <c r="CK92" s="154">
        <f t="shared" si="311"/>
        <v>0</v>
      </c>
      <c r="CL92" s="154">
        <f t="shared" si="380"/>
        <v>0</v>
      </c>
      <c r="CM92" s="154">
        <f t="shared" si="312"/>
        <v>0</v>
      </c>
      <c r="CN92" s="154">
        <f t="shared" si="381"/>
        <v>0</v>
      </c>
      <c r="CO92" s="157">
        <f t="shared" si="313"/>
        <v>0</v>
      </c>
      <c r="CP92" s="154">
        <f t="shared" si="314"/>
        <v>0</v>
      </c>
      <c r="CQ92" s="158">
        <f t="shared" si="315"/>
        <v>0</v>
      </c>
      <c r="CR92" s="156">
        <f t="shared" si="382"/>
        <v>0</v>
      </c>
      <c r="CS92" s="154">
        <f t="shared" si="383"/>
        <v>0</v>
      </c>
      <c r="CT92" s="154">
        <f t="shared" si="317"/>
        <v>0</v>
      </c>
      <c r="CU92" s="154">
        <f t="shared" si="384"/>
        <v>0</v>
      </c>
      <c r="CV92" s="154">
        <f t="shared" si="318"/>
        <v>0</v>
      </c>
      <c r="CW92" s="154">
        <f t="shared" si="385"/>
        <v>0</v>
      </c>
      <c r="CX92" s="154">
        <f t="shared" si="319"/>
        <v>0</v>
      </c>
      <c r="CY92" s="154">
        <f t="shared" si="386"/>
        <v>0</v>
      </c>
      <c r="CZ92" s="154">
        <f t="shared" si="320"/>
        <v>0</v>
      </c>
      <c r="DA92" s="154">
        <f t="shared" si="387"/>
        <v>0</v>
      </c>
      <c r="DB92" s="157">
        <f t="shared" si="321"/>
        <v>0</v>
      </c>
      <c r="DC92" s="154">
        <f t="shared" si="322"/>
        <v>0</v>
      </c>
      <c r="DD92" s="158">
        <f t="shared" si="323"/>
        <v>0</v>
      </c>
      <c r="DE92" s="156">
        <f t="shared" si="382"/>
        <v>0</v>
      </c>
      <c r="DF92" s="154">
        <f t="shared" si="388"/>
        <v>0</v>
      </c>
      <c r="DG92" s="154">
        <f t="shared" si="324"/>
        <v>0</v>
      </c>
      <c r="DH92" s="154">
        <f t="shared" si="389"/>
        <v>0</v>
      </c>
      <c r="DI92" s="154">
        <f t="shared" si="325"/>
        <v>0</v>
      </c>
      <c r="DJ92" s="154">
        <f t="shared" si="390"/>
        <v>0</v>
      </c>
      <c r="DK92" s="154">
        <f t="shared" si="326"/>
        <v>0</v>
      </c>
      <c r="DL92" s="154">
        <f t="shared" si="391"/>
        <v>0</v>
      </c>
      <c r="DM92" s="154">
        <f t="shared" si="327"/>
        <v>0</v>
      </c>
      <c r="DN92" s="154">
        <f t="shared" si="392"/>
        <v>0</v>
      </c>
      <c r="DO92" s="157">
        <f t="shared" si="328"/>
        <v>0</v>
      </c>
      <c r="DP92" s="154">
        <f t="shared" si="329"/>
        <v>0</v>
      </c>
      <c r="DQ92" s="158">
        <f t="shared" si="330"/>
        <v>0</v>
      </c>
      <c r="DR92" s="156">
        <f t="shared" si="382"/>
        <v>0</v>
      </c>
      <c r="DS92" s="154">
        <f t="shared" si="393"/>
        <v>0</v>
      </c>
      <c r="DT92" s="154">
        <f t="shared" si="331"/>
        <v>0</v>
      </c>
      <c r="DU92" s="154">
        <f t="shared" si="394"/>
        <v>0</v>
      </c>
      <c r="DV92" s="154">
        <f t="shared" si="332"/>
        <v>0</v>
      </c>
      <c r="DW92" s="154">
        <f t="shared" si="395"/>
        <v>0</v>
      </c>
      <c r="DX92" s="154">
        <f t="shared" si="333"/>
        <v>0</v>
      </c>
      <c r="DY92" s="154">
        <f t="shared" si="396"/>
        <v>0</v>
      </c>
      <c r="DZ92" s="154">
        <f t="shared" si="334"/>
        <v>0</v>
      </c>
      <c r="EA92" s="154">
        <f t="shared" si="397"/>
        <v>0</v>
      </c>
      <c r="EB92" s="157">
        <f t="shared" si="335"/>
        <v>0</v>
      </c>
      <c r="EC92" s="154">
        <f t="shared" si="336"/>
        <v>0</v>
      </c>
      <c r="ED92" s="158">
        <f t="shared" si="337"/>
        <v>0</v>
      </c>
    </row>
    <row r="93" spans="1:134" x14ac:dyDescent="0.35">
      <c r="A93" s="172"/>
      <c r="B93" s="173"/>
      <c r="C93" s="174"/>
      <c r="D93" s="175"/>
      <c r="E93" s="176"/>
      <c r="F93" s="177"/>
      <c r="G93" s="178"/>
      <c r="H93" s="179"/>
      <c r="I93" s="180"/>
      <c r="J93" s="181"/>
      <c r="K93" s="152">
        <f t="shared" si="338"/>
        <v>0</v>
      </c>
      <c r="L93" s="153">
        <f t="shared" si="339"/>
        <v>0</v>
      </c>
      <c r="M93" s="154">
        <f t="shared" si="340"/>
        <v>0</v>
      </c>
      <c r="N93" s="154"/>
      <c r="O93" s="154">
        <f t="shared" si="341"/>
        <v>0</v>
      </c>
      <c r="P93" s="155"/>
      <c r="Q93" s="154">
        <f t="shared" si="342"/>
        <v>0</v>
      </c>
      <c r="R93" s="156">
        <f t="shared" si="343"/>
        <v>0</v>
      </c>
      <c r="S93" s="154">
        <f t="shared" si="344"/>
        <v>0</v>
      </c>
      <c r="T93" s="154">
        <f t="shared" si="345"/>
        <v>0</v>
      </c>
      <c r="U93" s="154">
        <f t="shared" si="346"/>
        <v>0</v>
      </c>
      <c r="V93" s="154">
        <f t="shared" si="347"/>
        <v>0</v>
      </c>
      <c r="W93" s="154">
        <f t="shared" si="348"/>
        <v>0</v>
      </c>
      <c r="X93" s="154">
        <f t="shared" si="349"/>
        <v>0</v>
      </c>
      <c r="Y93" s="154">
        <f t="shared" si="350"/>
        <v>0</v>
      </c>
      <c r="Z93" s="154">
        <f t="shared" si="351"/>
        <v>0</v>
      </c>
      <c r="AA93" s="154">
        <f t="shared" si="352"/>
        <v>0</v>
      </c>
      <c r="AB93" s="157">
        <f t="shared" si="353"/>
        <v>0</v>
      </c>
      <c r="AC93" s="154">
        <f t="shared" si="354"/>
        <v>0</v>
      </c>
      <c r="AD93" s="158">
        <f t="shared" si="355"/>
        <v>0</v>
      </c>
      <c r="AE93" s="156">
        <f t="shared" si="356"/>
        <v>0</v>
      </c>
      <c r="AF93" s="154">
        <f t="shared" si="357"/>
        <v>0</v>
      </c>
      <c r="AG93" s="154">
        <f t="shared" si="281"/>
        <v>0</v>
      </c>
      <c r="AH93" s="154">
        <f t="shared" si="358"/>
        <v>0</v>
      </c>
      <c r="AI93" s="154">
        <f t="shared" si="282"/>
        <v>0</v>
      </c>
      <c r="AJ93" s="154">
        <f t="shared" si="359"/>
        <v>0</v>
      </c>
      <c r="AK93" s="154">
        <f t="shared" si="283"/>
        <v>0</v>
      </c>
      <c r="AL93" s="154">
        <f t="shared" si="360"/>
        <v>0</v>
      </c>
      <c r="AM93" s="154">
        <f t="shared" si="284"/>
        <v>0</v>
      </c>
      <c r="AN93" s="154">
        <f t="shared" si="361"/>
        <v>0</v>
      </c>
      <c r="AO93" s="157">
        <f t="shared" si="285"/>
        <v>0</v>
      </c>
      <c r="AP93" s="154">
        <f t="shared" si="286"/>
        <v>0</v>
      </c>
      <c r="AQ93" s="158">
        <f t="shared" si="287"/>
        <v>0</v>
      </c>
      <c r="AR93" s="156">
        <f t="shared" si="356"/>
        <v>0</v>
      </c>
      <c r="AS93" s="154">
        <f t="shared" si="362"/>
        <v>0</v>
      </c>
      <c r="AT93" s="154">
        <f t="shared" si="288"/>
        <v>0</v>
      </c>
      <c r="AU93" s="154">
        <f t="shared" si="363"/>
        <v>0</v>
      </c>
      <c r="AV93" s="154">
        <f t="shared" si="289"/>
        <v>0</v>
      </c>
      <c r="AW93" s="154">
        <f t="shared" si="364"/>
        <v>0</v>
      </c>
      <c r="AX93" s="154">
        <f t="shared" si="290"/>
        <v>0</v>
      </c>
      <c r="AY93" s="154">
        <f t="shared" si="365"/>
        <v>0</v>
      </c>
      <c r="AZ93" s="154">
        <f t="shared" si="291"/>
        <v>0</v>
      </c>
      <c r="BA93" s="154">
        <f t="shared" si="366"/>
        <v>0</v>
      </c>
      <c r="BB93" s="157">
        <f t="shared" si="292"/>
        <v>0</v>
      </c>
      <c r="BC93" s="154">
        <f t="shared" si="293"/>
        <v>0</v>
      </c>
      <c r="BD93" s="158">
        <f t="shared" si="294"/>
        <v>0</v>
      </c>
      <c r="BE93" s="156">
        <f t="shared" si="356"/>
        <v>0</v>
      </c>
      <c r="BF93" s="154">
        <f t="shared" si="367"/>
        <v>0</v>
      </c>
      <c r="BG93" s="154">
        <f t="shared" si="295"/>
        <v>0</v>
      </c>
      <c r="BH93" s="154">
        <f t="shared" si="368"/>
        <v>0</v>
      </c>
      <c r="BI93" s="154">
        <f t="shared" si="296"/>
        <v>0</v>
      </c>
      <c r="BJ93" s="154">
        <f t="shared" si="369"/>
        <v>0</v>
      </c>
      <c r="BK93" s="154">
        <f t="shared" si="297"/>
        <v>0</v>
      </c>
      <c r="BL93" s="154">
        <f t="shared" si="370"/>
        <v>0</v>
      </c>
      <c r="BM93" s="154">
        <f t="shared" si="298"/>
        <v>0</v>
      </c>
      <c r="BN93" s="154">
        <f t="shared" si="371"/>
        <v>0</v>
      </c>
      <c r="BO93" s="157">
        <f t="shared" si="299"/>
        <v>0</v>
      </c>
      <c r="BP93" s="154">
        <f t="shared" si="300"/>
        <v>0</v>
      </c>
      <c r="BQ93" s="158">
        <f t="shared" si="301"/>
        <v>0</v>
      </c>
      <c r="BR93" s="156">
        <f t="shared" si="356"/>
        <v>0</v>
      </c>
      <c r="BS93" s="154">
        <f t="shared" si="372"/>
        <v>0</v>
      </c>
      <c r="BT93" s="154">
        <f t="shared" si="302"/>
        <v>0</v>
      </c>
      <c r="BU93" s="154">
        <f t="shared" si="373"/>
        <v>0</v>
      </c>
      <c r="BV93" s="154">
        <f t="shared" si="303"/>
        <v>0</v>
      </c>
      <c r="BW93" s="154">
        <f t="shared" si="374"/>
        <v>0</v>
      </c>
      <c r="BX93" s="154">
        <f t="shared" si="304"/>
        <v>0</v>
      </c>
      <c r="BY93" s="154">
        <f t="shared" si="375"/>
        <v>0</v>
      </c>
      <c r="BZ93" s="154">
        <f t="shared" si="305"/>
        <v>0</v>
      </c>
      <c r="CA93" s="154">
        <f t="shared" si="376"/>
        <v>0</v>
      </c>
      <c r="CB93" s="157">
        <f t="shared" si="306"/>
        <v>0</v>
      </c>
      <c r="CC93" s="154">
        <f t="shared" si="307"/>
        <v>0</v>
      </c>
      <c r="CD93" s="158">
        <f t="shared" si="308"/>
        <v>0</v>
      </c>
      <c r="CE93" s="156">
        <f t="shared" si="356"/>
        <v>0</v>
      </c>
      <c r="CF93" s="154">
        <f t="shared" si="377"/>
        <v>0</v>
      </c>
      <c r="CG93" s="154">
        <f t="shared" si="309"/>
        <v>0</v>
      </c>
      <c r="CH93" s="154">
        <f t="shared" si="378"/>
        <v>0</v>
      </c>
      <c r="CI93" s="154">
        <f t="shared" si="310"/>
        <v>0</v>
      </c>
      <c r="CJ93" s="154">
        <f t="shared" si="379"/>
        <v>0</v>
      </c>
      <c r="CK93" s="154">
        <f t="shared" si="311"/>
        <v>0</v>
      </c>
      <c r="CL93" s="154">
        <f t="shared" si="380"/>
        <v>0</v>
      </c>
      <c r="CM93" s="154">
        <f t="shared" si="312"/>
        <v>0</v>
      </c>
      <c r="CN93" s="154">
        <f t="shared" si="381"/>
        <v>0</v>
      </c>
      <c r="CO93" s="157">
        <f t="shared" si="313"/>
        <v>0</v>
      </c>
      <c r="CP93" s="154">
        <f t="shared" si="314"/>
        <v>0</v>
      </c>
      <c r="CQ93" s="158">
        <f t="shared" si="315"/>
        <v>0</v>
      </c>
      <c r="CR93" s="156">
        <f t="shared" si="382"/>
        <v>0</v>
      </c>
      <c r="CS93" s="154">
        <f t="shared" si="383"/>
        <v>0</v>
      </c>
      <c r="CT93" s="154">
        <f t="shared" si="317"/>
        <v>0</v>
      </c>
      <c r="CU93" s="154">
        <f t="shared" si="384"/>
        <v>0</v>
      </c>
      <c r="CV93" s="154">
        <f t="shared" si="318"/>
        <v>0</v>
      </c>
      <c r="CW93" s="154">
        <f t="shared" si="385"/>
        <v>0</v>
      </c>
      <c r="CX93" s="154">
        <f t="shared" si="319"/>
        <v>0</v>
      </c>
      <c r="CY93" s="154">
        <f t="shared" si="386"/>
        <v>0</v>
      </c>
      <c r="CZ93" s="154">
        <f t="shared" si="320"/>
        <v>0</v>
      </c>
      <c r="DA93" s="154">
        <f t="shared" si="387"/>
        <v>0</v>
      </c>
      <c r="DB93" s="157">
        <f t="shared" si="321"/>
        <v>0</v>
      </c>
      <c r="DC93" s="154">
        <f t="shared" si="322"/>
        <v>0</v>
      </c>
      <c r="DD93" s="158">
        <f t="shared" si="323"/>
        <v>0</v>
      </c>
      <c r="DE93" s="156">
        <f t="shared" si="382"/>
        <v>0</v>
      </c>
      <c r="DF93" s="154">
        <f t="shared" si="388"/>
        <v>0</v>
      </c>
      <c r="DG93" s="154">
        <f t="shared" si="324"/>
        <v>0</v>
      </c>
      <c r="DH93" s="154">
        <f t="shared" si="389"/>
        <v>0</v>
      </c>
      <c r="DI93" s="154">
        <f t="shared" si="325"/>
        <v>0</v>
      </c>
      <c r="DJ93" s="154">
        <f t="shared" si="390"/>
        <v>0</v>
      </c>
      <c r="DK93" s="154">
        <f t="shared" si="326"/>
        <v>0</v>
      </c>
      <c r="DL93" s="154">
        <f t="shared" si="391"/>
        <v>0</v>
      </c>
      <c r="DM93" s="154">
        <f t="shared" si="327"/>
        <v>0</v>
      </c>
      <c r="DN93" s="154">
        <f t="shared" si="392"/>
        <v>0</v>
      </c>
      <c r="DO93" s="157">
        <f t="shared" si="328"/>
        <v>0</v>
      </c>
      <c r="DP93" s="154">
        <f t="shared" si="329"/>
        <v>0</v>
      </c>
      <c r="DQ93" s="158">
        <f t="shared" si="330"/>
        <v>0</v>
      </c>
      <c r="DR93" s="156">
        <f t="shared" si="382"/>
        <v>0</v>
      </c>
      <c r="DS93" s="154">
        <f t="shared" si="393"/>
        <v>0</v>
      </c>
      <c r="DT93" s="154">
        <f t="shared" si="331"/>
        <v>0</v>
      </c>
      <c r="DU93" s="154">
        <f t="shared" si="394"/>
        <v>0</v>
      </c>
      <c r="DV93" s="154">
        <f t="shared" si="332"/>
        <v>0</v>
      </c>
      <c r="DW93" s="154">
        <f t="shared" si="395"/>
        <v>0</v>
      </c>
      <c r="DX93" s="154">
        <f t="shared" si="333"/>
        <v>0</v>
      </c>
      <c r="DY93" s="154">
        <f t="shared" si="396"/>
        <v>0</v>
      </c>
      <c r="DZ93" s="154">
        <f t="shared" si="334"/>
        <v>0</v>
      </c>
      <c r="EA93" s="154">
        <f t="shared" si="397"/>
        <v>0</v>
      </c>
      <c r="EB93" s="157">
        <f t="shared" si="335"/>
        <v>0</v>
      </c>
      <c r="EC93" s="154">
        <f t="shared" si="336"/>
        <v>0</v>
      </c>
      <c r="ED93" s="158">
        <f t="shared" si="337"/>
        <v>0</v>
      </c>
    </row>
    <row r="94" spans="1:134" x14ac:dyDescent="0.35">
      <c r="A94" s="172"/>
      <c r="B94" s="173"/>
      <c r="C94" s="174"/>
      <c r="D94" s="175"/>
      <c r="E94" s="176"/>
      <c r="F94" s="177"/>
      <c r="G94" s="178"/>
      <c r="H94" s="179"/>
      <c r="I94" s="180"/>
      <c r="J94" s="181"/>
      <c r="K94" s="152">
        <f t="shared" si="338"/>
        <v>0</v>
      </c>
      <c r="L94" s="153">
        <f t="shared" si="339"/>
        <v>0</v>
      </c>
      <c r="M94" s="154">
        <f t="shared" si="340"/>
        <v>0</v>
      </c>
      <c r="N94" s="154"/>
      <c r="O94" s="154">
        <f t="shared" si="341"/>
        <v>0</v>
      </c>
      <c r="P94" s="155"/>
      <c r="Q94" s="154">
        <f t="shared" si="342"/>
        <v>0</v>
      </c>
      <c r="R94" s="156">
        <f t="shared" si="343"/>
        <v>0</v>
      </c>
      <c r="S94" s="154">
        <f t="shared" si="344"/>
        <v>0</v>
      </c>
      <c r="T94" s="154">
        <f t="shared" si="345"/>
        <v>0</v>
      </c>
      <c r="U94" s="154">
        <f t="shared" si="346"/>
        <v>0</v>
      </c>
      <c r="V94" s="154">
        <f t="shared" si="347"/>
        <v>0</v>
      </c>
      <c r="W94" s="154">
        <f t="shared" si="348"/>
        <v>0</v>
      </c>
      <c r="X94" s="154">
        <f t="shared" si="349"/>
        <v>0</v>
      </c>
      <c r="Y94" s="154">
        <f t="shared" si="350"/>
        <v>0</v>
      </c>
      <c r="Z94" s="154">
        <f t="shared" si="351"/>
        <v>0</v>
      </c>
      <c r="AA94" s="154">
        <f t="shared" si="352"/>
        <v>0</v>
      </c>
      <c r="AB94" s="157">
        <f t="shared" si="353"/>
        <v>0</v>
      </c>
      <c r="AC94" s="154">
        <f t="shared" si="354"/>
        <v>0</v>
      </c>
      <c r="AD94" s="158">
        <f t="shared" si="355"/>
        <v>0</v>
      </c>
      <c r="AE94" s="156">
        <f t="shared" si="356"/>
        <v>0</v>
      </c>
      <c r="AF94" s="154">
        <f t="shared" si="357"/>
        <v>0</v>
      </c>
      <c r="AG94" s="154">
        <f t="shared" si="281"/>
        <v>0</v>
      </c>
      <c r="AH94" s="154">
        <f t="shared" si="358"/>
        <v>0</v>
      </c>
      <c r="AI94" s="154">
        <f t="shared" si="282"/>
        <v>0</v>
      </c>
      <c r="AJ94" s="154">
        <f t="shared" si="359"/>
        <v>0</v>
      </c>
      <c r="AK94" s="154">
        <f t="shared" si="283"/>
        <v>0</v>
      </c>
      <c r="AL94" s="154">
        <f t="shared" si="360"/>
        <v>0</v>
      </c>
      <c r="AM94" s="154">
        <f t="shared" si="284"/>
        <v>0</v>
      </c>
      <c r="AN94" s="154">
        <f t="shared" si="361"/>
        <v>0</v>
      </c>
      <c r="AO94" s="157">
        <f t="shared" si="285"/>
        <v>0</v>
      </c>
      <c r="AP94" s="154">
        <f t="shared" si="286"/>
        <v>0</v>
      </c>
      <c r="AQ94" s="158">
        <f t="shared" si="287"/>
        <v>0</v>
      </c>
      <c r="AR94" s="156">
        <f t="shared" si="356"/>
        <v>0</v>
      </c>
      <c r="AS94" s="154">
        <f t="shared" si="362"/>
        <v>0</v>
      </c>
      <c r="AT94" s="154">
        <f t="shared" si="288"/>
        <v>0</v>
      </c>
      <c r="AU94" s="154">
        <f t="shared" si="363"/>
        <v>0</v>
      </c>
      <c r="AV94" s="154">
        <f t="shared" si="289"/>
        <v>0</v>
      </c>
      <c r="AW94" s="154">
        <f t="shared" si="364"/>
        <v>0</v>
      </c>
      <c r="AX94" s="154">
        <f t="shared" si="290"/>
        <v>0</v>
      </c>
      <c r="AY94" s="154">
        <f t="shared" si="365"/>
        <v>0</v>
      </c>
      <c r="AZ94" s="154">
        <f t="shared" si="291"/>
        <v>0</v>
      </c>
      <c r="BA94" s="154">
        <f t="shared" si="366"/>
        <v>0</v>
      </c>
      <c r="BB94" s="157">
        <f t="shared" si="292"/>
        <v>0</v>
      </c>
      <c r="BC94" s="154">
        <f t="shared" si="293"/>
        <v>0</v>
      </c>
      <c r="BD94" s="158">
        <f t="shared" si="294"/>
        <v>0</v>
      </c>
      <c r="BE94" s="156">
        <f t="shared" si="356"/>
        <v>0</v>
      </c>
      <c r="BF94" s="154">
        <f t="shared" si="367"/>
        <v>0</v>
      </c>
      <c r="BG94" s="154">
        <f t="shared" si="295"/>
        <v>0</v>
      </c>
      <c r="BH94" s="154">
        <f t="shared" si="368"/>
        <v>0</v>
      </c>
      <c r="BI94" s="154">
        <f t="shared" si="296"/>
        <v>0</v>
      </c>
      <c r="BJ94" s="154">
        <f t="shared" si="369"/>
        <v>0</v>
      </c>
      <c r="BK94" s="154">
        <f t="shared" si="297"/>
        <v>0</v>
      </c>
      <c r="BL94" s="154">
        <f t="shared" si="370"/>
        <v>0</v>
      </c>
      <c r="BM94" s="154">
        <f t="shared" si="298"/>
        <v>0</v>
      </c>
      <c r="BN94" s="154">
        <f t="shared" si="371"/>
        <v>0</v>
      </c>
      <c r="BO94" s="157">
        <f t="shared" si="299"/>
        <v>0</v>
      </c>
      <c r="BP94" s="154">
        <f t="shared" si="300"/>
        <v>0</v>
      </c>
      <c r="BQ94" s="158">
        <f t="shared" si="301"/>
        <v>0</v>
      </c>
      <c r="BR94" s="156">
        <f t="shared" si="356"/>
        <v>0</v>
      </c>
      <c r="BS94" s="154">
        <f t="shared" si="372"/>
        <v>0</v>
      </c>
      <c r="BT94" s="154">
        <f t="shared" si="302"/>
        <v>0</v>
      </c>
      <c r="BU94" s="154">
        <f t="shared" si="373"/>
        <v>0</v>
      </c>
      <c r="BV94" s="154">
        <f t="shared" si="303"/>
        <v>0</v>
      </c>
      <c r="BW94" s="154">
        <f t="shared" si="374"/>
        <v>0</v>
      </c>
      <c r="BX94" s="154">
        <f t="shared" si="304"/>
        <v>0</v>
      </c>
      <c r="BY94" s="154">
        <f t="shared" si="375"/>
        <v>0</v>
      </c>
      <c r="BZ94" s="154">
        <f t="shared" si="305"/>
        <v>0</v>
      </c>
      <c r="CA94" s="154">
        <f t="shared" si="376"/>
        <v>0</v>
      </c>
      <c r="CB94" s="157">
        <f t="shared" si="306"/>
        <v>0</v>
      </c>
      <c r="CC94" s="154">
        <f t="shared" si="307"/>
        <v>0</v>
      </c>
      <c r="CD94" s="158">
        <f t="shared" si="308"/>
        <v>0</v>
      </c>
      <c r="CE94" s="156">
        <f t="shared" si="356"/>
        <v>0</v>
      </c>
      <c r="CF94" s="154">
        <f t="shared" si="377"/>
        <v>0</v>
      </c>
      <c r="CG94" s="154">
        <f t="shared" si="309"/>
        <v>0</v>
      </c>
      <c r="CH94" s="154">
        <f t="shared" si="378"/>
        <v>0</v>
      </c>
      <c r="CI94" s="154">
        <f t="shared" si="310"/>
        <v>0</v>
      </c>
      <c r="CJ94" s="154">
        <f t="shared" si="379"/>
        <v>0</v>
      </c>
      <c r="CK94" s="154">
        <f t="shared" si="311"/>
        <v>0</v>
      </c>
      <c r="CL94" s="154">
        <f t="shared" si="380"/>
        <v>0</v>
      </c>
      <c r="CM94" s="154">
        <f t="shared" si="312"/>
        <v>0</v>
      </c>
      <c r="CN94" s="154">
        <f t="shared" si="381"/>
        <v>0</v>
      </c>
      <c r="CO94" s="157">
        <f t="shared" si="313"/>
        <v>0</v>
      </c>
      <c r="CP94" s="154">
        <f t="shared" si="314"/>
        <v>0</v>
      </c>
      <c r="CQ94" s="158">
        <f t="shared" si="315"/>
        <v>0</v>
      </c>
      <c r="CR94" s="156">
        <f t="shared" si="382"/>
        <v>0</v>
      </c>
      <c r="CS94" s="154">
        <f t="shared" si="383"/>
        <v>0</v>
      </c>
      <c r="CT94" s="154">
        <f t="shared" si="317"/>
        <v>0</v>
      </c>
      <c r="CU94" s="154">
        <f t="shared" si="384"/>
        <v>0</v>
      </c>
      <c r="CV94" s="154">
        <f t="shared" si="318"/>
        <v>0</v>
      </c>
      <c r="CW94" s="154">
        <f t="shared" si="385"/>
        <v>0</v>
      </c>
      <c r="CX94" s="154">
        <f t="shared" si="319"/>
        <v>0</v>
      </c>
      <c r="CY94" s="154">
        <f t="shared" si="386"/>
        <v>0</v>
      </c>
      <c r="CZ94" s="154">
        <f t="shared" si="320"/>
        <v>0</v>
      </c>
      <c r="DA94" s="154">
        <f t="shared" si="387"/>
        <v>0</v>
      </c>
      <c r="DB94" s="157">
        <f t="shared" si="321"/>
        <v>0</v>
      </c>
      <c r="DC94" s="154">
        <f t="shared" si="322"/>
        <v>0</v>
      </c>
      <c r="DD94" s="158">
        <f t="shared" si="323"/>
        <v>0</v>
      </c>
      <c r="DE94" s="156">
        <f t="shared" si="382"/>
        <v>0</v>
      </c>
      <c r="DF94" s="154">
        <f t="shared" si="388"/>
        <v>0</v>
      </c>
      <c r="DG94" s="154">
        <f t="shared" si="324"/>
        <v>0</v>
      </c>
      <c r="DH94" s="154">
        <f t="shared" si="389"/>
        <v>0</v>
      </c>
      <c r="DI94" s="154">
        <f t="shared" si="325"/>
        <v>0</v>
      </c>
      <c r="DJ94" s="154">
        <f t="shared" si="390"/>
        <v>0</v>
      </c>
      <c r="DK94" s="154">
        <f t="shared" si="326"/>
        <v>0</v>
      </c>
      <c r="DL94" s="154">
        <f t="shared" si="391"/>
        <v>0</v>
      </c>
      <c r="DM94" s="154">
        <f t="shared" si="327"/>
        <v>0</v>
      </c>
      <c r="DN94" s="154">
        <f t="shared" si="392"/>
        <v>0</v>
      </c>
      <c r="DO94" s="157">
        <f t="shared" si="328"/>
        <v>0</v>
      </c>
      <c r="DP94" s="154">
        <f t="shared" si="329"/>
        <v>0</v>
      </c>
      <c r="DQ94" s="158">
        <f t="shared" si="330"/>
        <v>0</v>
      </c>
      <c r="DR94" s="156">
        <f t="shared" si="382"/>
        <v>0</v>
      </c>
      <c r="DS94" s="154">
        <f t="shared" si="393"/>
        <v>0</v>
      </c>
      <c r="DT94" s="154">
        <f t="shared" si="331"/>
        <v>0</v>
      </c>
      <c r="DU94" s="154">
        <f t="shared" si="394"/>
        <v>0</v>
      </c>
      <c r="DV94" s="154">
        <f t="shared" si="332"/>
        <v>0</v>
      </c>
      <c r="DW94" s="154">
        <f t="shared" si="395"/>
        <v>0</v>
      </c>
      <c r="DX94" s="154">
        <f t="shared" si="333"/>
        <v>0</v>
      </c>
      <c r="DY94" s="154">
        <f t="shared" si="396"/>
        <v>0</v>
      </c>
      <c r="DZ94" s="154">
        <f t="shared" si="334"/>
        <v>0</v>
      </c>
      <c r="EA94" s="154">
        <f t="shared" si="397"/>
        <v>0</v>
      </c>
      <c r="EB94" s="157">
        <f t="shared" si="335"/>
        <v>0</v>
      </c>
      <c r="EC94" s="154">
        <f t="shared" si="336"/>
        <v>0</v>
      </c>
      <c r="ED94" s="158">
        <f t="shared" si="337"/>
        <v>0</v>
      </c>
    </row>
    <row r="95" spans="1:134" x14ac:dyDescent="0.35">
      <c r="A95" s="172"/>
      <c r="B95" s="173"/>
      <c r="C95" s="174"/>
      <c r="D95" s="175"/>
      <c r="E95" s="176"/>
      <c r="F95" s="177"/>
      <c r="G95" s="178"/>
      <c r="H95" s="179"/>
      <c r="I95" s="180"/>
      <c r="J95" s="181"/>
      <c r="K95" s="152">
        <f t="shared" si="338"/>
        <v>0</v>
      </c>
      <c r="L95" s="153">
        <f t="shared" si="339"/>
        <v>0</v>
      </c>
      <c r="M95" s="154">
        <f t="shared" si="340"/>
        <v>0</v>
      </c>
      <c r="N95" s="154"/>
      <c r="O95" s="154">
        <f t="shared" si="341"/>
        <v>0</v>
      </c>
      <c r="P95" s="155"/>
      <c r="Q95" s="154">
        <f t="shared" si="342"/>
        <v>0</v>
      </c>
      <c r="R95" s="156">
        <f t="shared" si="343"/>
        <v>0</v>
      </c>
      <c r="S95" s="154">
        <f t="shared" si="344"/>
        <v>0</v>
      </c>
      <c r="T95" s="154">
        <f t="shared" si="345"/>
        <v>0</v>
      </c>
      <c r="U95" s="154">
        <f t="shared" si="346"/>
        <v>0</v>
      </c>
      <c r="V95" s="154">
        <f t="shared" si="347"/>
        <v>0</v>
      </c>
      <c r="W95" s="154">
        <f t="shared" si="348"/>
        <v>0</v>
      </c>
      <c r="X95" s="154">
        <f t="shared" si="349"/>
        <v>0</v>
      </c>
      <c r="Y95" s="154">
        <f t="shared" si="350"/>
        <v>0</v>
      </c>
      <c r="Z95" s="154">
        <f t="shared" si="351"/>
        <v>0</v>
      </c>
      <c r="AA95" s="154">
        <f t="shared" si="352"/>
        <v>0</v>
      </c>
      <c r="AB95" s="157">
        <f t="shared" si="353"/>
        <v>0</v>
      </c>
      <c r="AC95" s="154">
        <f t="shared" si="354"/>
        <v>0</v>
      </c>
      <c r="AD95" s="158">
        <f t="shared" si="355"/>
        <v>0</v>
      </c>
      <c r="AE95" s="156">
        <f t="shared" si="356"/>
        <v>0</v>
      </c>
      <c r="AF95" s="154">
        <f t="shared" si="357"/>
        <v>0</v>
      </c>
      <c r="AG95" s="154">
        <f t="shared" si="281"/>
        <v>0</v>
      </c>
      <c r="AH95" s="154">
        <f t="shared" si="358"/>
        <v>0</v>
      </c>
      <c r="AI95" s="154">
        <f t="shared" si="282"/>
        <v>0</v>
      </c>
      <c r="AJ95" s="154">
        <f t="shared" si="359"/>
        <v>0</v>
      </c>
      <c r="AK95" s="154">
        <f t="shared" si="283"/>
        <v>0</v>
      </c>
      <c r="AL95" s="154">
        <f t="shared" si="360"/>
        <v>0</v>
      </c>
      <c r="AM95" s="154">
        <f t="shared" si="284"/>
        <v>0</v>
      </c>
      <c r="AN95" s="154">
        <f t="shared" si="361"/>
        <v>0</v>
      </c>
      <c r="AO95" s="157">
        <f t="shared" si="285"/>
        <v>0</v>
      </c>
      <c r="AP95" s="154">
        <f t="shared" si="286"/>
        <v>0</v>
      </c>
      <c r="AQ95" s="158">
        <f t="shared" si="287"/>
        <v>0</v>
      </c>
      <c r="AR95" s="156">
        <f t="shared" si="356"/>
        <v>0</v>
      </c>
      <c r="AS95" s="154">
        <f t="shared" si="362"/>
        <v>0</v>
      </c>
      <c r="AT95" s="154">
        <f t="shared" si="288"/>
        <v>0</v>
      </c>
      <c r="AU95" s="154">
        <f t="shared" si="363"/>
        <v>0</v>
      </c>
      <c r="AV95" s="154">
        <f t="shared" si="289"/>
        <v>0</v>
      </c>
      <c r="AW95" s="154">
        <f t="shared" si="364"/>
        <v>0</v>
      </c>
      <c r="AX95" s="154">
        <f t="shared" si="290"/>
        <v>0</v>
      </c>
      <c r="AY95" s="154">
        <f t="shared" si="365"/>
        <v>0</v>
      </c>
      <c r="AZ95" s="154">
        <f t="shared" si="291"/>
        <v>0</v>
      </c>
      <c r="BA95" s="154">
        <f t="shared" si="366"/>
        <v>0</v>
      </c>
      <c r="BB95" s="157">
        <f t="shared" si="292"/>
        <v>0</v>
      </c>
      <c r="BC95" s="154">
        <f t="shared" si="293"/>
        <v>0</v>
      </c>
      <c r="BD95" s="158">
        <f t="shared" si="294"/>
        <v>0</v>
      </c>
      <c r="BE95" s="156">
        <f t="shared" si="356"/>
        <v>0</v>
      </c>
      <c r="BF95" s="154">
        <f t="shared" si="367"/>
        <v>0</v>
      </c>
      <c r="BG95" s="154">
        <f t="shared" si="295"/>
        <v>0</v>
      </c>
      <c r="BH95" s="154">
        <f t="shared" si="368"/>
        <v>0</v>
      </c>
      <c r="BI95" s="154">
        <f t="shared" si="296"/>
        <v>0</v>
      </c>
      <c r="BJ95" s="154">
        <f t="shared" si="369"/>
        <v>0</v>
      </c>
      <c r="BK95" s="154">
        <f t="shared" si="297"/>
        <v>0</v>
      </c>
      <c r="BL95" s="154">
        <f t="shared" si="370"/>
        <v>0</v>
      </c>
      <c r="BM95" s="154">
        <f t="shared" si="298"/>
        <v>0</v>
      </c>
      <c r="BN95" s="154">
        <f t="shared" si="371"/>
        <v>0</v>
      </c>
      <c r="BO95" s="157">
        <f t="shared" si="299"/>
        <v>0</v>
      </c>
      <c r="BP95" s="154">
        <f t="shared" si="300"/>
        <v>0</v>
      </c>
      <c r="BQ95" s="158">
        <f t="shared" si="301"/>
        <v>0</v>
      </c>
      <c r="BR95" s="156">
        <f t="shared" si="356"/>
        <v>0</v>
      </c>
      <c r="BS95" s="154">
        <f t="shared" si="372"/>
        <v>0</v>
      </c>
      <c r="BT95" s="154">
        <f t="shared" si="302"/>
        <v>0</v>
      </c>
      <c r="BU95" s="154">
        <f t="shared" si="373"/>
        <v>0</v>
      </c>
      <c r="BV95" s="154">
        <f t="shared" si="303"/>
        <v>0</v>
      </c>
      <c r="BW95" s="154">
        <f t="shared" si="374"/>
        <v>0</v>
      </c>
      <c r="BX95" s="154">
        <f t="shared" si="304"/>
        <v>0</v>
      </c>
      <c r="BY95" s="154">
        <f t="shared" si="375"/>
        <v>0</v>
      </c>
      <c r="BZ95" s="154">
        <f t="shared" si="305"/>
        <v>0</v>
      </c>
      <c r="CA95" s="154">
        <f t="shared" si="376"/>
        <v>0</v>
      </c>
      <c r="CB95" s="157">
        <f t="shared" si="306"/>
        <v>0</v>
      </c>
      <c r="CC95" s="154">
        <f t="shared" si="307"/>
        <v>0</v>
      </c>
      <c r="CD95" s="158">
        <f t="shared" si="308"/>
        <v>0</v>
      </c>
      <c r="CE95" s="156">
        <f t="shared" si="356"/>
        <v>0</v>
      </c>
      <c r="CF95" s="154">
        <f t="shared" si="377"/>
        <v>0</v>
      </c>
      <c r="CG95" s="154">
        <f t="shared" si="309"/>
        <v>0</v>
      </c>
      <c r="CH95" s="154">
        <f t="shared" si="378"/>
        <v>0</v>
      </c>
      <c r="CI95" s="154">
        <f t="shared" si="310"/>
        <v>0</v>
      </c>
      <c r="CJ95" s="154">
        <f t="shared" si="379"/>
        <v>0</v>
      </c>
      <c r="CK95" s="154">
        <f t="shared" si="311"/>
        <v>0</v>
      </c>
      <c r="CL95" s="154">
        <f t="shared" si="380"/>
        <v>0</v>
      </c>
      <c r="CM95" s="154">
        <f t="shared" si="312"/>
        <v>0</v>
      </c>
      <c r="CN95" s="154">
        <f t="shared" si="381"/>
        <v>0</v>
      </c>
      <c r="CO95" s="157">
        <f t="shared" si="313"/>
        <v>0</v>
      </c>
      <c r="CP95" s="154">
        <f t="shared" si="314"/>
        <v>0</v>
      </c>
      <c r="CQ95" s="158">
        <f t="shared" si="315"/>
        <v>0</v>
      </c>
      <c r="CR95" s="156">
        <f t="shared" si="382"/>
        <v>0</v>
      </c>
      <c r="CS95" s="154">
        <f t="shared" si="383"/>
        <v>0</v>
      </c>
      <c r="CT95" s="154">
        <f t="shared" si="317"/>
        <v>0</v>
      </c>
      <c r="CU95" s="154">
        <f t="shared" si="384"/>
        <v>0</v>
      </c>
      <c r="CV95" s="154">
        <f t="shared" si="318"/>
        <v>0</v>
      </c>
      <c r="CW95" s="154">
        <f t="shared" si="385"/>
        <v>0</v>
      </c>
      <c r="CX95" s="154">
        <f t="shared" si="319"/>
        <v>0</v>
      </c>
      <c r="CY95" s="154">
        <f t="shared" si="386"/>
        <v>0</v>
      </c>
      <c r="CZ95" s="154">
        <f t="shared" si="320"/>
        <v>0</v>
      </c>
      <c r="DA95" s="154">
        <f t="shared" si="387"/>
        <v>0</v>
      </c>
      <c r="DB95" s="157">
        <f t="shared" si="321"/>
        <v>0</v>
      </c>
      <c r="DC95" s="154">
        <f t="shared" si="322"/>
        <v>0</v>
      </c>
      <c r="DD95" s="158">
        <f t="shared" si="323"/>
        <v>0</v>
      </c>
      <c r="DE95" s="156">
        <f t="shared" si="382"/>
        <v>0</v>
      </c>
      <c r="DF95" s="154">
        <f t="shared" si="388"/>
        <v>0</v>
      </c>
      <c r="DG95" s="154">
        <f t="shared" si="324"/>
        <v>0</v>
      </c>
      <c r="DH95" s="154">
        <f t="shared" si="389"/>
        <v>0</v>
      </c>
      <c r="DI95" s="154">
        <f t="shared" si="325"/>
        <v>0</v>
      </c>
      <c r="DJ95" s="154">
        <f t="shared" si="390"/>
        <v>0</v>
      </c>
      <c r="DK95" s="154">
        <f t="shared" si="326"/>
        <v>0</v>
      </c>
      <c r="DL95" s="154">
        <f t="shared" si="391"/>
        <v>0</v>
      </c>
      <c r="DM95" s="154">
        <f t="shared" si="327"/>
        <v>0</v>
      </c>
      <c r="DN95" s="154">
        <f t="shared" si="392"/>
        <v>0</v>
      </c>
      <c r="DO95" s="157">
        <f t="shared" si="328"/>
        <v>0</v>
      </c>
      <c r="DP95" s="154">
        <f t="shared" si="329"/>
        <v>0</v>
      </c>
      <c r="DQ95" s="158">
        <f t="shared" si="330"/>
        <v>0</v>
      </c>
      <c r="DR95" s="156">
        <f t="shared" si="382"/>
        <v>0</v>
      </c>
      <c r="DS95" s="154">
        <f t="shared" si="393"/>
        <v>0</v>
      </c>
      <c r="DT95" s="154">
        <f t="shared" si="331"/>
        <v>0</v>
      </c>
      <c r="DU95" s="154">
        <f t="shared" si="394"/>
        <v>0</v>
      </c>
      <c r="DV95" s="154">
        <f t="shared" si="332"/>
        <v>0</v>
      </c>
      <c r="DW95" s="154">
        <f t="shared" si="395"/>
        <v>0</v>
      </c>
      <c r="DX95" s="154">
        <f t="shared" si="333"/>
        <v>0</v>
      </c>
      <c r="DY95" s="154">
        <f t="shared" si="396"/>
        <v>0</v>
      </c>
      <c r="DZ95" s="154">
        <f t="shared" si="334"/>
        <v>0</v>
      </c>
      <c r="EA95" s="154">
        <f t="shared" si="397"/>
        <v>0</v>
      </c>
      <c r="EB95" s="157">
        <f t="shared" si="335"/>
        <v>0</v>
      </c>
      <c r="EC95" s="154">
        <f t="shared" si="336"/>
        <v>0</v>
      </c>
      <c r="ED95" s="158">
        <f t="shared" si="337"/>
        <v>0</v>
      </c>
    </row>
    <row r="96" spans="1:134" x14ac:dyDescent="0.35">
      <c r="A96" s="172"/>
      <c r="B96" s="173"/>
      <c r="C96" s="174"/>
      <c r="D96" s="175"/>
      <c r="E96" s="176"/>
      <c r="F96" s="177"/>
      <c r="G96" s="178"/>
      <c r="H96" s="179"/>
      <c r="I96" s="180"/>
      <c r="J96" s="181"/>
      <c r="K96" s="152">
        <f t="shared" si="338"/>
        <v>0</v>
      </c>
      <c r="L96" s="153">
        <f t="shared" si="339"/>
        <v>0</v>
      </c>
      <c r="M96" s="154">
        <f t="shared" si="340"/>
        <v>0</v>
      </c>
      <c r="N96" s="154"/>
      <c r="O96" s="154">
        <f t="shared" si="341"/>
        <v>0</v>
      </c>
      <c r="P96" s="155"/>
      <c r="Q96" s="154">
        <f t="shared" si="342"/>
        <v>0</v>
      </c>
      <c r="R96" s="156">
        <f t="shared" si="343"/>
        <v>0</v>
      </c>
      <c r="S96" s="154">
        <f t="shared" si="344"/>
        <v>0</v>
      </c>
      <c r="T96" s="154">
        <f t="shared" si="345"/>
        <v>0</v>
      </c>
      <c r="U96" s="154">
        <f t="shared" si="346"/>
        <v>0</v>
      </c>
      <c r="V96" s="154">
        <f t="shared" si="347"/>
        <v>0</v>
      </c>
      <c r="W96" s="154">
        <f t="shared" si="348"/>
        <v>0</v>
      </c>
      <c r="X96" s="154">
        <f t="shared" si="349"/>
        <v>0</v>
      </c>
      <c r="Y96" s="154">
        <f t="shared" si="350"/>
        <v>0</v>
      </c>
      <c r="Z96" s="154">
        <f t="shared" si="351"/>
        <v>0</v>
      </c>
      <c r="AA96" s="154">
        <f t="shared" si="352"/>
        <v>0</v>
      </c>
      <c r="AB96" s="157">
        <f t="shared" si="353"/>
        <v>0</v>
      </c>
      <c r="AC96" s="154">
        <f t="shared" si="354"/>
        <v>0</v>
      </c>
      <c r="AD96" s="158">
        <f t="shared" si="355"/>
        <v>0</v>
      </c>
      <c r="AE96" s="156">
        <f t="shared" si="356"/>
        <v>0</v>
      </c>
      <c r="AF96" s="154">
        <f t="shared" si="357"/>
        <v>0</v>
      </c>
      <c r="AG96" s="154">
        <f t="shared" si="281"/>
        <v>0</v>
      </c>
      <c r="AH96" s="154">
        <f t="shared" si="358"/>
        <v>0</v>
      </c>
      <c r="AI96" s="154">
        <f t="shared" si="282"/>
        <v>0</v>
      </c>
      <c r="AJ96" s="154">
        <f t="shared" si="359"/>
        <v>0</v>
      </c>
      <c r="AK96" s="154">
        <f t="shared" si="283"/>
        <v>0</v>
      </c>
      <c r="AL96" s="154">
        <f t="shared" si="360"/>
        <v>0</v>
      </c>
      <c r="AM96" s="154">
        <f t="shared" si="284"/>
        <v>0</v>
      </c>
      <c r="AN96" s="154">
        <f t="shared" si="361"/>
        <v>0</v>
      </c>
      <c r="AO96" s="157">
        <f t="shared" si="285"/>
        <v>0</v>
      </c>
      <c r="AP96" s="154">
        <f t="shared" si="286"/>
        <v>0</v>
      </c>
      <c r="AQ96" s="158">
        <f t="shared" si="287"/>
        <v>0</v>
      </c>
      <c r="AR96" s="156">
        <f t="shared" si="356"/>
        <v>0</v>
      </c>
      <c r="AS96" s="154">
        <f t="shared" si="362"/>
        <v>0</v>
      </c>
      <c r="AT96" s="154">
        <f t="shared" si="288"/>
        <v>0</v>
      </c>
      <c r="AU96" s="154">
        <f t="shared" si="363"/>
        <v>0</v>
      </c>
      <c r="AV96" s="154">
        <f t="shared" si="289"/>
        <v>0</v>
      </c>
      <c r="AW96" s="154">
        <f t="shared" si="364"/>
        <v>0</v>
      </c>
      <c r="AX96" s="154">
        <f t="shared" si="290"/>
        <v>0</v>
      </c>
      <c r="AY96" s="154">
        <f t="shared" si="365"/>
        <v>0</v>
      </c>
      <c r="AZ96" s="154">
        <f t="shared" si="291"/>
        <v>0</v>
      </c>
      <c r="BA96" s="154">
        <f t="shared" si="366"/>
        <v>0</v>
      </c>
      <c r="BB96" s="157">
        <f t="shared" si="292"/>
        <v>0</v>
      </c>
      <c r="BC96" s="154">
        <f t="shared" si="293"/>
        <v>0</v>
      </c>
      <c r="BD96" s="158">
        <f t="shared" si="294"/>
        <v>0</v>
      </c>
      <c r="BE96" s="156">
        <f t="shared" si="356"/>
        <v>0</v>
      </c>
      <c r="BF96" s="154">
        <f t="shared" si="367"/>
        <v>0</v>
      </c>
      <c r="BG96" s="154">
        <f t="shared" si="295"/>
        <v>0</v>
      </c>
      <c r="BH96" s="154">
        <f t="shared" si="368"/>
        <v>0</v>
      </c>
      <c r="BI96" s="154">
        <f t="shared" si="296"/>
        <v>0</v>
      </c>
      <c r="BJ96" s="154">
        <f t="shared" si="369"/>
        <v>0</v>
      </c>
      <c r="BK96" s="154">
        <f t="shared" si="297"/>
        <v>0</v>
      </c>
      <c r="BL96" s="154">
        <f t="shared" si="370"/>
        <v>0</v>
      </c>
      <c r="BM96" s="154">
        <f t="shared" si="298"/>
        <v>0</v>
      </c>
      <c r="BN96" s="154">
        <f t="shared" si="371"/>
        <v>0</v>
      </c>
      <c r="BO96" s="157">
        <f t="shared" si="299"/>
        <v>0</v>
      </c>
      <c r="BP96" s="154">
        <f t="shared" si="300"/>
        <v>0</v>
      </c>
      <c r="BQ96" s="158">
        <f t="shared" si="301"/>
        <v>0</v>
      </c>
      <c r="BR96" s="156">
        <f t="shared" si="356"/>
        <v>0</v>
      </c>
      <c r="BS96" s="154">
        <f t="shared" si="372"/>
        <v>0</v>
      </c>
      <c r="BT96" s="154">
        <f t="shared" si="302"/>
        <v>0</v>
      </c>
      <c r="BU96" s="154">
        <f t="shared" si="373"/>
        <v>0</v>
      </c>
      <c r="BV96" s="154">
        <f t="shared" si="303"/>
        <v>0</v>
      </c>
      <c r="BW96" s="154">
        <f t="shared" si="374"/>
        <v>0</v>
      </c>
      <c r="BX96" s="154">
        <f t="shared" si="304"/>
        <v>0</v>
      </c>
      <c r="BY96" s="154">
        <f t="shared" si="375"/>
        <v>0</v>
      </c>
      <c r="BZ96" s="154">
        <f t="shared" si="305"/>
        <v>0</v>
      </c>
      <c r="CA96" s="154">
        <f t="shared" si="376"/>
        <v>0</v>
      </c>
      <c r="CB96" s="157">
        <f t="shared" si="306"/>
        <v>0</v>
      </c>
      <c r="CC96" s="154">
        <f t="shared" si="307"/>
        <v>0</v>
      </c>
      <c r="CD96" s="158">
        <f t="shared" si="308"/>
        <v>0</v>
      </c>
      <c r="CE96" s="156">
        <f t="shared" si="356"/>
        <v>0</v>
      </c>
      <c r="CF96" s="154">
        <f t="shared" si="377"/>
        <v>0</v>
      </c>
      <c r="CG96" s="154">
        <f t="shared" si="309"/>
        <v>0</v>
      </c>
      <c r="CH96" s="154">
        <f t="shared" si="378"/>
        <v>0</v>
      </c>
      <c r="CI96" s="154">
        <f t="shared" si="310"/>
        <v>0</v>
      </c>
      <c r="CJ96" s="154">
        <f t="shared" si="379"/>
        <v>0</v>
      </c>
      <c r="CK96" s="154">
        <f t="shared" si="311"/>
        <v>0</v>
      </c>
      <c r="CL96" s="154">
        <f t="shared" si="380"/>
        <v>0</v>
      </c>
      <c r="CM96" s="154">
        <f t="shared" si="312"/>
        <v>0</v>
      </c>
      <c r="CN96" s="154">
        <f t="shared" si="381"/>
        <v>0</v>
      </c>
      <c r="CO96" s="157">
        <f t="shared" si="313"/>
        <v>0</v>
      </c>
      <c r="CP96" s="154">
        <f t="shared" si="314"/>
        <v>0</v>
      </c>
      <c r="CQ96" s="158">
        <f t="shared" si="315"/>
        <v>0</v>
      </c>
      <c r="CR96" s="156">
        <f t="shared" si="382"/>
        <v>0</v>
      </c>
      <c r="CS96" s="154">
        <f t="shared" si="383"/>
        <v>0</v>
      </c>
      <c r="CT96" s="154">
        <f t="shared" si="317"/>
        <v>0</v>
      </c>
      <c r="CU96" s="154">
        <f t="shared" si="384"/>
        <v>0</v>
      </c>
      <c r="CV96" s="154">
        <f t="shared" si="318"/>
        <v>0</v>
      </c>
      <c r="CW96" s="154">
        <f t="shared" si="385"/>
        <v>0</v>
      </c>
      <c r="CX96" s="154">
        <f t="shared" si="319"/>
        <v>0</v>
      </c>
      <c r="CY96" s="154">
        <f t="shared" si="386"/>
        <v>0</v>
      </c>
      <c r="CZ96" s="154">
        <f t="shared" si="320"/>
        <v>0</v>
      </c>
      <c r="DA96" s="154">
        <f t="shared" si="387"/>
        <v>0</v>
      </c>
      <c r="DB96" s="157">
        <f t="shared" si="321"/>
        <v>0</v>
      </c>
      <c r="DC96" s="154">
        <f t="shared" si="322"/>
        <v>0</v>
      </c>
      <c r="DD96" s="158">
        <f t="shared" si="323"/>
        <v>0</v>
      </c>
      <c r="DE96" s="156">
        <f t="shared" si="382"/>
        <v>0</v>
      </c>
      <c r="DF96" s="154">
        <f t="shared" si="388"/>
        <v>0</v>
      </c>
      <c r="DG96" s="154">
        <f t="shared" si="324"/>
        <v>0</v>
      </c>
      <c r="DH96" s="154">
        <f t="shared" si="389"/>
        <v>0</v>
      </c>
      <c r="DI96" s="154">
        <f t="shared" si="325"/>
        <v>0</v>
      </c>
      <c r="DJ96" s="154">
        <f t="shared" si="390"/>
        <v>0</v>
      </c>
      <c r="DK96" s="154">
        <f t="shared" si="326"/>
        <v>0</v>
      </c>
      <c r="DL96" s="154">
        <f t="shared" si="391"/>
        <v>0</v>
      </c>
      <c r="DM96" s="154">
        <f t="shared" si="327"/>
        <v>0</v>
      </c>
      <c r="DN96" s="154">
        <f t="shared" si="392"/>
        <v>0</v>
      </c>
      <c r="DO96" s="157">
        <f t="shared" si="328"/>
        <v>0</v>
      </c>
      <c r="DP96" s="154">
        <f t="shared" si="329"/>
        <v>0</v>
      </c>
      <c r="DQ96" s="158">
        <f t="shared" si="330"/>
        <v>0</v>
      </c>
      <c r="DR96" s="156">
        <f t="shared" si="382"/>
        <v>0</v>
      </c>
      <c r="DS96" s="154">
        <f t="shared" si="393"/>
        <v>0</v>
      </c>
      <c r="DT96" s="154">
        <f t="shared" si="331"/>
        <v>0</v>
      </c>
      <c r="DU96" s="154">
        <f t="shared" si="394"/>
        <v>0</v>
      </c>
      <c r="DV96" s="154">
        <f t="shared" si="332"/>
        <v>0</v>
      </c>
      <c r="DW96" s="154">
        <f t="shared" si="395"/>
        <v>0</v>
      </c>
      <c r="DX96" s="154">
        <f t="shared" si="333"/>
        <v>0</v>
      </c>
      <c r="DY96" s="154">
        <f t="shared" si="396"/>
        <v>0</v>
      </c>
      <c r="DZ96" s="154">
        <f t="shared" si="334"/>
        <v>0</v>
      </c>
      <c r="EA96" s="154">
        <f t="shared" si="397"/>
        <v>0</v>
      </c>
      <c r="EB96" s="157">
        <f t="shared" si="335"/>
        <v>0</v>
      </c>
      <c r="EC96" s="154">
        <f t="shared" si="336"/>
        <v>0</v>
      </c>
      <c r="ED96" s="158">
        <f t="shared" si="337"/>
        <v>0</v>
      </c>
    </row>
    <row r="97" spans="1:134" x14ac:dyDescent="0.35">
      <c r="A97" s="172"/>
      <c r="B97" s="173"/>
      <c r="C97" s="174"/>
      <c r="D97" s="175"/>
      <c r="E97" s="176"/>
      <c r="F97" s="177"/>
      <c r="G97" s="178"/>
      <c r="H97" s="179"/>
      <c r="I97" s="180"/>
      <c r="J97" s="181"/>
      <c r="K97" s="152">
        <f t="shared" si="338"/>
        <v>0</v>
      </c>
      <c r="L97" s="153">
        <f t="shared" si="339"/>
        <v>0</v>
      </c>
      <c r="M97" s="154">
        <f t="shared" si="340"/>
        <v>0</v>
      </c>
      <c r="N97" s="154"/>
      <c r="O97" s="154">
        <f t="shared" si="341"/>
        <v>0</v>
      </c>
      <c r="P97" s="155"/>
      <c r="Q97" s="154">
        <f t="shared" si="342"/>
        <v>0</v>
      </c>
      <c r="R97" s="156">
        <f t="shared" si="343"/>
        <v>0</v>
      </c>
      <c r="S97" s="154">
        <f t="shared" si="344"/>
        <v>0</v>
      </c>
      <c r="T97" s="154">
        <f t="shared" si="345"/>
        <v>0</v>
      </c>
      <c r="U97" s="154">
        <f t="shared" si="346"/>
        <v>0</v>
      </c>
      <c r="V97" s="154">
        <f t="shared" si="347"/>
        <v>0</v>
      </c>
      <c r="W97" s="154">
        <f t="shared" si="348"/>
        <v>0</v>
      </c>
      <c r="X97" s="154">
        <f t="shared" si="349"/>
        <v>0</v>
      </c>
      <c r="Y97" s="154">
        <f t="shared" si="350"/>
        <v>0</v>
      </c>
      <c r="Z97" s="154">
        <f t="shared" si="351"/>
        <v>0</v>
      </c>
      <c r="AA97" s="154">
        <f t="shared" si="352"/>
        <v>0</v>
      </c>
      <c r="AB97" s="157">
        <f t="shared" si="353"/>
        <v>0</v>
      </c>
      <c r="AC97" s="154">
        <f t="shared" si="354"/>
        <v>0</v>
      </c>
      <c r="AD97" s="158">
        <f t="shared" si="355"/>
        <v>0</v>
      </c>
      <c r="AE97" s="156">
        <f t="shared" si="356"/>
        <v>0</v>
      </c>
      <c r="AF97" s="154">
        <f t="shared" si="357"/>
        <v>0</v>
      </c>
      <c r="AG97" s="154">
        <f t="shared" si="281"/>
        <v>0</v>
      </c>
      <c r="AH97" s="154">
        <f t="shared" si="358"/>
        <v>0</v>
      </c>
      <c r="AI97" s="154">
        <f t="shared" si="282"/>
        <v>0</v>
      </c>
      <c r="AJ97" s="154">
        <f t="shared" si="359"/>
        <v>0</v>
      </c>
      <c r="AK97" s="154">
        <f t="shared" si="283"/>
        <v>0</v>
      </c>
      <c r="AL97" s="154">
        <f t="shared" si="360"/>
        <v>0</v>
      </c>
      <c r="AM97" s="154">
        <f t="shared" si="284"/>
        <v>0</v>
      </c>
      <c r="AN97" s="154">
        <f t="shared" si="361"/>
        <v>0</v>
      </c>
      <c r="AO97" s="157">
        <f t="shared" si="285"/>
        <v>0</v>
      </c>
      <c r="AP97" s="154">
        <f t="shared" si="286"/>
        <v>0</v>
      </c>
      <c r="AQ97" s="158">
        <f t="shared" si="287"/>
        <v>0</v>
      </c>
      <c r="AR97" s="156">
        <f t="shared" si="356"/>
        <v>0</v>
      </c>
      <c r="AS97" s="154">
        <f t="shared" si="362"/>
        <v>0</v>
      </c>
      <c r="AT97" s="154">
        <f t="shared" si="288"/>
        <v>0</v>
      </c>
      <c r="AU97" s="154">
        <f t="shared" si="363"/>
        <v>0</v>
      </c>
      <c r="AV97" s="154">
        <f t="shared" si="289"/>
        <v>0</v>
      </c>
      <c r="AW97" s="154">
        <f t="shared" si="364"/>
        <v>0</v>
      </c>
      <c r="AX97" s="154">
        <f t="shared" si="290"/>
        <v>0</v>
      </c>
      <c r="AY97" s="154">
        <f t="shared" si="365"/>
        <v>0</v>
      </c>
      <c r="AZ97" s="154">
        <f t="shared" si="291"/>
        <v>0</v>
      </c>
      <c r="BA97" s="154">
        <f t="shared" si="366"/>
        <v>0</v>
      </c>
      <c r="BB97" s="157">
        <f t="shared" si="292"/>
        <v>0</v>
      </c>
      <c r="BC97" s="154">
        <f t="shared" si="293"/>
        <v>0</v>
      </c>
      <c r="BD97" s="158">
        <f t="shared" si="294"/>
        <v>0</v>
      </c>
      <c r="BE97" s="156">
        <f t="shared" si="356"/>
        <v>0</v>
      </c>
      <c r="BF97" s="154">
        <f t="shared" si="367"/>
        <v>0</v>
      </c>
      <c r="BG97" s="154">
        <f t="shared" si="295"/>
        <v>0</v>
      </c>
      <c r="BH97" s="154">
        <f t="shared" si="368"/>
        <v>0</v>
      </c>
      <c r="BI97" s="154">
        <f t="shared" si="296"/>
        <v>0</v>
      </c>
      <c r="BJ97" s="154">
        <f t="shared" si="369"/>
        <v>0</v>
      </c>
      <c r="BK97" s="154">
        <f t="shared" si="297"/>
        <v>0</v>
      </c>
      <c r="BL97" s="154">
        <f t="shared" si="370"/>
        <v>0</v>
      </c>
      <c r="BM97" s="154">
        <f t="shared" si="298"/>
        <v>0</v>
      </c>
      <c r="BN97" s="154">
        <f t="shared" si="371"/>
        <v>0</v>
      </c>
      <c r="BO97" s="157">
        <f t="shared" si="299"/>
        <v>0</v>
      </c>
      <c r="BP97" s="154">
        <f t="shared" si="300"/>
        <v>0</v>
      </c>
      <c r="BQ97" s="158">
        <f t="shared" si="301"/>
        <v>0</v>
      </c>
      <c r="BR97" s="156">
        <f t="shared" si="356"/>
        <v>0</v>
      </c>
      <c r="BS97" s="154">
        <f t="shared" si="372"/>
        <v>0</v>
      </c>
      <c r="BT97" s="154">
        <f t="shared" si="302"/>
        <v>0</v>
      </c>
      <c r="BU97" s="154">
        <f t="shared" si="373"/>
        <v>0</v>
      </c>
      <c r="BV97" s="154">
        <f t="shared" si="303"/>
        <v>0</v>
      </c>
      <c r="BW97" s="154">
        <f t="shared" si="374"/>
        <v>0</v>
      </c>
      <c r="BX97" s="154">
        <f t="shared" si="304"/>
        <v>0</v>
      </c>
      <c r="BY97" s="154">
        <f t="shared" si="375"/>
        <v>0</v>
      </c>
      <c r="BZ97" s="154">
        <f t="shared" si="305"/>
        <v>0</v>
      </c>
      <c r="CA97" s="154">
        <f t="shared" si="376"/>
        <v>0</v>
      </c>
      <c r="CB97" s="157">
        <f t="shared" si="306"/>
        <v>0</v>
      </c>
      <c r="CC97" s="154">
        <f t="shared" si="307"/>
        <v>0</v>
      </c>
      <c r="CD97" s="158">
        <f t="shared" si="308"/>
        <v>0</v>
      </c>
      <c r="CE97" s="156">
        <f t="shared" si="356"/>
        <v>0</v>
      </c>
      <c r="CF97" s="154">
        <f t="shared" si="377"/>
        <v>0</v>
      </c>
      <c r="CG97" s="154">
        <f t="shared" si="309"/>
        <v>0</v>
      </c>
      <c r="CH97" s="154">
        <f t="shared" si="378"/>
        <v>0</v>
      </c>
      <c r="CI97" s="154">
        <f t="shared" si="310"/>
        <v>0</v>
      </c>
      <c r="CJ97" s="154">
        <f t="shared" si="379"/>
        <v>0</v>
      </c>
      <c r="CK97" s="154">
        <f t="shared" si="311"/>
        <v>0</v>
      </c>
      <c r="CL97" s="154">
        <f t="shared" si="380"/>
        <v>0</v>
      </c>
      <c r="CM97" s="154">
        <f t="shared" si="312"/>
        <v>0</v>
      </c>
      <c r="CN97" s="154">
        <f t="shared" si="381"/>
        <v>0</v>
      </c>
      <c r="CO97" s="157">
        <f t="shared" si="313"/>
        <v>0</v>
      </c>
      <c r="CP97" s="154">
        <f t="shared" si="314"/>
        <v>0</v>
      </c>
      <c r="CQ97" s="158">
        <f t="shared" si="315"/>
        <v>0</v>
      </c>
      <c r="CR97" s="156">
        <f t="shared" si="382"/>
        <v>0</v>
      </c>
      <c r="CS97" s="154">
        <f t="shared" si="383"/>
        <v>0</v>
      </c>
      <c r="CT97" s="154">
        <f t="shared" si="317"/>
        <v>0</v>
      </c>
      <c r="CU97" s="154">
        <f t="shared" si="384"/>
        <v>0</v>
      </c>
      <c r="CV97" s="154">
        <f t="shared" si="318"/>
        <v>0</v>
      </c>
      <c r="CW97" s="154">
        <f t="shared" si="385"/>
        <v>0</v>
      </c>
      <c r="CX97" s="154">
        <f t="shared" si="319"/>
        <v>0</v>
      </c>
      <c r="CY97" s="154">
        <f t="shared" si="386"/>
        <v>0</v>
      </c>
      <c r="CZ97" s="154">
        <f t="shared" si="320"/>
        <v>0</v>
      </c>
      <c r="DA97" s="154">
        <f t="shared" si="387"/>
        <v>0</v>
      </c>
      <c r="DB97" s="157">
        <f t="shared" si="321"/>
        <v>0</v>
      </c>
      <c r="DC97" s="154">
        <f t="shared" si="322"/>
        <v>0</v>
      </c>
      <c r="DD97" s="158">
        <f t="shared" si="323"/>
        <v>0</v>
      </c>
      <c r="DE97" s="156">
        <f t="shared" si="382"/>
        <v>0</v>
      </c>
      <c r="DF97" s="154">
        <f t="shared" si="388"/>
        <v>0</v>
      </c>
      <c r="DG97" s="154">
        <f t="shared" si="324"/>
        <v>0</v>
      </c>
      <c r="DH97" s="154">
        <f t="shared" si="389"/>
        <v>0</v>
      </c>
      <c r="DI97" s="154">
        <f t="shared" si="325"/>
        <v>0</v>
      </c>
      <c r="DJ97" s="154">
        <f t="shared" si="390"/>
        <v>0</v>
      </c>
      <c r="DK97" s="154">
        <f t="shared" si="326"/>
        <v>0</v>
      </c>
      <c r="DL97" s="154">
        <f t="shared" si="391"/>
        <v>0</v>
      </c>
      <c r="DM97" s="154">
        <f t="shared" si="327"/>
        <v>0</v>
      </c>
      <c r="DN97" s="154">
        <f t="shared" si="392"/>
        <v>0</v>
      </c>
      <c r="DO97" s="157">
        <f t="shared" si="328"/>
        <v>0</v>
      </c>
      <c r="DP97" s="154">
        <f t="shared" si="329"/>
        <v>0</v>
      </c>
      <c r="DQ97" s="158">
        <f t="shared" si="330"/>
        <v>0</v>
      </c>
      <c r="DR97" s="156">
        <f t="shared" si="382"/>
        <v>0</v>
      </c>
      <c r="DS97" s="154">
        <f t="shared" si="393"/>
        <v>0</v>
      </c>
      <c r="DT97" s="154">
        <f t="shared" si="331"/>
        <v>0</v>
      </c>
      <c r="DU97" s="154">
        <f t="shared" si="394"/>
        <v>0</v>
      </c>
      <c r="DV97" s="154">
        <f t="shared" si="332"/>
        <v>0</v>
      </c>
      <c r="DW97" s="154">
        <f t="shared" si="395"/>
        <v>0</v>
      </c>
      <c r="DX97" s="154">
        <f t="shared" si="333"/>
        <v>0</v>
      </c>
      <c r="DY97" s="154">
        <f t="shared" si="396"/>
        <v>0</v>
      </c>
      <c r="DZ97" s="154">
        <f t="shared" si="334"/>
        <v>0</v>
      </c>
      <c r="EA97" s="154">
        <f t="shared" si="397"/>
        <v>0</v>
      </c>
      <c r="EB97" s="157">
        <f t="shared" si="335"/>
        <v>0</v>
      </c>
      <c r="EC97" s="154">
        <f t="shared" si="336"/>
        <v>0</v>
      </c>
      <c r="ED97" s="158">
        <f t="shared" si="337"/>
        <v>0</v>
      </c>
    </row>
    <row r="98" spans="1:134" x14ac:dyDescent="0.35">
      <c r="A98" s="172"/>
      <c r="B98" s="173"/>
      <c r="C98" s="174"/>
      <c r="D98" s="175"/>
      <c r="E98" s="176"/>
      <c r="F98" s="177"/>
      <c r="G98" s="178"/>
      <c r="H98" s="179"/>
      <c r="I98" s="180"/>
      <c r="J98" s="181"/>
      <c r="K98" s="152">
        <f t="shared" si="338"/>
        <v>0</v>
      </c>
      <c r="L98" s="153">
        <f t="shared" si="339"/>
        <v>0</v>
      </c>
      <c r="M98" s="154">
        <f t="shared" si="340"/>
        <v>0</v>
      </c>
      <c r="N98" s="154"/>
      <c r="O98" s="154">
        <f t="shared" si="341"/>
        <v>0</v>
      </c>
      <c r="P98" s="155"/>
      <c r="Q98" s="154">
        <f t="shared" si="342"/>
        <v>0</v>
      </c>
      <c r="R98" s="156">
        <f t="shared" si="343"/>
        <v>0</v>
      </c>
      <c r="S98" s="154">
        <f t="shared" si="344"/>
        <v>0</v>
      </c>
      <c r="T98" s="154">
        <f t="shared" si="345"/>
        <v>0</v>
      </c>
      <c r="U98" s="154">
        <f t="shared" si="346"/>
        <v>0</v>
      </c>
      <c r="V98" s="154">
        <f t="shared" si="347"/>
        <v>0</v>
      </c>
      <c r="W98" s="154">
        <f t="shared" si="348"/>
        <v>0</v>
      </c>
      <c r="X98" s="154">
        <f t="shared" si="349"/>
        <v>0</v>
      </c>
      <c r="Y98" s="154">
        <f t="shared" si="350"/>
        <v>0</v>
      </c>
      <c r="Z98" s="154">
        <f t="shared" si="351"/>
        <v>0</v>
      </c>
      <c r="AA98" s="154">
        <f t="shared" si="352"/>
        <v>0</v>
      </c>
      <c r="AB98" s="157">
        <f t="shared" si="353"/>
        <v>0</v>
      </c>
      <c r="AC98" s="154">
        <f t="shared" si="354"/>
        <v>0</v>
      </c>
      <c r="AD98" s="158">
        <f t="shared" si="355"/>
        <v>0</v>
      </c>
      <c r="AE98" s="156">
        <f t="shared" si="356"/>
        <v>0</v>
      </c>
      <c r="AF98" s="154">
        <f t="shared" si="357"/>
        <v>0</v>
      </c>
      <c r="AG98" s="154">
        <f t="shared" si="281"/>
        <v>0</v>
      </c>
      <c r="AH98" s="154">
        <f t="shared" si="358"/>
        <v>0</v>
      </c>
      <c r="AI98" s="154">
        <f t="shared" si="282"/>
        <v>0</v>
      </c>
      <c r="AJ98" s="154">
        <f t="shared" si="359"/>
        <v>0</v>
      </c>
      <c r="AK98" s="154">
        <f t="shared" si="283"/>
        <v>0</v>
      </c>
      <c r="AL98" s="154">
        <f t="shared" si="360"/>
        <v>0</v>
      </c>
      <c r="AM98" s="154">
        <f t="shared" si="284"/>
        <v>0</v>
      </c>
      <c r="AN98" s="154">
        <f t="shared" si="361"/>
        <v>0</v>
      </c>
      <c r="AO98" s="157">
        <f t="shared" si="285"/>
        <v>0</v>
      </c>
      <c r="AP98" s="154">
        <f t="shared" si="286"/>
        <v>0</v>
      </c>
      <c r="AQ98" s="158">
        <f t="shared" si="287"/>
        <v>0</v>
      </c>
      <c r="AR98" s="156">
        <f t="shared" si="356"/>
        <v>0</v>
      </c>
      <c r="AS98" s="154">
        <f t="shared" si="362"/>
        <v>0</v>
      </c>
      <c r="AT98" s="154">
        <f t="shared" si="288"/>
        <v>0</v>
      </c>
      <c r="AU98" s="154">
        <f t="shared" si="363"/>
        <v>0</v>
      </c>
      <c r="AV98" s="154">
        <f t="shared" si="289"/>
        <v>0</v>
      </c>
      <c r="AW98" s="154">
        <f t="shared" si="364"/>
        <v>0</v>
      </c>
      <c r="AX98" s="154">
        <f t="shared" si="290"/>
        <v>0</v>
      </c>
      <c r="AY98" s="154">
        <f t="shared" si="365"/>
        <v>0</v>
      </c>
      <c r="AZ98" s="154">
        <f t="shared" si="291"/>
        <v>0</v>
      </c>
      <c r="BA98" s="154">
        <f t="shared" si="366"/>
        <v>0</v>
      </c>
      <c r="BB98" s="157">
        <f t="shared" si="292"/>
        <v>0</v>
      </c>
      <c r="BC98" s="154">
        <f t="shared" si="293"/>
        <v>0</v>
      </c>
      <c r="BD98" s="158">
        <f t="shared" si="294"/>
        <v>0</v>
      </c>
      <c r="BE98" s="156">
        <f t="shared" si="356"/>
        <v>0</v>
      </c>
      <c r="BF98" s="154">
        <f t="shared" si="367"/>
        <v>0</v>
      </c>
      <c r="BG98" s="154">
        <f t="shared" si="295"/>
        <v>0</v>
      </c>
      <c r="BH98" s="154">
        <f t="shared" si="368"/>
        <v>0</v>
      </c>
      <c r="BI98" s="154">
        <f t="shared" si="296"/>
        <v>0</v>
      </c>
      <c r="BJ98" s="154">
        <f t="shared" si="369"/>
        <v>0</v>
      </c>
      <c r="BK98" s="154">
        <f t="shared" si="297"/>
        <v>0</v>
      </c>
      <c r="BL98" s="154">
        <f t="shared" si="370"/>
        <v>0</v>
      </c>
      <c r="BM98" s="154">
        <f t="shared" si="298"/>
        <v>0</v>
      </c>
      <c r="BN98" s="154">
        <f t="shared" si="371"/>
        <v>0</v>
      </c>
      <c r="BO98" s="157">
        <f t="shared" si="299"/>
        <v>0</v>
      </c>
      <c r="BP98" s="154">
        <f t="shared" si="300"/>
        <v>0</v>
      </c>
      <c r="BQ98" s="158">
        <f t="shared" si="301"/>
        <v>0</v>
      </c>
      <c r="BR98" s="156">
        <f t="shared" si="356"/>
        <v>0</v>
      </c>
      <c r="BS98" s="154">
        <f t="shared" si="372"/>
        <v>0</v>
      </c>
      <c r="BT98" s="154">
        <f t="shared" si="302"/>
        <v>0</v>
      </c>
      <c r="BU98" s="154">
        <f t="shared" si="373"/>
        <v>0</v>
      </c>
      <c r="BV98" s="154">
        <f t="shared" si="303"/>
        <v>0</v>
      </c>
      <c r="BW98" s="154">
        <f t="shared" si="374"/>
        <v>0</v>
      </c>
      <c r="BX98" s="154">
        <f t="shared" si="304"/>
        <v>0</v>
      </c>
      <c r="BY98" s="154">
        <f t="shared" si="375"/>
        <v>0</v>
      </c>
      <c r="BZ98" s="154">
        <f t="shared" si="305"/>
        <v>0</v>
      </c>
      <c r="CA98" s="154">
        <f t="shared" si="376"/>
        <v>0</v>
      </c>
      <c r="CB98" s="157">
        <f t="shared" si="306"/>
        <v>0</v>
      </c>
      <c r="CC98" s="154">
        <f t="shared" si="307"/>
        <v>0</v>
      </c>
      <c r="CD98" s="158">
        <f t="shared" si="308"/>
        <v>0</v>
      </c>
      <c r="CE98" s="156">
        <f t="shared" si="356"/>
        <v>0</v>
      </c>
      <c r="CF98" s="154">
        <f t="shared" si="377"/>
        <v>0</v>
      </c>
      <c r="CG98" s="154">
        <f t="shared" si="309"/>
        <v>0</v>
      </c>
      <c r="CH98" s="154">
        <f t="shared" si="378"/>
        <v>0</v>
      </c>
      <c r="CI98" s="154">
        <f t="shared" si="310"/>
        <v>0</v>
      </c>
      <c r="CJ98" s="154">
        <f t="shared" si="379"/>
        <v>0</v>
      </c>
      <c r="CK98" s="154">
        <f t="shared" si="311"/>
        <v>0</v>
      </c>
      <c r="CL98" s="154">
        <f t="shared" si="380"/>
        <v>0</v>
      </c>
      <c r="CM98" s="154">
        <f t="shared" si="312"/>
        <v>0</v>
      </c>
      <c r="CN98" s="154">
        <f t="shared" si="381"/>
        <v>0</v>
      </c>
      <c r="CO98" s="157">
        <f t="shared" si="313"/>
        <v>0</v>
      </c>
      <c r="CP98" s="154">
        <f t="shared" si="314"/>
        <v>0</v>
      </c>
      <c r="CQ98" s="158">
        <f t="shared" si="315"/>
        <v>0</v>
      </c>
      <c r="CR98" s="156">
        <f t="shared" si="382"/>
        <v>0</v>
      </c>
      <c r="CS98" s="154">
        <f t="shared" si="383"/>
        <v>0</v>
      </c>
      <c r="CT98" s="154">
        <f t="shared" si="317"/>
        <v>0</v>
      </c>
      <c r="CU98" s="154">
        <f t="shared" si="384"/>
        <v>0</v>
      </c>
      <c r="CV98" s="154">
        <f t="shared" si="318"/>
        <v>0</v>
      </c>
      <c r="CW98" s="154">
        <f t="shared" si="385"/>
        <v>0</v>
      </c>
      <c r="CX98" s="154">
        <f t="shared" si="319"/>
        <v>0</v>
      </c>
      <c r="CY98" s="154">
        <f t="shared" si="386"/>
        <v>0</v>
      </c>
      <c r="CZ98" s="154">
        <f t="shared" si="320"/>
        <v>0</v>
      </c>
      <c r="DA98" s="154">
        <f t="shared" si="387"/>
        <v>0</v>
      </c>
      <c r="DB98" s="157">
        <f t="shared" si="321"/>
        <v>0</v>
      </c>
      <c r="DC98" s="154">
        <f t="shared" si="322"/>
        <v>0</v>
      </c>
      <c r="DD98" s="158">
        <f t="shared" si="323"/>
        <v>0</v>
      </c>
      <c r="DE98" s="156">
        <f t="shared" si="382"/>
        <v>0</v>
      </c>
      <c r="DF98" s="154">
        <f t="shared" si="388"/>
        <v>0</v>
      </c>
      <c r="DG98" s="154">
        <f t="shared" si="324"/>
        <v>0</v>
      </c>
      <c r="DH98" s="154">
        <f t="shared" si="389"/>
        <v>0</v>
      </c>
      <c r="DI98" s="154">
        <f t="shared" si="325"/>
        <v>0</v>
      </c>
      <c r="DJ98" s="154">
        <f t="shared" si="390"/>
        <v>0</v>
      </c>
      <c r="DK98" s="154">
        <f t="shared" si="326"/>
        <v>0</v>
      </c>
      <c r="DL98" s="154">
        <f t="shared" si="391"/>
        <v>0</v>
      </c>
      <c r="DM98" s="154">
        <f t="shared" si="327"/>
        <v>0</v>
      </c>
      <c r="DN98" s="154">
        <f t="shared" si="392"/>
        <v>0</v>
      </c>
      <c r="DO98" s="157">
        <f t="shared" si="328"/>
        <v>0</v>
      </c>
      <c r="DP98" s="154">
        <f t="shared" si="329"/>
        <v>0</v>
      </c>
      <c r="DQ98" s="158">
        <f t="shared" si="330"/>
        <v>0</v>
      </c>
      <c r="DR98" s="156">
        <f t="shared" si="382"/>
        <v>0</v>
      </c>
      <c r="DS98" s="154">
        <f t="shared" si="393"/>
        <v>0</v>
      </c>
      <c r="DT98" s="154">
        <f t="shared" si="331"/>
        <v>0</v>
      </c>
      <c r="DU98" s="154">
        <f t="shared" si="394"/>
        <v>0</v>
      </c>
      <c r="DV98" s="154">
        <f t="shared" si="332"/>
        <v>0</v>
      </c>
      <c r="DW98" s="154">
        <f t="shared" si="395"/>
        <v>0</v>
      </c>
      <c r="DX98" s="154">
        <f t="shared" si="333"/>
        <v>0</v>
      </c>
      <c r="DY98" s="154">
        <f t="shared" si="396"/>
        <v>0</v>
      </c>
      <c r="DZ98" s="154">
        <f t="shared" si="334"/>
        <v>0</v>
      </c>
      <c r="EA98" s="154">
        <f t="shared" si="397"/>
        <v>0</v>
      </c>
      <c r="EB98" s="157">
        <f t="shared" si="335"/>
        <v>0</v>
      </c>
      <c r="EC98" s="154">
        <f t="shared" si="336"/>
        <v>0</v>
      </c>
      <c r="ED98" s="158">
        <f t="shared" si="337"/>
        <v>0</v>
      </c>
    </row>
    <row r="99" spans="1:134" x14ac:dyDescent="0.35">
      <c r="A99" s="172"/>
      <c r="B99" s="173"/>
      <c r="C99" s="174"/>
      <c r="D99" s="175"/>
      <c r="E99" s="176"/>
      <c r="F99" s="177"/>
      <c r="G99" s="178"/>
      <c r="H99" s="179"/>
      <c r="I99" s="180"/>
      <c r="J99" s="181"/>
      <c r="K99" s="152">
        <f t="shared" si="338"/>
        <v>0</v>
      </c>
      <c r="L99" s="153">
        <f t="shared" si="339"/>
        <v>0</v>
      </c>
      <c r="M99" s="154">
        <f t="shared" si="340"/>
        <v>0</v>
      </c>
      <c r="N99" s="154"/>
      <c r="O99" s="154">
        <f t="shared" si="341"/>
        <v>0</v>
      </c>
      <c r="P99" s="155"/>
      <c r="Q99" s="154">
        <f t="shared" si="342"/>
        <v>0</v>
      </c>
      <c r="R99" s="156">
        <f t="shared" si="343"/>
        <v>0</v>
      </c>
      <c r="S99" s="154">
        <f t="shared" si="344"/>
        <v>0</v>
      </c>
      <c r="T99" s="154">
        <f t="shared" si="345"/>
        <v>0</v>
      </c>
      <c r="U99" s="154">
        <f t="shared" si="346"/>
        <v>0</v>
      </c>
      <c r="V99" s="154">
        <f t="shared" si="347"/>
        <v>0</v>
      </c>
      <c r="W99" s="154">
        <f t="shared" si="348"/>
        <v>0</v>
      </c>
      <c r="X99" s="154">
        <f t="shared" si="349"/>
        <v>0</v>
      </c>
      <c r="Y99" s="154">
        <f t="shared" si="350"/>
        <v>0</v>
      </c>
      <c r="Z99" s="154">
        <f t="shared" si="351"/>
        <v>0</v>
      </c>
      <c r="AA99" s="154">
        <f t="shared" si="352"/>
        <v>0</v>
      </c>
      <c r="AB99" s="157">
        <f t="shared" si="353"/>
        <v>0</v>
      </c>
      <c r="AC99" s="154">
        <f t="shared" si="354"/>
        <v>0</v>
      </c>
      <c r="AD99" s="158">
        <f t="shared" si="355"/>
        <v>0</v>
      </c>
      <c r="AE99" s="156">
        <f t="shared" si="356"/>
        <v>0</v>
      </c>
      <c r="AF99" s="154">
        <f t="shared" si="357"/>
        <v>0</v>
      </c>
      <c r="AG99" s="154">
        <f t="shared" si="281"/>
        <v>0</v>
      </c>
      <c r="AH99" s="154">
        <f t="shared" si="358"/>
        <v>0</v>
      </c>
      <c r="AI99" s="154">
        <f t="shared" si="282"/>
        <v>0</v>
      </c>
      <c r="AJ99" s="154">
        <f t="shared" si="359"/>
        <v>0</v>
      </c>
      <c r="AK99" s="154">
        <f t="shared" si="283"/>
        <v>0</v>
      </c>
      <c r="AL99" s="154">
        <f t="shared" si="360"/>
        <v>0</v>
      </c>
      <c r="AM99" s="154">
        <f t="shared" si="284"/>
        <v>0</v>
      </c>
      <c r="AN99" s="154">
        <f t="shared" si="361"/>
        <v>0</v>
      </c>
      <c r="AO99" s="157">
        <f t="shared" si="285"/>
        <v>0</v>
      </c>
      <c r="AP99" s="154">
        <f t="shared" si="286"/>
        <v>0</v>
      </c>
      <c r="AQ99" s="158">
        <f t="shared" si="287"/>
        <v>0</v>
      </c>
      <c r="AR99" s="156">
        <f t="shared" si="356"/>
        <v>0</v>
      </c>
      <c r="AS99" s="154">
        <f t="shared" si="362"/>
        <v>0</v>
      </c>
      <c r="AT99" s="154">
        <f t="shared" si="288"/>
        <v>0</v>
      </c>
      <c r="AU99" s="154">
        <f t="shared" si="363"/>
        <v>0</v>
      </c>
      <c r="AV99" s="154">
        <f t="shared" si="289"/>
        <v>0</v>
      </c>
      <c r="AW99" s="154">
        <f t="shared" si="364"/>
        <v>0</v>
      </c>
      <c r="AX99" s="154">
        <f t="shared" si="290"/>
        <v>0</v>
      </c>
      <c r="AY99" s="154">
        <f t="shared" si="365"/>
        <v>0</v>
      </c>
      <c r="AZ99" s="154">
        <f t="shared" si="291"/>
        <v>0</v>
      </c>
      <c r="BA99" s="154">
        <f t="shared" si="366"/>
        <v>0</v>
      </c>
      <c r="BB99" s="157">
        <f t="shared" si="292"/>
        <v>0</v>
      </c>
      <c r="BC99" s="154">
        <f t="shared" si="293"/>
        <v>0</v>
      </c>
      <c r="BD99" s="158">
        <f t="shared" si="294"/>
        <v>0</v>
      </c>
      <c r="BE99" s="156">
        <f t="shared" si="356"/>
        <v>0</v>
      </c>
      <c r="BF99" s="154">
        <f t="shared" si="367"/>
        <v>0</v>
      </c>
      <c r="BG99" s="154">
        <f t="shared" si="295"/>
        <v>0</v>
      </c>
      <c r="BH99" s="154">
        <f t="shared" si="368"/>
        <v>0</v>
      </c>
      <c r="BI99" s="154">
        <f t="shared" si="296"/>
        <v>0</v>
      </c>
      <c r="BJ99" s="154">
        <f t="shared" si="369"/>
        <v>0</v>
      </c>
      <c r="BK99" s="154">
        <f t="shared" si="297"/>
        <v>0</v>
      </c>
      <c r="BL99" s="154">
        <f t="shared" si="370"/>
        <v>0</v>
      </c>
      <c r="BM99" s="154">
        <f t="shared" si="298"/>
        <v>0</v>
      </c>
      <c r="BN99" s="154">
        <f t="shared" si="371"/>
        <v>0</v>
      </c>
      <c r="BO99" s="157">
        <f t="shared" si="299"/>
        <v>0</v>
      </c>
      <c r="BP99" s="154">
        <f t="shared" si="300"/>
        <v>0</v>
      </c>
      <c r="BQ99" s="158">
        <f t="shared" si="301"/>
        <v>0</v>
      </c>
      <c r="BR99" s="156">
        <f t="shared" si="356"/>
        <v>0</v>
      </c>
      <c r="BS99" s="154">
        <f t="shared" si="372"/>
        <v>0</v>
      </c>
      <c r="BT99" s="154">
        <f t="shared" si="302"/>
        <v>0</v>
      </c>
      <c r="BU99" s="154">
        <f t="shared" si="373"/>
        <v>0</v>
      </c>
      <c r="BV99" s="154">
        <f t="shared" si="303"/>
        <v>0</v>
      </c>
      <c r="BW99" s="154">
        <f t="shared" si="374"/>
        <v>0</v>
      </c>
      <c r="BX99" s="154">
        <f t="shared" si="304"/>
        <v>0</v>
      </c>
      <c r="BY99" s="154">
        <f t="shared" si="375"/>
        <v>0</v>
      </c>
      <c r="BZ99" s="154">
        <f t="shared" si="305"/>
        <v>0</v>
      </c>
      <c r="CA99" s="154">
        <f t="shared" si="376"/>
        <v>0</v>
      </c>
      <c r="CB99" s="157">
        <f t="shared" si="306"/>
        <v>0</v>
      </c>
      <c r="CC99" s="154">
        <f t="shared" si="307"/>
        <v>0</v>
      </c>
      <c r="CD99" s="158">
        <f t="shared" si="308"/>
        <v>0</v>
      </c>
      <c r="CE99" s="156">
        <f t="shared" si="356"/>
        <v>0</v>
      </c>
      <c r="CF99" s="154">
        <f t="shared" si="377"/>
        <v>0</v>
      </c>
      <c r="CG99" s="154">
        <f t="shared" si="309"/>
        <v>0</v>
      </c>
      <c r="CH99" s="154">
        <f t="shared" si="378"/>
        <v>0</v>
      </c>
      <c r="CI99" s="154">
        <f t="shared" si="310"/>
        <v>0</v>
      </c>
      <c r="CJ99" s="154">
        <f t="shared" si="379"/>
        <v>0</v>
      </c>
      <c r="CK99" s="154">
        <f t="shared" si="311"/>
        <v>0</v>
      </c>
      <c r="CL99" s="154">
        <f t="shared" si="380"/>
        <v>0</v>
      </c>
      <c r="CM99" s="154">
        <f t="shared" si="312"/>
        <v>0</v>
      </c>
      <c r="CN99" s="154">
        <f t="shared" si="381"/>
        <v>0</v>
      </c>
      <c r="CO99" s="157">
        <f t="shared" si="313"/>
        <v>0</v>
      </c>
      <c r="CP99" s="154">
        <f t="shared" si="314"/>
        <v>0</v>
      </c>
      <c r="CQ99" s="158">
        <f t="shared" si="315"/>
        <v>0</v>
      </c>
      <c r="CR99" s="156">
        <f t="shared" si="382"/>
        <v>0</v>
      </c>
      <c r="CS99" s="154">
        <f t="shared" si="383"/>
        <v>0</v>
      </c>
      <c r="CT99" s="154">
        <f t="shared" si="317"/>
        <v>0</v>
      </c>
      <c r="CU99" s="154">
        <f t="shared" si="384"/>
        <v>0</v>
      </c>
      <c r="CV99" s="154">
        <f t="shared" si="318"/>
        <v>0</v>
      </c>
      <c r="CW99" s="154">
        <f t="shared" si="385"/>
        <v>0</v>
      </c>
      <c r="CX99" s="154">
        <f t="shared" si="319"/>
        <v>0</v>
      </c>
      <c r="CY99" s="154">
        <f t="shared" si="386"/>
        <v>0</v>
      </c>
      <c r="CZ99" s="154">
        <f t="shared" si="320"/>
        <v>0</v>
      </c>
      <c r="DA99" s="154">
        <f t="shared" si="387"/>
        <v>0</v>
      </c>
      <c r="DB99" s="157">
        <f t="shared" si="321"/>
        <v>0</v>
      </c>
      <c r="DC99" s="154">
        <f t="shared" si="322"/>
        <v>0</v>
      </c>
      <c r="DD99" s="158">
        <f t="shared" si="323"/>
        <v>0</v>
      </c>
      <c r="DE99" s="156">
        <f t="shared" si="382"/>
        <v>0</v>
      </c>
      <c r="DF99" s="154">
        <f t="shared" si="388"/>
        <v>0</v>
      </c>
      <c r="DG99" s="154">
        <f t="shared" si="324"/>
        <v>0</v>
      </c>
      <c r="DH99" s="154">
        <f t="shared" si="389"/>
        <v>0</v>
      </c>
      <c r="DI99" s="154">
        <f t="shared" si="325"/>
        <v>0</v>
      </c>
      <c r="DJ99" s="154">
        <f t="shared" si="390"/>
        <v>0</v>
      </c>
      <c r="DK99" s="154">
        <f t="shared" si="326"/>
        <v>0</v>
      </c>
      <c r="DL99" s="154">
        <f t="shared" si="391"/>
        <v>0</v>
      </c>
      <c r="DM99" s="154">
        <f t="shared" si="327"/>
        <v>0</v>
      </c>
      <c r="DN99" s="154">
        <f t="shared" si="392"/>
        <v>0</v>
      </c>
      <c r="DO99" s="157">
        <f t="shared" si="328"/>
        <v>0</v>
      </c>
      <c r="DP99" s="154">
        <f t="shared" si="329"/>
        <v>0</v>
      </c>
      <c r="DQ99" s="158">
        <f t="shared" si="330"/>
        <v>0</v>
      </c>
      <c r="DR99" s="156">
        <f t="shared" si="382"/>
        <v>0</v>
      </c>
      <c r="DS99" s="154">
        <f t="shared" si="393"/>
        <v>0</v>
      </c>
      <c r="DT99" s="154">
        <f t="shared" si="331"/>
        <v>0</v>
      </c>
      <c r="DU99" s="154">
        <f t="shared" si="394"/>
        <v>0</v>
      </c>
      <c r="DV99" s="154">
        <f t="shared" si="332"/>
        <v>0</v>
      </c>
      <c r="DW99" s="154">
        <f t="shared" si="395"/>
        <v>0</v>
      </c>
      <c r="DX99" s="154">
        <f t="shared" si="333"/>
        <v>0</v>
      </c>
      <c r="DY99" s="154">
        <f t="shared" si="396"/>
        <v>0</v>
      </c>
      <c r="DZ99" s="154">
        <f t="shared" si="334"/>
        <v>0</v>
      </c>
      <c r="EA99" s="154">
        <f t="shared" si="397"/>
        <v>0</v>
      </c>
      <c r="EB99" s="157">
        <f t="shared" si="335"/>
        <v>0</v>
      </c>
      <c r="EC99" s="154">
        <f t="shared" si="336"/>
        <v>0</v>
      </c>
      <c r="ED99" s="158">
        <f t="shared" si="337"/>
        <v>0</v>
      </c>
    </row>
    <row r="100" spans="1:134" x14ac:dyDescent="0.35">
      <c r="A100" s="172"/>
      <c r="B100" s="173"/>
      <c r="C100" s="174"/>
      <c r="D100" s="175"/>
      <c r="E100" s="176"/>
      <c r="F100" s="177"/>
      <c r="G100" s="178"/>
      <c r="H100" s="179"/>
      <c r="I100" s="180"/>
      <c r="J100" s="181"/>
      <c r="K100" s="152">
        <f t="shared" si="338"/>
        <v>0</v>
      </c>
      <c r="L100" s="153">
        <f t="shared" si="339"/>
        <v>0</v>
      </c>
      <c r="M100" s="154">
        <f t="shared" si="340"/>
        <v>0</v>
      </c>
      <c r="N100" s="154"/>
      <c r="O100" s="154">
        <f t="shared" si="341"/>
        <v>0</v>
      </c>
      <c r="P100" s="155"/>
      <c r="Q100" s="154">
        <f t="shared" si="342"/>
        <v>0</v>
      </c>
      <c r="R100" s="156">
        <f t="shared" si="343"/>
        <v>0</v>
      </c>
      <c r="S100" s="154">
        <f t="shared" si="344"/>
        <v>0</v>
      </c>
      <c r="T100" s="154">
        <f t="shared" si="345"/>
        <v>0</v>
      </c>
      <c r="U100" s="154">
        <f t="shared" si="346"/>
        <v>0</v>
      </c>
      <c r="V100" s="154">
        <f t="shared" si="347"/>
        <v>0</v>
      </c>
      <c r="W100" s="154">
        <f t="shared" si="348"/>
        <v>0</v>
      </c>
      <c r="X100" s="154">
        <f t="shared" si="349"/>
        <v>0</v>
      </c>
      <c r="Y100" s="154">
        <f t="shared" si="350"/>
        <v>0</v>
      </c>
      <c r="Z100" s="154">
        <f t="shared" si="351"/>
        <v>0</v>
      </c>
      <c r="AA100" s="154">
        <f t="shared" si="352"/>
        <v>0</v>
      </c>
      <c r="AB100" s="157">
        <f t="shared" si="353"/>
        <v>0</v>
      </c>
      <c r="AC100" s="154">
        <f t="shared" si="354"/>
        <v>0</v>
      </c>
      <c r="AD100" s="158">
        <f t="shared" si="355"/>
        <v>0</v>
      </c>
      <c r="AE100" s="156">
        <f t="shared" si="356"/>
        <v>0</v>
      </c>
      <c r="AF100" s="154">
        <f t="shared" si="357"/>
        <v>0</v>
      </c>
      <c r="AG100" s="154">
        <f t="shared" si="281"/>
        <v>0</v>
      </c>
      <c r="AH100" s="154">
        <f t="shared" si="358"/>
        <v>0</v>
      </c>
      <c r="AI100" s="154">
        <f t="shared" si="282"/>
        <v>0</v>
      </c>
      <c r="AJ100" s="154">
        <f t="shared" si="359"/>
        <v>0</v>
      </c>
      <c r="AK100" s="154">
        <f t="shared" si="283"/>
        <v>0</v>
      </c>
      <c r="AL100" s="154">
        <f t="shared" si="360"/>
        <v>0</v>
      </c>
      <c r="AM100" s="154">
        <f t="shared" si="284"/>
        <v>0</v>
      </c>
      <c r="AN100" s="154">
        <f t="shared" si="361"/>
        <v>0</v>
      </c>
      <c r="AO100" s="157">
        <f t="shared" si="285"/>
        <v>0</v>
      </c>
      <c r="AP100" s="154">
        <f t="shared" si="286"/>
        <v>0</v>
      </c>
      <c r="AQ100" s="158">
        <f t="shared" si="287"/>
        <v>0</v>
      </c>
      <c r="AR100" s="156">
        <f t="shared" si="356"/>
        <v>0</v>
      </c>
      <c r="AS100" s="154">
        <f t="shared" si="362"/>
        <v>0</v>
      </c>
      <c r="AT100" s="154">
        <f t="shared" si="288"/>
        <v>0</v>
      </c>
      <c r="AU100" s="154">
        <f t="shared" si="363"/>
        <v>0</v>
      </c>
      <c r="AV100" s="154">
        <f t="shared" si="289"/>
        <v>0</v>
      </c>
      <c r="AW100" s="154">
        <f t="shared" si="364"/>
        <v>0</v>
      </c>
      <c r="AX100" s="154">
        <f t="shared" si="290"/>
        <v>0</v>
      </c>
      <c r="AY100" s="154">
        <f t="shared" si="365"/>
        <v>0</v>
      </c>
      <c r="AZ100" s="154">
        <f t="shared" si="291"/>
        <v>0</v>
      </c>
      <c r="BA100" s="154">
        <f t="shared" si="366"/>
        <v>0</v>
      </c>
      <c r="BB100" s="157">
        <f t="shared" si="292"/>
        <v>0</v>
      </c>
      <c r="BC100" s="154">
        <f t="shared" si="293"/>
        <v>0</v>
      </c>
      <c r="BD100" s="158">
        <f t="shared" si="294"/>
        <v>0</v>
      </c>
      <c r="BE100" s="156">
        <f t="shared" si="356"/>
        <v>0</v>
      </c>
      <c r="BF100" s="154">
        <f t="shared" si="367"/>
        <v>0</v>
      </c>
      <c r="BG100" s="154">
        <f t="shared" si="295"/>
        <v>0</v>
      </c>
      <c r="BH100" s="154">
        <f t="shared" si="368"/>
        <v>0</v>
      </c>
      <c r="BI100" s="154">
        <f t="shared" si="296"/>
        <v>0</v>
      </c>
      <c r="BJ100" s="154">
        <f t="shared" si="369"/>
        <v>0</v>
      </c>
      <c r="BK100" s="154">
        <f t="shared" si="297"/>
        <v>0</v>
      </c>
      <c r="BL100" s="154">
        <f t="shared" si="370"/>
        <v>0</v>
      </c>
      <c r="BM100" s="154">
        <f t="shared" si="298"/>
        <v>0</v>
      </c>
      <c r="BN100" s="154">
        <f t="shared" si="371"/>
        <v>0</v>
      </c>
      <c r="BO100" s="157">
        <f t="shared" si="299"/>
        <v>0</v>
      </c>
      <c r="BP100" s="154">
        <f t="shared" si="300"/>
        <v>0</v>
      </c>
      <c r="BQ100" s="158">
        <f t="shared" si="301"/>
        <v>0</v>
      </c>
      <c r="BR100" s="156">
        <f t="shared" si="356"/>
        <v>0</v>
      </c>
      <c r="BS100" s="154">
        <f t="shared" si="372"/>
        <v>0</v>
      </c>
      <c r="BT100" s="154">
        <f t="shared" si="302"/>
        <v>0</v>
      </c>
      <c r="BU100" s="154">
        <f t="shared" si="373"/>
        <v>0</v>
      </c>
      <c r="BV100" s="154">
        <f t="shared" si="303"/>
        <v>0</v>
      </c>
      <c r="BW100" s="154">
        <f t="shared" si="374"/>
        <v>0</v>
      </c>
      <c r="BX100" s="154">
        <f t="shared" si="304"/>
        <v>0</v>
      </c>
      <c r="BY100" s="154">
        <f t="shared" si="375"/>
        <v>0</v>
      </c>
      <c r="BZ100" s="154">
        <f t="shared" si="305"/>
        <v>0</v>
      </c>
      <c r="CA100" s="154">
        <f t="shared" si="376"/>
        <v>0</v>
      </c>
      <c r="CB100" s="157">
        <f t="shared" si="306"/>
        <v>0</v>
      </c>
      <c r="CC100" s="154">
        <f t="shared" si="307"/>
        <v>0</v>
      </c>
      <c r="CD100" s="158">
        <f t="shared" si="308"/>
        <v>0</v>
      </c>
      <c r="CE100" s="156">
        <f t="shared" si="356"/>
        <v>0</v>
      </c>
      <c r="CF100" s="154">
        <f t="shared" si="377"/>
        <v>0</v>
      </c>
      <c r="CG100" s="154">
        <f t="shared" si="309"/>
        <v>0</v>
      </c>
      <c r="CH100" s="154">
        <f t="shared" si="378"/>
        <v>0</v>
      </c>
      <c r="CI100" s="154">
        <f t="shared" si="310"/>
        <v>0</v>
      </c>
      <c r="CJ100" s="154">
        <f t="shared" si="379"/>
        <v>0</v>
      </c>
      <c r="CK100" s="154">
        <f t="shared" si="311"/>
        <v>0</v>
      </c>
      <c r="CL100" s="154">
        <f t="shared" si="380"/>
        <v>0</v>
      </c>
      <c r="CM100" s="154">
        <f t="shared" si="312"/>
        <v>0</v>
      </c>
      <c r="CN100" s="154">
        <f t="shared" si="381"/>
        <v>0</v>
      </c>
      <c r="CO100" s="157">
        <f t="shared" si="313"/>
        <v>0</v>
      </c>
      <c r="CP100" s="154">
        <f t="shared" si="314"/>
        <v>0</v>
      </c>
      <c r="CQ100" s="158">
        <f t="shared" si="315"/>
        <v>0</v>
      </c>
      <c r="CR100" s="156">
        <f t="shared" si="382"/>
        <v>0</v>
      </c>
      <c r="CS100" s="154">
        <f t="shared" si="383"/>
        <v>0</v>
      </c>
      <c r="CT100" s="154">
        <f t="shared" si="317"/>
        <v>0</v>
      </c>
      <c r="CU100" s="154">
        <f t="shared" si="384"/>
        <v>0</v>
      </c>
      <c r="CV100" s="154">
        <f t="shared" si="318"/>
        <v>0</v>
      </c>
      <c r="CW100" s="154">
        <f t="shared" si="385"/>
        <v>0</v>
      </c>
      <c r="CX100" s="154">
        <f t="shared" si="319"/>
        <v>0</v>
      </c>
      <c r="CY100" s="154">
        <f t="shared" si="386"/>
        <v>0</v>
      </c>
      <c r="CZ100" s="154">
        <f t="shared" si="320"/>
        <v>0</v>
      </c>
      <c r="DA100" s="154">
        <f t="shared" si="387"/>
        <v>0</v>
      </c>
      <c r="DB100" s="157">
        <f t="shared" si="321"/>
        <v>0</v>
      </c>
      <c r="DC100" s="154">
        <f t="shared" si="322"/>
        <v>0</v>
      </c>
      <c r="DD100" s="158">
        <f t="shared" si="323"/>
        <v>0</v>
      </c>
      <c r="DE100" s="156">
        <f t="shared" si="382"/>
        <v>0</v>
      </c>
      <c r="DF100" s="154">
        <f t="shared" si="388"/>
        <v>0</v>
      </c>
      <c r="DG100" s="154">
        <f t="shared" si="324"/>
        <v>0</v>
      </c>
      <c r="DH100" s="154">
        <f t="shared" si="389"/>
        <v>0</v>
      </c>
      <c r="DI100" s="154">
        <f t="shared" si="325"/>
        <v>0</v>
      </c>
      <c r="DJ100" s="154">
        <f t="shared" si="390"/>
        <v>0</v>
      </c>
      <c r="DK100" s="154">
        <f t="shared" si="326"/>
        <v>0</v>
      </c>
      <c r="DL100" s="154">
        <f t="shared" si="391"/>
        <v>0</v>
      </c>
      <c r="DM100" s="154">
        <f t="shared" si="327"/>
        <v>0</v>
      </c>
      <c r="DN100" s="154">
        <f t="shared" si="392"/>
        <v>0</v>
      </c>
      <c r="DO100" s="157">
        <f t="shared" si="328"/>
        <v>0</v>
      </c>
      <c r="DP100" s="154">
        <f t="shared" si="329"/>
        <v>0</v>
      </c>
      <c r="DQ100" s="158">
        <f t="shared" si="330"/>
        <v>0</v>
      </c>
      <c r="DR100" s="156">
        <f t="shared" si="382"/>
        <v>0</v>
      </c>
      <c r="DS100" s="154">
        <f t="shared" si="393"/>
        <v>0</v>
      </c>
      <c r="DT100" s="154">
        <f t="shared" si="331"/>
        <v>0</v>
      </c>
      <c r="DU100" s="154">
        <f t="shared" si="394"/>
        <v>0</v>
      </c>
      <c r="DV100" s="154">
        <f t="shared" si="332"/>
        <v>0</v>
      </c>
      <c r="DW100" s="154">
        <f t="shared" si="395"/>
        <v>0</v>
      </c>
      <c r="DX100" s="154">
        <f t="shared" si="333"/>
        <v>0</v>
      </c>
      <c r="DY100" s="154">
        <f t="shared" si="396"/>
        <v>0</v>
      </c>
      <c r="DZ100" s="154">
        <f t="shared" si="334"/>
        <v>0</v>
      </c>
      <c r="EA100" s="154">
        <f t="shared" si="397"/>
        <v>0</v>
      </c>
      <c r="EB100" s="157">
        <f t="shared" si="335"/>
        <v>0</v>
      </c>
      <c r="EC100" s="154">
        <f t="shared" si="336"/>
        <v>0</v>
      </c>
      <c r="ED100" s="158">
        <f t="shared" si="337"/>
        <v>0</v>
      </c>
    </row>
    <row r="101" spans="1:134" x14ac:dyDescent="0.35">
      <c r="A101" s="172"/>
      <c r="B101" s="173"/>
      <c r="C101" s="174"/>
      <c r="D101" s="175"/>
      <c r="E101" s="176"/>
      <c r="F101" s="177"/>
      <c r="G101" s="178"/>
      <c r="H101" s="179"/>
      <c r="I101" s="180"/>
      <c r="J101" s="181"/>
      <c r="K101" s="152">
        <f t="shared" si="338"/>
        <v>0</v>
      </c>
      <c r="L101" s="153">
        <f t="shared" si="339"/>
        <v>0</v>
      </c>
      <c r="M101" s="154">
        <f t="shared" si="340"/>
        <v>0</v>
      </c>
      <c r="N101" s="154"/>
      <c r="O101" s="154">
        <f t="shared" si="341"/>
        <v>0</v>
      </c>
      <c r="P101" s="155"/>
      <c r="Q101" s="154">
        <f t="shared" si="342"/>
        <v>0</v>
      </c>
      <c r="R101" s="156">
        <f t="shared" si="343"/>
        <v>0</v>
      </c>
      <c r="S101" s="154">
        <f t="shared" si="344"/>
        <v>0</v>
      </c>
      <c r="T101" s="154">
        <f t="shared" si="345"/>
        <v>0</v>
      </c>
      <c r="U101" s="154">
        <f t="shared" si="346"/>
        <v>0</v>
      </c>
      <c r="V101" s="154">
        <f t="shared" si="347"/>
        <v>0</v>
      </c>
      <c r="W101" s="154">
        <f t="shared" si="348"/>
        <v>0</v>
      </c>
      <c r="X101" s="154">
        <f t="shared" si="349"/>
        <v>0</v>
      </c>
      <c r="Y101" s="154">
        <f t="shared" si="350"/>
        <v>0</v>
      </c>
      <c r="Z101" s="154">
        <f t="shared" si="351"/>
        <v>0</v>
      </c>
      <c r="AA101" s="154">
        <f t="shared" si="352"/>
        <v>0</v>
      </c>
      <c r="AB101" s="157">
        <f t="shared" si="353"/>
        <v>0</v>
      </c>
      <c r="AC101" s="154">
        <f t="shared" si="354"/>
        <v>0</v>
      </c>
      <c r="AD101" s="158">
        <f t="shared" si="355"/>
        <v>0</v>
      </c>
      <c r="AE101" s="156">
        <f t="shared" ref="AE101:CE116" si="398">IF(YEAR($F101)=AE$4,$E101,0)</f>
        <v>0</v>
      </c>
      <c r="AF101" s="154">
        <f t="shared" si="357"/>
        <v>0</v>
      </c>
      <c r="AG101" s="154">
        <f t="shared" si="281"/>
        <v>0</v>
      </c>
      <c r="AH101" s="154">
        <f t="shared" si="358"/>
        <v>0</v>
      </c>
      <c r="AI101" s="154">
        <f t="shared" si="282"/>
        <v>0</v>
      </c>
      <c r="AJ101" s="154">
        <f t="shared" si="359"/>
        <v>0</v>
      </c>
      <c r="AK101" s="154">
        <f t="shared" si="283"/>
        <v>0</v>
      </c>
      <c r="AL101" s="154">
        <f t="shared" si="360"/>
        <v>0</v>
      </c>
      <c r="AM101" s="154">
        <f t="shared" si="284"/>
        <v>0</v>
      </c>
      <c r="AN101" s="154">
        <f t="shared" si="361"/>
        <v>0</v>
      </c>
      <c r="AO101" s="157">
        <f t="shared" si="285"/>
        <v>0</v>
      </c>
      <c r="AP101" s="154">
        <f t="shared" si="286"/>
        <v>0</v>
      </c>
      <c r="AQ101" s="158">
        <f t="shared" si="287"/>
        <v>0</v>
      </c>
      <c r="AR101" s="156">
        <f t="shared" si="398"/>
        <v>0</v>
      </c>
      <c r="AS101" s="154">
        <f t="shared" si="362"/>
        <v>0</v>
      </c>
      <c r="AT101" s="154">
        <f t="shared" si="288"/>
        <v>0</v>
      </c>
      <c r="AU101" s="154">
        <f t="shared" si="363"/>
        <v>0</v>
      </c>
      <c r="AV101" s="154">
        <f t="shared" si="289"/>
        <v>0</v>
      </c>
      <c r="AW101" s="154">
        <f t="shared" si="364"/>
        <v>0</v>
      </c>
      <c r="AX101" s="154">
        <f t="shared" si="290"/>
        <v>0</v>
      </c>
      <c r="AY101" s="154">
        <f t="shared" si="365"/>
        <v>0</v>
      </c>
      <c r="AZ101" s="154">
        <f t="shared" si="291"/>
        <v>0</v>
      </c>
      <c r="BA101" s="154">
        <f t="shared" si="366"/>
        <v>0</v>
      </c>
      <c r="BB101" s="157">
        <f t="shared" si="292"/>
        <v>0</v>
      </c>
      <c r="BC101" s="154">
        <f t="shared" si="293"/>
        <v>0</v>
      </c>
      <c r="BD101" s="158">
        <f t="shared" si="294"/>
        <v>0</v>
      </c>
      <c r="BE101" s="156">
        <f t="shared" si="398"/>
        <v>0</v>
      </c>
      <c r="BF101" s="154">
        <f t="shared" si="367"/>
        <v>0</v>
      </c>
      <c r="BG101" s="154">
        <f t="shared" si="295"/>
        <v>0</v>
      </c>
      <c r="BH101" s="154">
        <f t="shared" si="368"/>
        <v>0</v>
      </c>
      <c r="BI101" s="154">
        <f t="shared" si="296"/>
        <v>0</v>
      </c>
      <c r="BJ101" s="154">
        <f t="shared" si="369"/>
        <v>0</v>
      </c>
      <c r="BK101" s="154">
        <f t="shared" si="297"/>
        <v>0</v>
      </c>
      <c r="BL101" s="154">
        <f t="shared" si="370"/>
        <v>0</v>
      </c>
      <c r="BM101" s="154">
        <f t="shared" si="298"/>
        <v>0</v>
      </c>
      <c r="BN101" s="154">
        <f t="shared" si="371"/>
        <v>0</v>
      </c>
      <c r="BO101" s="157">
        <f t="shared" si="299"/>
        <v>0</v>
      </c>
      <c r="BP101" s="154">
        <f t="shared" si="300"/>
        <v>0</v>
      </c>
      <c r="BQ101" s="158">
        <f t="shared" si="301"/>
        <v>0</v>
      </c>
      <c r="BR101" s="156">
        <f t="shared" si="398"/>
        <v>0</v>
      </c>
      <c r="BS101" s="154">
        <f t="shared" si="372"/>
        <v>0</v>
      </c>
      <c r="BT101" s="154">
        <f t="shared" si="302"/>
        <v>0</v>
      </c>
      <c r="BU101" s="154">
        <f t="shared" si="373"/>
        <v>0</v>
      </c>
      <c r="BV101" s="154">
        <f t="shared" si="303"/>
        <v>0</v>
      </c>
      <c r="BW101" s="154">
        <f t="shared" si="374"/>
        <v>0</v>
      </c>
      <c r="BX101" s="154">
        <f t="shared" si="304"/>
        <v>0</v>
      </c>
      <c r="BY101" s="154">
        <f t="shared" si="375"/>
        <v>0</v>
      </c>
      <c r="BZ101" s="154">
        <f t="shared" si="305"/>
        <v>0</v>
      </c>
      <c r="CA101" s="154">
        <f t="shared" si="376"/>
        <v>0</v>
      </c>
      <c r="CB101" s="157">
        <f t="shared" si="306"/>
        <v>0</v>
      </c>
      <c r="CC101" s="154">
        <f t="shared" si="307"/>
        <v>0</v>
      </c>
      <c r="CD101" s="158">
        <f t="shared" si="308"/>
        <v>0</v>
      </c>
      <c r="CE101" s="156">
        <f t="shared" si="398"/>
        <v>0</v>
      </c>
      <c r="CF101" s="154">
        <f t="shared" si="377"/>
        <v>0</v>
      </c>
      <c r="CG101" s="154">
        <f t="shared" si="309"/>
        <v>0</v>
      </c>
      <c r="CH101" s="154">
        <f t="shared" si="378"/>
        <v>0</v>
      </c>
      <c r="CI101" s="154">
        <f t="shared" si="310"/>
        <v>0</v>
      </c>
      <c r="CJ101" s="154">
        <f t="shared" si="379"/>
        <v>0</v>
      </c>
      <c r="CK101" s="154">
        <f t="shared" si="311"/>
        <v>0</v>
      </c>
      <c r="CL101" s="154">
        <f t="shared" si="380"/>
        <v>0</v>
      </c>
      <c r="CM101" s="154">
        <f t="shared" si="312"/>
        <v>0</v>
      </c>
      <c r="CN101" s="154">
        <f t="shared" si="381"/>
        <v>0</v>
      </c>
      <c r="CO101" s="157">
        <f t="shared" si="313"/>
        <v>0</v>
      </c>
      <c r="CP101" s="154">
        <f t="shared" si="314"/>
        <v>0</v>
      </c>
      <c r="CQ101" s="158">
        <f t="shared" si="315"/>
        <v>0</v>
      </c>
      <c r="CR101" s="156">
        <f t="shared" ref="CR101:DR116" si="399">IF(YEAR($F101)=CR$4,$E101,0)</f>
        <v>0</v>
      </c>
      <c r="CS101" s="154">
        <f t="shared" si="383"/>
        <v>0</v>
      </c>
      <c r="CT101" s="154">
        <f t="shared" si="317"/>
        <v>0</v>
      </c>
      <c r="CU101" s="154">
        <f t="shared" si="384"/>
        <v>0</v>
      </c>
      <c r="CV101" s="154">
        <f t="shared" si="318"/>
        <v>0</v>
      </c>
      <c r="CW101" s="154">
        <f t="shared" si="385"/>
        <v>0</v>
      </c>
      <c r="CX101" s="154">
        <f t="shared" si="319"/>
        <v>0</v>
      </c>
      <c r="CY101" s="154">
        <f t="shared" si="386"/>
        <v>0</v>
      </c>
      <c r="CZ101" s="154">
        <f t="shared" si="320"/>
        <v>0</v>
      </c>
      <c r="DA101" s="154">
        <f t="shared" si="387"/>
        <v>0</v>
      </c>
      <c r="DB101" s="157">
        <f t="shared" si="321"/>
        <v>0</v>
      </c>
      <c r="DC101" s="154">
        <f t="shared" si="322"/>
        <v>0</v>
      </c>
      <c r="DD101" s="158">
        <f t="shared" si="323"/>
        <v>0</v>
      </c>
      <c r="DE101" s="156">
        <f t="shared" si="399"/>
        <v>0</v>
      </c>
      <c r="DF101" s="154">
        <f t="shared" si="388"/>
        <v>0</v>
      </c>
      <c r="DG101" s="154">
        <f t="shared" si="324"/>
        <v>0</v>
      </c>
      <c r="DH101" s="154">
        <f t="shared" si="389"/>
        <v>0</v>
      </c>
      <c r="DI101" s="154">
        <f t="shared" si="325"/>
        <v>0</v>
      </c>
      <c r="DJ101" s="154">
        <f t="shared" si="390"/>
        <v>0</v>
      </c>
      <c r="DK101" s="154">
        <f t="shared" si="326"/>
        <v>0</v>
      </c>
      <c r="DL101" s="154">
        <f t="shared" si="391"/>
        <v>0</v>
      </c>
      <c r="DM101" s="154">
        <f t="shared" si="327"/>
        <v>0</v>
      </c>
      <c r="DN101" s="154">
        <f t="shared" si="392"/>
        <v>0</v>
      </c>
      <c r="DO101" s="157">
        <f t="shared" si="328"/>
        <v>0</v>
      </c>
      <c r="DP101" s="154">
        <f t="shared" si="329"/>
        <v>0</v>
      </c>
      <c r="DQ101" s="158">
        <f t="shared" si="330"/>
        <v>0</v>
      </c>
      <c r="DR101" s="156">
        <f t="shared" si="399"/>
        <v>0</v>
      </c>
      <c r="DS101" s="154">
        <f t="shared" si="393"/>
        <v>0</v>
      </c>
      <c r="DT101" s="154">
        <f t="shared" si="331"/>
        <v>0</v>
      </c>
      <c r="DU101" s="154">
        <f t="shared" si="394"/>
        <v>0</v>
      </c>
      <c r="DV101" s="154">
        <f t="shared" si="332"/>
        <v>0</v>
      </c>
      <c r="DW101" s="154">
        <f t="shared" si="395"/>
        <v>0</v>
      </c>
      <c r="DX101" s="154">
        <f t="shared" si="333"/>
        <v>0</v>
      </c>
      <c r="DY101" s="154">
        <f t="shared" si="396"/>
        <v>0</v>
      </c>
      <c r="DZ101" s="154">
        <f t="shared" si="334"/>
        <v>0</v>
      </c>
      <c r="EA101" s="154">
        <f t="shared" si="397"/>
        <v>0</v>
      </c>
      <c r="EB101" s="157">
        <f t="shared" si="335"/>
        <v>0</v>
      </c>
      <c r="EC101" s="154">
        <f t="shared" si="336"/>
        <v>0</v>
      </c>
      <c r="ED101" s="158">
        <f t="shared" si="337"/>
        <v>0</v>
      </c>
    </row>
    <row r="102" spans="1:134" x14ac:dyDescent="0.35">
      <c r="A102" s="172"/>
      <c r="B102" s="173"/>
      <c r="C102" s="174"/>
      <c r="D102" s="175"/>
      <c r="E102" s="176"/>
      <c r="F102" s="177"/>
      <c r="G102" s="178"/>
      <c r="H102" s="179"/>
      <c r="I102" s="180"/>
      <c r="J102" s="181"/>
      <c r="K102" s="152">
        <f t="shared" si="338"/>
        <v>0</v>
      </c>
      <c r="L102" s="153">
        <f t="shared" si="339"/>
        <v>0</v>
      </c>
      <c r="M102" s="154">
        <f t="shared" si="340"/>
        <v>0</v>
      </c>
      <c r="N102" s="154"/>
      <c r="O102" s="154">
        <f t="shared" si="341"/>
        <v>0</v>
      </c>
      <c r="P102" s="155"/>
      <c r="Q102" s="154">
        <f t="shared" si="342"/>
        <v>0</v>
      </c>
      <c r="R102" s="156">
        <f t="shared" si="343"/>
        <v>0</v>
      </c>
      <c r="S102" s="154">
        <f t="shared" si="344"/>
        <v>0</v>
      </c>
      <c r="T102" s="154">
        <f t="shared" si="345"/>
        <v>0</v>
      </c>
      <c r="U102" s="154">
        <f t="shared" si="346"/>
        <v>0</v>
      </c>
      <c r="V102" s="154">
        <f t="shared" si="347"/>
        <v>0</v>
      </c>
      <c r="W102" s="154">
        <f t="shared" si="348"/>
        <v>0</v>
      </c>
      <c r="X102" s="154">
        <f t="shared" si="349"/>
        <v>0</v>
      </c>
      <c r="Y102" s="154">
        <f t="shared" si="350"/>
        <v>0</v>
      </c>
      <c r="Z102" s="154">
        <f t="shared" si="351"/>
        <v>0</v>
      </c>
      <c r="AA102" s="154">
        <f t="shared" si="352"/>
        <v>0</v>
      </c>
      <c r="AB102" s="157">
        <f t="shared" si="353"/>
        <v>0</v>
      </c>
      <c r="AC102" s="154">
        <f t="shared" si="354"/>
        <v>0</v>
      </c>
      <c r="AD102" s="158">
        <f t="shared" si="355"/>
        <v>0</v>
      </c>
      <c r="AE102" s="156">
        <f t="shared" si="398"/>
        <v>0</v>
      </c>
      <c r="AF102" s="154">
        <f t="shared" si="357"/>
        <v>0</v>
      </c>
      <c r="AG102" s="154">
        <f t="shared" si="281"/>
        <v>0</v>
      </c>
      <c r="AH102" s="154">
        <f t="shared" si="358"/>
        <v>0</v>
      </c>
      <c r="AI102" s="154">
        <f t="shared" si="282"/>
        <v>0</v>
      </c>
      <c r="AJ102" s="154">
        <f t="shared" si="359"/>
        <v>0</v>
      </c>
      <c r="AK102" s="154">
        <f t="shared" si="283"/>
        <v>0</v>
      </c>
      <c r="AL102" s="154">
        <f t="shared" si="360"/>
        <v>0</v>
      </c>
      <c r="AM102" s="154">
        <f t="shared" si="284"/>
        <v>0</v>
      </c>
      <c r="AN102" s="154">
        <f t="shared" si="361"/>
        <v>0</v>
      </c>
      <c r="AO102" s="157">
        <f t="shared" si="285"/>
        <v>0</v>
      </c>
      <c r="AP102" s="154">
        <f t="shared" si="286"/>
        <v>0</v>
      </c>
      <c r="AQ102" s="158">
        <f t="shared" si="287"/>
        <v>0</v>
      </c>
      <c r="AR102" s="156">
        <f t="shared" si="398"/>
        <v>0</v>
      </c>
      <c r="AS102" s="154">
        <f t="shared" si="362"/>
        <v>0</v>
      </c>
      <c r="AT102" s="154">
        <f t="shared" si="288"/>
        <v>0</v>
      </c>
      <c r="AU102" s="154">
        <f t="shared" si="363"/>
        <v>0</v>
      </c>
      <c r="AV102" s="154">
        <f t="shared" si="289"/>
        <v>0</v>
      </c>
      <c r="AW102" s="154">
        <f t="shared" si="364"/>
        <v>0</v>
      </c>
      <c r="AX102" s="154">
        <f t="shared" si="290"/>
        <v>0</v>
      </c>
      <c r="AY102" s="154">
        <f t="shared" si="365"/>
        <v>0</v>
      </c>
      <c r="AZ102" s="154">
        <f t="shared" si="291"/>
        <v>0</v>
      </c>
      <c r="BA102" s="154">
        <f t="shared" si="366"/>
        <v>0</v>
      </c>
      <c r="BB102" s="157">
        <f t="shared" si="292"/>
        <v>0</v>
      </c>
      <c r="BC102" s="154">
        <f t="shared" si="293"/>
        <v>0</v>
      </c>
      <c r="BD102" s="158">
        <f t="shared" si="294"/>
        <v>0</v>
      </c>
      <c r="BE102" s="156">
        <f t="shared" si="398"/>
        <v>0</v>
      </c>
      <c r="BF102" s="154">
        <f t="shared" si="367"/>
        <v>0</v>
      </c>
      <c r="BG102" s="154">
        <f t="shared" si="295"/>
        <v>0</v>
      </c>
      <c r="BH102" s="154">
        <f t="shared" si="368"/>
        <v>0</v>
      </c>
      <c r="BI102" s="154">
        <f t="shared" si="296"/>
        <v>0</v>
      </c>
      <c r="BJ102" s="154">
        <f t="shared" si="369"/>
        <v>0</v>
      </c>
      <c r="BK102" s="154">
        <f t="shared" si="297"/>
        <v>0</v>
      </c>
      <c r="BL102" s="154">
        <f t="shared" si="370"/>
        <v>0</v>
      </c>
      <c r="BM102" s="154">
        <f t="shared" si="298"/>
        <v>0</v>
      </c>
      <c r="BN102" s="154">
        <f t="shared" si="371"/>
        <v>0</v>
      </c>
      <c r="BO102" s="157">
        <f t="shared" si="299"/>
        <v>0</v>
      </c>
      <c r="BP102" s="154">
        <f t="shared" si="300"/>
        <v>0</v>
      </c>
      <c r="BQ102" s="158">
        <f t="shared" si="301"/>
        <v>0</v>
      </c>
      <c r="BR102" s="156">
        <f t="shared" si="398"/>
        <v>0</v>
      </c>
      <c r="BS102" s="154">
        <f t="shared" si="372"/>
        <v>0</v>
      </c>
      <c r="BT102" s="154">
        <f t="shared" si="302"/>
        <v>0</v>
      </c>
      <c r="BU102" s="154">
        <f t="shared" si="373"/>
        <v>0</v>
      </c>
      <c r="BV102" s="154">
        <f t="shared" si="303"/>
        <v>0</v>
      </c>
      <c r="BW102" s="154">
        <f t="shared" si="374"/>
        <v>0</v>
      </c>
      <c r="BX102" s="154">
        <f t="shared" si="304"/>
        <v>0</v>
      </c>
      <c r="BY102" s="154">
        <f t="shared" si="375"/>
        <v>0</v>
      </c>
      <c r="BZ102" s="154">
        <f t="shared" si="305"/>
        <v>0</v>
      </c>
      <c r="CA102" s="154">
        <f t="shared" si="376"/>
        <v>0</v>
      </c>
      <c r="CB102" s="157">
        <f t="shared" si="306"/>
        <v>0</v>
      </c>
      <c r="CC102" s="154">
        <f t="shared" si="307"/>
        <v>0</v>
      </c>
      <c r="CD102" s="158">
        <f t="shared" si="308"/>
        <v>0</v>
      </c>
      <c r="CE102" s="156">
        <f t="shared" si="398"/>
        <v>0</v>
      </c>
      <c r="CF102" s="154">
        <f t="shared" si="377"/>
        <v>0</v>
      </c>
      <c r="CG102" s="154">
        <f t="shared" si="309"/>
        <v>0</v>
      </c>
      <c r="CH102" s="154">
        <f t="shared" si="378"/>
        <v>0</v>
      </c>
      <c r="CI102" s="154">
        <f t="shared" si="310"/>
        <v>0</v>
      </c>
      <c r="CJ102" s="154">
        <f t="shared" si="379"/>
        <v>0</v>
      </c>
      <c r="CK102" s="154">
        <f t="shared" si="311"/>
        <v>0</v>
      </c>
      <c r="CL102" s="154">
        <f t="shared" si="380"/>
        <v>0</v>
      </c>
      <c r="CM102" s="154">
        <f t="shared" si="312"/>
        <v>0</v>
      </c>
      <c r="CN102" s="154">
        <f t="shared" si="381"/>
        <v>0</v>
      </c>
      <c r="CO102" s="157">
        <f t="shared" si="313"/>
        <v>0</v>
      </c>
      <c r="CP102" s="154">
        <f t="shared" si="314"/>
        <v>0</v>
      </c>
      <c r="CQ102" s="158">
        <f t="shared" si="315"/>
        <v>0</v>
      </c>
      <c r="CR102" s="156">
        <f t="shared" si="399"/>
        <v>0</v>
      </c>
      <c r="CS102" s="154">
        <f t="shared" si="383"/>
        <v>0</v>
      </c>
      <c r="CT102" s="154">
        <f t="shared" si="317"/>
        <v>0</v>
      </c>
      <c r="CU102" s="154">
        <f t="shared" si="384"/>
        <v>0</v>
      </c>
      <c r="CV102" s="154">
        <f t="shared" si="318"/>
        <v>0</v>
      </c>
      <c r="CW102" s="154">
        <f t="shared" si="385"/>
        <v>0</v>
      </c>
      <c r="CX102" s="154">
        <f t="shared" si="319"/>
        <v>0</v>
      </c>
      <c r="CY102" s="154">
        <f t="shared" si="386"/>
        <v>0</v>
      </c>
      <c r="CZ102" s="154">
        <f t="shared" si="320"/>
        <v>0</v>
      </c>
      <c r="DA102" s="154">
        <f t="shared" si="387"/>
        <v>0</v>
      </c>
      <c r="DB102" s="157">
        <f t="shared" si="321"/>
        <v>0</v>
      </c>
      <c r="DC102" s="154">
        <f t="shared" si="322"/>
        <v>0</v>
      </c>
      <c r="DD102" s="158">
        <f t="shared" si="323"/>
        <v>0</v>
      </c>
      <c r="DE102" s="156">
        <f t="shared" si="399"/>
        <v>0</v>
      </c>
      <c r="DF102" s="154">
        <f t="shared" si="388"/>
        <v>0</v>
      </c>
      <c r="DG102" s="154">
        <f t="shared" si="324"/>
        <v>0</v>
      </c>
      <c r="DH102" s="154">
        <f t="shared" si="389"/>
        <v>0</v>
      </c>
      <c r="DI102" s="154">
        <f t="shared" si="325"/>
        <v>0</v>
      </c>
      <c r="DJ102" s="154">
        <f t="shared" si="390"/>
        <v>0</v>
      </c>
      <c r="DK102" s="154">
        <f t="shared" si="326"/>
        <v>0</v>
      </c>
      <c r="DL102" s="154">
        <f t="shared" si="391"/>
        <v>0</v>
      </c>
      <c r="DM102" s="154">
        <f t="shared" si="327"/>
        <v>0</v>
      </c>
      <c r="DN102" s="154">
        <f t="shared" si="392"/>
        <v>0</v>
      </c>
      <c r="DO102" s="157">
        <f t="shared" si="328"/>
        <v>0</v>
      </c>
      <c r="DP102" s="154">
        <f t="shared" si="329"/>
        <v>0</v>
      </c>
      <c r="DQ102" s="158">
        <f t="shared" si="330"/>
        <v>0</v>
      </c>
      <c r="DR102" s="156">
        <f t="shared" si="399"/>
        <v>0</v>
      </c>
      <c r="DS102" s="154">
        <f t="shared" si="393"/>
        <v>0</v>
      </c>
      <c r="DT102" s="154">
        <f t="shared" si="331"/>
        <v>0</v>
      </c>
      <c r="DU102" s="154">
        <f t="shared" si="394"/>
        <v>0</v>
      </c>
      <c r="DV102" s="154">
        <f t="shared" si="332"/>
        <v>0</v>
      </c>
      <c r="DW102" s="154">
        <f t="shared" si="395"/>
        <v>0</v>
      </c>
      <c r="DX102" s="154">
        <f t="shared" si="333"/>
        <v>0</v>
      </c>
      <c r="DY102" s="154">
        <f t="shared" si="396"/>
        <v>0</v>
      </c>
      <c r="DZ102" s="154">
        <f t="shared" si="334"/>
        <v>0</v>
      </c>
      <c r="EA102" s="154">
        <f t="shared" si="397"/>
        <v>0</v>
      </c>
      <c r="EB102" s="157">
        <f t="shared" si="335"/>
        <v>0</v>
      </c>
      <c r="EC102" s="154">
        <f t="shared" si="336"/>
        <v>0</v>
      </c>
      <c r="ED102" s="158">
        <f t="shared" si="337"/>
        <v>0</v>
      </c>
    </row>
    <row r="103" spans="1:134" x14ac:dyDescent="0.35">
      <c r="A103" s="172"/>
      <c r="B103" s="173"/>
      <c r="C103" s="174"/>
      <c r="D103" s="175"/>
      <c r="E103" s="176"/>
      <c r="F103" s="177"/>
      <c r="G103" s="178"/>
      <c r="H103" s="179"/>
      <c r="I103" s="180"/>
      <c r="J103" s="181"/>
      <c r="K103" s="152">
        <f t="shared" si="338"/>
        <v>0</v>
      </c>
      <c r="L103" s="153">
        <f t="shared" si="339"/>
        <v>0</v>
      </c>
      <c r="M103" s="154">
        <f t="shared" si="340"/>
        <v>0</v>
      </c>
      <c r="N103" s="154"/>
      <c r="O103" s="154">
        <f t="shared" si="341"/>
        <v>0</v>
      </c>
      <c r="P103" s="155"/>
      <c r="Q103" s="154">
        <f t="shared" si="342"/>
        <v>0</v>
      </c>
      <c r="R103" s="156">
        <f t="shared" si="343"/>
        <v>0</v>
      </c>
      <c r="S103" s="154">
        <f t="shared" si="344"/>
        <v>0</v>
      </c>
      <c r="T103" s="154">
        <f t="shared" si="345"/>
        <v>0</v>
      </c>
      <c r="U103" s="154">
        <f t="shared" si="346"/>
        <v>0</v>
      </c>
      <c r="V103" s="154">
        <f t="shared" si="347"/>
        <v>0</v>
      </c>
      <c r="W103" s="154">
        <f t="shared" si="348"/>
        <v>0</v>
      </c>
      <c r="X103" s="154">
        <f t="shared" si="349"/>
        <v>0</v>
      </c>
      <c r="Y103" s="154">
        <f t="shared" si="350"/>
        <v>0</v>
      </c>
      <c r="Z103" s="154">
        <f t="shared" si="351"/>
        <v>0</v>
      </c>
      <c r="AA103" s="154">
        <f t="shared" si="352"/>
        <v>0</v>
      </c>
      <c r="AB103" s="157">
        <f t="shared" si="353"/>
        <v>0</v>
      </c>
      <c r="AC103" s="154">
        <f t="shared" si="354"/>
        <v>0</v>
      </c>
      <c r="AD103" s="158">
        <f t="shared" si="355"/>
        <v>0</v>
      </c>
      <c r="AE103" s="156">
        <f t="shared" si="398"/>
        <v>0</v>
      </c>
      <c r="AF103" s="154">
        <f t="shared" si="357"/>
        <v>0</v>
      </c>
      <c r="AG103" s="154">
        <f t="shared" si="281"/>
        <v>0</v>
      </c>
      <c r="AH103" s="154">
        <f t="shared" si="358"/>
        <v>0</v>
      </c>
      <c r="AI103" s="154">
        <f t="shared" si="282"/>
        <v>0</v>
      </c>
      <c r="AJ103" s="154">
        <f t="shared" si="359"/>
        <v>0</v>
      </c>
      <c r="AK103" s="154">
        <f t="shared" si="283"/>
        <v>0</v>
      </c>
      <c r="AL103" s="154">
        <f t="shared" si="360"/>
        <v>0</v>
      </c>
      <c r="AM103" s="154">
        <f t="shared" si="284"/>
        <v>0</v>
      </c>
      <c r="AN103" s="154">
        <f t="shared" si="361"/>
        <v>0</v>
      </c>
      <c r="AO103" s="157">
        <f t="shared" si="285"/>
        <v>0</v>
      </c>
      <c r="AP103" s="154">
        <f t="shared" si="286"/>
        <v>0</v>
      </c>
      <c r="AQ103" s="158">
        <f t="shared" si="287"/>
        <v>0</v>
      </c>
      <c r="AR103" s="156">
        <f t="shared" si="398"/>
        <v>0</v>
      </c>
      <c r="AS103" s="154">
        <f t="shared" si="362"/>
        <v>0</v>
      </c>
      <c r="AT103" s="154">
        <f t="shared" si="288"/>
        <v>0</v>
      </c>
      <c r="AU103" s="154">
        <f t="shared" si="363"/>
        <v>0</v>
      </c>
      <c r="AV103" s="154">
        <f t="shared" si="289"/>
        <v>0</v>
      </c>
      <c r="AW103" s="154">
        <f t="shared" si="364"/>
        <v>0</v>
      </c>
      <c r="AX103" s="154">
        <f t="shared" si="290"/>
        <v>0</v>
      </c>
      <c r="AY103" s="154">
        <f t="shared" si="365"/>
        <v>0</v>
      </c>
      <c r="AZ103" s="154">
        <f t="shared" si="291"/>
        <v>0</v>
      </c>
      <c r="BA103" s="154">
        <f t="shared" si="366"/>
        <v>0</v>
      </c>
      <c r="BB103" s="157">
        <f t="shared" si="292"/>
        <v>0</v>
      </c>
      <c r="BC103" s="154">
        <f t="shared" si="293"/>
        <v>0</v>
      </c>
      <c r="BD103" s="158">
        <f t="shared" si="294"/>
        <v>0</v>
      </c>
      <c r="BE103" s="156">
        <f t="shared" si="398"/>
        <v>0</v>
      </c>
      <c r="BF103" s="154">
        <f t="shared" si="367"/>
        <v>0</v>
      </c>
      <c r="BG103" s="154">
        <f t="shared" si="295"/>
        <v>0</v>
      </c>
      <c r="BH103" s="154">
        <f t="shared" si="368"/>
        <v>0</v>
      </c>
      <c r="BI103" s="154">
        <f t="shared" si="296"/>
        <v>0</v>
      </c>
      <c r="BJ103" s="154">
        <f t="shared" si="369"/>
        <v>0</v>
      </c>
      <c r="BK103" s="154">
        <f t="shared" si="297"/>
        <v>0</v>
      </c>
      <c r="BL103" s="154">
        <f t="shared" si="370"/>
        <v>0</v>
      </c>
      <c r="BM103" s="154">
        <f t="shared" si="298"/>
        <v>0</v>
      </c>
      <c r="BN103" s="154">
        <f t="shared" si="371"/>
        <v>0</v>
      </c>
      <c r="BO103" s="157">
        <f t="shared" si="299"/>
        <v>0</v>
      </c>
      <c r="BP103" s="154">
        <f t="shared" si="300"/>
        <v>0</v>
      </c>
      <c r="BQ103" s="158">
        <f t="shared" si="301"/>
        <v>0</v>
      </c>
      <c r="BR103" s="156">
        <f t="shared" si="398"/>
        <v>0</v>
      </c>
      <c r="BS103" s="154">
        <f t="shared" si="372"/>
        <v>0</v>
      </c>
      <c r="BT103" s="154">
        <f t="shared" si="302"/>
        <v>0</v>
      </c>
      <c r="BU103" s="154">
        <f t="shared" si="373"/>
        <v>0</v>
      </c>
      <c r="BV103" s="154">
        <f t="shared" si="303"/>
        <v>0</v>
      </c>
      <c r="BW103" s="154">
        <f t="shared" si="374"/>
        <v>0</v>
      </c>
      <c r="BX103" s="154">
        <f t="shared" si="304"/>
        <v>0</v>
      </c>
      <c r="BY103" s="154">
        <f t="shared" si="375"/>
        <v>0</v>
      </c>
      <c r="BZ103" s="154">
        <f t="shared" si="305"/>
        <v>0</v>
      </c>
      <c r="CA103" s="154">
        <f t="shared" si="376"/>
        <v>0</v>
      </c>
      <c r="CB103" s="157">
        <f t="shared" si="306"/>
        <v>0</v>
      </c>
      <c r="CC103" s="154">
        <f t="shared" si="307"/>
        <v>0</v>
      </c>
      <c r="CD103" s="158">
        <f t="shared" si="308"/>
        <v>0</v>
      </c>
      <c r="CE103" s="156">
        <f t="shared" si="398"/>
        <v>0</v>
      </c>
      <c r="CF103" s="154">
        <f t="shared" si="377"/>
        <v>0</v>
      </c>
      <c r="CG103" s="154">
        <f t="shared" si="309"/>
        <v>0</v>
      </c>
      <c r="CH103" s="154">
        <f t="shared" si="378"/>
        <v>0</v>
      </c>
      <c r="CI103" s="154">
        <f t="shared" si="310"/>
        <v>0</v>
      </c>
      <c r="CJ103" s="154">
        <f t="shared" si="379"/>
        <v>0</v>
      </c>
      <c r="CK103" s="154">
        <f t="shared" si="311"/>
        <v>0</v>
      </c>
      <c r="CL103" s="154">
        <f t="shared" si="380"/>
        <v>0</v>
      </c>
      <c r="CM103" s="154">
        <f t="shared" si="312"/>
        <v>0</v>
      </c>
      <c r="CN103" s="154">
        <f t="shared" si="381"/>
        <v>0</v>
      </c>
      <c r="CO103" s="157">
        <f t="shared" si="313"/>
        <v>0</v>
      </c>
      <c r="CP103" s="154">
        <f t="shared" si="314"/>
        <v>0</v>
      </c>
      <c r="CQ103" s="158">
        <f t="shared" si="315"/>
        <v>0</v>
      </c>
      <c r="CR103" s="156">
        <f t="shared" si="399"/>
        <v>0</v>
      </c>
      <c r="CS103" s="154">
        <f t="shared" si="383"/>
        <v>0</v>
      </c>
      <c r="CT103" s="154">
        <f t="shared" si="317"/>
        <v>0</v>
      </c>
      <c r="CU103" s="154">
        <f t="shared" si="384"/>
        <v>0</v>
      </c>
      <c r="CV103" s="154">
        <f t="shared" si="318"/>
        <v>0</v>
      </c>
      <c r="CW103" s="154">
        <f t="shared" si="385"/>
        <v>0</v>
      </c>
      <c r="CX103" s="154">
        <f t="shared" si="319"/>
        <v>0</v>
      </c>
      <c r="CY103" s="154">
        <f t="shared" si="386"/>
        <v>0</v>
      </c>
      <c r="CZ103" s="154">
        <f t="shared" si="320"/>
        <v>0</v>
      </c>
      <c r="DA103" s="154">
        <f t="shared" si="387"/>
        <v>0</v>
      </c>
      <c r="DB103" s="157">
        <f t="shared" si="321"/>
        <v>0</v>
      </c>
      <c r="DC103" s="154">
        <f t="shared" si="322"/>
        <v>0</v>
      </c>
      <c r="DD103" s="158">
        <f t="shared" si="323"/>
        <v>0</v>
      </c>
      <c r="DE103" s="156">
        <f t="shared" si="399"/>
        <v>0</v>
      </c>
      <c r="DF103" s="154">
        <f t="shared" si="388"/>
        <v>0</v>
      </c>
      <c r="DG103" s="154">
        <f t="shared" si="324"/>
        <v>0</v>
      </c>
      <c r="DH103" s="154">
        <f t="shared" si="389"/>
        <v>0</v>
      </c>
      <c r="DI103" s="154">
        <f t="shared" si="325"/>
        <v>0</v>
      </c>
      <c r="DJ103" s="154">
        <f t="shared" si="390"/>
        <v>0</v>
      </c>
      <c r="DK103" s="154">
        <f t="shared" si="326"/>
        <v>0</v>
      </c>
      <c r="DL103" s="154">
        <f t="shared" si="391"/>
        <v>0</v>
      </c>
      <c r="DM103" s="154">
        <f t="shared" si="327"/>
        <v>0</v>
      </c>
      <c r="DN103" s="154">
        <f t="shared" si="392"/>
        <v>0</v>
      </c>
      <c r="DO103" s="157">
        <f t="shared" si="328"/>
        <v>0</v>
      </c>
      <c r="DP103" s="154">
        <f t="shared" si="329"/>
        <v>0</v>
      </c>
      <c r="DQ103" s="158">
        <f t="shared" si="330"/>
        <v>0</v>
      </c>
      <c r="DR103" s="156">
        <f t="shared" si="399"/>
        <v>0</v>
      </c>
      <c r="DS103" s="154">
        <f t="shared" si="393"/>
        <v>0</v>
      </c>
      <c r="DT103" s="154">
        <f t="shared" si="331"/>
        <v>0</v>
      </c>
      <c r="DU103" s="154">
        <f t="shared" si="394"/>
        <v>0</v>
      </c>
      <c r="DV103" s="154">
        <f t="shared" si="332"/>
        <v>0</v>
      </c>
      <c r="DW103" s="154">
        <f t="shared" si="395"/>
        <v>0</v>
      </c>
      <c r="DX103" s="154">
        <f t="shared" si="333"/>
        <v>0</v>
      </c>
      <c r="DY103" s="154">
        <f t="shared" si="396"/>
        <v>0</v>
      </c>
      <c r="DZ103" s="154">
        <f t="shared" si="334"/>
        <v>0</v>
      </c>
      <c r="EA103" s="154">
        <f t="shared" si="397"/>
        <v>0</v>
      </c>
      <c r="EB103" s="157">
        <f t="shared" si="335"/>
        <v>0</v>
      </c>
      <c r="EC103" s="154">
        <f t="shared" si="336"/>
        <v>0</v>
      </c>
      <c r="ED103" s="158">
        <f t="shared" si="337"/>
        <v>0</v>
      </c>
    </row>
    <row r="104" spans="1:134" x14ac:dyDescent="0.35">
      <c r="A104" s="172"/>
      <c r="B104" s="173"/>
      <c r="C104" s="174"/>
      <c r="D104" s="175"/>
      <c r="E104" s="176"/>
      <c r="F104" s="177"/>
      <c r="G104" s="178"/>
      <c r="H104" s="179"/>
      <c r="I104" s="180"/>
      <c r="J104" s="181"/>
      <c r="K104" s="152">
        <f t="shared" si="338"/>
        <v>0</v>
      </c>
      <c r="L104" s="153">
        <f t="shared" si="339"/>
        <v>0</v>
      </c>
      <c r="M104" s="154">
        <f t="shared" si="340"/>
        <v>0</v>
      </c>
      <c r="N104" s="154"/>
      <c r="O104" s="154">
        <f t="shared" si="341"/>
        <v>0</v>
      </c>
      <c r="P104" s="155"/>
      <c r="Q104" s="154">
        <f t="shared" si="342"/>
        <v>0</v>
      </c>
      <c r="R104" s="156">
        <f t="shared" si="343"/>
        <v>0</v>
      </c>
      <c r="S104" s="154">
        <f t="shared" si="344"/>
        <v>0</v>
      </c>
      <c r="T104" s="154">
        <f t="shared" si="345"/>
        <v>0</v>
      </c>
      <c r="U104" s="154">
        <f t="shared" si="346"/>
        <v>0</v>
      </c>
      <c r="V104" s="154">
        <f t="shared" si="347"/>
        <v>0</v>
      </c>
      <c r="W104" s="154">
        <f t="shared" si="348"/>
        <v>0</v>
      </c>
      <c r="X104" s="154">
        <f t="shared" si="349"/>
        <v>0</v>
      </c>
      <c r="Y104" s="154">
        <f t="shared" si="350"/>
        <v>0</v>
      </c>
      <c r="Z104" s="154">
        <f t="shared" si="351"/>
        <v>0</v>
      </c>
      <c r="AA104" s="154">
        <f t="shared" si="352"/>
        <v>0</v>
      </c>
      <c r="AB104" s="157">
        <f t="shared" si="353"/>
        <v>0</v>
      </c>
      <c r="AC104" s="154">
        <f t="shared" si="354"/>
        <v>0</v>
      </c>
      <c r="AD104" s="158">
        <f t="shared" si="355"/>
        <v>0</v>
      </c>
      <c r="AE104" s="156">
        <f t="shared" si="398"/>
        <v>0</v>
      </c>
      <c r="AF104" s="154">
        <f t="shared" si="357"/>
        <v>0</v>
      </c>
      <c r="AG104" s="154">
        <f t="shared" si="281"/>
        <v>0</v>
      </c>
      <c r="AH104" s="154">
        <f t="shared" si="358"/>
        <v>0</v>
      </c>
      <c r="AI104" s="154">
        <f t="shared" si="282"/>
        <v>0</v>
      </c>
      <c r="AJ104" s="154">
        <f t="shared" si="359"/>
        <v>0</v>
      </c>
      <c r="AK104" s="154">
        <f t="shared" si="283"/>
        <v>0</v>
      </c>
      <c r="AL104" s="154">
        <f t="shared" si="360"/>
        <v>0</v>
      </c>
      <c r="AM104" s="154">
        <f t="shared" si="284"/>
        <v>0</v>
      </c>
      <c r="AN104" s="154">
        <f t="shared" si="361"/>
        <v>0</v>
      </c>
      <c r="AO104" s="157">
        <f t="shared" si="285"/>
        <v>0</v>
      </c>
      <c r="AP104" s="154">
        <f t="shared" si="286"/>
        <v>0</v>
      </c>
      <c r="AQ104" s="158">
        <f t="shared" si="287"/>
        <v>0</v>
      </c>
      <c r="AR104" s="156">
        <f t="shared" si="398"/>
        <v>0</v>
      </c>
      <c r="AS104" s="154">
        <f t="shared" si="362"/>
        <v>0</v>
      </c>
      <c r="AT104" s="154">
        <f t="shared" si="288"/>
        <v>0</v>
      </c>
      <c r="AU104" s="154">
        <f t="shared" si="363"/>
        <v>0</v>
      </c>
      <c r="AV104" s="154">
        <f t="shared" si="289"/>
        <v>0</v>
      </c>
      <c r="AW104" s="154">
        <f t="shared" si="364"/>
        <v>0</v>
      </c>
      <c r="AX104" s="154">
        <f t="shared" si="290"/>
        <v>0</v>
      </c>
      <c r="AY104" s="154">
        <f t="shared" si="365"/>
        <v>0</v>
      </c>
      <c r="AZ104" s="154">
        <f t="shared" si="291"/>
        <v>0</v>
      </c>
      <c r="BA104" s="154">
        <f t="shared" si="366"/>
        <v>0</v>
      </c>
      <c r="BB104" s="157">
        <f t="shared" si="292"/>
        <v>0</v>
      </c>
      <c r="BC104" s="154">
        <f t="shared" si="293"/>
        <v>0</v>
      </c>
      <c r="BD104" s="158">
        <f t="shared" si="294"/>
        <v>0</v>
      </c>
      <c r="BE104" s="156">
        <f t="shared" si="398"/>
        <v>0</v>
      </c>
      <c r="BF104" s="154">
        <f t="shared" si="367"/>
        <v>0</v>
      </c>
      <c r="BG104" s="154">
        <f t="shared" si="295"/>
        <v>0</v>
      </c>
      <c r="BH104" s="154">
        <f t="shared" si="368"/>
        <v>0</v>
      </c>
      <c r="BI104" s="154">
        <f t="shared" si="296"/>
        <v>0</v>
      </c>
      <c r="BJ104" s="154">
        <f t="shared" si="369"/>
        <v>0</v>
      </c>
      <c r="BK104" s="154">
        <f t="shared" si="297"/>
        <v>0</v>
      </c>
      <c r="BL104" s="154">
        <f t="shared" si="370"/>
        <v>0</v>
      </c>
      <c r="BM104" s="154">
        <f t="shared" si="298"/>
        <v>0</v>
      </c>
      <c r="BN104" s="154">
        <f t="shared" si="371"/>
        <v>0</v>
      </c>
      <c r="BO104" s="157">
        <f t="shared" si="299"/>
        <v>0</v>
      </c>
      <c r="BP104" s="154">
        <f t="shared" si="300"/>
        <v>0</v>
      </c>
      <c r="BQ104" s="158">
        <f t="shared" si="301"/>
        <v>0</v>
      </c>
      <c r="BR104" s="156">
        <f t="shared" si="398"/>
        <v>0</v>
      </c>
      <c r="BS104" s="154">
        <f t="shared" si="372"/>
        <v>0</v>
      </c>
      <c r="BT104" s="154">
        <f t="shared" si="302"/>
        <v>0</v>
      </c>
      <c r="BU104" s="154">
        <f t="shared" si="373"/>
        <v>0</v>
      </c>
      <c r="BV104" s="154">
        <f t="shared" si="303"/>
        <v>0</v>
      </c>
      <c r="BW104" s="154">
        <f t="shared" si="374"/>
        <v>0</v>
      </c>
      <c r="BX104" s="154">
        <f t="shared" si="304"/>
        <v>0</v>
      </c>
      <c r="BY104" s="154">
        <f t="shared" si="375"/>
        <v>0</v>
      </c>
      <c r="BZ104" s="154">
        <f t="shared" si="305"/>
        <v>0</v>
      </c>
      <c r="CA104" s="154">
        <f t="shared" si="376"/>
        <v>0</v>
      </c>
      <c r="CB104" s="157">
        <f t="shared" si="306"/>
        <v>0</v>
      </c>
      <c r="CC104" s="154">
        <f t="shared" si="307"/>
        <v>0</v>
      </c>
      <c r="CD104" s="158">
        <f t="shared" si="308"/>
        <v>0</v>
      </c>
      <c r="CE104" s="156">
        <f t="shared" si="398"/>
        <v>0</v>
      </c>
      <c r="CF104" s="154">
        <f t="shared" si="377"/>
        <v>0</v>
      </c>
      <c r="CG104" s="154">
        <f t="shared" si="309"/>
        <v>0</v>
      </c>
      <c r="CH104" s="154">
        <f t="shared" si="378"/>
        <v>0</v>
      </c>
      <c r="CI104" s="154">
        <f t="shared" si="310"/>
        <v>0</v>
      </c>
      <c r="CJ104" s="154">
        <f t="shared" si="379"/>
        <v>0</v>
      </c>
      <c r="CK104" s="154">
        <f t="shared" si="311"/>
        <v>0</v>
      </c>
      <c r="CL104" s="154">
        <f t="shared" si="380"/>
        <v>0</v>
      </c>
      <c r="CM104" s="154">
        <f t="shared" si="312"/>
        <v>0</v>
      </c>
      <c r="CN104" s="154">
        <f t="shared" si="381"/>
        <v>0</v>
      </c>
      <c r="CO104" s="157">
        <f t="shared" si="313"/>
        <v>0</v>
      </c>
      <c r="CP104" s="154">
        <f t="shared" si="314"/>
        <v>0</v>
      </c>
      <c r="CQ104" s="158">
        <f t="shared" si="315"/>
        <v>0</v>
      </c>
      <c r="CR104" s="156">
        <f t="shared" si="399"/>
        <v>0</v>
      </c>
      <c r="CS104" s="154">
        <f t="shared" si="383"/>
        <v>0</v>
      </c>
      <c r="CT104" s="154">
        <f t="shared" si="317"/>
        <v>0</v>
      </c>
      <c r="CU104" s="154">
        <f t="shared" si="384"/>
        <v>0</v>
      </c>
      <c r="CV104" s="154">
        <f t="shared" si="318"/>
        <v>0</v>
      </c>
      <c r="CW104" s="154">
        <f t="shared" si="385"/>
        <v>0</v>
      </c>
      <c r="CX104" s="154">
        <f t="shared" si="319"/>
        <v>0</v>
      </c>
      <c r="CY104" s="154">
        <f t="shared" si="386"/>
        <v>0</v>
      </c>
      <c r="CZ104" s="154">
        <f t="shared" si="320"/>
        <v>0</v>
      </c>
      <c r="DA104" s="154">
        <f t="shared" si="387"/>
        <v>0</v>
      </c>
      <c r="DB104" s="157">
        <f t="shared" si="321"/>
        <v>0</v>
      </c>
      <c r="DC104" s="154">
        <f t="shared" si="322"/>
        <v>0</v>
      </c>
      <c r="DD104" s="158">
        <f t="shared" si="323"/>
        <v>0</v>
      </c>
      <c r="DE104" s="156">
        <f t="shared" si="399"/>
        <v>0</v>
      </c>
      <c r="DF104" s="154">
        <f t="shared" si="388"/>
        <v>0</v>
      </c>
      <c r="DG104" s="154">
        <f t="shared" si="324"/>
        <v>0</v>
      </c>
      <c r="DH104" s="154">
        <f t="shared" si="389"/>
        <v>0</v>
      </c>
      <c r="DI104" s="154">
        <f t="shared" si="325"/>
        <v>0</v>
      </c>
      <c r="DJ104" s="154">
        <f t="shared" si="390"/>
        <v>0</v>
      </c>
      <c r="DK104" s="154">
        <f t="shared" si="326"/>
        <v>0</v>
      </c>
      <c r="DL104" s="154">
        <f t="shared" si="391"/>
        <v>0</v>
      </c>
      <c r="DM104" s="154">
        <f t="shared" si="327"/>
        <v>0</v>
      </c>
      <c r="DN104" s="154">
        <f t="shared" si="392"/>
        <v>0</v>
      </c>
      <c r="DO104" s="157">
        <f t="shared" si="328"/>
        <v>0</v>
      </c>
      <c r="DP104" s="154">
        <f t="shared" si="329"/>
        <v>0</v>
      </c>
      <c r="DQ104" s="158">
        <f t="shared" si="330"/>
        <v>0</v>
      </c>
      <c r="DR104" s="156">
        <f t="shared" si="399"/>
        <v>0</v>
      </c>
      <c r="DS104" s="154">
        <f t="shared" si="393"/>
        <v>0</v>
      </c>
      <c r="DT104" s="154">
        <f t="shared" si="331"/>
        <v>0</v>
      </c>
      <c r="DU104" s="154">
        <f t="shared" si="394"/>
        <v>0</v>
      </c>
      <c r="DV104" s="154">
        <f t="shared" si="332"/>
        <v>0</v>
      </c>
      <c r="DW104" s="154">
        <f t="shared" si="395"/>
        <v>0</v>
      </c>
      <c r="DX104" s="154">
        <f t="shared" si="333"/>
        <v>0</v>
      </c>
      <c r="DY104" s="154">
        <f t="shared" si="396"/>
        <v>0</v>
      </c>
      <c r="DZ104" s="154">
        <f t="shared" si="334"/>
        <v>0</v>
      </c>
      <c r="EA104" s="154">
        <f t="shared" si="397"/>
        <v>0</v>
      </c>
      <c r="EB104" s="157">
        <f t="shared" si="335"/>
        <v>0</v>
      </c>
      <c r="EC104" s="154">
        <f t="shared" si="336"/>
        <v>0</v>
      </c>
      <c r="ED104" s="158">
        <f t="shared" si="337"/>
        <v>0</v>
      </c>
    </row>
    <row r="105" spans="1:134" x14ac:dyDescent="0.35">
      <c r="A105" s="172"/>
      <c r="B105" s="173"/>
      <c r="C105" s="174"/>
      <c r="D105" s="175"/>
      <c r="E105" s="176"/>
      <c r="F105" s="177"/>
      <c r="G105" s="178"/>
      <c r="H105" s="179"/>
      <c r="I105" s="180"/>
      <c r="J105" s="181"/>
      <c r="K105" s="152">
        <f t="shared" si="338"/>
        <v>0</v>
      </c>
      <c r="L105" s="153">
        <f t="shared" si="339"/>
        <v>0</v>
      </c>
      <c r="M105" s="154">
        <f t="shared" si="340"/>
        <v>0</v>
      </c>
      <c r="N105" s="154"/>
      <c r="O105" s="154">
        <f t="shared" si="341"/>
        <v>0</v>
      </c>
      <c r="P105" s="155"/>
      <c r="Q105" s="154">
        <f t="shared" si="342"/>
        <v>0</v>
      </c>
      <c r="R105" s="156">
        <f t="shared" si="343"/>
        <v>0</v>
      </c>
      <c r="S105" s="154">
        <f t="shared" si="344"/>
        <v>0</v>
      </c>
      <c r="T105" s="154">
        <f t="shared" si="345"/>
        <v>0</v>
      </c>
      <c r="U105" s="154">
        <f t="shared" si="346"/>
        <v>0</v>
      </c>
      <c r="V105" s="154">
        <f t="shared" si="347"/>
        <v>0</v>
      </c>
      <c r="W105" s="154">
        <f t="shared" si="348"/>
        <v>0</v>
      </c>
      <c r="X105" s="154">
        <f t="shared" si="349"/>
        <v>0</v>
      </c>
      <c r="Y105" s="154">
        <f t="shared" si="350"/>
        <v>0</v>
      </c>
      <c r="Z105" s="154">
        <f t="shared" si="351"/>
        <v>0</v>
      </c>
      <c r="AA105" s="154">
        <f t="shared" si="352"/>
        <v>0</v>
      </c>
      <c r="AB105" s="157">
        <f t="shared" si="353"/>
        <v>0</v>
      </c>
      <c r="AC105" s="154">
        <f t="shared" si="354"/>
        <v>0</v>
      </c>
      <c r="AD105" s="158">
        <f t="shared" si="355"/>
        <v>0</v>
      </c>
      <c r="AE105" s="156">
        <f t="shared" si="398"/>
        <v>0</v>
      </c>
      <c r="AF105" s="154">
        <f t="shared" si="357"/>
        <v>0</v>
      </c>
      <c r="AG105" s="154">
        <f t="shared" si="281"/>
        <v>0</v>
      </c>
      <c r="AH105" s="154">
        <f t="shared" si="358"/>
        <v>0</v>
      </c>
      <c r="AI105" s="154">
        <f t="shared" si="282"/>
        <v>0</v>
      </c>
      <c r="AJ105" s="154">
        <f t="shared" si="359"/>
        <v>0</v>
      </c>
      <c r="AK105" s="154">
        <f t="shared" si="283"/>
        <v>0</v>
      </c>
      <c r="AL105" s="154">
        <f t="shared" si="360"/>
        <v>0</v>
      </c>
      <c r="AM105" s="154">
        <f t="shared" si="284"/>
        <v>0</v>
      </c>
      <c r="AN105" s="154">
        <f t="shared" si="361"/>
        <v>0</v>
      </c>
      <c r="AO105" s="157">
        <f t="shared" si="285"/>
        <v>0</v>
      </c>
      <c r="AP105" s="154">
        <f t="shared" si="286"/>
        <v>0</v>
      </c>
      <c r="AQ105" s="158">
        <f t="shared" si="287"/>
        <v>0</v>
      </c>
      <c r="AR105" s="156">
        <f t="shared" si="398"/>
        <v>0</v>
      </c>
      <c r="AS105" s="154">
        <f t="shared" si="362"/>
        <v>0</v>
      </c>
      <c r="AT105" s="154">
        <f t="shared" si="288"/>
        <v>0</v>
      </c>
      <c r="AU105" s="154">
        <f t="shared" si="363"/>
        <v>0</v>
      </c>
      <c r="AV105" s="154">
        <f t="shared" si="289"/>
        <v>0</v>
      </c>
      <c r="AW105" s="154">
        <f t="shared" si="364"/>
        <v>0</v>
      </c>
      <c r="AX105" s="154">
        <f t="shared" si="290"/>
        <v>0</v>
      </c>
      <c r="AY105" s="154">
        <f t="shared" si="365"/>
        <v>0</v>
      </c>
      <c r="AZ105" s="154">
        <f t="shared" si="291"/>
        <v>0</v>
      </c>
      <c r="BA105" s="154">
        <f t="shared" si="366"/>
        <v>0</v>
      </c>
      <c r="BB105" s="157">
        <f t="shared" si="292"/>
        <v>0</v>
      </c>
      <c r="BC105" s="154">
        <f t="shared" si="293"/>
        <v>0</v>
      </c>
      <c r="BD105" s="158">
        <f t="shared" si="294"/>
        <v>0</v>
      </c>
      <c r="BE105" s="156">
        <f t="shared" si="398"/>
        <v>0</v>
      </c>
      <c r="BF105" s="154">
        <f t="shared" si="367"/>
        <v>0</v>
      </c>
      <c r="BG105" s="154">
        <f t="shared" si="295"/>
        <v>0</v>
      </c>
      <c r="BH105" s="154">
        <f t="shared" si="368"/>
        <v>0</v>
      </c>
      <c r="BI105" s="154">
        <f t="shared" si="296"/>
        <v>0</v>
      </c>
      <c r="BJ105" s="154">
        <f t="shared" si="369"/>
        <v>0</v>
      </c>
      <c r="BK105" s="154">
        <f t="shared" si="297"/>
        <v>0</v>
      </c>
      <c r="BL105" s="154">
        <f t="shared" si="370"/>
        <v>0</v>
      </c>
      <c r="BM105" s="154">
        <f t="shared" si="298"/>
        <v>0</v>
      </c>
      <c r="BN105" s="154">
        <f t="shared" si="371"/>
        <v>0</v>
      </c>
      <c r="BO105" s="157">
        <f t="shared" si="299"/>
        <v>0</v>
      </c>
      <c r="BP105" s="154">
        <f t="shared" si="300"/>
        <v>0</v>
      </c>
      <c r="BQ105" s="158">
        <f t="shared" si="301"/>
        <v>0</v>
      </c>
      <c r="BR105" s="156">
        <f t="shared" si="398"/>
        <v>0</v>
      </c>
      <c r="BS105" s="154">
        <f t="shared" si="372"/>
        <v>0</v>
      </c>
      <c r="BT105" s="154">
        <f t="shared" si="302"/>
        <v>0</v>
      </c>
      <c r="BU105" s="154">
        <f t="shared" si="373"/>
        <v>0</v>
      </c>
      <c r="BV105" s="154">
        <f t="shared" si="303"/>
        <v>0</v>
      </c>
      <c r="BW105" s="154">
        <f t="shared" si="374"/>
        <v>0</v>
      </c>
      <c r="BX105" s="154">
        <f t="shared" si="304"/>
        <v>0</v>
      </c>
      <c r="BY105" s="154">
        <f t="shared" si="375"/>
        <v>0</v>
      </c>
      <c r="BZ105" s="154">
        <f t="shared" si="305"/>
        <v>0</v>
      </c>
      <c r="CA105" s="154">
        <f t="shared" si="376"/>
        <v>0</v>
      </c>
      <c r="CB105" s="157">
        <f t="shared" si="306"/>
        <v>0</v>
      </c>
      <c r="CC105" s="154">
        <f t="shared" si="307"/>
        <v>0</v>
      </c>
      <c r="CD105" s="158">
        <f t="shared" si="308"/>
        <v>0</v>
      </c>
      <c r="CE105" s="156">
        <f t="shared" si="398"/>
        <v>0</v>
      </c>
      <c r="CF105" s="154">
        <f t="shared" si="377"/>
        <v>0</v>
      </c>
      <c r="CG105" s="154">
        <f t="shared" si="309"/>
        <v>0</v>
      </c>
      <c r="CH105" s="154">
        <f t="shared" si="378"/>
        <v>0</v>
      </c>
      <c r="CI105" s="154">
        <f t="shared" si="310"/>
        <v>0</v>
      </c>
      <c r="CJ105" s="154">
        <f t="shared" si="379"/>
        <v>0</v>
      </c>
      <c r="CK105" s="154">
        <f t="shared" si="311"/>
        <v>0</v>
      </c>
      <c r="CL105" s="154">
        <f t="shared" si="380"/>
        <v>0</v>
      </c>
      <c r="CM105" s="154">
        <f t="shared" si="312"/>
        <v>0</v>
      </c>
      <c r="CN105" s="154">
        <f t="shared" si="381"/>
        <v>0</v>
      </c>
      <c r="CO105" s="157">
        <f t="shared" si="313"/>
        <v>0</v>
      </c>
      <c r="CP105" s="154">
        <f t="shared" si="314"/>
        <v>0</v>
      </c>
      <c r="CQ105" s="158">
        <f t="shared" si="315"/>
        <v>0</v>
      </c>
      <c r="CR105" s="156">
        <f t="shared" si="399"/>
        <v>0</v>
      </c>
      <c r="CS105" s="154">
        <f t="shared" si="383"/>
        <v>0</v>
      </c>
      <c r="CT105" s="154">
        <f t="shared" si="317"/>
        <v>0</v>
      </c>
      <c r="CU105" s="154">
        <f t="shared" si="384"/>
        <v>0</v>
      </c>
      <c r="CV105" s="154">
        <f t="shared" si="318"/>
        <v>0</v>
      </c>
      <c r="CW105" s="154">
        <f t="shared" si="385"/>
        <v>0</v>
      </c>
      <c r="CX105" s="154">
        <f t="shared" si="319"/>
        <v>0</v>
      </c>
      <c r="CY105" s="154">
        <f t="shared" si="386"/>
        <v>0</v>
      </c>
      <c r="CZ105" s="154">
        <f t="shared" si="320"/>
        <v>0</v>
      </c>
      <c r="DA105" s="154">
        <f t="shared" si="387"/>
        <v>0</v>
      </c>
      <c r="DB105" s="157">
        <f t="shared" si="321"/>
        <v>0</v>
      </c>
      <c r="DC105" s="154">
        <f t="shared" si="322"/>
        <v>0</v>
      </c>
      <c r="DD105" s="158">
        <f t="shared" si="323"/>
        <v>0</v>
      </c>
      <c r="DE105" s="156">
        <f t="shared" si="399"/>
        <v>0</v>
      </c>
      <c r="DF105" s="154">
        <f t="shared" si="388"/>
        <v>0</v>
      </c>
      <c r="DG105" s="154">
        <f t="shared" si="324"/>
        <v>0</v>
      </c>
      <c r="DH105" s="154">
        <f t="shared" si="389"/>
        <v>0</v>
      </c>
      <c r="DI105" s="154">
        <f t="shared" si="325"/>
        <v>0</v>
      </c>
      <c r="DJ105" s="154">
        <f t="shared" si="390"/>
        <v>0</v>
      </c>
      <c r="DK105" s="154">
        <f t="shared" si="326"/>
        <v>0</v>
      </c>
      <c r="DL105" s="154">
        <f t="shared" si="391"/>
        <v>0</v>
      </c>
      <c r="DM105" s="154">
        <f t="shared" si="327"/>
        <v>0</v>
      </c>
      <c r="DN105" s="154">
        <f t="shared" si="392"/>
        <v>0</v>
      </c>
      <c r="DO105" s="157">
        <f t="shared" si="328"/>
        <v>0</v>
      </c>
      <c r="DP105" s="154">
        <f t="shared" si="329"/>
        <v>0</v>
      </c>
      <c r="DQ105" s="158">
        <f t="shared" si="330"/>
        <v>0</v>
      </c>
      <c r="DR105" s="156">
        <f t="shared" si="399"/>
        <v>0</v>
      </c>
      <c r="DS105" s="154">
        <f t="shared" si="393"/>
        <v>0</v>
      </c>
      <c r="DT105" s="154">
        <f t="shared" si="331"/>
        <v>0</v>
      </c>
      <c r="DU105" s="154">
        <f t="shared" si="394"/>
        <v>0</v>
      </c>
      <c r="DV105" s="154">
        <f t="shared" si="332"/>
        <v>0</v>
      </c>
      <c r="DW105" s="154">
        <f t="shared" si="395"/>
        <v>0</v>
      </c>
      <c r="DX105" s="154">
        <f t="shared" si="333"/>
        <v>0</v>
      </c>
      <c r="DY105" s="154">
        <f t="shared" si="396"/>
        <v>0</v>
      </c>
      <c r="DZ105" s="154">
        <f t="shared" si="334"/>
        <v>0</v>
      </c>
      <c r="EA105" s="154">
        <f t="shared" si="397"/>
        <v>0</v>
      </c>
      <c r="EB105" s="157">
        <f t="shared" si="335"/>
        <v>0</v>
      </c>
      <c r="EC105" s="154">
        <f t="shared" si="336"/>
        <v>0</v>
      </c>
      <c r="ED105" s="158">
        <f t="shared" si="337"/>
        <v>0</v>
      </c>
    </row>
    <row r="106" spans="1:134" x14ac:dyDescent="0.35">
      <c r="A106" s="172"/>
      <c r="B106" s="173"/>
      <c r="C106" s="174"/>
      <c r="D106" s="175"/>
      <c r="E106" s="176"/>
      <c r="F106" s="177"/>
      <c r="G106" s="178"/>
      <c r="H106" s="179"/>
      <c r="I106" s="180"/>
      <c r="J106" s="181"/>
      <c r="K106" s="152">
        <f t="shared" si="338"/>
        <v>0</v>
      </c>
      <c r="L106" s="153">
        <f t="shared" si="339"/>
        <v>0</v>
      </c>
      <c r="M106" s="154">
        <f t="shared" si="340"/>
        <v>0</v>
      </c>
      <c r="N106" s="154"/>
      <c r="O106" s="154">
        <f t="shared" si="341"/>
        <v>0</v>
      </c>
      <c r="P106" s="155"/>
      <c r="Q106" s="154">
        <f t="shared" si="342"/>
        <v>0</v>
      </c>
      <c r="R106" s="156">
        <f t="shared" si="343"/>
        <v>0</v>
      </c>
      <c r="S106" s="154">
        <f t="shared" si="344"/>
        <v>0</v>
      </c>
      <c r="T106" s="154">
        <f t="shared" si="345"/>
        <v>0</v>
      </c>
      <c r="U106" s="154">
        <f t="shared" si="346"/>
        <v>0</v>
      </c>
      <c r="V106" s="154">
        <f t="shared" si="347"/>
        <v>0</v>
      </c>
      <c r="W106" s="154">
        <f t="shared" si="348"/>
        <v>0</v>
      </c>
      <c r="X106" s="154">
        <f t="shared" si="349"/>
        <v>0</v>
      </c>
      <c r="Y106" s="154">
        <f t="shared" si="350"/>
        <v>0</v>
      </c>
      <c r="Z106" s="154">
        <f t="shared" si="351"/>
        <v>0</v>
      </c>
      <c r="AA106" s="154">
        <f t="shared" si="352"/>
        <v>0</v>
      </c>
      <c r="AB106" s="157">
        <f t="shared" si="353"/>
        <v>0</v>
      </c>
      <c r="AC106" s="154">
        <f t="shared" si="354"/>
        <v>0</v>
      </c>
      <c r="AD106" s="158">
        <f t="shared" si="355"/>
        <v>0</v>
      </c>
      <c r="AE106" s="156">
        <f t="shared" si="398"/>
        <v>0</v>
      </c>
      <c r="AF106" s="154">
        <f t="shared" si="357"/>
        <v>0</v>
      </c>
      <c r="AG106" s="154">
        <f t="shared" si="281"/>
        <v>0</v>
      </c>
      <c r="AH106" s="154">
        <f t="shared" si="358"/>
        <v>0</v>
      </c>
      <c r="AI106" s="154">
        <f t="shared" si="282"/>
        <v>0</v>
      </c>
      <c r="AJ106" s="154">
        <f t="shared" si="359"/>
        <v>0</v>
      </c>
      <c r="AK106" s="154">
        <f t="shared" si="283"/>
        <v>0</v>
      </c>
      <c r="AL106" s="154">
        <f t="shared" si="360"/>
        <v>0</v>
      </c>
      <c r="AM106" s="154">
        <f t="shared" si="284"/>
        <v>0</v>
      </c>
      <c r="AN106" s="154">
        <f t="shared" si="361"/>
        <v>0</v>
      </c>
      <c r="AO106" s="157">
        <f t="shared" si="285"/>
        <v>0</v>
      </c>
      <c r="AP106" s="154">
        <f t="shared" si="286"/>
        <v>0</v>
      </c>
      <c r="AQ106" s="158">
        <f t="shared" si="287"/>
        <v>0</v>
      </c>
      <c r="AR106" s="156">
        <f t="shared" si="398"/>
        <v>0</v>
      </c>
      <c r="AS106" s="154">
        <f t="shared" si="362"/>
        <v>0</v>
      </c>
      <c r="AT106" s="154">
        <f t="shared" si="288"/>
        <v>0</v>
      </c>
      <c r="AU106" s="154">
        <f t="shared" si="363"/>
        <v>0</v>
      </c>
      <c r="AV106" s="154">
        <f t="shared" si="289"/>
        <v>0</v>
      </c>
      <c r="AW106" s="154">
        <f t="shared" si="364"/>
        <v>0</v>
      </c>
      <c r="AX106" s="154">
        <f t="shared" si="290"/>
        <v>0</v>
      </c>
      <c r="AY106" s="154">
        <f t="shared" si="365"/>
        <v>0</v>
      </c>
      <c r="AZ106" s="154">
        <f t="shared" si="291"/>
        <v>0</v>
      </c>
      <c r="BA106" s="154">
        <f t="shared" si="366"/>
        <v>0</v>
      </c>
      <c r="BB106" s="157">
        <f t="shared" si="292"/>
        <v>0</v>
      </c>
      <c r="BC106" s="154">
        <f t="shared" si="293"/>
        <v>0</v>
      </c>
      <c r="BD106" s="158">
        <f t="shared" si="294"/>
        <v>0</v>
      </c>
      <c r="BE106" s="156">
        <f t="shared" si="398"/>
        <v>0</v>
      </c>
      <c r="BF106" s="154">
        <f t="shared" si="367"/>
        <v>0</v>
      </c>
      <c r="BG106" s="154">
        <f t="shared" si="295"/>
        <v>0</v>
      </c>
      <c r="BH106" s="154">
        <f t="shared" si="368"/>
        <v>0</v>
      </c>
      <c r="BI106" s="154">
        <f t="shared" si="296"/>
        <v>0</v>
      </c>
      <c r="BJ106" s="154">
        <f t="shared" si="369"/>
        <v>0</v>
      </c>
      <c r="BK106" s="154">
        <f t="shared" si="297"/>
        <v>0</v>
      </c>
      <c r="BL106" s="154">
        <f t="shared" si="370"/>
        <v>0</v>
      </c>
      <c r="BM106" s="154">
        <f t="shared" si="298"/>
        <v>0</v>
      </c>
      <c r="BN106" s="154">
        <f t="shared" si="371"/>
        <v>0</v>
      </c>
      <c r="BO106" s="157">
        <f t="shared" si="299"/>
        <v>0</v>
      </c>
      <c r="BP106" s="154">
        <f t="shared" si="300"/>
        <v>0</v>
      </c>
      <c r="BQ106" s="158">
        <f t="shared" si="301"/>
        <v>0</v>
      </c>
      <c r="BR106" s="156">
        <f t="shared" si="398"/>
        <v>0</v>
      </c>
      <c r="BS106" s="154">
        <f t="shared" si="372"/>
        <v>0</v>
      </c>
      <c r="BT106" s="154">
        <f t="shared" si="302"/>
        <v>0</v>
      </c>
      <c r="BU106" s="154">
        <f t="shared" si="373"/>
        <v>0</v>
      </c>
      <c r="BV106" s="154">
        <f t="shared" si="303"/>
        <v>0</v>
      </c>
      <c r="BW106" s="154">
        <f t="shared" si="374"/>
        <v>0</v>
      </c>
      <c r="BX106" s="154">
        <f t="shared" si="304"/>
        <v>0</v>
      </c>
      <c r="BY106" s="154">
        <f t="shared" si="375"/>
        <v>0</v>
      </c>
      <c r="BZ106" s="154">
        <f t="shared" si="305"/>
        <v>0</v>
      </c>
      <c r="CA106" s="154">
        <f t="shared" si="376"/>
        <v>0</v>
      </c>
      <c r="CB106" s="157">
        <f t="shared" si="306"/>
        <v>0</v>
      </c>
      <c r="CC106" s="154">
        <f t="shared" si="307"/>
        <v>0</v>
      </c>
      <c r="CD106" s="158">
        <f t="shared" si="308"/>
        <v>0</v>
      </c>
      <c r="CE106" s="156">
        <f t="shared" si="398"/>
        <v>0</v>
      </c>
      <c r="CF106" s="154">
        <f t="shared" si="377"/>
        <v>0</v>
      </c>
      <c r="CG106" s="154">
        <f t="shared" si="309"/>
        <v>0</v>
      </c>
      <c r="CH106" s="154">
        <f t="shared" si="378"/>
        <v>0</v>
      </c>
      <c r="CI106" s="154">
        <f t="shared" si="310"/>
        <v>0</v>
      </c>
      <c r="CJ106" s="154">
        <f t="shared" si="379"/>
        <v>0</v>
      </c>
      <c r="CK106" s="154">
        <f t="shared" si="311"/>
        <v>0</v>
      </c>
      <c r="CL106" s="154">
        <f t="shared" si="380"/>
        <v>0</v>
      </c>
      <c r="CM106" s="154">
        <f t="shared" si="312"/>
        <v>0</v>
      </c>
      <c r="CN106" s="154">
        <f t="shared" si="381"/>
        <v>0</v>
      </c>
      <c r="CO106" s="157">
        <f t="shared" si="313"/>
        <v>0</v>
      </c>
      <c r="CP106" s="154">
        <f t="shared" si="314"/>
        <v>0</v>
      </c>
      <c r="CQ106" s="158">
        <f t="shared" si="315"/>
        <v>0</v>
      </c>
      <c r="CR106" s="156">
        <f t="shared" si="399"/>
        <v>0</v>
      </c>
      <c r="CS106" s="154">
        <f t="shared" si="383"/>
        <v>0</v>
      </c>
      <c r="CT106" s="154">
        <f t="shared" si="317"/>
        <v>0</v>
      </c>
      <c r="CU106" s="154">
        <f t="shared" si="384"/>
        <v>0</v>
      </c>
      <c r="CV106" s="154">
        <f t="shared" si="318"/>
        <v>0</v>
      </c>
      <c r="CW106" s="154">
        <f t="shared" si="385"/>
        <v>0</v>
      </c>
      <c r="CX106" s="154">
        <f t="shared" si="319"/>
        <v>0</v>
      </c>
      <c r="CY106" s="154">
        <f t="shared" si="386"/>
        <v>0</v>
      </c>
      <c r="CZ106" s="154">
        <f t="shared" si="320"/>
        <v>0</v>
      </c>
      <c r="DA106" s="154">
        <f t="shared" si="387"/>
        <v>0</v>
      </c>
      <c r="DB106" s="157">
        <f t="shared" si="321"/>
        <v>0</v>
      </c>
      <c r="DC106" s="154">
        <f t="shared" si="322"/>
        <v>0</v>
      </c>
      <c r="DD106" s="158">
        <f t="shared" si="323"/>
        <v>0</v>
      </c>
      <c r="DE106" s="156">
        <f t="shared" si="399"/>
        <v>0</v>
      </c>
      <c r="DF106" s="154">
        <f t="shared" si="388"/>
        <v>0</v>
      </c>
      <c r="DG106" s="154">
        <f t="shared" si="324"/>
        <v>0</v>
      </c>
      <c r="DH106" s="154">
        <f t="shared" si="389"/>
        <v>0</v>
      </c>
      <c r="DI106" s="154">
        <f t="shared" si="325"/>
        <v>0</v>
      </c>
      <c r="DJ106" s="154">
        <f t="shared" si="390"/>
        <v>0</v>
      </c>
      <c r="DK106" s="154">
        <f t="shared" si="326"/>
        <v>0</v>
      </c>
      <c r="DL106" s="154">
        <f t="shared" si="391"/>
        <v>0</v>
      </c>
      <c r="DM106" s="154">
        <f t="shared" si="327"/>
        <v>0</v>
      </c>
      <c r="DN106" s="154">
        <f t="shared" si="392"/>
        <v>0</v>
      </c>
      <c r="DO106" s="157">
        <f t="shared" si="328"/>
        <v>0</v>
      </c>
      <c r="DP106" s="154">
        <f t="shared" si="329"/>
        <v>0</v>
      </c>
      <c r="DQ106" s="158">
        <f t="shared" si="330"/>
        <v>0</v>
      </c>
      <c r="DR106" s="156">
        <f t="shared" si="399"/>
        <v>0</v>
      </c>
      <c r="DS106" s="154">
        <f t="shared" si="393"/>
        <v>0</v>
      </c>
      <c r="DT106" s="154">
        <f t="shared" si="331"/>
        <v>0</v>
      </c>
      <c r="DU106" s="154">
        <f t="shared" si="394"/>
        <v>0</v>
      </c>
      <c r="DV106" s="154">
        <f t="shared" si="332"/>
        <v>0</v>
      </c>
      <c r="DW106" s="154">
        <f t="shared" si="395"/>
        <v>0</v>
      </c>
      <c r="DX106" s="154">
        <f t="shared" si="333"/>
        <v>0</v>
      </c>
      <c r="DY106" s="154">
        <f t="shared" si="396"/>
        <v>0</v>
      </c>
      <c r="DZ106" s="154">
        <f t="shared" si="334"/>
        <v>0</v>
      </c>
      <c r="EA106" s="154">
        <f t="shared" si="397"/>
        <v>0</v>
      </c>
      <c r="EB106" s="157">
        <f t="shared" si="335"/>
        <v>0</v>
      </c>
      <c r="EC106" s="154">
        <f t="shared" si="336"/>
        <v>0</v>
      </c>
      <c r="ED106" s="158">
        <f t="shared" si="337"/>
        <v>0</v>
      </c>
    </row>
    <row r="107" spans="1:134" x14ac:dyDescent="0.35">
      <c r="A107" s="172"/>
      <c r="B107" s="173"/>
      <c r="C107" s="174"/>
      <c r="D107" s="175"/>
      <c r="E107" s="176"/>
      <c r="F107" s="177"/>
      <c r="G107" s="178"/>
      <c r="H107" s="179"/>
      <c r="I107" s="180"/>
      <c r="J107" s="181"/>
      <c r="K107" s="152">
        <f t="shared" si="338"/>
        <v>0</v>
      </c>
      <c r="L107" s="153">
        <f t="shared" si="339"/>
        <v>0</v>
      </c>
      <c r="M107" s="154">
        <f t="shared" si="340"/>
        <v>0</v>
      </c>
      <c r="N107" s="154"/>
      <c r="O107" s="154">
        <f t="shared" si="341"/>
        <v>0</v>
      </c>
      <c r="P107" s="155"/>
      <c r="Q107" s="154">
        <f t="shared" si="342"/>
        <v>0</v>
      </c>
      <c r="R107" s="156">
        <f t="shared" si="343"/>
        <v>0</v>
      </c>
      <c r="S107" s="154">
        <f t="shared" si="344"/>
        <v>0</v>
      </c>
      <c r="T107" s="154">
        <f t="shared" si="345"/>
        <v>0</v>
      </c>
      <c r="U107" s="154">
        <f t="shared" si="346"/>
        <v>0</v>
      </c>
      <c r="V107" s="154">
        <f t="shared" si="347"/>
        <v>0</v>
      </c>
      <c r="W107" s="154">
        <f t="shared" si="348"/>
        <v>0</v>
      </c>
      <c r="X107" s="154">
        <f t="shared" si="349"/>
        <v>0</v>
      </c>
      <c r="Y107" s="154">
        <f t="shared" si="350"/>
        <v>0</v>
      </c>
      <c r="Z107" s="154">
        <f t="shared" si="351"/>
        <v>0</v>
      </c>
      <c r="AA107" s="154">
        <f t="shared" si="352"/>
        <v>0</v>
      </c>
      <c r="AB107" s="157">
        <f t="shared" si="353"/>
        <v>0</v>
      </c>
      <c r="AC107" s="154">
        <f t="shared" si="354"/>
        <v>0</v>
      </c>
      <c r="AD107" s="158">
        <f t="shared" si="355"/>
        <v>0</v>
      </c>
      <c r="AE107" s="156">
        <f t="shared" si="398"/>
        <v>0</v>
      </c>
      <c r="AF107" s="154">
        <f t="shared" si="357"/>
        <v>0</v>
      </c>
      <c r="AG107" s="154">
        <f t="shared" si="281"/>
        <v>0</v>
      </c>
      <c r="AH107" s="154">
        <f t="shared" si="358"/>
        <v>0</v>
      </c>
      <c r="AI107" s="154">
        <f t="shared" si="282"/>
        <v>0</v>
      </c>
      <c r="AJ107" s="154">
        <f t="shared" si="359"/>
        <v>0</v>
      </c>
      <c r="AK107" s="154">
        <f t="shared" si="283"/>
        <v>0</v>
      </c>
      <c r="AL107" s="154">
        <f t="shared" si="360"/>
        <v>0</v>
      </c>
      <c r="AM107" s="154">
        <f t="shared" si="284"/>
        <v>0</v>
      </c>
      <c r="AN107" s="154">
        <f t="shared" si="361"/>
        <v>0</v>
      </c>
      <c r="AO107" s="157">
        <f t="shared" si="285"/>
        <v>0</v>
      </c>
      <c r="AP107" s="154">
        <f t="shared" si="286"/>
        <v>0</v>
      </c>
      <c r="AQ107" s="158">
        <f t="shared" si="287"/>
        <v>0</v>
      </c>
      <c r="AR107" s="156">
        <f t="shared" si="398"/>
        <v>0</v>
      </c>
      <c r="AS107" s="154">
        <f t="shared" si="362"/>
        <v>0</v>
      </c>
      <c r="AT107" s="154">
        <f t="shared" si="288"/>
        <v>0</v>
      </c>
      <c r="AU107" s="154">
        <f t="shared" si="363"/>
        <v>0</v>
      </c>
      <c r="AV107" s="154">
        <f t="shared" si="289"/>
        <v>0</v>
      </c>
      <c r="AW107" s="154">
        <f t="shared" si="364"/>
        <v>0</v>
      </c>
      <c r="AX107" s="154">
        <f t="shared" si="290"/>
        <v>0</v>
      </c>
      <c r="AY107" s="154">
        <f t="shared" si="365"/>
        <v>0</v>
      </c>
      <c r="AZ107" s="154">
        <f t="shared" si="291"/>
        <v>0</v>
      </c>
      <c r="BA107" s="154">
        <f t="shared" si="366"/>
        <v>0</v>
      </c>
      <c r="BB107" s="157">
        <f t="shared" si="292"/>
        <v>0</v>
      </c>
      <c r="BC107" s="154">
        <f t="shared" si="293"/>
        <v>0</v>
      </c>
      <c r="BD107" s="158">
        <f t="shared" si="294"/>
        <v>0</v>
      </c>
      <c r="BE107" s="156">
        <f t="shared" si="398"/>
        <v>0</v>
      </c>
      <c r="BF107" s="154">
        <f t="shared" si="367"/>
        <v>0</v>
      </c>
      <c r="BG107" s="154">
        <f t="shared" si="295"/>
        <v>0</v>
      </c>
      <c r="BH107" s="154">
        <f t="shared" si="368"/>
        <v>0</v>
      </c>
      <c r="BI107" s="154">
        <f t="shared" si="296"/>
        <v>0</v>
      </c>
      <c r="BJ107" s="154">
        <f t="shared" si="369"/>
        <v>0</v>
      </c>
      <c r="BK107" s="154">
        <f t="shared" si="297"/>
        <v>0</v>
      </c>
      <c r="BL107" s="154">
        <f t="shared" si="370"/>
        <v>0</v>
      </c>
      <c r="BM107" s="154">
        <f t="shared" si="298"/>
        <v>0</v>
      </c>
      <c r="BN107" s="154">
        <f t="shared" si="371"/>
        <v>0</v>
      </c>
      <c r="BO107" s="157">
        <f t="shared" si="299"/>
        <v>0</v>
      </c>
      <c r="BP107" s="154">
        <f t="shared" si="300"/>
        <v>0</v>
      </c>
      <c r="BQ107" s="158">
        <f t="shared" si="301"/>
        <v>0</v>
      </c>
      <c r="BR107" s="156">
        <f t="shared" si="398"/>
        <v>0</v>
      </c>
      <c r="BS107" s="154">
        <f t="shared" si="372"/>
        <v>0</v>
      </c>
      <c r="BT107" s="154">
        <f t="shared" si="302"/>
        <v>0</v>
      </c>
      <c r="BU107" s="154">
        <f t="shared" si="373"/>
        <v>0</v>
      </c>
      <c r="BV107" s="154">
        <f t="shared" si="303"/>
        <v>0</v>
      </c>
      <c r="BW107" s="154">
        <f t="shared" si="374"/>
        <v>0</v>
      </c>
      <c r="BX107" s="154">
        <f t="shared" si="304"/>
        <v>0</v>
      </c>
      <c r="BY107" s="154">
        <f t="shared" si="375"/>
        <v>0</v>
      </c>
      <c r="BZ107" s="154">
        <f t="shared" si="305"/>
        <v>0</v>
      </c>
      <c r="CA107" s="154">
        <f t="shared" si="376"/>
        <v>0</v>
      </c>
      <c r="CB107" s="157">
        <f t="shared" si="306"/>
        <v>0</v>
      </c>
      <c r="CC107" s="154">
        <f t="shared" si="307"/>
        <v>0</v>
      </c>
      <c r="CD107" s="158">
        <f t="shared" si="308"/>
        <v>0</v>
      </c>
      <c r="CE107" s="156">
        <f t="shared" si="398"/>
        <v>0</v>
      </c>
      <c r="CF107" s="154">
        <f t="shared" si="377"/>
        <v>0</v>
      </c>
      <c r="CG107" s="154">
        <f t="shared" si="309"/>
        <v>0</v>
      </c>
      <c r="CH107" s="154">
        <f t="shared" si="378"/>
        <v>0</v>
      </c>
      <c r="CI107" s="154">
        <f t="shared" si="310"/>
        <v>0</v>
      </c>
      <c r="CJ107" s="154">
        <f t="shared" si="379"/>
        <v>0</v>
      </c>
      <c r="CK107" s="154">
        <f t="shared" si="311"/>
        <v>0</v>
      </c>
      <c r="CL107" s="154">
        <f t="shared" si="380"/>
        <v>0</v>
      </c>
      <c r="CM107" s="154">
        <f t="shared" si="312"/>
        <v>0</v>
      </c>
      <c r="CN107" s="154">
        <f t="shared" si="381"/>
        <v>0</v>
      </c>
      <c r="CO107" s="157">
        <f t="shared" si="313"/>
        <v>0</v>
      </c>
      <c r="CP107" s="154">
        <f t="shared" si="314"/>
        <v>0</v>
      </c>
      <c r="CQ107" s="158">
        <f t="shared" si="315"/>
        <v>0</v>
      </c>
      <c r="CR107" s="156">
        <f t="shared" si="399"/>
        <v>0</v>
      </c>
      <c r="CS107" s="154">
        <f t="shared" si="383"/>
        <v>0</v>
      </c>
      <c r="CT107" s="154">
        <f t="shared" si="317"/>
        <v>0</v>
      </c>
      <c r="CU107" s="154">
        <f t="shared" si="384"/>
        <v>0</v>
      </c>
      <c r="CV107" s="154">
        <f t="shared" si="318"/>
        <v>0</v>
      </c>
      <c r="CW107" s="154">
        <f t="shared" si="385"/>
        <v>0</v>
      </c>
      <c r="CX107" s="154">
        <f t="shared" si="319"/>
        <v>0</v>
      </c>
      <c r="CY107" s="154">
        <f t="shared" si="386"/>
        <v>0</v>
      </c>
      <c r="CZ107" s="154">
        <f t="shared" si="320"/>
        <v>0</v>
      </c>
      <c r="DA107" s="154">
        <f t="shared" si="387"/>
        <v>0</v>
      </c>
      <c r="DB107" s="157">
        <f t="shared" si="321"/>
        <v>0</v>
      </c>
      <c r="DC107" s="154">
        <f t="shared" si="322"/>
        <v>0</v>
      </c>
      <c r="DD107" s="158">
        <f t="shared" si="323"/>
        <v>0</v>
      </c>
      <c r="DE107" s="156">
        <f t="shared" si="399"/>
        <v>0</v>
      </c>
      <c r="DF107" s="154">
        <f t="shared" si="388"/>
        <v>0</v>
      </c>
      <c r="DG107" s="154">
        <f t="shared" si="324"/>
        <v>0</v>
      </c>
      <c r="DH107" s="154">
        <f t="shared" si="389"/>
        <v>0</v>
      </c>
      <c r="DI107" s="154">
        <f t="shared" si="325"/>
        <v>0</v>
      </c>
      <c r="DJ107" s="154">
        <f t="shared" si="390"/>
        <v>0</v>
      </c>
      <c r="DK107" s="154">
        <f t="shared" si="326"/>
        <v>0</v>
      </c>
      <c r="DL107" s="154">
        <f t="shared" si="391"/>
        <v>0</v>
      </c>
      <c r="DM107" s="154">
        <f t="shared" si="327"/>
        <v>0</v>
      </c>
      <c r="DN107" s="154">
        <f t="shared" si="392"/>
        <v>0</v>
      </c>
      <c r="DO107" s="157">
        <f t="shared" si="328"/>
        <v>0</v>
      </c>
      <c r="DP107" s="154">
        <f t="shared" si="329"/>
        <v>0</v>
      </c>
      <c r="DQ107" s="158">
        <f t="shared" si="330"/>
        <v>0</v>
      </c>
      <c r="DR107" s="156">
        <f t="shared" si="399"/>
        <v>0</v>
      </c>
      <c r="DS107" s="154">
        <f t="shared" si="393"/>
        <v>0</v>
      </c>
      <c r="DT107" s="154">
        <f t="shared" si="331"/>
        <v>0</v>
      </c>
      <c r="DU107" s="154">
        <f t="shared" si="394"/>
        <v>0</v>
      </c>
      <c r="DV107" s="154">
        <f t="shared" si="332"/>
        <v>0</v>
      </c>
      <c r="DW107" s="154">
        <f t="shared" si="395"/>
        <v>0</v>
      </c>
      <c r="DX107" s="154">
        <f t="shared" si="333"/>
        <v>0</v>
      </c>
      <c r="DY107" s="154">
        <f t="shared" si="396"/>
        <v>0</v>
      </c>
      <c r="DZ107" s="154">
        <f t="shared" si="334"/>
        <v>0</v>
      </c>
      <c r="EA107" s="154">
        <f t="shared" si="397"/>
        <v>0</v>
      </c>
      <c r="EB107" s="157">
        <f t="shared" si="335"/>
        <v>0</v>
      </c>
      <c r="EC107" s="154">
        <f t="shared" si="336"/>
        <v>0</v>
      </c>
      <c r="ED107" s="158">
        <f t="shared" si="337"/>
        <v>0</v>
      </c>
    </row>
    <row r="108" spans="1:134" x14ac:dyDescent="0.35">
      <c r="A108" s="172"/>
      <c r="B108" s="173"/>
      <c r="C108" s="174"/>
      <c r="D108" s="175"/>
      <c r="E108" s="176"/>
      <c r="F108" s="177"/>
      <c r="G108" s="178"/>
      <c r="H108" s="179"/>
      <c r="I108" s="180"/>
      <c r="J108" s="181"/>
      <c r="K108" s="152">
        <f t="shared" si="338"/>
        <v>0</v>
      </c>
      <c r="L108" s="153">
        <f t="shared" si="339"/>
        <v>0</v>
      </c>
      <c r="M108" s="154">
        <f t="shared" si="340"/>
        <v>0</v>
      </c>
      <c r="N108" s="154"/>
      <c r="O108" s="154">
        <f t="shared" si="341"/>
        <v>0</v>
      </c>
      <c r="P108" s="155"/>
      <c r="Q108" s="154">
        <f t="shared" si="342"/>
        <v>0</v>
      </c>
      <c r="R108" s="156">
        <f t="shared" si="343"/>
        <v>0</v>
      </c>
      <c r="S108" s="154">
        <f t="shared" si="344"/>
        <v>0</v>
      </c>
      <c r="T108" s="154">
        <f t="shared" si="345"/>
        <v>0</v>
      </c>
      <c r="U108" s="154">
        <f t="shared" si="346"/>
        <v>0</v>
      </c>
      <c r="V108" s="154">
        <f t="shared" si="347"/>
        <v>0</v>
      </c>
      <c r="W108" s="154">
        <f t="shared" si="348"/>
        <v>0</v>
      </c>
      <c r="X108" s="154">
        <f t="shared" si="349"/>
        <v>0</v>
      </c>
      <c r="Y108" s="154">
        <f t="shared" si="350"/>
        <v>0</v>
      </c>
      <c r="Z108" s="154">
        <f t="shared" si="351"/>
        <v>0</v>
      </c>
      <c r="AA108" s="154">
        <f t="shared" si="352"/>
        <v>0</v>
      </c>
      <c r="AB108" s="157">
        <f t="shared" si="353"/>
        <v>0</v>
      </c>
      <c r="AC108" s="154">
        <f t="shared" si="354"/>
        <v>0</v>
      </c>
      <c r="AD108" s="158">
        <f t="shared" si="355"/>
        <v>0</v>
      </c>
      <c r="AE108" s="156">
        <f t="shared" si="398"/>
        <v>0</v>
      </c>
      <c r="AF108" s="154">
        <f t="shared" si="357"/>
        <v>0</v>
      </c>
      <c r="AG108" s="154">
        <f t="shared" si="281"/>
        <v>0</v>
      </c>
      <c r="AH108" s="154">
        <f t="shared" si="358"/>
        <v>0</v>
      </c>
      <c r="AI108" s="154">
        <f t="shared" si="282"/>
        <v>0</v>
      </c>
      <c r="AJ108" s="154">
        <f t="shared" si="359"/>
        <v>0</v>
      </c>
      <c r="AK108" s="154">
        <f t="shared" si="283"/>
        <v>0</v>
      </c>
      <c r="AL108" s="154">
        <f t="shared" si="360"/>
        <v>0</v>
      </c>
      <c r="AM108" s="154">
        <f t="shared" si="284"/>
        <v>0</v>
      </c>
      <c r="AN108" s="154">
        <f t="shared" si="361"/>
        <v>0</v>
      </c>
      <c r="AO108" s="157">
        <f t="shared" si="285"/>
        <v>0</v>
      </c>
      <c r="AP108" s="154">
        <f t="shared" si="286"/>
        <v>0</v>
      </c>
      <c r="AQ108" s="158">
        <f t="shared" si="287"/>
        <v>0</v>
      </c>
      <c r="AR108" s="156">
        <f t="shared" si="398"/>
        <v>0</v>
      </c>
      <c r="AS108" s="154">
        <f t="shared" si="362"/>
        <v>0</v>
      </c>
      <c r="AT108" s="154">
        <f t="shared" si="288"/>
        <v>0</v>
      </c>
      <c r="AU108" s="154">
        <f t="shared" si="363"/>
        <v>0</v>
      </c>
      <c r="AV108" s="154">
        <f t="shared" si="289"/>
        <v>0</v>
      </c>
      <c r="AW108" s="154">
        <f t="shared" si="364"/>
        <v>0</v>
      </c>
      <c r="AX108" s="154">
        <f t="shared" si="290"/>
        <v>0</v>
      </c>
      <c r="AY108" s="154">
        <f t="shared" si="365"/>
        <v>0</v>
      </c>
      <c r="AZ108" s="154">
        <f t="shared" si="291"/>
        <v>0</v>
      </c>
      <c r="BA108" s="154">
        <f t="shared" si="366"/>
        <v>0</v>
      </c>
      <c r="BB108" s="157">
        <f t="shared" si="292"/>
        <v>0</v>
      </c>
      <c r="BC108" s="154">
        <f t="shared" si="293"/>
        <v>0</v>
      </c>
      <c r="BD108" s="158">
        <f t="shared" si="294"/>
        <v>0</v>
      </c>
      <c r="BE108" s="156">
        <f t="shared" si="398"/>
        <v>0</v>
      </c>
      <c r="BF108" s="154">
        <f t="shared" si="367"/>
        <v>0</v>
      </c>
      <c r="BG108" s="154">
        <f t="shared" si="295"/>
        <v>0</v>
      </c>
      <c r="BH108" s="154">
        <f t="shared" si="368"/>
        <v>0</v>
      </c>
      <c r="BI108" s="154">
        <f t="shared" si="296"/>
        <v>0</v>
      </c>
      <c r="BJ108" s="154">
        <f t="shared" si="369"/>
        <v>0</v>
      </c>
      <c r="BK108" s="154">
        <f t="shared" si="297"/>
        <v>0</v>
      </c>
      <c r="BL108" s="154">
        <f t="shared" si="370"/>
        <v>0</v>
      </c>
      <c r="BM108" s="154">
        <f t="shared" si="298"/>
        <v>0</v>
      </c>
      <c r="BN108" s="154">
        <f t="shared" si="371"/>
        <v>0</v>
      </c>
      <c r="BO108" s="157">
        <f t="shared" si="299"/>
        <v>0</v>
      </c>
      <c r="BP108" s="154">
        <f t="shared" si="300"/>
        <v>0</v>
      </c>
      <c r="BQ108" s="158">
        <f t="shared" si="301"/>
        <v>0</v>
      </c>
      <c r="BR108" s="156">
        <f t="shared" si="398"/>
        <v>0</v>
      </c>
      <c r="BS108" s="154">
        <f t="shared" si="372"/>
        <v>0</v>
      </c>
      <c r="BT108" s="154">
        <f t="shared" si="302"/>
        <v>0</v>
      </c>
      <c r="BU108" s="154">
        <f t="shared" si="373"/>
        <v>0</v>
      </c>
      <c r="BV108" s="154">
        <f t="shared" si="303"/>
        <v>0</v>
      </c>
      <c r="BW108" s="154">
        <f t="shared" si="374"/>
        <v>0</v>
      </c>
      <c r="BX108" s="154">
        <f t="shared" si="304"/>
        <v>0</v>
      </c>
      <c r="BY108" s="154">
        <f t="shared" si="375"/>
        <v>0</v>
      </c>
      <c r="BZ108" s="154">
        <f t="shared" si="305"/>
        <v>0</v>
      </c>
      <c r="CA108" s="154">
        <f t="shared" si="376"/>
        <v>0</v>
      </c>
      <c r="CB108" s="157">
        <f t="shared" si="306"/>
        <v>0</v>
      </c>
      <c r="CC108" s="154">
        <f t="shared" si="307"/>
        <v>0</v>
      </c>
      <c r="CD108" s="158">
        <f t="shared" si="308"/>
        <v>0</v>
      </c>
      <c r="CE108" s="156">
        <f t="shared" si="398"/>
        <v>0</v>
      </c>
      <c r="CF108" s="154">
        <f t="shared" si="377"/>
        <v>0</v>
      </c>
      <c r="CG108" s="154">
        <f t="shared" si="309"/>
        <v>0</v>
      </c>
      <c r="CH108" s="154">
        <f t="shared" si="378"/>
        <v>0</v>
      </c>
      <c r="CI108" s="154">
        <f t="shared" si="310"/>
        <v>0</v>
      </c>
      <c r="CJ108" s="154">
        <f t="shared" si="379"/>
        <v>0</v>
      </c>
      <c r="CK108" s="154">
        <f t="shared" si="311"/>
        <v>0</v>
      </c>
      <c r="CL108" s="154">
        <f t="shared" si="380"/>
        <v>0</v>
      </c>
      <c r="CM108" s="154">
        <f t="shared" si="312"/>
        <v>0</v>
      </c>
      <c r="CN108" s="154">
        <f t="shared" si="381"/>
        <v>0</v>
      </c>
      <c r="CO108" s="157">
        <f t="shared" si="313"/>
        <v>0</v>
      </c>
      <c r="CP108" s="154">
        <f t="shared" si="314"/>
        <v>0</v>
      </c>
      <c r="CQ108" s="158">
        <f t="shared" si="315"/>
        <v>0</v>
      </c>
      <c r="CR108" s="156">
        <f t="shared" si="399"/>
        <v>0</v>
      </c>
      <c r="CS108" s="154">
        <f t="shared" si="383"/>
        <v>0</v>
      </c>
      <c r="CT108" s="154">
        <f t="shared" si="317"/>
        <v>0</v>
      </c>
      <c r="CU108" s="154">
        <f t="shared" si="384"/>
        <v>0</v>
      </c>
      <c r="CV108" s="154">
        <f t="shared" si="318"/>
        <v>0</v>
      </c>
      <c r="CW108" s="154">
        <f t="shared" si="385"/>
        <v>0</v>
      </c>
      <c r="CX108" s="154">
        <f t="shared" si="319"/>
        <v>0</v>
      </c>
      <c r="CY108" s="154">
        <f t="shared" si="386"/>
        <v>0</v>
      </c>
      <c r="CZ108" s="154">
        <f t="shared" si="320"/>
        <v>0</v>
      </c>
      <c r="DA108" s="154">
        <f t="shared" si="387"/>
        <v>0</v>
      </c>
      <c r="DB108" s="157">
        <f t="shared" si="321"/>
        <v>0</v>
      </c>
      <c r="DC108" s="154">
        <f t="shared" si="322"/>
        <v>0</v>
      </c>
      <c r="DD108" s="158">
        <f t="shared" si="323"/>
        <v>0</v>
      </c>
      <c r="DE108" s="156">
        <f t="shared" si="399"/>
        <v>0</v>
      </c>
      <c r="DF108" s="154">
        <f t="shared" si="388"/>
        <v>0</v>
      </c>
      <c r="DG108" s="154">
        <f t="shared" si="324"/>
        <v>0</v>
      </c>
      <c r="DH108" s="154">
        <f t="shared" si="389"/>
        <v>0</v>
      </c>
      <c r="DI108" s="154">
        <f t="shared" si="325"/>
        <v>0</v>
      </c>
      <c r="DJ108" s="154">
        <f t="shared" si="390"/>
        <v>0</v>
      </c>
      <c r="DK108" s="154">
        <f t="shared" si="326"/>
        <v>0</v>
      </c>
      <c r="DL108" s="154">
        <f t="shared" si="391"/>
        <v>0</v>
      </c>
      <c r="DM108" s="154">
        <f t="shared" si="327"/>
        <v>0</v>
      </c>
      <c r="DN108" s="154">
        <f t="shared" si="392"/>
        <v>0</v>
      </c>
      <c r="DO108" s="157">
        <f t="shared" si="328"/>
        <v>0</v>
      </c>
      <c r="DP108" s="154">
        <f t="shared" si="329"/>
        <v>0</v>
      </c>
      <c r="DQ108" s="158">
        <f t="shared" si="330"/>
        <v>0</v>
      </c>
      <c r="DR108" s="156">
        <f t="shared" si="399"/>
        <v>0</v>
      </c>
      <c r="DS108" s="154">
        <f t="shared" si="393"/>
        <v>0</v>
      </c>
      <c r="DT108" s="154">
        <f t="shared" si="331"/>
        <v>0</v>
      </c>
      <c r="DU108" s="154">
        <f t="shared" si="394"/>
        <v>0</v>
      </c>
      <c r="DV108" s="154">
        <f t="shared" si="332"/>
        <v>0</v>
      </c>
      <c r="DW108" s="154">
        <f t="shared" si="395"/>
        <v>0</v>
      </c>
      <c r="DX108" s="154">
        <f t="shared" si="333"/>
        <v>0</v>
      </c>
      <c r="DY108" s="154">
        <f t="shared" si="396"/>
        <v>0</v>
      </c>
      <c r="DZ108" s="154">
        <f t="shared" si="334"/>
        <v>0</v>
      </c>
      <c r="EA108" s="154">
        <f t="shared" si="397"/>
        <v>0</v>
      </c>
      <c r="EB108" s="157">
        <f t="shared" si="335"/>
        <v>0</v>
      </c>
      <c r="EC108" s="154">
        <f t="shared" si="336"/>
        <v>0</v>
      </c>
      <c r="ED108" s="158">
        <f t="shared" si="337"/>
        <v>0</v>
      </c>
    </row>
    <row r="109" spans="1:134" x14ac:dyDescent="0.35">
      <c r="A109" s="172"/>
      <c r="B109" s="173"/>
      <c r="C109" s="174"/>
      <c r="D109" s="175"/>
      <c r="E109" s="176"/>
      <c r="F109" s="177"/>
      <c r="G109" s="178"/>
      <c r="H109" s="179"/>
      <c r="I109" s="180"/>
      <c r="J109" s="181"/>
      <c r="K109" s="152">
        <f t="shared" si="338"/>
        <v>0</v>
      </c>
      <c r="L109" s="153">
        <f t="shared" si="339"/>
        <v>0</v>
      </c>
      <c r="M109" s="154">
        <f t="shared" si="340"/>
        <v>0</v>
      </c>
      <c r="N109" s="154"/>
      <c r="O109" s="154">
        <f t="shared" si="341"/>
        <v>0</v>
      </c>
      <c r="P109" s="155"/>
      <c r="Q109" s="154">
        <f t="shared" si="342"/>
        <v>0</v>
      </c>
      <c r="R109" s="156">
        <f t="shared" si="343"/>
        <v>0</v>
      </c>
      <c r="S109" s="154">
        <f t="shared" si="344"/>
        <v>0</v>
      </c>
      <c r="T109" s="154">
        <f t="shared" si="345"/>
        <v>0</v>
      </c>
      <c r="U109" s="154">
        <f t="shared" si="346"/>
        <v>0</v>
      </c>
      <c r="V109" s="154">
        <f t="shared" si="347"/>
        <v>0</v>
      </c>
      <c r="W109" s="154">
        <f t="shared" si="348"/>
        <v>0</v>
      </c>
      <c r="X109" s="154">
        <f t="shared" si="349"/>
        <v>0</v>
      </c>
      <c r="Y109" s="154">
        <f t="shared" si="350"/>
        <v>0</v>
      </c>
      <c r="Z109" s="154">
        <f t="shared" si="351"/>
        <v>0</v>
      </c>
      <c r="AA109" s="154">
        <f t="shared" si="352"/>
        <v>0</v>
      </c>
      <c r="AB109" s="157">
        <f t="shared" si="353"/>
        <v>0</v>
      </c>
      <c r="AC109" s="154">
        <f t="shared" si="354"/>
        <v>0</v>
      </c>
      <c r="AD109" s="158">
        <f t="shared" si="355"/>
        <v>0</v>
      </c>
      <c r="AE109" s="156">
        <f t="shared" si="398"/>
        <v>0</v>
      </c>
      <c r="AF109" s="154">
        <f t="shared" si="357"/>
        <v>0</v>
      </c>
      <c r="AG109" s="154">
        <f t="shared" si="281"/>
        <v>0</v>
      </c>
      <c r="AH109" s="154">
        <f t="shared" si="358"/>
        <v>0</v>
      </c>
      <c r="AI109" s="154">
        <f t="shared" si="282"/>
        <v>0</v>
      </c>
      <c r="AJ109" s="154">
        <f t="shared" si="359"/>
        <v>0</v>
      </c>
      <c r="AK109" s="154">
        <f t="shared" si="283"/>
        <v>0</v>
      </c>
      <c r="AL109" s="154">
        <f t="shared" si="360"/>
        <v>0</v>
      </c>
      <c r="AM109" s="154">
        <f t="shared" si="284"/>
        <v>0</v>
      </c>
      <c r="AN109" s="154">
        <f t="shared" si="361"/>
        <v>0</v>
      </c>
      <c r="AO109" s="157">
        <f t="shared" si="285"/>
        <v>0</v>
      </c>
      <c r="AP109" s="154">
        <f t="shared" si="286"/>
        <v>0</v>
      </c>
      <c r="AQ109" s="158">
        <f t="shared" si="287"/>
        <v>0</v>
      </c>
      <c r="AR109" s="156">
        <f t="shared" si="398"/>
        <v>0</v>
      </c>
      <c r="AS109" s="154">
        <f t="shared" si="362"/>
        <v>0</v>
      </c>
      <c r="AT109" s="154">
        <f t="shared" si="288"/>
        <v>0</v>
      </c>
      <c r="AU109" s="154">
        <f t="shared" si="363"/>
        <v>0</v>
      </c>
      <c r="AV109" s="154">
        <f t="shared" si="289"/>
        <v>0</v>
      </c>
      <c r="AW109" s="154">
        <f t="shared" si="364"/>
        <v>0</v>
      </c>
      <c r="AX109" s="154">
        <f t="shared" si="290"/>
        <v>0</v>
      </c>
      <c r="AY109" s="154">
        <f t="shared" si="365"/>
        <v>0</v>
      </c>
      <c r="AZ109" s="154">
        <f t="shared" si="291"/>
        <v>0</v>
      </c>
      <c r="BA109" s="154">
        <f t="shared" si="366"/>
        <v>0</v>
      </c>
      <c r="BB109" s="157">
        <f t="shared" si="292"/>
        <v>0</v>
      </c>
      <c r="BC109" s="154">
        <f t="shared" si="293"/>
        <v>0</v>
      </c>
      <c r="BD109" s="158">
        <f t="shared" si="294"/>
        <v>0</v>
      </c>
      <c r="BE109" s="156">
        <f t="shared" si="398"/>
        <v>0</v>
      </c>
      <c r="BF109" s="154">
        <f t="shared" si="367"/>
        <v>0</v>
      </c>
      <c r="BG109" s="154">
        <f t="shared" si="295"/>
        <v>0</v>
      </c>
      <c r="BH109" s="154">
        <f t="shared" si="368"/>
        <v>0</v>
      </c>
      <c r="BI109" s="154">
        <f t="shared" si="296"/>
        <v>0</v>
      </c>
      <c r="BJ109" s="154">
        <f t="shared" si="369"/>
        <v>0</v>
      </c>
      <c r="BK109" s="154">
        <f t="shared" si="297"/>
        <v>0</v>
      </c>
      <c r="BL109" s="154">
        <f t="shared" si="370"/>
        <v>0</v>
      </c>
      <c r="BM109" s="154">
        <f t="shared" si="298"/>
        <v>0</v>
      </c>
      <c r="BN109" s="154">
        <f t="shared" si="371"/>
        <v>0</v>
      </c>
      <c r="BO109" s="157">
        <f t="shared" si="299"/>
        <v>0</v>
      </c>
      <c r="BP109" s="154">
        <f t="shared" si="300"/>
        <v>0</v>
      </c>
      <c r="BQ109" s="158">
        <f t="shared" si="301"/>
        <v>0</v>
      </c>
      <c r="BR109" s="156">
        <f t="shared" si="398"/>
        <v>0</v>
      </c>
      <c r="BS109" s="154">
        <f t="shared" si="372"/>
        <v>0</v>
      </c>
      <c r="BT109" s="154">
        <f t="shared" si="302"/>
        <v>0</v>
      </c>
      <c r="BU109" s="154">
        <f t="shared" si="373"/>
        <v>0</v>
      </c>
      <c r="BV109" s="154">
        <f t="shared" si="303"/>
        <v>0</v>
      </c>
      <c r="BW109" s="154">
        <f t="shared" si="374"/>
        <v>0</v>
      </c>
      <c r="BX109" s="154">
        <f t="shared" si="304"/>
        <v>0</v>
      </c>
      <c r="BY109" s="154">
        <f t="shared" si="375"/>
        <v>0</v>
      </c>
      <c r="BZ109" s="154">
        <f t="shared" si="305"/>
        <v>0</v>
      </c>
      <c r="CA109" s="154">
        <f t="shared" si="376"/>
        <v>0</v>
      </c>
      <c r="CB109" s="157">
        <f t="shared" si="306"/>
        <v>0</v>
      </c>
      <c r="CC109" s="154">
        <f t="shared" si="307"/>
        <v>0</v>
      </c>
      <c r="CD109" s="158">
        <f t="shared" si="308"/>
        <v>0</v>
      </c>
      <c r="CE109" s="156">
        <f t="shared" si="398"/>
        <v>0</v>
      </c>
      <c r="CF109" s="154">
        <f t="shared" si="377"/>
        <v>0</v>
      </c>
      <c r="CG109" s="154">
        <f t="shared" si="309"/>
        <v>0</v>
      </c>
      <c r="CH109" s="154">
        <f t="shared" si="378"/>
        <v>0</v>
      </c>
      <c r="CI109" s="154">
        <f t="shared" si="310"/>
        <v>0</v>
      </c>
      <c r="CJ109" s="154">
        <f t="shared" si="379"/>
        <v>0</v>
      </c>
      <c r="CK109" s="154">
        <f t="shared" si="311"/>
        <v>0</v>
      </c>
      <c r="CL109" s="154">
        <f t="shared" si="380"/>
        <v>0</v>
      </c>
      <c r="CM109" s="154">
        <f t="shared" si="312"/>
        <v>0</v>
      </c>
      <c r="CN109" s="154">
        <f t="shared" si="381"/>
        <v>0</v>
      </c>
      <c r="CO109" s="157">
        <f t="shared" si="313"/>
        <v>0</v>
      </c>
      <c r="CP109" s="154">
        <f t="shared" si="314"/>
        <v>0</v>
      </c>
      <c r="CQ109" s="158">
        <f t="shared" si="315"/>
        <v>0</v>
      </c>
      <c r="CR109" s="156">
        <f t="shared" si="399"/>
        <v>0</v>
      </c>
      <c r="CS109" s="154">
        <f t="shared" si="383"/>
        <v>0</v>
      </c>
      <c r="CT109" s="154">
        <f t="shared" si="317"/>
        <v>0</v>
      </c>
      <c r="CU109" s="154">
        <f t="shared" si="384"/>
        <v>0</v>
      </c>
      <c r="CV109" s="154">
        <f t="shared" si="318"/>
        <v>0</v>
      </c>
      <c r="CW109" s="154">
        <f t="shared" si="385"/>
        <v>0</v>
      </c>
      <c r="CX109" s="154">
        <f t="shared" si="319"/>
        <v>0</v>
      </c>
      <c r="CY109" s="154">
        <f t="shared" si="386"/>
        <v>0</v>
      </c>
      <c r="CZ109" s="154">
        <f t="shared" si="320"/>
        <v>0</v>
      </c>
      <c r="DA109" s="154">
        <f t="shared" si="387"/>
        <v>0</v>
      </c>
      <c r="DB109" s="157">
        <f t="shared" si="321"/>
        <v>0</v>
      </c>
      <c r="DC109" s="154">
        <f t="shared" si="322"/>
        <v>0</v>
      </c>
      <c r="DD109" s="158">
        <f t="shared" si="323"/>
        <v>0</v>
      </c>
      <c r="DE109" s="156">
        <f t="shared" si="399"/>
        <v>0</v>
      </c>
      <c r="DF109" s="154">
        <f t="shared" si="388"/>
        <v>0</v>
      </c>
      <c r="DG109" s="154">
        <f t="shared" si="324"/>
        <v>0</v>
      </c>
      <c r="DH109" s="154">
        <f t="shared" si="389"/>
        <v>0</v>
      </c>
      <c r="DI109" s="154">
        <f t="shared" si="325"/>
        <v>0</v>
      </c>
      <c r="DJ109" s="154">
        <f t="shared" si="390"/>
        <v>0</v>
      </c>
      <c r="DK109" s="154">
        <f t="shared" si="326"/>
        <v>0</v>
      </c>
      <c r="DL109" s="154">
        <f t="shared" si="391"/>
        <v>0</v>
      </c>
      <c r="DM109" s="154">
        <f t="shared" si="327"/>
        <v>0</v>
      </c>
      <c r="DN109" s="154">
        <f t="shared" si="392"/>
        <v>0</v>
      </c>
      <c r="DO109" s="157">
        <f t="shared" si="328"/>
        <v>0</v>
      </c>
      <c r="DP109" s="154">
        <f t="shared" si="329"/>
        <v>0</v>
      </c>
      <c r="DQ109" s="158">
        <f t="shared" si="330"/>
        <v>0</v>
      </c>
      <c r="DR109" s="156">
        <f t="shared" si="399"/>
        <v>0</v>
      </c>
      <c r="DS109" s="154">
        <f t="shared" si="393"/>
        <v>0</v>
      </c>
      <c r="DT109" s="154">
        <f t="shared" si="331"/>
        <v>0</v>
      </c>
      <c r="DU109" s="154">
        <f t="shared" si="394"/>
        <v>0</v>
      </c>
      <c r="DV109" s="154">
        <f t="shared" si="332"/>
        <v>0</v>
      </c>
      <c r="DW109" s="154">
        <f t="shared" si="395"/>
        <v>0</v>
      </c>
      <c r="DX109" s="154">
        <f t="shared" si="333"/>
        <v>0</v>
      </c>
      <c r="DY109" s="154">
        <f t="shared" si="396"/>
        <v>0</v>
      </c>
      <c r="DZ109" s="154">
        <f t="shared" si="334"/>
        <v>0</v>
      </c>
      <c r="EA109" s="154">
        <f t="shared" si="397"/>
        <v>0</v>
      </c>
      <c r="EB109" s="157">
        <f t="shared" si="335"/>
        <v>0</v>
      </c>
      <c r="EC109" s="154">
        <f t="shared" si="336"/>
        <v>0</v>
      </c>
      <c r="ED109" s="158">
        <f t="shared" si="337"/>
        <v>0</v>
      </c>
    </row>
    <row r="110" spans="1:134" x14ac:dyDescent="0.35">
      <c r="A110" s="172"/>
      <c r="B110" s="173"/>
      <c r="C110" s="174"/>
      <c r="D110" s="175"/>
      <c r="E110" s="176"/>
      <c r="F110" s="177"/>
      <c r="G110" s="178"/>
      <c r="H110" s="179"/>
      <c r="I110" s="180"/>
      <c r="J110" s="181"/>
      <c r="K110" s="152">
        <f t="shared" si="338"/>
        <v>0</v>
      </c>
      <c r="L110" s="153">
        <f t="shared" si="339"/>
        <v>0</v>
      </c>
      <c r="M110" s="154">
        <f t="shared" si="340"/>
        <v>0</v>
      </c>
      <c r="N110" s="154"/>
      <c r="O110" s="154">
        <f t="shared" si="341"/>
        <v>0</v>
      </c>
      <c r="P110" s="155"/>
      <c r="Q110" s="154">
        <f t="shared" si="342"/>
        <v>0</v>
      </c>
      <c r="R110" s="156">
        <f t="shared" si="343"/>
        <v>0</v>
      </c>
      <c r="S110" s="154">
        <f t="shared" si="344"/>
        <v>0</v>
      </c>
      <c r="T110" s="154">
        <f t="shared" si="345"/>
        <v>0</v>
      </c>
      <c r="U110" s="154">
        <f t="shared" si="346"/>
        <v>0</v>
      </c>
      <c r="V110" s="154">
        <f t="shared" si="347"/>
        <v>0</v>
      </c>
      <c r="W110" s="154">
        <f t="shared" si="348"/>
        <v>0</v>
      </c>
      <c r="X110" s="154">
        <f t="shared" si="349"/>
        <v>0</v>
      </c>
      <c r="Y110" s="154">
        <f t="shared" si="350"/>
        <v>0</v>
      </c>
      <c r="Z110" s="154">
        <f t="shared" si="351"/>
        <v>0</v>
      </c>
      <c r="AA110" s="154">
        <f t="shared" si="352"/>
        <v>0</v>
      </c>
      <c r="AB110" s="157">
        <f t="shared" si="353"/>
        <v>0</v>
      </c>
      <c r="AC110" s="154">
        <f t="shared" si="354"/>
        <v>0</v>
      </c>
      <c r="AD110" s="158">
        <f t="shared" si="355"/>
        <v>0</v>
      </c>
      <c r="AE110" s="156">
        <f t="shared" si="398"/>
        <v>0</v>
      </c>
      <c r="AF110" s="154">
        <f t="shared" si="357"/>
        <v>0</v>
      </c>
      <c r="AG110" s="154">
        <f t="shared" si="281"/>
        <v>0</v>
      </c>
      <c r="AH110" s="154">
        <f t="shared" si="358"/>
        <v>0</v>
      </c>
      <c r="AI110" s="154">
        <f t="shared" si="282"/>
        <v>0</v>
      </c>
      <c r="AJ110" s="154">
        <f t="shared" si="359"/>
        <v>0</v>
      </c>
      <c r="AK110" s="154">
        <f t="shared" si="283"/>
        <v>0</v>
      </c>
      <c r="AL110" s="154">
        <f t="shared" si="360"/>
        <v>0</v>
      </c>
      <c r="AM110" s="154">
        <f t="shared" si="284"/>
        <v>0</v>
      </c>
      <c r="AN110" s="154">
        <f t="shared" si="361"/>
        <v>0</v>
      </c>
      <c r="AO110" s="157">
        <f t="shared" si="285"/>
        <v>0</v>
      </c>
      <c r="AP110" s="154">
        <f t="shared" si="286"/>
        <v>0</v>
      </c>
      <c r="AQ110" s="158">
        <f t="shared" si="287"/>
        <v>0</v>
      </c>
      <c r="AR110" s="156">
        <f t="shared" si="398"/>
        <v>0</v>
      </c>
      <c r="AS110" s="154">
        <f t="shared" si="362"/>
        <v>0</v>
      </c>
      <c r="AT110" s="154">
        <f t="shared" si="288"/>
        <v>0</v>
      </c>
      <c r="AU110" s="154">
        <f t="shared" si="363"/>
        <v>0</v>
      </c>
      <c r="AV110" s="154">
        <f t="shared" si="289"/>
        <v>0</v>
      </c>
      <c r="AW110" s="154">
        <f t="shared" si="364"/>
        <v>0</v>
      </c>
      <c r="AX110" s="154">
        <f t="shared" si="290"/>
        <v>0</v>
      </c>
      <c r="AY110" s="154">
        <f t="shared" si="365"/>
        <v>0</v>
      </c>
      <c r="AZ110" s="154">
        <f t="shared" si="291"/>
        <v>0</v>
      </c>
      <c r="BA110" s="154">
        <f t="shared" si="366"/>
        <v>0</v>
      </c>
      <c r="BB110" s="157">
        <f t="shared" si="292"/>
        <v>0</v>
      </c>
      <c r="BC110" s="154">
        <f t="shared" si="293"/>
        <v>0</v>
      </c>
      <c r="BD110" s="158">
        <f t="shared" si="294"/>
        <v>0</v>
      </c>
      <c r="BE110" s="156">
        <f t="shared" si="398"/>
        <v>0</v>
      </c>
      <c r="BF110" s="154">
        <f t="shared" si="367"/>
        <v>0</v>
      </c>
      <c r="BG110" s="154">
        <f t="shared" si="295"/>
        <v>0</v>
      </c>
      <c r="BH110" s="154">
        <f t="shared" si="368"/>
        <v>0</v>
      </c>
      <c r="BI110" s="154">
        <f t="shared" si="296"/>
        <v>0</v>
      </c>
      <c r="BJ110" s="154">
        <f t="shared" si="369"/>
        <v>0</v>
      </c>
      <c r="BK110" s="154">
        <f t="shared" si="297"/>
        <v>0</v>
      </c>
      <c r="BL110" s="154">
        <f t="shared" si="370"/>
        <v>0</v>
      </c>
      <c r="BM110" s="154">
        <f t="shared" si="298"/>
        <v>0</v>
      </c>
      <c r="BN110" s="154">
        <f t="shared" si="371"/>
        <v>0</v>
      </c>
      <c r="BO110" s="157">
        <f t="shared" si="299"/>
        <v>0</v>
      </c>
      <c r="BP110" s="154">
        <f t="shared" si="300"/>
        <v>0</v>
      </c>
      <c r="BQ110" s="158">
        <f t="shared" si="301"/>
        <v>0</v>
      </c>
      <c r="BR110" s="156">
        <f t="shared" si="398"/>
        <v>0</v>
      </c>
      <c r="BS110" s="154">
        <f t="shared" si="372"/>
        <v>0</v>
      </c>
      <c r="BT110" s="154">
        <f t="shared" si="302"/>
        <v>0</v>
      </c>
      <c r="BU110" s="154">
        <f t="shared" si="373"/>
        <v>0</v>
      </c>
      <c r="BV110" s="154">
        <f t="shared" si="303"/>
        <v>0</v>
      </c>
      <c r="BW110" s="154">
        <f t="shared" si="374"/>
        <v>0</v>
      </c>
      <c r="BX110" s="154">
        <f t="shared" si="304"/>
        <v>0</v>
      </c>
      <c r="BY110" s="154">
        <f t="shared" si="375"/>
        <v>0</v>
      </c>
      <c r="BZ110" s="154">
        <f t="shared" si="305"/>
        <v>0</v>
      </c>
      <c r="CA110" s="154">
        <f t="shared" si="376"/>
        <v>0</v>
      </c>
      <c r="CB110" s="157">
        <f t="shared" si="306"/>
        <v>0</v>
      </c>
      <c r="CC110" s="154">
        <f t="shared" si="307"/>
        <v>0</v>
      </c>
      <c r="CD110" s="158">
        <f t="shared" si="308"/>
        <v>0</v>
      </c>
      <c r="CE110" s="156">
        <f t="shared" si="398"/>
        <v>0</v>
      </c>
      <c r="CF110" s="154">
        <f t="shared" si="377"/>
        <v>0</v>
      </c>
      <c r="CG110" s="154">
        <f t="shared" si="309"/>
        <v>0</v>
      </c>
      <c r="CH110" s="154">
        <f t="shared" si="378"/>
        <v>0</v>
      </c>
      <c r="CI110" s="154">
        <f t="shared" si="310"/>
        <v>0</v>
      </c>
      <c r="CJ110" s="154">
        <f t="shared" si="379"/>
        <v>0</v>
      </c>
      <c r="CK110" s="154">
        <f t="shared" si="311"/>
        <v>0</v>
      </c>
      <c r="CL110" s="154">
        <f t="shared" si="380"/>
        <v>0</v>
      </c>
      <c r="CM110" s="154">
        <f t="shared" si="312"/>
        <v>0</v>
      </c>
      <c r="CN110" s="154">
        <f t="shared" si="381"/>
        <v>0</v>
      </c>
      <c r="CO110" s="157">
        <f t="shared" si="313"/>
        <v>0</v>
      </c>
      <c r="CP110" s="154">
        <f t="shared" si="314"/>
        <v>0</v>
      </c>
      <c r="CQ110" s="158">
        <f t="shared" si="315"/>
        <v>0</v>
      </c>
      <c r="CR110" s="156">
        <f t="shared" si="399"/>
        <v>0</v>
      </c>
      <c r="CS110" s="154">
        <f t="shared" si="383"/>
        <v>0</v>
      </c>
      <c r="CT110" s="154">
        <f t="shared" si="317"/>
        <v>0</v>
      </c>
      <c r="CU110" s="154">
        <f t="shared" si="384"/>
        <v>0</v>
      </c>
      <c r="CV110" s="154">
        <f t="shared" si="318"/>
        <v>0</v>
      </c>
      <c r="CW110" s="154">
        <f t="shared" si="385"/>
        <v>0</v>
      </c>
      <c r="CX110" s="154">
        <f t="shared" si="319"/>
        <v>0</v>
      </c>
      <c r="CY110" s="154">
        <f t="shared" si="386"/>
        <v>0</v>
      </c>
      <c r="CZ110" s="154">
        <f t="shared" si="320"/>
        <v>0</v>
      </c>
      <c r="DA110" s="154">
        <f t="shared" si="387"/>
        <v>0</v>
      </c>
      <c r="DB110" s="157">
        <f t="shared" si="321"/>
        <v>0</v>
      </c>
      <c r="DC110" s="154">
        <f t="shared" si="322"/>
        <v>0</v>
      </c>
      <c r="DD110" s="158">
        <f t="shared" si="323"/>
        <v>0</v>
      </c>
      <c r="DE110" s="156">
        <f t="shared" si="399"/>
        <v>0</v>
      </c>
      <c r="DF110" s="154">
        <f t="shared" si="388"/>
        <v>0</v>
      </c>
      <c r="DG110" s="154">
        <f t="shared" si="324"/>
        <v>0</v>
      </c>
      <c r="DH110" s="154">
        <f t="shared" si="389"/>
        <v>0</v>
      </c>
      <c r="DI110" s="154">
        <f t="shared" si="325"/>
        <v>0</v>
      </c>
      <c r="DJ110" s="154">
        <f t="shared" si="390"/>
        <v>0</v>
      </c>
      <c r="DK110" s="154">
        <f t="shared" si="326"/>
        <v>0</v>
      </c>
      <c r="DL110" s="154">
        <f t="shared" si="391"/>
        <v>0</v>
      </c>
      <c r="DM110" s="154">
        <f t="shared" si="327"/>
        <v>0</v>
      </c>
      <c r="DN110" s="154">
        <f t="shared" si="392"/>
        <v>0</v>
      </c>
      <c r="DO110" s="157">
        <f t="shared" si="328"/>
        <v>0</v>
      </c>
      <c r="DP110" s="154">
        <f t="shared" si="329"/>
        <v>0</v>
      </c>
      <c r="DQ110" s="158">
        <f t="shared" si="330"/>
        <v>0</v>
      </c>
      <c r="DR110" s="156">
        <f t="shared" si="399"/>
        <v>0</v>
      </c>
      <c r="DS110" s="154">
        <f t="shared" si="393"/>
        <v>0</v>
      </c>
      <c r="DT110" s="154">
        <f t="shared" si="331"/>
        <v>0</v>
      </c>
      <c r="DU110" s="154">
        <f t="shared" si="394"/>
        <v>0</v>
      </c>
      <c r="DV110" s="154">
        <f t="shared" si="332"/>
        <v>0</v>
      </c>
      <c r="DW110" s="154">
        <f t="shared" si="395"/>
        <v>0</v>
      </c>
      <c r="DX110" s="154">
        <f t="shared" si="333"/>
        <v>0</v>
      </c>
      <c r="DY110" s="154">
        <f t="shared" si="396"/>
        <v>0</v>
      </c>
      <c r="DZ110" s="154">
        <f t="shared" si="334"/>
        <v>0</v>
      </c>
      <c r="EA110" s="154">
        <f t="shared" si="397"/>
        <v>0</v>
      </c>
      <c r="EB110" s="157">
        <f t="shared" si="335"/>
        <v>0</v>
      </c>
      <c r="EC110" s="154">
        <f t="shared" si="336"/>
        <v>0</v>
      </c>
      <c r="ED110" s="158">
        <f t="shared" si="337"/>
        <v>0</v>
      </c>
    </row>
    <row r="111" spans="1:134" x14ac:dyDescent="0.35">
      <c r="A111" s="172"/>
      <c r="B111" s="173"/>
      <c r="C111" s="174"/>
      <c r="D111" s="175"/>
      <c r="E111" s="176"/>
      <c r="F111" s="177"/>
      <c r="G111" s="178"/>
      <c r="H111" s="179"/>
      <c r="I111" s="180"/>
      <c r="J111" s="181"/>
      <c r="K111" s="152">
        <f t="shared" si="338"/>
        <v>0</v>
      </c>
      <c r="L111" s="153">
        <f t="shared" si="339"/>
        <v>0</v>
      </c>
      <c r="M111" s="154">
        <f t="shared" si="340"/>
        <v>0</v>
      </c>
      <c r="N111" s="154"/>
      <c r="O111" s="154">
        <f t="shared" si="341"/>
        <v>0</v>
      </c>
      <c r="P111" s="155"/>
      <c r="Q111" s="154">
        <f t="shared" si="342"/>
        <v>0</v>
      </c>
      <c r="R111" s="156">
        <f t="shared" si="343"/>
        <v>0</v>
      </c>
      <c r="S111" s="154">
        <f t="shared" si="344"/>
        <v>0</v>
      </c>
      <c r="T111" s="154">
        <f t="shared" si="345"/>
        <v>0</v>
      </c>
      <c r="U111" s="154">
        <f t="shared" si="346"/>
        <v>0</v>
      </c>
      <c r="V111" s="154">
        <f t="shared" si="347"/>
        <v>0</v>
      </c>
      <c r="W111" s="154">
        <f t="shared" si="348"/>
        <v>0</v>
      </c>
      <c r="X111" s="154">
        <f t="shared" si="349"/>
        <v>0</v>
      </c>
      <c r="Y111" s="154">
        <f t="shared" si="350"/>
        <v>0</v>
      </c>
      <c r="Z111" s="154">
        <f t="shared" si="351"/>
        <v>0</v>
      </c>
      <c r="AA111" s="154">
        <f t="shared" si="352"/>
        <v>0</v>
      </c>
      <c r="AB111" s="157">
        <f t="shared" si="353"/>
        <v>0</v>
      </c>
      <c r="AC111" s="154">
        <f t="shared" si="354"/>
        <v>0</v>
      </c>
      <c r="AD111" s="158">
        <f t="shared" si="355"/>
        <v>0</v>
      </c>
      <c r="AE111" s="156">
        <f t="shared" si="398"/>
        <v>0</v>
      </c>
      <c r="AF111" s="154">
        <f t="shared" si="357"/>
        <v>0</v>
      </c>
      <c r="AG111" s="154">
        <f t="shared" si="281"/>
        <v>0</v>
      </c>
      <c r="AH111" s="154">
        <f t="shared" si="358"/>
        <v>0</v>
      </c>
      <c r="AI111" s="154">
        <f t="shared" si="282"/>
        <v>0</v>
      </c>
      <c r="AJ111" s="154">
        <f t="shared" si="359"/>
        <v>0</v>
      </c>
      <c r="AK111" s="154">
        <f t="shared" si="283"/>
        <v>0</v>
      </c>
      <c r="AL111" s="154">
        <f t="shared" si="360"/>
        <v>0</v>
      </c>
      <c r="AM111" s="154">
        <f t="shared" si="284"/>
        <v>0</v>
      </c>
      <c r="AN111" s="154">
        <f t="shared" si="361"/>
        <v>0</v>
      </c>
      <c r="AO111" s="157">
        <f t="shared" si="285"/>
        <v>0</v>
      </c>
      <c r="AP111" s="154">
        <f t="shared" si="286"/>
        <v>0</v>
      </c>
      <c r="AQ111" s="158">
        <f t="shared" si="287"/>
        <v>0</v>
      </c>
      <c r="AR111" s="156">
        <f t="shared" si="398"/>
        <v>0</v>
      </c>
      <c r="AS111" s="154">
        <f t="shared" si="362"/>
        <v>0</v>
      </c>
      <c r="AT111" s="154">
        <f t="shared" si="288"/>
        <v>0</v>
      </c>
      <c r="AU111" s="154">
        <f t="shared" si="363"/>
        <v>0</v>
      </c>
      <c r="AV111" s="154">
        <f t="shared" si="289"/>
        <v>0</v>
      </c>
      <c r="AW111" s="154">
        <f t="shared" si="364"/>
        <v>0</v>
      </c>
      <c r="AX111" s="154">
        <f t="shared" si="290"/>
        <v>0</v>
      </c>
      <c r="AY111" s="154">
        <f t="shared" si="365"/>
        <v>0</v>
      </c>
      <c r="AZ111" s="154">
        <f t="shared" si="291"/>
        <v>0</v>
      </c>
      <c r="BA111" s="154">
        <f t="shared" si="366"/>
        <v>0</v>
      </c>
      <c r="BB111" s="157">
        <f t="shared" si="292"/>
        <v>0</v>
      </c>
      <c r="BC111" s="154">
        <f t="shared" si="293"/>
        <v>0</v>
      </c>
      <c r="BD111" s="158">
        <f t="shared" si="294"/>
        <v>0</v>
      </c>
      <c r="BE111" s="156">
        <f t="shared" si="398"/>
        <v>0</v>
      </c>
      <c r="BF111" s="154">
        <f t="shared" si="367"/>
        <v>0</v>
      </c>
      <c r="BG111" s="154">
        <f t="shared" si="295"/>
        <v>0</v>
      </c>
      <c r="BH111" s="154">
        <f t="shared" si="368"/>
        <v>0</v>
      </c>
      <c r="BI111" s="154">
        <f t="shared" si="296"/>
        <v>0</v>
      </c>
      <c r="BJ111" s="154">
        <f t="shared" si="369"/>
        <v>0</v>
      </c>
      <c r="BK111" s="154">
        <f t="shared" si="297"/>
        <v>0</v>
      </c>
      <c r="BL111" s="154">
        <f t="shared" si="370"/>
        <v>0</v>
      </c>
      <c r="BM111" s="154">
        <f t="shared" si="298"/>
        <v>0</v>
      </c>
      <c r="BN111" s="154">
        <f t="shared" si="371"/>
        <v>0</v>
      </c>
      <c r="BO111" s="157">
        <f t="shared" si="299"/>
        <v>0</v>
      </c>
      <c r="BP111" s="154">
        <f t="shared" si="300"/>
        <v>0</v>
      </c>
      <c r="BQ111" s="158">
        <f t="shared" si="301"/>
        <v>0</v>
      </c>
      <c r="BR111" s="156">
        <f t="shared" si="398"/>
        <v>0</v>
      </c>
      <c r="BS111" s="154">
        <f t="shared" si="372"/>
        <v>0</v>
      </c>
      <c r="BT111" s="154">
        <f t="shared" si="302"/>
        <v>0</v>
      </c>
      <c r="BU111" s="154">
        <f t="shared" si="373"/>
        <v>0</v>
      </c>
      <c r="BV111" s="154">
        <f t="shared" si="303"/>
        <v>0</v>
      </c>
      <c r="BW111" s="154">
        <f t="shared" si="374"/>
        <v>0</v>
      </c>
      <c r="BX111" s="154">
        <f t="shared" si="304"/>
        <v>0</v>
      </c>
      <c r="BY111" s="154">
        <f t="shared" si="375"/>
        <v>0</v>
      </c>
      <c r="BZ111" s="154">
        <f t="shared" si="305"/>
        <v>0</v>
      </c>
      <c r="CA111" s="154">
        <f t="shared" si="376"/>
        <v>0</v>
      </c>
      <c r="CB111" s="157">
        <f t="shared" si="306"/>
        <v>0</v>
      </c>
      <c r="CC111" s="154">
        <f t="shared" si="307"/>
        <v>0</v>
      </c>
      <c r="CD111" s="158">
        <f t="shared" si="308"/>
        <v>0</v>
      </c>
      <c r="CE111" s="156">
        <f t="shared" si="398"/>
        <v>0</v>
      </c>
      <c r="CF111" s="154">
        <f t="shared" si="377"/>
        <v>0</v>
      </c>
      <c r="CG111" s="154">
        <f t="shared" si="309"/>
        <v>0</v>
      </c>
      <c r="CH111" s="154">
        <f t="shared" si="378"/>
        <v>0</v>
      </c>
      <c r="CI111" s="154">
        <f t="shared" si="310"/>
        <v>0</v>
      </c>
      <c r="CJ111" s="154">
        <f t="shared" si="379"/>
        <v>0</v>
      </c>
      <c r="CK111" s="154">
        <f t="shared" si="311"/>
        <v>0</v>
      </c>
      <c r="CL111" s="154">
        <f t="shared" si="380"/>
        <v>0</v>
      </c>
      <c r="CM111" s="154">
        <f t="shared" si="312"/>
        <v>0</v>
      </c>
      <c r="CN111" s="154">
        <f t="shared" si="381"/>
        <v>0</v>
      </c>
      <c r="CO111" s="157">
        <f t="shared" si="313"/>
        <v>0</v>
      </c>
      <c r="CP111" s="154">
        <f t="shared" si="314"/>
        <v>0</v>
      </c>
      <c r="CQ111" s="158">
        <f t="shared" si="315"/>
        <v>0</v>
      </c>
      <c r="CR111" s="156">
        <f t="shared" si="399"/>
        <v>0</v>
      </c>
      <c r="CS111" s="154">
        <f t="shared" si="383"/>
        <v>0</v>
      </c>
      <c r="CT111" s="154">
        <f t="shared" si="317"/>
        <v>0</v>
      </c>
      <c r="CU111" s="154">
        <f t="shared" si="384"/>
        <v>0</v>
      </c>
      <c r="CV111" s="154">
        <f t="shared" si="318"/>
        <v>0</v>
      </c>
      <c r="CW111" s="154">
        <f t="shared" si="385"/>
        <v>0</v>
      </c>
      <c r="CX111" s="154">
        <f t="shared" si="319"/>
        <v>0</v>
      </c>
      <c r="CY111" s="154">
        <f t="shared" si="386"/>
        <v>0</v>
      </c>
      <c r="CZ111" s="154">
        <f t="shared" si="320"/>
        <v>0</v>
      </c>
      <c r="DA111" s="154">
        <f t="shared" si="387"/>
        <v>0</v>
      </c>
      <c r="DB111" s="157">
        <f t="shared" si="321"/>
        <v>0</v>
      </c>
      <c r="DC111" s="154">
        <f t="shared" si="322"/>
        <v>0</v>
      </c>
      <c r="DD111" s="158">
        <f t="shared" si="323"/>
        <v>0</v>
      </c>
      <c r="DE111" s="156">
        <f t="shared" si="399"/>
        <v>0</v>
      </c>
      <c r="DF111" s="154">
        <f t="shared" si="388"/>
        <v>0</v>
      </c>
      <c r="DG111" s="154">
        <f t="shared" si="324"/>
        <v>0</v>
      </c>
      <c r="DH111" s="154">
        <f t="shared" si="389"/>
        <v>0</v>
      </c>
      <c r="DI111" s="154">
        <f t="shared" si="325"/>
        <v>0</v>
      </c>
      <c r="DJ111" s="154">
        <f t="shared" si="390"/>
        <v>0</v>
      </c>
      <c r="DK111" s="154">
        <f t="shared" si="326"/>
        <v>0</v>
      </c>
      <c r="DL111" s="154">
        <f t="shared" si="391"/>
        <v>0</v>
      </c>
      <c r="DM111" s="154">
        <f t="shared" si="327"/>
        <v>0</v>
      </c>
      <c r="DN111" s="154">
        <f t="shared" si="392"/>
        <v>0</v>
      </c>
      <c r="DO111" s="157">
        <f t="shared" si="328"/>
        <v>0</v>
      </c>
      <c r="DP111" s="154">
        <f t="shared" si="329"/>
        <v>0</v>
      </c>
      <c r="DQ111" s="158">
        <f t="shared" si="330"/>
        <v>0</v>
      </c>
      <c r="DR111" s="156">
        <f t="shared" si="399"/>
        <v>0</v>
      </c>
      <c r="DS111" s="154">
        <f t="shared" si="393"/>
        <v>0</v>
      </c>
      <c r="DT111" s="154">
        <f t="shared" si="331"/>
        <v>0</v>
      </c>
      <c r="DU111" s="154">
        <f t="shared" si="394"/>
        <v>0</v>
      </c>
      <c r="DV111" s="154">
        <f t="shared" si="332"/>
        <v>0</v>
      </c>
      <c r="DW111" s="154">
        <f t="shared" si="395"/>
        <v>0</v>
      </c>
      <c r="DX111" s="154">
        <f t="shared" si="333"/>
        <v>0</v>
      </c>
      <c r="DY111" s="154">
        <f t="shared" si="396"/>
        <v>0</v>
      </c>
      <c r="DZ111" s="154">
        <f t="shared" si="334"/>
        <v>0</v>
      </c>
      <c r="EA111" s="154">
        <f t="shared" si="397"/>
        <v>0</v>
      </c>
      <c r="EB111" s="157">
        <f t="shared" si="335"/>
        <v>0</v>
      </c>
      <c r="EC111" s="154">
        <f t="shared" si="336"/>
        <v>0</v>
      </c>
      <c r="ED111" s="158">
        <f t="shared" si="337"/>
        <v>0</v>
      </c>
    </row>
    <row r="112" spans="1:134" x14ac:dyDescent="0.35">
      <c r="A112" s="172"/>
      <c r="B112" s="173"/>
      <c r="C112" s="174"/>
      <c r="D112" s="175"/>
      <c r="E112" s="176"/>
      <c r="F112" s="177"/>
      <c r="G112" s="178"/>
      <c r="H112" s="179"/>
      <c r="I112" s="180"/>
      <c r="J112" s="181"/>
      <c r="K112" s="152">
        <f t="shared" si="338"/>
        <v>0</v>
      </c>
      <c r="L112" s="153">
        <f t="shared" si="339"/>
        <v>0</v>
      </c>
      <c r="M112" s="154">
        <f t="shared" si="340"/>
        <v>0</v>
      </c>
      <c r="N112" s="154"/>
      <c r="O112" s="154">
        <f t="shared" si="341"/>
        <v>0</v>
      </c>
      <c r="P112" s="155"/>
      <c r="Q112" s="154">
        <f t="shared" si="342"/>
        <v>0</v>
      </c>
      <c r="R112" s="156">
        <f t="shared" si="343"/>
        <v>0</v>
      </c>
      <c r="S112" s="154">
        <f t="shared" si="344"/>
        <v>0</v>
      </c>
      <c r="T112" s="154">
        <f t="shared" si="345"/>
        <v>0</v>
      </c>
      <c r="U112" s="154">
        <f t="shared" si="346"/>
        <v>0</v>
      </c>
      <c r="V112" s="154">
        <f t="shared" si="347"/>
        <v>0</v>
      </c>
      <c r="W112" s="154">
        <f t="shared" si="348"/>
        <v>0</v>
      </c>
      <c r="X112" s="154">
        <f t="shared" si="349"/>
        <v>0</v>
      </c>
      <c r="Y112" s="154">
        <f t="shared" si="350"/>
        <v>0</v>
      </c>
      <c r="Z112" s="154">
        <f t="shared" si="351"/>
        <v>0</v>
      </c>
      <c r="AA112" s="154">
        <f t="shared" si="352"/>
        <v>0</v>
      </c>
      <c r="AB112" s="157">
        <f t="shared" si="353"/>
        <v>0</v>
      </c>
      <c r="AC112" s="154">
        <f t="shared" si="354"/>
        <v>0</v>
      </c>
      <c r="AD112" s="158">
        <f t="shared" si="355"/>
        <v>0</v>
      </c>
      <c r="AE112" s="156">
        <f t="shared" si="398"/>
        <v>0</v>
      </c>
      <c r="AF112" s="154">
        <f t="shared" si="357"/>
        <v>0</v>
      </c>
      <c r="AG112" s="154">
        <f t="shared" si="281"/>
        <v>0</v>
      </c>
      <c r="AH112" s="154">
        <f t="shared" si="358"/>
        <v>0</v>
      </c>
      <c r="AI112" s="154">
        <f t="shared" si="282"/>
        <v>0</v>
      </c>
      <c r="AJ112" s="154">
        <f t="shared" si="359"/>
        <v>0</v>
      </c>
      <c r="AK112" s="154">
        <f t="shared" si="283"/>
        <v>0</v>
      </c>
      <c r="AL112" s="154">
        <f t="shared" si="360"/>
        <v>0</v>
      </c>
      <c r="AM112" s="154">
        <f t="shared" si="284"/>
        <v>0</v>
      </c>
      <c r="AN112" s="154">
        <f t="shared" si="361"/>
        <v>0</v>
      </c>
      <c r="AO112" s="157">
        <f t="shared" si="285"/>
        <v>0</v>
      </c>
      <c r="AP112" s="154">
        <f t="shared" si="286"/>
        <v>0</v>
      </c>
      <c r="AQ112" s="158">
        <f t="shared" si="287"/>
        <v>0</v>
      </c>
      <c r="AR112" s="156">
        <f t="shared" si="398"/>
        <v>0</v>
      </c>
      <c r="AS112" s="154">
        <f t="shared" si="362"/>
        <v>0</v>
      </c>
      <c r="AT112" s="154">
        <f t="shared" si="288"/>
        <v>0</v>
      </c>
      <c r="AU112" s="154">
        <f t="shared" si="363"/>
        <v>0</v>
      </c>
      <c r="AV112" s="154">
        <f t="shared" si="289"/>
        <v>0</v>
      </c>
      <c r="AW112" s="154">
        <f t="shared" si="364"/>
        <v>0</v>
      </c>
      <c r="AX112" s="154">
        <f t="shared" si="290"/>
        <v>0</v>
      </c>
      <c r="AY112" s="154">
        <f t="shared" si="365"/>
        <v>0</v>
      </c>
      <c r="AZ112" s="154">
        <f t="shared" si="291"/>
        <v>0</v>
      </c>
      <c r="BA112" s="154">
        <f t="shared" si="366"/>
        <v>0</v>
      </c>
      <c r="BB112" s="157">
        <f t="shared" si="292"/>
        <v>0</v>
      </c>
      <c r="BC112" s="154">
        <f t="shared" si="293"/>
        <v>0</v>
      </c>
      <c r="BD112" s="158">
        <f t="shared" si="294"/>
        <v>0</v>
      </c>
      <c r="BE112" s="156">
        <f t="shared" si="398"/>
        <v>0</v>
      </c>
      <c r="BF112" s="154">
        <f t="shared" si="367"/>
        <v>0</v>
      </c>
      <c r="BG112" s="154">
        <f t="shared" si="295"/>
        <v>0</v>
      </c>
      <c r="BH112" s="154">
        <f t="shared" si="368"/>
        <v>0</v>
      </c>
      <c r="BI112" s="154">
        <f t="shared" si="296"/>
        <v>0</v>
      </c>
      <c r="BJ112" s="154">
        <f t="shared" si="369"/>
        <v>0</v>
      </c>
      <c r="BK112" s="154">
        <f t="shared" si="297"/>
        <v>0</v>
      </c>
      <c r="BL112" s="154">
        <f t="shared" si="370"/>
        <v>0</v>
      </c>
      <c r="BM112" s="154">
        <f t="shared" si="298"/>
        <v>0</v>
      </c>
      <c r="BN112" s="154">
        <f t="shared" si="371"/>
        <v>0</v>
      </c>
      <c r="BO112" s="157">
        <f t="shared" si="299"/>
        <v>0</v>
      </c>
      <c r="BP112" s="154">
        <f t="shared" si="300"/>
        <v>0</v>
      </c>
      <c r="BQ112" s="158">
        <f t="shared" si="301"/>
        <v>0</v>
      </c>
      <c r="BR112" s="156">
        <f t="shared" si="398"/>
        <v>0</v>
      </c>
      <c r="BS112" s="154">
        <f t="shared" si="372"/>
        <v>0</v>
      </c>
      <c r="BT112" s="154">
        <f t="shared" si="302"/>
        <v>0</v>
      </c>
      <c r="BU112" s="154">
        <f t="shared" si="373"/>
        <v>0</v>
      </c>
      <c r="BV112" s="154">
        <f t="shared" si="303"/>
        <v>0</v>
      </c>
      <c r="BW112" s="154">
        <f t="shared" si="374"/>
        <v>0</v>
      </c>
      <c r="BX112" s="154">
        <f t="shared" si="304"/>
        <v>0</v>
      </c>
      <c r="BY112" s="154">
        <f t="shared" si="375"/>
        <v>0</v>
      </c>
      <c r="BZ112" s="154">
        <f t="shared" si="305"/>
        <v>0</v>
      </c>
      <c r="CA112" s="154">
        <f t="shared" si="376"/>
        <v>0</v>
      </c>
      <c r="CB112" s="157">
        <f t="shared" si="306"/>
        <v>0</v>
      </c>
      <c r="CC112" s="154">
        <f t="shared" si="307"/>
        <v>0</v>
      </c>
      <c r="CD112" s="158">
        <f t="shared" si="308"/>
        <v>0</v>
      </c>
      <c r="CE112" s="156">
        <f t="shared" si="398"/>
        <v>0</v>
      </c>
      <c r="CF112" s="154">
        <f t="shared" si="377"/>
        <v>0</v>
      </c>
      <c r="CG112" s="154">
        <f t="shared" si="309"/>
        <v>0</v>
      </c>
      <c r="CH112" s="154">
        <f t="shared" si="378"/>
        <v>0</v>
      </c>
      <c r="CI112" s="154">
        <f t="shared" si="310"/>
        <v>0</v>
      </c>
      <c r="CJ112" s="154">
        <f t="shared" si="379"/>
        <v>0</v>
      </c>
      <c r="CK112" s="154">
        <f t="shared" si="311"/>
        <v>0</v>
      </c>
      <c r="CL112" s="154">
        <f t="shared" si="380"/>
        <v>0</v>
      </c>
      <c r="CM112" s="154">
        <f t="shared" si="312"/>
        <v>0</v>
      </c>
      <c r="CN112" s="154">
        <f t="shared" si="381"/>
        <v>0</v>
      </c>
      <c r="CO112" s="157">
        <f t="shared" si="313"/>
        <v>0</v>
      </c>
      <c r="CP112" s="154">
        <f t="shared" si="314"/>
        <v>0</v>
      </c>
      <c r="CQ112" s="158">
        <f t="shared" si="315"/>
        <v>0</v>
      </c>
      <c r="CR112" s="156">
        <f t="shared" si="399"/>
        <v>0</v>
      </c>
      <c r="CS112" s="154">
        <f t="shared" si="383"/>
        <v>0</v>
      </c>
      <c r="CT112" s="154">
        <f t="shared" si="317"/>
        <v>0</v>
      </c>
      <c r="CU112" s="154">
        <f t="shared" si="384"/>
        <v>0</v>
      </c>
      <c r="CV112" s="154">
        <f t="shared" si="318"/>
        <v>0</v>
      </c>
      <c r="CW112" s="154">
        <f t="shared" si="385"/>
        <v>0</v>
      </c>
      <c r="CX112" s="154">
        <f t="shared" si="319"/>
        <v>0</v>
      </c>
      <c r="CY112" s="154">
        <f t="shared" si="386"/>
        <v>0</v>
      </c>
      <c r="CZ112" s="154">
        <f t="shared" si="320"/>
        <v>0</v>
      </c>
      <c r="DA112" s="154">
        <f t="shared" si="387"/>
        <v>0</v>
      </c>
      <c r="DB112" s="157">
        <f t="shared" si="321"/>
        <v>0</v>
      </c>
      <c r="DC112" s="154">
        <f t="shared" si="322"/>
        <v>0</v>
      </c>
      <c r="DD112" s="158">
        <f t="shared" si="323"/>
        <v>0</v>
      </c>
      <c r="DE112" s="156">
        <f t="shared" si="399"/>
        <v>0</v>
      </c>
      <c r="DF112" s="154">
        <f t="shared" si="388"/>
        <v>0</v>
      </c>
      <c r="DG112" s="154">
        <f t="shared" si="324"/>
        <v>0</v>
      </c>
      <c r="DH112" s="154">
        <f t="shared" si="389"/>
        <v>0</v>
      </c>
      <c r="DI112" s="154">
        <f t="shared" si="325"/>
        <v>0</v>
      </c>
      <c r="DJ112" s="154">
        <f t="shared" si="390"/>
        <v>0</v>
      </c>
      <c r="DK112" s="154">
        <f t="shared" si="326"/>
        <v>0</v>
      </c>
      <c r="DL112" s="154">
        <f t="shared" si="391"/>
        <v>0</v>
      </c>
      <c r="DM112" s="154">
        <f t="shared" si="327"/>
        <v>0</v>
      </c>
      <c r="DN112" s="154">
        <f t="shared" si="392"/>
        <v>0</v>
      </c>
      <c r="DO112" s="157">
        <f t="shared" si="328"/>
        <v>0</v>
      </c>
      <c r="DP112" s="154">
        <f t="shared" si="329"/>
        <v>0</v>
      </c>
      <c r="DQ112" s="158">
        <f t="shared" si="330"/>
        <v>0</v>
      </c>
      <c r="DR112" s="156">
        <f t="shared" si="399"/>
        <v>0</v>
      </c>
      <c r="DS112" s="154">
        <f t="shared" si="393"/>
        <v>0</v>
      </c>
      <c r="DT112" s="154">
        <f t="shared" si="331"/>
        <v>0</v>
      </c>
      <c r="DU112" s="154">
        <f t="shared" si="394"/>
        <v>0</v>
      </c>
      <c r="DV112" s="154">
        <f t="shared" si="332"/>
        <v>0</v>
      </c>
      <c r="DW112" s="154">
        <f t="shared" si="395"/>
        <v>0</v>
      </c>
      <c r="DX112" s="154">
        <f t="shared" si="333"/>
        <v>0</v>
      </c>
      <c r="DY112" s="154">
        <f t="shared" si="396"/>
        <v>0</v>
      </c>
      <c r="DZ112" s="154">
        <f t="shared" si="334"/>
        <v>0</v>
      </c>
      <c r="EA112" s="154">
        <f t="shared" si="397"/>
        <v>0</v>
      </c>
      <c r="EB112" s="157">
        <f t="shared" si="335"/>
        <v>0</v>
      </c>
      <c r="EC112" s="154">
        <f t="shared" si="336"/>
        <v>0</v>
      </c>
      <c r="ED112" s="158">
        <f t="shared" si="337"/>
        <v>0</v>
      </c>
    </row>
    <row r="113" spans="1:134" x14ac:dyDescent="0.35">
      <c r="A113" s="172"/>
      <c r="B113" s="173"/>
      <c r="C113" s="174"/>
      <c r="D113" s="175"/>
      <c r="E113" s="176"/>
      <c r="F113" s="177"/>
      <c r="G113" s="178"/>
      <c r="H113" s="179"/>
      <c r="I113" s="180"/>
      <c r="J113" s="181"/>
      <c r="K113" s="152">
        <f t="shared" si="338"/>
        <v>0</v>
      </c>
      <c r="L113" s="153">
        <f t="shared" si="339"/>
        <v>0</v>
      </c>
      <c r="M113" s="154">
        <f t="shared" si="340"/>
        <v>0</v>
      </c>
      <c r="N113" s="154"/>
      <c r="O113" s="154">
        <f t="shared" si="341"/>
        <v>0</v>
      </c>
      <c r="P113" s="155"/>
      <c r="Q113" s="154">
        <f t="shared" si="342"/>
        <v>0</v>
      </c>
      <c r="R113" s="156">
        <f t="shared" si="343"/>
        <v>0</v>
      </c>
      <c r="S113" s="154">
        <f t="shared" si="344"/>
        <v>0</v>
      </c>
      <c r="T113" s="154">
        <f t="shared" si="345"/>
        <v>0</v>
      </c>
      <c r="U113" s="154">
        <f t="shared" si="346"/>
        <v>0</v>
      </c>
      <c r="V113" s="154">
        <f t="shared" si="347"/>
        <v>0</v>
      </c>
      <c r="W113" s="154">
        <f t="shared" si="348"/>
        <v>0</v>
      </c>
      <c r="X113" s="154">
        <f t="shared" si="349"/>
        <v>0</v>
      </c>
      <c r="Y113" s="154">
        <f t="shared" si="350"/>
        <v>0</v>
      </c>
      <c r="Z113" s="154">
        <f t="shared" si="351"/>
        <v>0</v>
      </c>
      <c r="AA113" s="154">
        <f t="shared" si="352"/>
        <v>0</v>
      </c>
      <c r="AB113" s="157">
        <f t="shared" si="353"/>
        <v>0</v>
      </c>
      <c r="AC113" s="154">
        <f t="shared" si="354"/>
        <v>0</v>
      </c>
      <c r="AD113" s="158">
        <f t="shared" si="355"/>
        <v>0</v>
      </c>
      <c r="AE113" s="156">
        <f t="shared" si="398"/>
        <v>0</v>
      </c>
      <c r="AF113" s="154">
        <f t="shared" si="357"/>
        <v>0</v>
      </c>
      <c r="AG113" s="154">
        <f t="shared" si="281"/>
        <v>0</v>
      </c>
      <c r="AH113" s="154">
        <f t="shared" si="358"/>
        <v>0</v>
      </c>
      <c r="AI113" s="154">
        <f t="shared" si="282"/>
        <v>0</v>
      </c>
      <c r="AJ113" s="154">
        <f t="shared" si="359"/>
        <v>0</v>
      </c>
      <c r="AK113" s="154">
        <f t="shared" si="283"/>
        <v>0</v>
      </c>
      <c r="AL113" s="154">
        <f t="shared" si="360"/>
        <v>0</v>
      </c>
      <c r="AM113" s="154">
        <f t="shared" si="284"/>
        <v>0</v>
      </c>
      <c r="AN113" s="154">
        <f t="shared" si="361"/>
        <v>0</v>
      </c>
      <c r="AO113" s="157">
        <f t="shared" si="285"/>
        <v>0</v>
      </c>
      <c r="AP113" s="154">
        <f t="shared" si="286"/>
        <v>0</v>
      </c>
      <c r="AQ113" s="158">
        <f t="shared" si="287"/>
        <v>0</v>
      </c>
      <c r="AR113" s="156">
        <f t="shared" si="398"/>
        <v>0</v>
      </c>
      <c r="AS113" s="154">
        <f t="shared" si="362"/>
        <v>0</v>
      </c>
      <c r="AT113" s="154">
        <f t="shared" si="288"/>
        <v>0</v>
      </c>
      <c r="AU113" s="154">
        <f t="shared" si="363"/>
        <v>0</v>
      </c>
      <c r="AV113" s="154">
        <f t="shared" si="289"/>
        <v>0</v>
      </c>
      <c r="AW113" s="154">
        <f t="shared" si="364"/>
        <v>0</v>
      </c>
      <c r="AX113" s="154">
        <f t="shared" si="290"/>
        <v>0</v>
      </c>
      <c r="AY113" s="154">
        <f t="shared" si="365"/>
        <v>0</v>
      </c>
      <c r="AZ113" s="154">
        <f t="shared" si="291"/>
        <v>0</v>
      </c>
      <c r="BA113" s="154">
        <f t="shared" si="366"/>
        <v>0</v>
      </c>
      <c r="BB113" s="157">
        <f t="shared" si="292"/>
        <v>0</v>
      </c>
      <c r="BC113" s="154">
        <f t="shared" si="293"/>
        <v>0</v>
      </c>
      <c r="BD113" s="158">
        <f t="shared" si="294"/>
        <v>0</v>
      </c>
      <c r="BE113" s="156">
        <f t="shared" si="398"/>
        <v>0</v>
      </c>
      <c r="BF113" s="154">
        <f t="shared" si="367"/>
        <v>0</v>
      </c>
      <c r="BG113" s="154">
        <f t="shared" si="295"/>
        <v>0</v>
      </c>
      <c r="BH113" s="154">
        <f t="shared" si="368"/>
        <v>0</v>
      </c>
      <c r="BI113" s="154">
        <f t="shared" si="296"/>
        <v>0</v>
      </c>
      <c r="BJ113" s="154">
        <f t="shared" si="369"/>
        <v>0</v>
      </c>
      <c r="BK113" s="154">
        <f t="shared" si="297"/>
        <v>0</v>
      </c>
      <c r="BL113" s="154">
        <f t="shared" si="370"/>
        <v>0</v>
      </c>
      <c r="BM113" s="154">
        <f t="shared" si="298"/>
        <v>0</v>
      </c>
      <c r="BN113" s="154">
        <f t="shared" si="371"/>
        <v>0</v>
      </c>
      <c r="BO113" s="157">
        <f t="shared" si="299"/>
        <v>0</v>
      </c>
      <c r="BP113" s="154">
        <f t="shared" si="300"/>
        <v>0</v>
      </c>
      <c r="BQ113" s="158">
        <f t="shared" si="301"/>
        <v>0</v>
      </c>
      <c r="BR113" s="156">
        <f t="shared" si="398"/>
        <v>0</v>
      </c>
      <c r="BS113" s="154">
        <f t="shared" si="372"/>
        <v>0</v>
      </c>
      <c r="BT113" s="154">
        <f t="shared" si="302"/>
        <v>0</v>
      </c>
      <c r="BU113" s="154">
        <f t="shared" si="373"/>
        <v>0</v>
      </c>
      <c r="BV113" s="154">
        <f t="shared" si="303"/>
        <v>0</v>
      </c>
      <c r="BW113" s="154">
        <f t="shared" si="374"/>
        <v>0</v>
      </c>
      <c r="BX113" s="154">
        <f t="shared" si="304"/>
        <v>0</v>
      </c>
      <c r="BY113" s="154">
        <f t="shared" si="375"/>
        <v>0</v>
      </c>
      <c r="BZ113" s="154">
        <f t="shared" si="305"/>
        <v>0</v>
      </c>
      <c r="CA113" s="154">
        <f t="shared" si="376"/>
        <v>0</v>
      </c>
      <c r="CB113" s="157">
        <f t="shared" si="306"/>
        <v>0</v>
      </c>
      <c r="CC113" s="154">
        <f t="shared" si="307"/>
        <v>0</v>
      </c>
      <c r="CD113" s="158">
        <f t="shared" si="308"/>
        <v>0</v>
      </c>
      <c r="CE113" s="156">
        <f t="shared" si="398"/>
        <v>0</v>
      </c>
      <c r="CF113" s="154">
        <f t="shared" si="377"/>
        <v>0</v>
      </c>
      <c r="CG113" s="154">
        <f t="shared" si="309"/>
        <v>0</v>
      </c>
      <c r="CH113" s="154">
        <f t="shared" si="378"/>
        <v>0</v>
      </c>
      <c r="CI113" s="154">
        <f t="shared" si="310"/>
        <v>0</v>
      </c>
      <c r="CJ113" s="154">
        <f t="shared" si="379"/>
        <v>0</v>
      </c>
      <c r="CK113" s="154">
        <f t="shared" si="311"/>
        <v>0</v>
      </c>
      <c r="CL113" s="154">
        <f t="shared" si="380"/>
        <v>0</v>
      </c>
      <c r="CM113" s="154">
        <f t="shared" si="312"/>
        <v>0</v>
      </c>
      <c r="CN113" s="154">
        <f t="shared" si="381"/>
        <v>0</v>
      </c>
      <c r="CO113" s="157">
        <f t="shared" si="313"/>
        <v>0</v>
      </c>
      <c r="CP113" s="154">
        <f t="shared" si="314"/>
        <v>0</v>
      </c>
      <c r="CQ113" s="158">
        <f t="shared" si="315"/>
        <v>0</v>
      </c>
      <c r="CR113" s="156">
        <f t="shared" si="399"/>
        <v>0</v>
      </c>
      <c r="CS113" s="154">
        <f t="shared" si="383"/>
        <v>0</v>
      </c>
      <c r="CT113" s="154">
        <f t="shared" si="317"/>
        <v>0</v>
      </c>
      <c r="CU113" s="154">
        <f t="shared" si="384"/>
        <v>0</v>
      </c>
      <c r="CV113" s="154">
        <f t="shared" si="318"/>
        <v>0</v>
      </c>
      <c r="CW113" s="154">
        <f t="shared" si="385"/>
        <v>0</v>
      </c>
      <c r="CX113" s="154">
        <f t="shared" si="319"/>
        <v>0</v>
      </c>
      <c r="CY113" s="154">
        <f t="shared" si="386"/>
        <v>0</v>
      </c>
      <c r="CZ113" s="154">
        <f t="shared" si="320"/>
        <v>0</v>
      </c>
      <c r="DA113" s="154">
        <f t="shared" si="387"/>
        <v>0</v>
      </c>
      <c r="DB113" s="157">
        <f t="shared" si="321"/>
        <v>0</v>
      </c>
      <c r="DC113" s="154">
        <f t="shared" si="322"/>
        <v>0</v>
      </c>
      <c r="DD113" s="158">
        <f t="shared" si="323"/>
        <v>0</v>
      </c>
      <c r="DE113" s="156">
        <f t="shared" si="399"/>
        <v>0</v>
      </c>
      <c r="DF113" s="154">
        <f t="shared" si="388"/>
        <v>0</v>
      </c>
      <c r="DG113" s="154">
        <f t="shared" si="324"/>
        <v>0</v>
      </c>
      <c r="DH113" s="154">
        <f t="shared" si="389"/>
        <v>0</v>
      </c>
      <c r="DI113" s="154">
        <f t="shared" si="325"/>
        <v>0</v>
      </c>
      <c r="DJ113" s="154">
        <f t="shared" si="390"/>
        <v>0</v>
      </c>
      <c r="DK113" s="154">
        <f t="shared" si="326"/>
        <v>0</v>
      </c>
      <c r="DL113" s="154">
        <f t="shared" si="391"/>
        <v>0</v>
      </c>
      <c r="DM113" s="154">
        <f t="shared" si="327"/>
        <v>0</v>
      </c>
      <c r="DN113" s="154">
        <f t="shared" si="392"/>
        <v>0</v>
      </c>
      <c r="DO113" s="157">
        <f t="shared" si="328"/>
        <v>0</v>
      </c>
      <c r="DP113" s="154">
        <f t="shared" si="329"/>
        <v>0</v>
      </c>
      <c r="DQ113" s="158">
        <f t="shared" si="330"/>
        <v>0</v>
      </c>
      <c r="DR113" s="156">
        <f t="shared" si="399"/>
        <v>0</v>
      </c>
      <c r="DS113" s="154">
        <f t="shared" si="393"/>
        <v>0</v>
      </c>
      <c r="DT113" s="154">
        <f t="shared" si="331"/>
        <v>0</v>
      </c>
      <c r="DU113" s="154">
        <f t="shared" si="394"/>
        <v>0</v>
      </c>
      <c r="DV113" s="154">
        <f t="shared" si="332"/>
        <v>0</v>
      </c>
      <c r="DW113" s="154">
        <f t="shared" si="395"/>
        <v>0</v>
      </c>
      <c r="DX113" s="154">
        <f t="shared" si="333"/>
        <v>0</v>
      </c>
      <c r="DY113" s="154">
        <f t="shared" si="396"/>
        <v>0</v>
      </c>
      <c r="DZ113" s="154">
        <f t="shared" si="334"/>
        <v>0</v>
      </c>
      <c r="EA113" s="154">
        <f t="shared" si="397"/>
        <v>0</v>
      </c>
      <c r="EB113" s="157">
        <f t="shared" si="335"/>
        <v>0</v>
      </c>
      <c r="EC113" s="154">
        <f t="shared" si="336"/>
        <v>0</v>
      </c>
      <c r="ED113" s="158">
        <f t="shared" si="337"/>
        <v>0</v>
      </c>
    </row>
    <row r="114" spans="1:134" x14ac:dyDescent="0.35">
      <c r="A114" s="172"/>
      <c r="B114" s="173"/>
      <c r="C114" s="174"/>
      <c r="D114" s="175"/>
      <c r="E114" s="176"/>
      <c r="F114" s="177"/>
      <c r="G114" s="178"/>
      <c r="H114" s="179"/>
      <c r="I114" s="180"/>
      <c r="J114" s="181"/>
      <c r="K114" s="152">
        <f t="shared" si="338"/>
        <v>0</v>
      </c>
      <c r="L114" s="153">
        <f t="shared" si="339"/>
        <v>0</v>
      </c>
      <c r="M114" s="154">
        <f t="shared" si="340"/>
        <v>0</v>
      </c>
      <c r="N114" s="154"/>
      <c r="O114" s="154">
        <f t="shared" si="341"/>
        <v>0</v>
      </c>
      <c r="P114" s="155"/>
      <c r="Q114" s="154">
        <f t="shared" si="342"/>
        <v>0</v>
      </c>
      <c r="R114" s="156">
        <f t="shared" si="343"/>
        <v>0</v>
      </c>
      <c r="S114" s="154">
        <f t="shared" si="344"/>
        <v>0</v>
      </c>
      <c r="T114" s="154">
        <f t="shared" si="345"/>
        <v>0</v>
      </c>
      <c r="U114" s="154">
        <f t="shared" si="346"/>
        <v>0</v>
      </c>
      <c r="V114" s="154">
        <f t="shared" si="347"/>
        <v>0</v>
      </c>
      <c r="W114" s="154">
        <f t="shared" si="348"/>
        <v>0</v>
      </c>
      <c r="X114" s="154">
        <f t="shared" si="349"/>
        <v>0</v>
      </c>
      <c r="Y114" s="154">
        <f t="shared" si="350"/>
        <v>0</v>
      </c>
      <c r="Z114" s="154">
        <f t="shared" si="351"/>
        <v>0</v>
      </c>
      <c r="AA114" s="154">
        <f t="shared" si="352"/>
        <v>0</v>
      </c>
      <c r="AB114" s="157">
        <f t="shared" si="353"/>
        <v>0</v>
      </c>
      <c r="AC114" s="154">
        <f t="shared" si="354"/>
        <v>0</v>
      </c>
      <c r="AD114" s="158">
        <f t="shared" si="355"/>
        <v>0</v>
      </c>
      <c r="AE114" s="156">
        <f t="shared" si="398"/>
        <v>0</v>
      </c>
      <c r="AF114" s="154">
        <f t="shared" si="357"/>
        <v>0</v>
      </c>
      <c r="AG114" s="154">
        <f t="shared" si="281"/>
        <v>0</v>
      </c>
      <c r="AH114" s="154">
        <f t="shared" si="358"/>
        <v>0</v>
      </c>
      <c r="AI114" s="154">
        <f t="shared" si="282"/>
        <v>0</v>
      </c>
      <c r="AJ114" s="154">
        <f t="shared" si="359"/>
        <v>0</v>
      </c>
      <c r="AK114" s="154">
        <f t="shared" si="283"/>
        <v>0</v>
      </c>
      <c r="AL114" s="154">
        <f t="shared" si="360"/>
        <v>0</v>
      </c>
      <c r="AM114" s="154">
        <f t="shared" si="284"/>
        <v>0</v>
      </c>
      <c r="AN114" s="154">
        <f t="shared" si="361"/>
        <v>0</v>
      </c>
      <c r="AO114" s="157">
        <f t="shared" si="285"/>
        <v>0</v>
      </c>
      <c r="AP114" s="154">
        <f t="shared" si="286"/>
        <v>0</v>
      </c>
      <c r="AQ114" s="158">
        <f t="shared" si="287"/>
        <v>0</v>
      </c>
      <c r="AR114" s="156">
        <f t="shared" si="398"/>
        <v>0</v>
      </c>
      <c r="AS114" s="154">
        <f t="shared" si="362"/>
        <v>0</v>
      </c>
      <c r="AT114" s="154">
        <f t="shared" si="288"/>
        <v>0</v>
      </c>
      <c r="AU114" s="154">
        <f t="shared" si="363"/>
        <v>0</v>
      </c>
      <c r="AV114" s="154">
        <f t="shared" si="289"/>
        <v>0</v>
      </c>
      <c r="AW114" s="154">
        <f t="shared" si="364"/>
        <v>0</v>
      </c>
      <c r="AX114" s="154">
        <f t="shared" si="290"/>
        <v>0</v>
      </c>
      <c r="AY114" s="154">
        <f t="shared" si="365"/>
        <v>0</v>
      </c>
      <c r="AZ114" s="154">
        <f t="shared" si="291"/>
        <v>0</v>
      </c>
      <c r="BA114" s="154">
        <f t="shared" si="366"/>
        <v>0</v>
      </c>
      <c r="BB114" s="157">
        <f t="shared" si="292"/>
        <v>0</v>
      </c>
      <c r="BC114" s="154">
        <f t="shared" si="293"/>
        <v>0</v>
      </c>
      <c r="BD114" s="158">
        <f t="shared" si="294"/>
        <v>0</v>
      </c>
      <c r="BE114" s="156">
        <f t="shared" si="398"/>
        <v>0</v>
      </c>
      <c r="BF114" s="154">
        <f t="shared" si="367"/>
        <v>0</v>
      </c>
      <c r="BG114" s="154">
        <f t="shared" si="295"/>
        <v>0</v>
      </c>
      <c r="BH114" s="154">
        <f t="shared" si="368"/>
        <v>0</v>
      </c>
      <c r="BI114" s="154">
        <f t="shared" si="296"/>
        <v>0</v>
      </c>
      <c r="BJ114" s="154">
        <f t="shared" si="369"/>
        <v>0</v>
      </c>
      <c r="BK114" s="154">
        <f t="shared" si="297"/>
        <v>0</v>
      </c>
      <c r="BL114" s="154">
        <f t="shared" si="370"/>
        <v>0</v>
      </c>
      <c r="BM114" s="154">
        <f t="shared" si="298"/>
        <v>0</v>
      </c>
      <c r="BN114" s="154">
        <f t="shared" si="371"/>
        <v>0</v>
      </c>
      <c r="BO114" s="157">
        <f t="shared" si="299"/>
        <v>0</v>
      </c>
      <c r="BP114" s="154">
        <f t="shared" si="300"/>
        <v>0</v>
      </c>
      <c r="BQ114" s="158">
        <f t="shared" si="301"/>
        <v>0</v>
      </c>
      <c r="BR114" s="156">
        <f t="shared" si="398"/>
        <v>0</v>
      </c>
      <c r="BS114" s="154">
        <f t="shared" si="372"/>
        <v>0</v>
      </c>
      <c r="BT114" s="154">
        <f t="shared" si="302"/>
        <v>0</v>
      </c>
      <c r="BU114" s="154">
        <f t="shared" si="373"/>
        <v>0</v>
      </c>
      <c r="BV114" s="154">
        <f t="shared" si="303"/>
        <v>0</v>
      </c>
      <c r="BW114" s="154">
        <f t="shared" si="374"/>
        <v>0</v>
      </c>
      <c r="BX114" s="154">
        <f t="shared" si="304"/>
        <v>0</v>
      </c>
      <c r="BY114" s="154">
        <f t="shared" si="375"/>
        <v>0</v>
      </c>
      <c r="BZ114" s="154">
        <f t="shared" si="305"/>
        <v>0</v>
      </c>
      <c r="CA114" s="154">
        <f t="shared" si="376"/>
        <v>0</v>
      </c>
      <c r="CB114" s="157">
        <f t="shared" si="306"/>
        <v>0</v>
      </c>
      <c r="CC114" s="154">
        <f t="shared" si="307"/>
        <v>0</v>
      </c>
      <c r="CD114" s="158">
        <f t="shared" si="308"/>
        <v>0</v>
      </c>
      <c r="CE114" s="156">
        <f t="shared" si="398"/>
        <v>0</v>
      </c>
      <c r="CF114" s="154">
        <f t="shared" si="377"/>
        <v>0</v>
      </c>
      <c r="CG114" s="154">
        <f t="shared" si="309"/>
        <v>0</v>
      </c>
      <c r="CH114" s="154">
        <f t="shared" si="378"/>
        <v>0</v>
      </c>
      <c r="CI114" s="154">
        <f t="shared" si="310"/>
        <v>0</v>
      </c>
      <c r="CJ114" s="154">
        <f t="shared" si="379"/>
        <v>0</v>
      </c>
      <c r="CK114" s="154">
        <f t="shared" si="311"/>
        <v>0</v>
      </c>
      <c r="CL114" s="154">
        <f t="shared" si="380"/>
        <v>0</v>
      </c>
      <c r="CM114" s="154">
        <f t="shared" si="312"/>
        <v>0</v>
      </c>
      <c r="CN114" s="154">
        <f t="shared" si="381"/>
        <v>0</v>
      </c>
      <c r="CO114" s="157">
        <f t="shared" si="313"/>
        <v>0</v>
      </c>
      <c r="CP114" s="154">
        <f t="shared" si="314"/>
        <v>0</v>
      </c>
      <c r="CQ114" s="158">
        <f t="shared" si="315"/>
        <v>0</v>
      </c>
      <c r="CR114" s="156">
        <f t="shared" si="399"/>
        <v>0</v>
      </c>
      <c r="CS114" s="154">
        <f t="shared" si="383"/>
        <v>0</v>
      </c>
      <c r="CT114" s="154">
        <f t="shared" si="317"/>
        <v>0</v>
      </c>
      <c r="CU114" s="154">
        <f t="shared" si="384"/>
        <v>0</v>
      </c>
      <c r="CV114" s="154">
        <f t="shared" si="318"/>
        <v>0</v>
      </c>
      <c r="CW114" s="154">
        <f t="shared" si="385"/>
        <v>0</v>
      </c>
      <c r="CX114" s="154">
        <f t="shared" si="319"/>
        <v>0</v>
      </c>
      <c r="CY114" s="154">
        <f t="shared" si="386"/>
        <v>0</v>
      </c>
      <c r="CZ114" s="154">
        <f t="shared" si="320"/>
        <v>0</v>
      </c>
      <c r="DA114" s="154">
        <f t="shared" si="387"/>
        <v>0</v>
      </c>
      <c r="DB114" s="157">
        <f t="shared" si="321"/>
        <v>0</v>
      </c>
      <c r="DC114" s="154">
        <f t="shared" si="322"/>
        <v>0</v>
      </c>
      <c r="DD114" s="158">
        <f t="shared" si="323"/>
        <v>0</v>
      </c>
      <c r="DE114" s="156">
        <f t="shared" si="399"/>
        <v>0</v>
      </c>
      <c r="DF114" s="154">
        <f t="shared" si="388"/>
        <v>0</v>
      </c>
      <c r="DG114" s="154">
        <f t="shared" si="324"/>
        <v>0</v>
      </c>
      <c r="DH114" s="154">
        <f t="shared" si="389"/>
        <v>0</v>
      </c>
      <c r="DI114" s="154">
        <f t="shared" si="325"/>
        <v>0</v>
      </c>
      <c r="DJ114" s="154">
        <f t="shared" si="390"/>
        <v>0</v>
      </c>
      <c r="DK114" s="154">
        <f t="shared" si="326"/>
        <v>0</v>
      </c>
      <c r="DL114" s="154">
        <f t="shared" si="391"/>
        <v>0</v>
      </c>
      <c r="DM114" s="154">
        <f t="shared" si="327"/>
        <v>0</v>
      </c>
      <c r="DN114" s="154">
        <f t="shared" si="392"/>
        <v>0</v>
      </c>
      <c r="DO114" s="157">
        <f t="shared" si="328"/>
        <v>0</v>
      </c>
      <c r="DP114" s="154">
        <f t="shared" si="329"/>
        <v>0</v>
      </c>
      <c r="DQ114" s="158">
        <f t="shared" si="330"/>
        <v>0</v>
      </c>
      <c r="DR114" s="156">
        <f t="shared" si="399"/>
        <v>0</v>
      </c>
      <c r="DS114" s="154">
        <f t="shared" si="393"/>
        <v>0</v>
      </c>
      <c r="DT114" s="154">
        <f t="shared" si="331"/>
        <v>0</v>
      </c>
      <c r="DU114" s="154">
        <f t="shared" si="394"/>
        <v>0</v>
      </c>
      <c r="DV114" s="154">
        <f t="shared" si="332"/>
        <v>0</v>
      </c>
      <c r="DW114" s="154">
        <f t="shared" si="395"/>
        <v>0</v>
      </c>
      <c r="DX114" s="154">
        <f t="shared" si="333"/>
        <v>0</v>
      </c>
      <c r="DY114" s="154">
        <f t="shared" si="396"/>
        <v>0</v>
      </c>
      <c r="DZ114" s="154">
        <f t="shared" si="334"/>
        <v>0</v>
      </c>
      <c r="EA114" s="154">
        <f t="shared" si="397"/>
        <v>0</v>
      </c>
      <c r="EB114" s="157">
        <f t="shared" si="335"/>
        <v>0</v>
      </c>
      <c r="EC114" s="154">
        <f t="shared" si="336"/>
        <v>0</v>
      </c>
      <c r="ED114" s="158">
        <f t="shared" si="337"/>
        <v>0</v>
      </c>
    </row>
    <row r="115" spans="1:134" x14ac:dyDescent="0.35">
      <c r="A115" s="172"/>
      <c r="B115" s="173"/>
      <c r="C115" s="174"/>
      <c r="D115" s="175"/>
      <c r="E115" s="176"/>
      <c r="F115" s="177"/>
      <c r="G115" s="178"/>
      <c r="H115" s="179"/>
      <c r="I115" s="180"/>
      <c r="J115" s="181"/>
      <c r="K115" s="152">
        <f t="shared" si="338"/>
        <v>0</v>
      </c>
      <c r="L115" s="153">
        <f t="shared" si="339"/>
        <v>0</v>
      </c>
      <c r="M115" s="154">
        <f t="shared" si="340"/>
        <v>0</v>
      </c>
      <c r="N115" s="154"/>
      <c r="O115" s="154">
        <f t="shared" si="341"/>
        <v>0</v>
      </c>
      <c r="P115" s="155"/>
      <c r="Q115" s="154">
        <f t="shared" si="342"/>
        <v>0</v>
      </c>
      <c r="R115" s="156">
        <f t="shared" si="343"/>
        <v>0</v>
      </c>
      <c r="S115" s="154">
        <f t="shared" si="344"/>
        <v>0</v>
      </c>
      <c r="T115" s="154">
        <f t="shared" si="345"/>
        <v>0</v>
      </c>
      <c r="U115" s="154">
        <f t="shared" si="346"/>
        <v>0</v>
      </c>
      <c r="V115" s="154">
        <f t="shared" si="347"/>
        <v>0</v>
      </c>
      <c r="W115" s="154">
        <f t="shared" si="348"/>
        <v>0</v>
      </c>
      <c r="X115" s="154">
        <f t="shared" si="349"/>
        <v>0</v>
      </c>
      <c r="Y115" s="154">
        <f t="shared" si="350"/>
        <v>0</v>
      </c>
      <c r="Z115" s="154">
        <f t="shared" si="351"/>
        <v>0</v>
      </c>
      <c r="AA115" s="154">
        <f t="shared" si="352"/>
        <v>0</v>
      </c>
      <c r="AB115" s="157">
        <f t="shared" si="353"/>
        <v>0</v>
      </c>
      <c r="AC115" s="154">
        <f t="shared" si="354"/>
        <v>0</v>
      </c>
      <c r="AD115" s="158">
        <f t="shared" si="355"/>
        <v>0</v>
      </c>
      <c r="AE115" s="156">
        <f t="shared" si="398"/>
        <v>0</v>
      </c>
      <c r="AF115" s="154">
        <f t="shared" si="357"/>
        <v>0</v>
      </c>
      <c r="AG115" s="154">
        <f t="shared" si="281"/>
        <v>0</v>
      </c>
      <c r="AH115" s="154">
        <f t="shared" si="358"/>
        <v>0</v>
      </c>
      <c r="AI115" s="154">
        <f t="shared" si="282"/>
        <v>0</v>
      </c>
      <c r="AJ115" s="154">
        <f t="shared" si="359"/>
        <v>0</v>
      </c>
      <c r="AK115" s="154">
        <f t="shared" si="283"/>
        <v>0</v>
      </c>
      <c r="AL115" s="154">
        <f t="shared" si="360"/>
        <v>0</v>
      </c>
      <c r="AM115" s="154">
        <f t="shared" si="284"/>
        <v>0</v>
      </c>
      <c r="AN115" s="154">
        <f t="shared" si="361"/>
        <v>0</v>
      </c>
      <c r="AO115" s="157">
        <f t="shared" si="285"/>
        <v>0</v>
      </c>
      <c r="AP115" s="154">
        <f t="shared" si="286"/>
        <v>0</v>
      </c>
      <c r="AQ115" s="158">
        <f t="shared" si="287"/>
        <v>0</v>
      </c>
      <c r="AR115" s="156">
        <f t="shared" si="398"/>
        <v>0</v>
      </c>
      <c r="AS115" s="154">
        <f t="shared" si="362"/>
        <v>0</v>
      </c>
      <c r="AT115" s="154">
        <f t="shared" si="288"/>
        <v>0</v>
      </c>
      <c r="AU115" s="154">
        <f t="shared" si="363"/>
        <v>0</v>
      </c>
      <c r="AV115" s="154">
        <f t="shared" si="289"/>
        <v>0</v>
      </c>
      <c r="AW115" s="154">
        <f t="shared" si="364"/>
        <v>0</v>
      </c>
      <c r="AX115" s="154">
        <f t="shared" si="290"/>
        <v>0</v>
      </c>
      <c r="AY115" s="154">
        <f t="shared" si="365"/>
        <v>0</v>
      </c>
      <c r="AZ115" s="154">
        <f t="shared" si="291"/>
        <v>0</v>
      </c>
      <c r="BA115" s="154">
        <f t="shared" si="366"/>
        <v>0</v>
      </c>
      <c r="BB115" s="157">
        <f t="shared" si="292"/>
        <v>0</v>
      </c>
      <c r="BC115" s="154">
        <f t="shared" si="293"/>
        <v>0</v>
      </c>
      <c r="BD115" s="158">
        <f t="shared" si="294"/>
        <v>0</v>
      </c>
      <c r="BE115" s="156">
        <f t="shared" si="398"/>
        <v>0</v>
      </c>
      <c r="BF115" s="154">
        <f t="shared" si="367"/>
        <v>0</v>
      </c>
      <c r="BG115" s="154">
        <f t="shared" si="295"/>
        <v>0</v>
      </c>
      <c r="BH115" s="154">
        <f t="shared" si="368"/>
        <v>0</v>
      </c>
      <c r="BI115" s="154">
        <f t="shared" si="296"/>
        <v>0</v>
      </c>
      <c r="BJ115" s="154">
        <f t="shared" si="369"/>
        <v>0</v>
      </c>
      <c r="BK115" s="154">
        <f t="shared" si="297"/>
        <v>0</v>
      </c>
      <c r="BL115" s="154">
        <f t="shared" si="370"/>
        <v>0</v>
      </c>
      <c r="BM115" s="154">
        <f t="shared" si="298"/>
        <v>0</v>
      </c>
      <c r="BN115" s="154">
        <f t="shared" si="371"/>
        <v>0</v>
      </c>
      <c r="BO115" s="157">
        <f t="shared" si="299"/>
        <v>0</v>
      </c>
      <c r="BP115" s="154">
        <f t="shared" si="300"/>
        <v>0</v>
      </c>
      <c r="BQ115" s="158">
        <f t="shared" si="301"/>
        <v>0</v>
      </c>
      <c r="BR115" s="156">
        <f t="shared" si="398"/>
        <v>0</v>
      </c>
      <c r="BS115" s="154">
        <f t="shared" si="372"/>
        <v>0</v>
      </c>
      <c r="BT115" s="154">
        <f t="shared" si="302"/>
        <v>0</v>
      </c>
      <c r="BU115" s="154">
        <f t="shared" si="373"/>
        <v>0</v>
      </c>
      <c r="BV115" s="154">
        <f t="shared" si="303"/>
        <v>0</v>
      </c>
      <c r="BW115" s="154">
        <f t="shared" si="374"/>
        <v>0</v>
      </c>
      <c r="BX115" s="154">
        <f t="shared" si="304"/>
        <v>0</v>
      </c>
      <c r="BY115" s="154">
        <f t="shared" si="375"/>
        <v>0</v>
      </c>
      <c r="BZ115" s="154">
        <f t="shared" si="305"/>
        <v>0</v>
      </c>
      <c r="CA115" s="154">
        <f t="shared" si="376"/>
        <v>0</v>
      </c>
      <c r="CB115" s="157">
        <f t="shared" si="306"/>
        <v>0</v>
      </c>
      <c r="CC115" s="154">
        <f t="shared" si="307"/>
        <v>0</v>
      </c>
      <c r="CD115" s="158">
        <f t="shared" si="308"/>
        <v>0</v>
      </c>
      <c r="CE115" s="156">
        <f t="shared" si="398"/>
        <v>0</v>
      </c>
      <c r="CF115" s="154">
        <f t="shared" si="377"/>
        <v>0</v>
      </c>
      <c r="CG115" s="154">
        <f t="shared" si="309"/>
        <v>0</v>
      </c>
      <c r="CH115" s="154">
        <f t="shared" si="378"/>
        <v>0</v>
      </c>
      <c r="CI115" s="154">
        <f t="shared" si="310"/>
        <v>0</v>
      </c>
      <c r="CJ115" s="154">
        <f t="shared" si="379"/>
        <v>0</v>
      </c>
      <c r="CK115" s="154">
        <f t="shared" si="311"/>
        <v>0</v>
      </c>
      <c r="CL115" s="154">
        <f t="shared" si="380"/>
        <v>0</v>
      </c>
      <c r="CM115" s="154">
        <f t="shared" si="312"/>
        <v>0</v>
      </c>
      <c r="CN115" s="154">
        <f t="shared" si="381"/>
        <v>0</v>
      </c>
      <c r="CO115" s="157">
        <f t="shared" si="313"/>
        <v>0</v>
      </c>
      <c r="CP115" s="154">
        <f t="shared" si="314"/>
        <v>0</v>
      </c>
      <c r="CQ115" s="158">
        <f t="shared" si="315"/>
        <v>0</v>
      </c>
      <c r="CR115" s="156">
        <f t="shared" si="399"/>
        <v>0</v>
      </c>
      <c r="CS115" s="154">
        <f t="shared" si="383"/>
        <v>0</v>
      </c>
      <c r="CT115" s="154">
        <f t="shared" si="317"/>
        <v>0</v>
      </c>
      <c r="CU115" s="154">
        <f t="shared" si="384"/>
        <v>0</v>
      </c>
      <c r="CV115" s="154">
        <f t="shared" si="318"/>
        <v>0</v>
      </c>
      <c r="CW115" s="154">
        <f t="shared" si="385"/>
        <v>0</v>
      </c>
      <c r="CX115" s="154">
        <f t="shared" si="319"/>
        <v>0</v>
      </c>
      <c r="CY115" s="154">
        <f t="shared" si="386"/>
        <v>0</v>
      </c>
      <c r="CZ115" s="154">
        <f t="shared" si="320"/>
        <v>0</v>
      </c>
      <c r="DA115" s="154">
        <f t="shared" si="387"/>
        <v>0</v>
      </c>
      <c r="DB115" s="157">
        <f t="shared" si="321"/>
        <v>0</v>
      </c>
      <c r="DC115" s="154">
        <f t="shared" si="322"/>
        <v>0</v>
      </c>
      <c r="DD115" s="158">
        <f t="shared" si="323"/>
        <v>0</v>
      </c>
      <c r="DE115" s="156">
        <f t="shared" si="399"/>
        <v>0</v>
      </c>
      <c r="DF115" s="154">
        <f t="shared" si="388"/>
        <v>0</v>
      </c>
      <c r="DG115" s="154">
        <f t="shared" si="324"/>
        <v>0</v>
      </c>
      <c r="DH115" s="154">
        <f t="shared" si="389"/>
        <v>0</v>
      </c>
      <c r="DI115" s="154">
        <f t="shared" si="325"/>
        <v>0</v>
      </c>
      <c r="DJ115" s="154">
        <f t="shared" si="390"/>
        <v>0</v>
      </c>
      <c r="DK115" s="154">
        <f t="shared" si="326"/>
        <v>0</v>
      </c>
      <c r="DL115" s="154">
        <f t="shared" si="391"/>
        <v>0</v>
      </c>
      <c r="DM115" s="154">
        <f t="shared" si="327"/>
        <v>0</v>
      </c>
      <c r="DN115" s="154">
        <f t="shared" si="392"/>
        <v>0</v>
      </c>
      <c r="DO115" s="157">
        <f t="shared" si="328"/>
        <v>0</v>
      </c>
      <c r="DP115" s="154">
        <f t="shared" si="329"/>
        <v>0</v>
      </c>
      <c r="DQ115" s="158">
        <f t="shared" si="330"/>
        <v>0</v>
      </c>
      <c r="DR115" s="156">
        <f t="shared" si="399"/>
        <v>0</v>
      </c>
      <c r="DS115" s="154">
        <f t="shared" si="393"/>
        <v>0</v>
      </c>
      <c r="DT115" s="154">
        <f t="shared" si="331"/>
        <v>0</v>
      </c>
      <c r="DU115" s="154">
        <f t="shared" si="394"/>
        <v>0</v>
      </c>
      <c r="DV115" s="154">
        <f t="shared" si="332"/>
        <v>0</v>
      </c>
      <c r="DW115" s="154">
        <f t="shared" si="395"/>
        <v>0</v>
      </c>
      <c r="DX115" s="154">
        <f t="shared" si="333"/>
        <v>0</v>
      </c>
      <c r="DY115" s="154">
        <f t="shared" si="396"/>
        <v>0</v>
      </c>
      <c r="DZ115" s="154">
        <f t="shared" si="334"/>
        <v>0</v>
      </c>
      <c r="EA115" s="154">
        <f t="shared" si="397"/>
        <v>0</v>
      </c>
      <c r="EB115" s="157">
        <f t="shared" si="335"/>
        <v>0</v>
      </c>
      <c r="EC115" s="154">
        <f t="shared" si="336"/>
        <v>0</v>
      </c>
      <c r="ED115" s="158">
        <f t="shared" si="337"/>
        <v>0</v>
      </c>
    </row>
    <row r="116" spans="1:134" x14ac:dyDescent="0.35">
      <c r="A116" s="172"/>
      <c r="B116" s="173"/>
      <c r="C116" s="174"/>
      <c r="D116" s="175"/>
      <c r="E116" s="176"/>
      <c r="F116" s="177"/>
      <c r="G116" s="178"/>
      <c r="H116" s="179"/>
      <c r="I116" s="180"/>
      <c r="J116" s="181"/>
      <c r="K116" s="152">
        <f t="shared" si="338"/>
        <v>0</v>
      </c>
      <c r="L116" s="153">
        <f t="shared" si="339"/>
        <v>0</v>
      </c>
      <c r="M116" s="154">
        <f t="shared" si="340"/>
        <v>0</v>
      </c>
      <c r="N116" s="154"/>
      <c r="O116" s="154">
        <f t="shared" si="341"/>
        <v>0</v>
      </c>
      <c r="P116" s="155"/>
      <c r="Q116" s="154">
        <f t="shared" si="342"/>
        <v>0</v>
      </c>
      <c r="R116" s="156">
        <f t="shared" si="343"/>
        <v>0</v>
      </c>
      <c r="S116" s="154">
        <f t="shared" si="344"/>
        <v>0</v>
      </c>
      <c r="T116" s="154">
        <f t="shared" si="345"/>
        <v>0</v>
      </c>
      <c r="U116" s="154">
        <f t="shared" si="346"/>
        <v>0</v>
      </c>
      <c r="V116" s="154">
        <f t="shared" si="347"/>
        <v>0</v>
      </c>
      <c r="W116" s="154">
        <f t="shared" si="348"/>
        <v>0</v>
      </c>
      <c r="X116" s="154">
        <f t="shared" si="349"/>
        <v>0</v>
      </c>
      <c r="Y116" s="154">
        <f t="shared" si="350"/>
        <v>0</v>
      </c>
      <c r="Z116" s="154">
        <f t="shared" si="351"/>
        <v>0</v>
      </c>
      <c r="AA116" s="154">
        <f t="shared" si="352"/>
        <v>0</v>
      </c>
      <c r="AB116" s="157">
        <f t="shared" si="353"/>
        <v>0</v>
      </c>
      <c r="AC116" s="154">
        <f t="shared" si="354"/>
        <v>0</v>
      </c>
      <c r="AD116" s="158">
        <f t="shared" si="355"/>
        <v>0</v>
      </c>
      <c r="AE116" s="156">
        <f t="shared" si="398"/>
        <v>0</v>
      </c>
      <c r="AF116" s="154">
        <f t="shared" si="357"/>
        <v>0</v>
      </c>
      <c r="AG116" s="154">
        <f t="shared" si="281"/>
        <v>0</v>
      </c>
      <c r="AH116" s="154">
        <f t="shared" si="358"/>
        <v>0</v>
      </c>
      <c r="AI116" s="154">
        <f t="shared" si="282"/>
        <v>0</v>
      </c>
      <c r="AJ116" s="154">
        <f t="shared" si="359"/>
        <v>0</v>
      </c>
      <c r="AK116" s="154">
        <f t="shared" si="283"/>
        <v>0</v>
      </c>
      <c r="AL116" s="154">
        <f t="shared" si="360"/>
        <v>0</v>
      </c>
      <c r="AM116" s="154">
        <f t="shared" si="284"/>
        <v>0</v>
      </c>
      <c r="AN116" s="154">
        <f t="shared" si="361"/>
        <v>0</v>
      </c>
      <c r="AO116" s="157">
        <f t="shared" si="285"/>
        <v>0</v>
      </c>
      <c r="AP116" s="154">
        <f t="shared" si="286"/>
        <v>0</v>
      </c>
      <c r="AQ116" s="158">
        <f t="shared" si="287"/>
        <v>0</v>
      </c>
      <c r="AR116" s="156">
        <f t="shared" si="398"/>
        <v>0</v>
      </c>
      <c r="AS116" s="154">
        <f t="shared" si="362"/>
        <v>0</v>
      </c>
      <c r="AT116" s="154">
        <f t="shared" si="288"/>
        <v>0</v>
      </c>
      <c r="AU116" s="154">
        <f t="shared" si="363"/>
        <v>0</v>
      </c>
      <c r="AV116" s="154">
        <f t="shared" si="289"/>
        <v>0</v>
      </c>
      <c r="AW116" s="154">
        <f t="shared" si="364"/>
        <v>0</v>
      </c>
      <c r="AX116" s="154">
        <f t="shared" si="290"/>
        <v>0</v>
      </c>
      <c r="AY116" s="154">
        <f t="shared" si="365"/>
        <v>0</v>
      </c>
      <c r="AZ116" s="154">
        <f t="shared" si="291"/>
        <v>0</v>
      </c>
      <c r="BA116" s="154">
        <f t="shared" si="366"/>
        <v>0</v>
      </c>
      <c r="BB116" s="157">
        <f t="shared" si="292"/>
        <v>0</v>
      </c>
      <c r="BC116" s="154">
        <f t="shared" si="293"/>
        <v>0</v>
      </c>
      <c r="BD116" s="158">
        <f t="shared" si="294"/>
        <v>0</v>
      </c>
      <c r="BE116" s="156">
        <f t="shared" si="398"/>
        <v>0</v>
      </c>
      <c r="BF116" s="154">
        <f t="shared" si="367"/>
        <v>0</v>
      </c>
      <c r="BG116" s="154">
        <f t="shared" si="295"/>
        <v>0</v>
      </c>
      <c r="BH116" s="154">
        <f t="shared" si="368"/>
        <v>0</v>
      </c>
      <c r="BI116" s="154">
        <f t="shared" si="296"/>
        <v>0</v>
      </c>
      <c r="BJ116" s="154">
        <f t="shared" si="369"/>
        <v>0</v>
      </c>
      <c r="BK116" s="154">
        <f t="shared" si="297"/>
        <v>0</v>
      </c>
      <c r="BL116" s="154">
        <f t="shared" si="370"/>
        <v>0</v>
      </c>
      <c r="BM116" s="154">
        <f t="shared" si="298"/>
        <v>0</v>
      </c>
      <c r="BN116" s="154">
        <f t="shared" si="371"/>
        <v>0</v>
      </c>
      <c r="BO116" s="157">
        <f t="shared" si="299"/>
        <v>0</v>
      </c>
      <c r="BP116" s="154">
        <f t="shared" si="300"/>
        <v>0</v>
      </c>
      <c r="BQ116" s="158">
        <f t="shared" si="301"/>
        <v>0</v>
      </c>
      <c r="BR116" s="156">
        <f t="shared" si="398"/>
        <v>0</v>
      </c>
      <c r="BS116" s="154">
        <f t="shared" si="372"/>
        <v>0</v>
      </c>
      <c r="BT116" s="154">
        <f t="shared" si="302"/>
        <v>0</v>
      </c>
      <c r="BU116" s="154">
        <f t="shared" si="373"/>
        <v>0</v>
      </c>
      <c r="BV116" s="154">
        <f t="shared" si="303"/>
        <v>0</v>
      </c>
      <c r="BW116" s="154">
        <f t="shared" si="374"/>
        <v>0</v>
      </c>
      <c r="BX116" s="154">
        <f t="shared" si="304"/>
        <v>0</v>
      </c>
      <c r="BY116" s="154">
        <f t="shared" si="375"/>
        <v>0</v>
      </c>
      <c r="BZ116" s="154">
        <f t="shared" si="305"/>
        <v>0</v>
      </c>
      <c r="CA116" s="154">
        <f t="shared" si="376"/>
        <v>0</v>
      </c>
      <c r="CB116" s="157">
        <f t="shared" si="306"/>
        <v>0</v>
      </c>
      <c r="CC116" s="154">
        <f t="shared" si="307"/>
        <v>0</v>
      </c>
      <c r="CD116" s="158">
        <f t="shared" si="308"/>
        <v>0</v>
      </c>
      <c r="CE116" s="156">
        <f t="shared" si="398"/>
        <v>0</v>
      </c>
      <c r="CF116" s="154">
        <f t="shared" si="377"/>
        <v>0</v>
      </c>
      <c r="CG116" s="154">
        <f t="shared" si="309"/>
        <v>0</v>
      </c>
      <c r="CH116" s="154">
        <f t="shared" si="378"/>
        <v>0</v>
      </c>
      <c r="CI116" s="154">
        <f t="shared" si="310"/>
        <v>0</v>
      </c>
      <c r="CJ116" s="154">
        <f t="shared" si="379"/>
        <v>0</v>
      </c>
      <c r="CK116" s="154">
        <f t="shared" si="311"/>
        <v>0</v>
      </c>
      <c r="CL116" s="154">
        <f t="shared" si="380"/>
        <v>0</v>
      </c>
      <c r="CM116" s="154">
        <f t="shared" si="312"/>
        <v>0</v>
      </c>
      <c r="CN116" s="154">
        <f t="shared" si="381"/>
        <v>0</v>
      </c>
      <c r="CO116" s="157">
        <f t="shared" si="313"/>
        <v>0</v>
      </c>
      <c r="CP116" s="154">
        <f t="shared" si="314"/>
        <v>0</v>
      </c>
      <c r="CQ116" s="158">
        <f t="shared" si="315"/>
        <v>0</v>
      </c>
      <c r="CR116" s="156">
        <f t="shared" si="399"/>
        <v>0</v>
      </c>
      <c r="CS116" s="154">
        <f t="shared" si="383"/>
        <v>0</v>
      </c>
      <c r="CT116" s="154">
        <f t="shared" si="317"/>
        <v>0</v>
      </c>
      <c r="CU116" s="154">
        <f t="shared" si="384"/>
        <v>0</v>
      </c>
      <c r="CV116" s="154">
        <f t="shared" si="318"/>
        <v>0</v>
      </c>
      <c r="CW116" s="154">
        <f t="shared" si="385"/>
        <v>0</v>
      </c>
      <c r="CX116" s="154">
        <f t="shared" si="319"/>
        <v>0</v>
      </c>
      <c r="CY116" s="154">
        <f t="shared" si="386"/>
        <v>0</v>
      </c>
      <c r="CZ116" s="154">
        <f t="shared" si="320"/>
        <v>0</v>
      </c>
      <c r="DA116" s="154">
        <f t="shared" si="387"/>
        <v>0</v>
      </c>
      <c r="DB116" s="157">
        <f t="shared" si="321"/>
        <v>0</v>
      </c>
      <c r="DC116" s="154">
        <f t="shared" si="322"/>
        <v>0</v>
      </c>
      <c r="DD116" s="158">
        <f t="shared" si="323"/>
        <v>0</v>
      </c>
      <c r="DE116" s="156">
        <f t="shared" si="399"/>
        <v>0</v>
      </c>
      <c r="DF116" s="154">
        <f t="shared" si="388"/>
        <v>0</v>
      </c>
      <c r="DG116" s="154">
        <f t="shared" si="324"/>
        <v>0</v>
      </c>
      <c r="DH116" s="154">
        <f t="shared" si="389"/>
        <v>0</v>
      </c>
      <c r="DI116" s="154">
        <f t="shared" si="325"/>
        <v>0</v>
      </c>
      <c r="DJ116" s="154">
        <f t="shared" si="390"/>
        <v>0</v>
      </c>
      <c r="DK116" s="154">
        <f t="shared" si="326"/>
        <v>0</v>
      </c>
      <c r="DL116" s="154">
        <f t="shared" si="391"/>
        <v>0</v>
      </c>
      <c r="DM116" s="154">
        <f t="shared" si="327"/>
        <v>0</v>
      </c>
      <c r="DN116" s="154">
        <f t="shared" si="392"/>
        <v>0</v>
      </c>
      <c r="DO116" s="157">
        <f t="shared" si="328"/>
        <v>0</v>
      </c>
      <c r="DP116" s="154">
        <f t="shared" si="329"/>
        <v>0</v>
      </c>
      <c r="DQ116" s="158">
        <f t="shared" si="330"/>
        <v>0</v>
      </c>
      <c r="DR116" s="156">
        <f t="shared" si="399"/>
        <v>0</v>
      </c>
      <c r="DS116" s="154">
        <f t="shared" si="393"/>
        <v>0</v>
      </c>
      <c r="DT116" s="154">
        <f t="shared" si="331"/>
        <v>0</v>
      </c>
      <c r="DU116" s="154">
        <f t="shared" si="394"/>
        <v>0</v>
      </c>
      <c r="DV116" s="154">
        <f t="shared" si="332"/>
        <v>0</v>
      </c>
      <c r="DW116" s="154">
        <f t="shared" si="395"/>
        <v>0</v>
      </c>
      <c r="DX116" s="154">
        <f t="shared" si="333"/>
        <v>0</v>
      </c>
      <c r="DY116" s="154">
        <f t="shared" si="396"/>
        <v>0</v>
      </c>
      <c r="DZ116" s="154">
        <f t="shared" si="334"/>
        <v>0</v>
      </c>
      <c r="EA116" s="154">
        <f t="shared" si="397"/>
        <v>0</v>
      </c>
      <c r="EB116" s="157">
        <f t="shared" si="335"/>
        <v>0</v>
      </c>
      <c r="EC116" s="154">
        <f t="shared" si="336"/>
        <v>0</v>
      </c>
      <c r="ED116" s="158">
        <f t="shared" si="337"/>
        <v>0</v>
      </c>
    </row>
    <row r="117" spans="1:134" x14ac:dyDescent="0.35">
      <c r="A117" s="172"/>
      <c r="B117" s="173"/>
      <c r="C117" s="174"/>
      <c r="D117" s="175"/>
      <c r="E117" s="176"/>
      <c r="F117" s="177"/>
      <c r="G117" s="178"/>
      <c r="H117" s="179"/>
      <c r="I117" s="180"/>
      <c r="J117" s="181"/>
      <c r="K117" s="152">
        <f t="shared" si="338"/>
        <v>0</v>
      </c>
      <c r="L117" s="153">
        <f t="shared" si="339"/>
        <v>0</v>
      </c>
      <c r="M117" s="154">
        <f t="shared" si="340"/>
        <v>0</v>
      </c>
      <c r="N117" s="154"/>
      <c r="O117" s="154">
        <f t="shared" si="341"/>
        <v>0</v>
      </c>
      <c r="P117" s="155"/>
      <c r="Q117" s="154">
        <f t="shared" si="342"/>
        <v>0</v>
      </c>
      <c r="R117" s="156">
        <f t="shared" si="343"/>
        <v>0</v>
      </c>
      <c r="S117" s="154">
        <f t="shared" si="344"/>
        <v>0</v>
      </c>
      <c r="T117" s="154">
        <f t="shared" si="345"/>
        <v>0</v>
      </c>
      <c r="U117" s="154">
        <f t="shared" si="346"/>
        <v>0</v>
      </c>
      <c r="V117" s="154">
        <f t="shared" si="347"/>
        <v>0</v>
      </c>
      <c r="W117" s="154">
        <f t="shared" si="348"/>
        <v>0</v>
      </c>
      <c r="X117" s="154">
        <f t="shared" si="349"/>
        <v>0</v>
      </c>
      <c r="Y117" s="154">
        <f t="shared" si="350"/>
        <v>0</v>
      </c>
      <c r="Z117" s="154">
        <f t="shared" si="351"/>
        <v>0</v>
      </c>
      <c r="AA117" s="154">
        <f t="shared" si="352"/>
        <v>0</v>
      </c>
      <c r="AB117" s="157">
        <f t="shared" si="353"/>
        <v>0</v>
      </c>
      <c r="AC117" s="154">
        <f t="shared" si="354"/>
        <v>0</v>
      </c>
      <c r="AD117" s="158">
        <f t="shared" si="355"/>
        <v>0</v>
      </c>
      <c r="AE117" s="156">
        <f t="shared" ref="AE117:CE125" si="400">IF(YEAR($F117)=AE$4,$E117,0)</f>
        <v>0</v>
      </c>
      <c r="AF117" s="154">
        <f t="shared" si="357"/>
        <v>0</v>
      </c>
      <c r="AG117" s="154">
        <f t="shared" si="281"/>
        <v>0</v>
      </c>
      <c r="AH117" s="154">
        <f t="shared" si="358"/>
        <v>0</v>
      </c>
      <c r="AI117" s="154">
        <f t="shared" si="282"/>
        <v>0</v>
      </c>
      <c r="AJ117" s="154">
        <f t="shared" si="359"/>
        <v>0</v>
      </c>
      <c r="AK117" s="154">
        <f t="shared" si="283"/>
        <v>0</v>
      </c>
      <c r="AL117" s="154">
        <f t="shared" si="360"/>
        <v>0</v>
      </c>
      <c r="AM117" s="154">
        <f t="shared" si="284"/>
        <v>0</v>
      </c>
      <c r="AN117" s="154">
        <f t="shared" si="361"/>
        <v>0</v>
      </c>
      <c r="AO117" s="157">
        <f t="shared" si="285"/>
        <v>0</v>
      </c>
      <c r="AP117" s="154">
        <f t="shared" si="286"/>
        <v>0</v>
      </c>
      <c r="AQ117" s="158">
        <f t="shared" si="287"/>
        <v>0</v>
      </c>
      <c r="AR117" s="156">
        <f t="shared" si="400"/>
        <v>0</v>
      </c>
      <c r="AS117" s="154">
        <f t="shared" si="362"/>
        <v>0</v>
      </c>
      <c r="AT117" s="154">
        <f t="shared" si="288"/>
        <v>0</v>
      </c>
      <c r="AU117" s="154">
        <f t="shared" si="363"/>
        <v>0</v>
      </c>
      <c r="AV117" s="154">
        <f t="shared" si="289"/>
        <v>0</v>
      </c>
      <c r="AW117" s="154">
        <f t="shared" si="364"/>
        <v>0</v>
      </c>
      <c r="AX117" s="154">
        <f t="shared" si="290"/>
        <v>0</v>
      </c>
      <c r="AY117" s="154">
        <f t="shared" si="365"/>
        <v>0</v>
      </c>
      <c r="AZ117" s="154">
        <f t="shared" si="291"/>
        <v>0</v>
      </c>
      <c r="BA117" s="154">
        <f t="shared" si="366"/>
        <v>0</v>
      </c>
      <c r="BB117" s="157">
        <f t="shared" si="292"/>
        <v>0</v>
      </c>
      <c r="BC117" s="154">
        <f t="shared" si="293"/>
        <v>0</v>
      </c>
      <c r="BD117" s="158">
        <f t="shared" si="294"/>
        <v>0</v>
      </c>
      <c r="BE117" s="156">
        <f t="shared" si="400"/>
        <v>0</v>
      </c>
      <c r="BF117" s="154">
        <f t="shared" si="367"/>
        <v>0</v>
      </c>
      <c r="BG117" s="154">
        <f t="shared" si="295"/>
        <v>0</v>
      </c>
      <c r="BH117" s="154">
        <f t="shared" si="368"/>
        <v>0</v>
      </c>
      <c r="BI117" s="154">
        <f t="shared" si="296"/>
        <v>0</v>
      </c>
      <c r="BJ117" s="154">
        <f t="shared" si="369"/>
        <v>0</v>
      </c>
      <c r="BK117" s="154">
        <f t="shared" si="297"/>
        <v>0</v>
      </c>
      <c r="BL117" s="154">
        <f t="shared" si="370"/>
        <v>0</v>
      </c>
      <c r="BM117" s="154">
        <f t="shared" si="298"/>
        <v>0</v>
      </c>
      <c r="BN117" s="154">
        <f t="shared" si="371"/>
        <v>0</v>
      </c>
      <c r="BO117" s="157">
        <f t="shared" si="299"/>
        <v>0</v>
      </c>
      <c r="BP117" s="154">
        <f t="shared" si="300"/>
        <v>0</v>
      </c>
      <c r="BQ117" s="158">
        <f t="shared" si="301"/>
        <v>0</v>
      </c>
      <c r="BR117" s="156">
        <f t="shared" si="400"/>
        <v>0</v>
      </c>
      <c r="BS117" s="154">
        <f t="shared" si="372"/>
        <v>0</v>
      </c>
      <c r="BT117" s="154">
        <f t="shared" si="302"/>
        <v>0</v>
      </c>
      <c r="BU117" s="154">
        <f t="shared" si="373"/>
        <v>0</v>
      </c>
      <c r="BV117" s="154">
        <f t="shared" si="303"/>
        <v>0</v>
      </c>
      <c r="BW117" s="154">
        <f t="shared" si="374"/>
        <v>0</v>
      </c>
      <c r="BX117" s="154">
        <f t="shared" si="304"/>
        <v>0</v>
      </c>
      <c r="BY117" s="154">
        <f t="shared" si="375"/>
        <v>0</v>
      </c>
      <c r="BZ117" s="154">
        <f t="shared" si="305"/>
        <v>0</v>
      </c>
      <c r="CA117" s="154">
        <f t="shared" si="376"/>
        <v>0</v>
      </c>
      <c r="CB117" s="157">
        <f t="shared" si="306"/>
        <v>0</v>
      </c>
      <c r="CC117" s="154">
        <f t="shared" si="307"/>
        <v>0</v>
      </c>
      <c r="CD117" s="158">
        <f t="shared" si="308"/>
        <v>0</v>
      </c>
      <c r="CE117" s="156">
        <f t="shared" si="400"/>
        <v>0</v>
      </c>
      <c r="CF117" s="154">
        <f t="shared" si="377"/>
        <v>0</v>
      </c>
      <c r="CG117" s="154">
        <f t="shared" si="309"/>
        <v>0</v>
      </c>
      <c r="CH117" s="154">
        <f t="shared" si="378"/>
        <v>0</v>
      </c>
      <c r="CI117" s="154">
        <f t="shared" si="310"/>
        <v>0</v>
      </c>
      <c r="CJ117" s="154">
        <f t="shared" si="379"/>
        <v>0</v>
      </c>
      <c r="CK117" s="154">
        <f t="shared" si="311"/>
        <v>0</v>
      </c>
      <c r="CL117" s="154">
        <f t="shared" si="380"/>
        <v>0</v>
      </c>
      <c r="CM117" s="154">
        <f t="shared" si="312"/>
        <v>0</v>
      </c>
      <c r="CN117" s="154">
        <f t="shared" si="381"/>
        <v>0</v>
      </c>
      <c r="CO117" s="157">
        <f t="shared" si="313"/>
        <v>0</v>
      </c>
      <c r="CP117" s="154">
        <f t="shared" si="314"/>
        <v>0</v>
      </c>
      <c r="CQ117" s="158">
        <f t="shared" si="315"/>
        <v>0</v>
      </c>
      <c r="CR117" s="156">
        <f t="shared" ref="CR117:DR125" si="401">IF(YEAR($F117)=CR$4,$E117,0)</f>
        <v>0</v>
      </c>
      <c r="CS117" s="154">
        <f t="shared" si="383"/>
        <v>0</v>
      </c>
      <c r="CT117" s="154">
        <f t="shared" si="317"/>
        <v>0</v>
      </c>
      <c r="CU117" s="154">
        <f t="shared" si="384"/>
        <v>0</v>
      </c>
      <c r="CV117" s="154">
        <f t="shared" si="318"/>
        <v>0</v>
      </c>
      <c r="CW117" s="154">
        <f t="shared" si="385"/>
        <v>0</v>
      </c>
      <c r="CX117" s="154">
        <f t="shared" si="319"/>
        <v>0</v>
      </c>
      <c r="CY117" s="154">
        <f t="shared" si="386"/>
        <v>0</v>
      </c>
      <c r="CZ117" s="154">
        <f t="shared" si="320"/>
        <v>0</v>
      </c>
      <c r="DA117" s="154">
        <f t="shared" si="387"/>
        <v>0</v>
      </c>
      <c r="DB117" s="157">
        <f t="shared" si="321"/>
        <v>0</v>
      </c>
      <c r="DC117" s="154">
        <f t="shared" si="322"/>
        <v>0</v>
      </c>
      <c r="DD117" s="158">
        <f t="shared" si="323"/>
        <v>0</v>
      </c>
      <c r="DE117" s="156">
        <f t="shared" si="401"/>
        <v>0</v>
      </c>
      <c r="DF117" s="154">
        <f t="shared" si="388"/>
        <v>0</v>
      </c>
      <c r="DG117" s="154">
        <f t="shared" si="324"/>
        <v>0</v>
      </c>
      <c r="DH117" s="154">
        <f t="shared" si="389"/>
        <v>0</v>
      </c>
      <c r="DI117" s="154">
        <f t="shared" si="325"/>
        <v>0</v>
      </c>
      <c r="DJ117" s="154">
        <f t="shared" si="390"/>
        <v>0</v>
      </c>
      <c r="DK117" s="154">
        <f t="shared" si="326"/>
        <v>0</v>
      </c>
      <c r="DL117" s="154">
        <f t="shared" si="391"/>
        <v>0</v>
      </c>
      <c r="DM117" s="154">
        <f t="shared" si="327"/>
        <v>0</v>
      </c>
      <c r="DN117" s="154">
        <f t="shared" si="392"/>
        <v>0</v>
      </c>
      <c r="DO117" s="157">
        <f t="shared" si="328"/>
        <v>0</v>
      </c>
      <c r="DP117" s="154">
        <f t="shared" si="329"/>
        <v>0</v>
      </c>
      <c r="DQ117" s="158">
        <f t="shared" si="330"/>
        <v>0</v>
      </c>
      <c r="DR117" s="156">
        <f t="shared" si="401"/>
        <v>0</v>
      </c>
      <c r="DS117" s="154">
        <f t="shared" si="393"/>
        <v>0</v>
      </c>
      <c r="DT117" s="154">
        <f t="shared" si="331"/>
        <v>0</v>
      </c>
      <c r="DU117" s="154">
        <f t="shared" si="394"/>
        <v>0</v>
      </c>
      <c r="DV117" s="154">
        <f t="shared" si="332"/>
        <v>0</v>
      </c>
      <c r="DW117" s="154">
        <f t="shared" si="395"/>
        <v>0</v>
      </c>
      <c r="DX117" s="154">
        <f t="shared" si="333"/>
        <v>0</v>
      </c>
      <c r="DY117" s="154">
        <f t="shared" si="396"/>
        <v>0</v>
      </c>
      <c r="DZ117" s="154">
        <f t="shared" si="334"/>
        <v>0</v>
      </c>
      <c r="EA117" s="154">
        <f t="shared" si="397"/>
        <v>0</v>
      </c>
      <c r="EB117" s="157">
        <f t="shared" si="335"/>
        <v>0</v>
      </c>
      <c r="EC117" s="154">
        <f t="shared" si="336"/>
        <v>0</v>
      </c>
      <c r="ED117" s="158">
        <f t="shared" si="337"/>
        <v>0</v>
      </c>
    </row>
    <row r="118" spans="1:134" x14ac:dyDescent="0.35">
      <c r="A118" s="172"/>
      <c r="B118" s="173"/>
      <c r="C118" s="174"/>
      <c r="D118" s="175"/>
      <c r="E118" s="176"/>
      <c r="F118" s="177"/>
      <c r="G118" s="178"/>
      <c r="H118" s="179"/>
      <c r="I118" s="180"/>
      <c r="J118" s="181"/>
      <c r="K118" s="152">
        <f t="shared" si="338"/>
        <v>0</v>
      </c>
      <c r="L118" s="153">
        <f t="shared" si="339"/>
        <v>0</v>
      </c>
      <c r="M118" s="154">
        <f t="shared" si="340"/>
        <v>0</v>
      </c>
      <c r="N118" s="154"/>
      <c r="O118" s="154">
        <f t="shared" si="341"/>
        <v>0</v>
      </c>
      <c r="P118" s="155"/>
      <c r="Q118" s="154">
        <f t="shared" si="342"/>
        <v>0</v>
      </c>
      <c r="R118" s="156">
        <f t="shared" si="343"/>
        <v>0</v>
      </c>
      <c r="S118" s="154">
        <f t="shared" si="344"/>
        <v>0</v>
      </c>
      <c r="T118" s="154">
        <f t="shared" si="345"/>
        <v>0</v>
      </c>
      <c r="U118" s="154">
        <f t="shared" si="346"/>
        <v>0</v>
      </c>
      <c r="V118" s="154">
        <f t="shared" si="347"/>
        <v>0</v>
      </c>
      <c r="W118" s="154">
        <f t="shared" si="348"/>
        <v>0</v>
      </c>
      <c r="X118" s="154">
        <f t="shared" si="349"/>
        <v>0</v>
      </c>
      <c r="Y118" s="154">
        <f t="shared" si="350"/>
        <v>0</v>
      </c>
      <c r="Z118" s="154">
        <f t="shared" si="351"/>
        <v>0</v>
      </c>
      <c r="AA118" s="154">
        <f t="shared" si="352"/>
        <v>0</v>
      </c>
      <c r="AB118" s="157">
        <f t="shared" si="353"/>
        <v>0</v>
      </c>
      <c r="AC118" s="154">
        <f t="shared" si="354"/>
        <v>0</v>
      </c>
      <c r="AD118" s="158">
        <f t="shared" si="355"/>
        <v>0</v>
      </c>
      <c r="AE118" s="156">
        <f t="shared" si="400"/>
        <v>0</v>
      </c>
      <c r="AF118" s="154">
        <f t="shared" si="357"/>
        <v>0</v>
      </c>
      <c r="AG118" s="154">
        <f t="shared" si="281"/>
        <v>0</v>
      </c>
      <c r="AH118" s="154">
        <f t="shared" si="358"/>
        <v>0</v>
      </c>
      <c r="AI118" s="154">
        <f t="shared" si="282"/>
        <v>0</v>
      </c>
      <c r="AJ118" s="154">
        <f t="shared" si="359"/>
        <v>0</v>
      </c>
      <c r="AK118" s="154">
        <f t="shared" si="283"/>
        <v>0</v>
      </c>
      <c r="AL118" s="154">
        <f t="shared" si="360"/>
        <v>0</v>
      </c>
      <c r="AM118" s="154">
        <f t="shared" si="284"/>
        <v>0</v>
      </c>
      <c r="AN118" s="154">
        <f t="shared" si="361"/>
        <v>0</v>
      </c>
      <c r="AO118" s="157">
        <f t="shared" si="285"/>
        <v>0</v>
      </c>
      <c r="AP118" s="154">
        <f t="shared" si="286"/>
        <v>0</v>
      </c>
      <c r="AQ118" s="158">
        <f t="shared" si="287"/>
        <v>0</v>
      </c>
      <c r="AR118" s="156">
        <f t="shared" si="400"/>
        <v>0</v>
      </c>
      <c r="AS118" s="154">
        <f t="shared" si="362"/>
        <v>0</v>
      </c>
      <c r="AT118" s="154">
        <f t="shared" si="288"/>
        <v>0</v>
      </c>
      <c r="AU118" s="154">
        <f t="shared" si="363"/>
        <v>0</v>
      </c>
      <c r="AV118" s="154">
        <f t="shared" si="289"/>
        <v>0</v>
      </c>
      <c r="AW118" s="154">
        <f t="shared" si="364"/>
        <v>0</v>
      </c>
      <c r="AX118" s="154">
        <f t="shared" si="290"/>
        <v>0</v>
      </c>
      <c r="AY118" s="154">
        <f t="shared" si="365"/>
        <v>0</v>
      </c>
      <c r="AZ118" s="154">
        <f t="shared" si="291"/>
        <v>0</v>
      </c>
      <c r="BA118" s="154">
        <f t="shared" si="366"/>
        <v>0</v>
      </c>
      <c r="BB118" s="157">
        <f t="shared" si="292"/>
        <v>0</v>
      </c>
      <c r="BC118" s="154">
        <f t="shared" si="293"/>
        <v>0</v>
      </c>
      <c r="BD118" s="158">
        <f t="shared" si="294"/>
        <v>0</v>
      </c>
      <c r="BE118" s="156">
        <f t="shared" si="400"/>
        <v>0</v>
      </c>
      <c r="BF118" s="154">
        <f t="shared" si="367"/>
        <v>0</v>
      </c>
      <c r="BG118" s="154">
        <f t="shared" si="295"/>
        <v>0</v>
      </c>
      <c r="BH118" s="154">
        <f t="shared" si="368"/>
        <v>0</v>
      </c>
      <c r="BI118" s="154">
        <f t="shared" si="296"/>
        <v>0</v>
      </c>
      <c r="BJ118" s="154">
        <f t="shared" si="369"/>
        <v>0</v>
      </c>
      <c r="BK118" s="154">
        <f t="shared" si="297"/>
        <v>0</v>
      </c>
      <c r="BL118" s="154">
        <f t="shared" si="370"/>
        <v>0</v>
      </c>
      <c r="BM118" s="154">
        <f t="shared" si="298"/>
        <v>0</v>
      </c>
      <c r="BN118" s="154">
        <f t="shared" si="371"/>
        <v>0</v>
      </c>
      <c r="BO118" s="157">
        <f t="shared" si="299"/>
        <v>0</v>
      </c>
      <c r="BP118" s="154">
        <f t="shared" si="300"/>
        <v>0</v>
      </c>
      <c r="BQ118" s="158">
        <f t="shared" si="301"/>
        <v>0</v>
      </c>
      <c r="BR118" s="156">
        <f t="shared" si="400"/>
        <v>0</v>
      </c>
      <c r="BS118" s="154">
        <f t="shared" si="372"/>
        <v>0</v>
      </c>
      <c r="BT118" s="154">
        <f t="shared" si="302"/>
        <v>0</v>
      </c>
      <c r="BU118" s="154">
        <f t="shared" si="373"/>
        <v>0</v>
      </c>
      <c r="BV118" s="154">
        <f t="shared" si="303"/>
        <v>0</v>
      </c>
      <c r="BW118" s="154">
        <f t="shared" si="374"/>
        <v>0</v>
      </c>
      <c r="BX118" s="154">
        <f t="shared" si="304"/>
        <v>0</v>
      </c>
      <c r="BY118" s="154">
        <f t="shared" si="375"/>
        <v>0</v>
      </c>
      <c r="BZ118" s="154">
        <f t="shared" si="305"/>
        <v>0</v>
      </c>
      <c r="CA118" s="154">
        <f t="shared" si="376"/>
        <v>0</v>
      </c>
      <c r="CB118" s="157">
        <f t="shared" si="306"/>
        <v>0</v>
      </c>
      <c r="CC118" s="154">
        <f t="shared" si="307"/>
        <v>0</v>
      </c>
      <c r="CD118" s="158">
        <f t="shared" si="308"/>
        <v>0</v>
      </c>
      <c r="CE118" s="156">
        <f t="shared" si="400"/>
        <v>0</v>
      </c>
      <c r="CF118" s="154">
        <f t="shared" si="377"/>
        <v>0</v>
      </c>
      <c r="CG118" s="154">
        <f t="shared" si="309"/>
        <v>0</v>
      </c>
      <c r="CH118" s="154">
        <f t="shared" si="378"/>
        <v>0</v>
      </c>
      <c r="CI118" s="154">
        <f t="shared" si="310"/>
        <v>0</v>
      </c>
      <c r="CJ118" s="154">
        <f t="shared" si="379"/>
        <v>0</v>
      </c>
      <c r="CK118" s="154">
        <f t="shared" si="311"/>
        <v>0</v>
      </c>
      <c r="CL118" s="154">
        <f t="shared" si="380"/>
        <v>0</v>
      </c>
      <c r="CM118" s="154">
        <f t="shared" si="312"/>
        <v>0</v>
      </c>
      <c r="CN118" s="154">
        <f t="shared" si="381"/>
        <v>0</v>
      </c>
      <c r="CO118" s="157">
        <f t="shared" si="313"/>
        <v>0</v>
      </c>
      <c r="CP118" s="154">
        <f t="shared" si="314"/>
        <v>0</v>
      </c>
      <c r="CQ118" s="158">
        <f t="shared" si="315"/>
        <v>0</v>
      </c>
      <c r="CR118" s="156">
        <f t="shared" si="401"/>
        <v>0</v>
      </c>
      <c r="CS118" s="154">
        <f t="shared" si="383"/>
        <v>0</v>
      </c>
      <c r="CT118" s="154">
        <f t="shared" si="317"/>
        <v>0</v>
      </c>
      <c r="CU118" s="154">
        <f t="shared" si="384"/>
        <v>0</v>
      </c>
      <c r="CV118" s="154">
        <f t="shared" si="318"/>
        <v>0</v>
      </c>
      <c r="CW118" s="154">
        <f t="shared" si="385"/>
        <v>0</v>
      </c>
      <c r="CX118" s="154">
        <f t="shared" si="319"/>
        <v>0</v>
      </c>
      <c r="CY118" s="154">
        <f t="shared" si="386"/>
        <v>0</v>
      </c>
      <c r="CZ118" s="154">
        <f t="shared" si="320"/>
        <v>0</v>
      </c>
      <c r="DA118" s="154">
        <f t="shared" si="387"/>
        <v>0</v>
      </c>
      <c r="DB118" s="157">
        <f t="shared" si="321"/>
        <v>0</v>
      </c>
      <c r="DC118" s="154">
        <f t="shared" si="322"/>
        <v>0</v>
      </c>
      <c r="DD118" s="158">
        <f t="shared" si="323"/>
        <v>0</v>
      </c>
      <c r="DE118" s="156">
        <f t="shared" si="401"/>
        <v>0</v>
      </c>
      <c r="DF118" s="154">
        <f t="shared" si="388"/>
        <v>0</v>
      </c>
      <c r="DG118" s="154">
        <f t="shared" si="324"/>
        <v>0</v>
      </c>
      <c r="DH118" s="154">
        <f t="shared" si="389"/>
        <v>0</v>
      </c>
      <c r="DI118" s="154">
        <f t="shared" si="325"/>
        <v>0</v>
      </c>
      <c r="DJ118" s="154">
        <f t="shared" si="390"/>
        <v>0</v>
      </c>
      <c r="DK118" s="154">
        <f t="shared" si="326"/>
        <v>0</v>
      </c>
      <c r="DL118" s="154">
        <f t="shared" si="391"/>
        <v>0</v>
      </c>
      <c r="DM118" s="154">
        <f t="shared" si="327"/>
        <v>0</v>
      </c>
      <c r="DN118" s="154">
        <f t="shared" si="392"/>
        <v>0</v>
      </c>
      <c r="DO118" s="157">
        <f t="shared" si="328"/>
        <v>0</v>
      </c>
      <c r="DP118" s="154">
        <f t="shared" si="329"/>
        <v>0</v>
      </c>
      <c r="DQ118" s="158">
        <f t="shared" si="330"/>
        <v>0</v>
      </c>
      <c r="DR118" s="156">
        <f t="shared" si="401"/>
        <v>0</v>
      </c>
      <c r="DS118" s="154">
        <f t="shared" si="393"/>
        <v>0</v>
      </c>
      <c r="DT118" s="154">
        <f t="shared" si="331"/>
        <v>0</v>
      </c>
      <c r="DU118" s="154">
        <f t="shared" si="394"/>
        <v>0</v>
      </c>
      <c r="DV118" s="154">
        <f t="shared" si="332"/>
        <v>0</v>
      </c>
      <c r="DW118" s="154">
        <f t="shared" si="395"/>
        <v>0</v>
      </c>
      <c r="DX118" s="154">
        <f t="shared" si="333"/>
        <v>0</v>
      </c>
      <c r="DY118" s="154">
        <f t="shared" si="396"/>
        <v>0</v>
      </c>
      <c r="DZ118" s="154">
        <f t="shared" si="334"/>
        <v>0</v>
      </c>
      <c r="EA118" s="154">
        <f t="shared" si="397"/>
        <v>0</v>
      </c>
      <c r="EB118" s="157">
        <f t="shared" si="335"/>
        <v>0</v>
      </c>
      <c r="EC118" s="154">
        <f t="shared" si="336"/>
        <v>0</v>
      </c>
      <c r="ED118" s="158">
        <f t="shared" si="337"/>
        <v>0</v>
      </c>
    </row>
    <row r="119" spans="1:134" x14ac:dyDescent="0.35">
      <c r="A119" s="172"/>
      <c r="B119" s="173"/>
      <c r="C119" s="174"/>
      <c r="D119" s="175"/>
      <c r="E119" s="176"/>
      <c r="F119" s="177"/>
      <c r="G119" s="178"/>
      <c r="H119" s="179"/>
      <c r="I119" s="180"/>
      <c r="J119" s="181"/>
      <c r="K119" s="152">
        <f t="shared" si="338"/>
        <v>0</v>
      </c>
      <c r="L119" s="153">
        <f t="shared" si="339"/>
        <v>0</v>
      </c>
      <c r="M119" s="154">
        <f t="shared" si="340"/>
        <v>0</v>
      </c>
      <c r="N119" s="154"/>
      <c r="O119" s="154">
        <f t="shared" si="341"/>
        <v>0</v>
      </c>
      <c r="P119" s="155"/>
      <c r="Q119" s="154">
        <f t="shared" si="342"/>
        <v>0</v>
      </c>
      <c r="R119" s="156">
        <f t="shared" si="343"/>
        <v>0</v>
      </c>
      <c r="S119" s="154">
        <f t="shared" si="344"/>
        <v>0</v>
      </c>
      <c r="T119" s="154">
        <f t="shared" si="345"/>
        <v>0</v>
      </c>
      <c r="U119" s="154">
        <f t="shared" si="346"/>
        <v>0</v>
      </c>
      <c r="V119" s="154">
        <f t="shared" si="347"/>
        <v>0</v>
      </c>
      <c r="W119" s="154">
        <f t="shared" si="348"/>
        <v>0</v>
      </c>
      <c r="X119" s="154">
        <f t="shared" si="349"/>
        <v>0</v>
      </c>
      <c r="Y119" s="154">
        <f t="shared" si="350"/>
        <v>0</v>
      </c>
      <c r="Z119" s="154">
        <f t="shared" si="351"/>
        <v>0</v>
      </c>
      <c r="AA119" s="154">
        <f t="shared" si="352"/>
        <v>0</v>
      </c>
      <c r="AB119" s="157">
        <f t="shared" si="353"/>
        <v>0</v>
      </c>
      <c r="AC119" s="154">
        <f t="shared" si="354"/>
        <v>0</v>
      </c>
      <c r="AD119" s="158">
        <f t="shared" si="355"/>
        <v>0</v>
      </c>
      <c r="AE119" s="156">
        <f t="shared" si="400"/>
        <v>0</v>
      </c>
      <c r="AF119" s="154">
        <f t="shared" si="357"/>
        <v>0</v>
      </c>
      <c r="AG119" s="154">
        <f t="shared" si="281"/>
        <v>0</v>
      </c>
      <c r="AH119" s="154">
        <f t="shared" si="358"/>
        <v>0</v>
      </c>
      <c r="AI119" s="154">
        <f t="shared" si="282"/>
        <v>0</v>
      </c>
      <c r="AJ119" s="154">
        <f t="shared" si="359"/>
        <v>0</v>
      </c>
      <c r="AK119" s="154">
        <f t="shared" si="283"/>
        <v>0</v>
      </c>
      <c r="AL119" s="154">
        <f t="shared" si="360"/>
        <v>0</v>
      </c>
      <c r="AM119" s="154">
        <f t="shared" si="284"/>
        <v>0</v>
      </c>
      <c r="AN119" s="154">
        <f t="shared" si="361"/>
        <v>0</v>
      </c>
      <c r="AO119" s="157">
        <f t="shared" si="285"/>
        <v>0</v>
      </c>
      <c r="AP119" s="154">
        <f t="shared" si="286"/>
        <v>0</v>
      </c>
      <c r="AQ119" s="158">
        <f t="shared" si="287"/>
        <v>0</v>
      </c>
      <c r="AR119" s="156">
        <f t="shared" si="400"/>
        <v>0</v>
      </c>
      <c r="AS119" s="154">
        <f t="shared" si="362"/>
        <v>0</v>
      </c>
      <c r="AT119" s="154">
        <f t="shared" si="288"/>
        <v>0</v>
      </c>
      <c r="AU119" s="154">
        <f t="shared" si="363"/>
        <v>0</v>
      </c>
      <c r="AV119" s="154">
        <f t="shared" si="289"/>
        <v>0</v>
      </c>
      <c r="AW119" s="154">
        <f t="shared" si="364"/>
        <v>0</v>
      </c>
      <c r="AX119" s="154">
        <f t="shared" si="290"/>
        <v>0</v>
      </c>
      <c r="AY119" s="154">
        <f t="shared" si="365"/>
        <v>0</v>
      </c>
      <c r="AZ119" s="154">
        <f t="shared" si="291"/>
        <v>0</v>
      </c>
      <c r="BA119" s="154">
        <f t="shared" si="366"/>
        <v>0</v>
      </c>
      <c r="BB119" s="157">
        <f t="shared" si="292"/>
        <v>0</v>
      </c>
      <c r="BC119" s="154">
        <f t="shared" si="293"/>
        <v>0</v>
      </c>
      <c r="BD119" s="158">
        <f t="shared" si="294"/>
        <v>0</v>
      </c>
      <c r="BE119" s="156">
        <f t="shared" si="400"/>
        <v>0</v>
      </c>
      <c r="BF119" s="154">
        <f t="shared" si="367"/>
        <v>0</v>
      </c>
      <c r="BG119" s="154">
        <f t="shared" si="295"/>
        <v>0</v>
      </c>
      <c r="BH119" s="154">
        <f t="shared" si="368"/>
        <v>0</v>
      </c>
      <c r="BI119" s="154">
        <f t="shared" si="296"/>
        <v>0</v>
      </c>
      <c r="BJ119" s="154">
        <f t="shared" si="369"/>
        <v>0</v>
      </c>
      <c r="BK119" s="154">
        <f t="shared" si="297"/>
        <v>0</v>
      </c>
      <c r="BL119" s="154">
        <f t="shared" si="370"/>
        <v>0</v>
      </c>
      <c r="BM119" s="154">
        <f t="shared" si="298"/>
        <v>0</v>
      </c>
      <c r="BN119" s="154">
        <f t="shared" si="371"/>
        <v>0</v>
      </c>
      <c r="BO119" s="157">
        <f t="shared" si="299"/>
        <v>0</v>
      </c>
      <c r="BP119" s="154">
        <f t="shared" si="300"/>
        <v>0</v>
      </c>
      <c r="BQ119" s="158">
        <f t="shared" si="301"/>
        <v>0</v>
      </c>
      <c r="BR119" s="156">
        <f t="shared" si="400"/>
        <v>0</v>
      </c>
      <c r="BS119" s="154">
        <f t="shared" si="372"/>
        <v>0</v>
      </c>
      <c r="BT119" s="154">
        <f t="shared" si="302"/>
        <v>0</v>
      </c>
      <c r="BU119" s="154">
        <f t="shared" si="373"/>
        <v>0</v>
      </c>
      <c r="BV119" s="154">
        <f t="shared" si="303"/>
        <v>0</v>
      </c>
      <c r="BW119" s="154">
        <f t="shared" si="374"/>
        <v>0</v>
      </c>
      <c r="BX119" s="154">
        <f t="shared" si="304"/>
        <v>0</v>
      </c>
      <c r="BY119" s="154">
        <f t="shared" si="375"/>
        <v>0</v>
      </c>
      <c r="BZ119" s="154">
        <f t="shared" si="305"/>
        <v>0</v>
      </c>
      <c r="CA119" s="154">
        <f t="shared" si="376"/>
        <v>0</v>
      </c>
      <c r="CB119" s="157">
        <f t="shared" si="306"/>
        <v>0</v>
      </c>
      <c r="CC119" s="154">
        <f t="shared" si="307"/>
        <v>0</v>
      </c>
      <c r="CD119" s="158">
        <f t="shared" si="308"/>
        <v>0</v>
      </c>
      <c r="CE119" s="156">
        <f t="shared" si="400"/>
        <v>0</v>
      </c>
      <c r="CF119" s="154">
        <f t="shared" si="377"/>
        <v>0</v>
      </c>
      <c r="CG119" s="154">
        <f t="shared" si="309"/>
        <v>0</v>
      </c>
      <c r="CH119" s="154">
        <f t="shared" si="378"/>
        <v>0</v>
      </c>
      <c r="CI119" s="154">
        <f t="shared" si="310"/>
        <v>0</v>
      </c>
      <c r="CJ119" s="154">
        <f t="shared" si="379"/>
        <v>0</v>
      </c>
      <c r="CK119" s="154">
        <f t="shared" si="311"/>
        <v>0</v>
      </c>
      <c r="CL119" s="154">
        <f t="shared" si="380"/>
        <v>0</v>
      </c>
      <c r="CM119" s="154">
        <f t="shared" si="312"/>
        <v>0</v>
      </c>
      <c r="CN119" s="154">
        <f t="shared" si="381"/>
        <v>0</v>
      </c>
      <c r="CO119" s="157">
        <f t="shared" si="313"/>
        <v>0</v>
      </c>
      <c r="CP119" s="154">
        <f t="shared" si="314"/>
        <v>0</v>
      </c>
      <c r="CQ119" s="158">
        <f t="shared" si="315"/>
        <v>0</v>
      </c>
      <c r="CR119" s="156">
        <f t="shared" si="401"/>
        <v>0</v>
      </c>
      <c r="CS119" s="154">
        <f t="shared" si="383"/>
        <v>0</v>
      </c>
      <c r="CT119" s="154">
        <f t="shared" si="317"/>
        <v>0</v>
      </c>
      <c r="CU119" s="154">
        <f t="shared" si="384"/>
        <v>0</v>
      </c>
      <c r="CV119" s="154">
        <f t="shared" si="318"/>
        <v>0</v>
      </c>
      <c r="CW119" s="154">
        <f t="shared" si="385"/>
        <v>0</v>
      </c>
      <c r="CX119" s="154">
        <f t="shared" si="319"/>
        <v>0</v>
      </c>
      <c r="CY119" s="154">
        <f t="shared" si="386"/>
        <v>0</v>
      </c>
      <c r="CZ119" s="154">
        <f t="shared" si="320"/>
        <v>0</v>
      </c>
      <c r="DA119" s="154">
        <f t="shared" si="387"/>
        <v>0</v>
      </c>
      <c r="DB119" s="157">
        <f t="shared" si="321"/>
        <v>0</v>
      </c>
      <c r="DC119" s="154">
        <f t="shared" si="322"/>
        <v>0</v>
      </c>
      <c r="DD119" s="158">
        <f t="shared" si="323"/>
        <v>0</v>
      </c>
      <c r="DE119" s="156">
        <f t="shared" si="401"/>
        <v>0</v>
      </c>
      <c r="DF119" s="154">
        <f t="shared" si="388"/>
        <v>0</v>
      </c>
      <c r="DG119" s="154">
        <f t="shared" si="324"/>
        <v>0</v>
      </c>
      <c r="DH119" s="154">
        <f t="shared" si="389"/>
        <v>0</v>
      </c>
      <c r="DI119" s="154">
        <f t="shared" si="325"/>
        <v>0</v>
      </c>
      <c r="DJ119" s="154">
        <f t="shared" si="390"/>
        <v>0</v>
      </c>
      <c r="DK119" s="154">
        <f t="shared" si="326"/>
        <v>0</v>
      </c>
      <c r="DL119" s="154">
        <f t="shared" si="391"/>
        <v>0</v>
      </c>
      <c r="DM119" s="154">
        <f t="shared" si="327"/>
        <v>0</v>
      </c>
      <c r="DN119" s="154">
        <f t="shared" si="392"/>
        <v>0</v>
      </c>
      <c r="DO119" s="157">
        <f t="shared" si="328"/>
        <v>0</v>
      </c>
      <c r="DP119" s="154">
        <f t="shared" si="329"/>
        <v>0</v>
      </c>
      <c r="DQ119" s="158">
        <f t="shared" si="330"/>
        <v>0</v>
      </c>
      <c r="DR119" s="156">
        <f t="shared" si="401"/>
        <v>0</v>
      </c>
      <c r="DS119" s="154">
        <f t="shared" si="393"/>
        <v>0</v>
      </c>
      <c r="DT119" s="154">
        <f t="shared" si="331"/>
        <v>0</v>
      </c>
      <c r="DU119" s="154">
        <f t="shared" si="394"/>
        <v>0</v>
      </c>
      <c r="DV119" s="154">
        <f t="shared" si="332"/>
        <v>0</v>
      </c>
      <c r="DW119" s="154">
        <f t="shared" si="395"/>
        <v>0</v>
      </c>
      <c r="DX119" s="154">
        <f t="shared" si="333"/>
        <v>0</v>
      </c>
      <c r="DY119" s="154">
        <f t="shared" si="396"/>
        <v>0</v>
      </c>
      <c r="DZ119" s="154">
        <f t="shared" si="334"/>
        <v>0</v>
      </c>
      <c r="EA119" s="154">
        <f t="shared" si="397"/>
        <v>0</v>
      </c>
      <c r="EB119" s="157">
        <f t="shared" si="335"/>
        <v>0</v>
      </c>
      <c r="EC119" s="154">
        <f t="shared" si="336"/>
        <v>0</v>
      </c>
      <c r="ED119" s="158">
        <f t="shared" si="337"/>
        <v>0</v>
      </c>
    </row>
    <row r="120" spans="1:134" x14ac:dyDescent="0.35">
      <c r="A120" s="172"/>
      <c r="B120" s="173"/>
      <c r="C120" s="174"/>
      <c r="D120" s="175"/>
      <c r="E120" s="176"/>
      <c r="F120" s="177"/>
      <c r="G120" s="178"/>
      <c r="H120" s="179"/>
      <c r="I120" s="180"/>
      <c r="J120" s="181"/>
      <c r="K120" s="152">
        <f t="shared" si="338"/>
        <v>0</v>
      </c>
      <c r="L120" s="153">
        <f t="shared" si="339"/>
        <v>0</v>
      </c>
      <c r="M120" s="154">
        <f t="shared" si="340"/>
        <v>0</v>
      </c>
      <c r="N120" s="154"/>
      <c r="O120" s="154">
        <f t="shared" si="341"/>
        <v>0</v>
      </c>
      <c r="P120" s="155"/>
      <c r="Q120" s="154">
        <f t="shared" si="342"/>
        <v>0</v>
      </c>
      <c r="R120" s="156">
        <f t="shared" si="343"/>
        <v>0</v>
      </c>
      <c r="S120" s="154">
        <f t="shared" si="344"/>
        <v>0</v>
      </c>
      <c r="T120" s="154">
        <f t="shared" si="345"/>
        <v>0</v>
      </c>
      <c r="U120" s="154">
        <f t="shared" si="346"/>
        <v>0</v>
      </c>
      <c r="V120" s="154">
        <f t="shared" si="347"/>
        <v>0</v>
      </c>
      <c r="W120" s="154">
        <f t="shared" si="348"/>
        <v>0</v>
      </c>
      <c r="X120" s="154">
        <f t="shared" si="349"/>
        <v>0</v>
      </c>
      <c r="Y120" s="154">
        <f t="shared" si="350"/>
        <v>0</v>
      </c>
      <c r="Z120" s="154">
        <f t="shared" si="351"/>
        <v>0</v>
      </c>
      <c r="AA120" s="154">
        <f t="shared" si="352"/>
        <v>0</v>
      </c>
      <c r="AB120" s="157">
        <f t="shared" si="353"/>
        <v>0</v>
      </c>
      <c r="AC120" s="154">
        <f t="shared" si="354"/>
        <v>0</v>
      </c>
      <c r="AD120" s="158">
        <f t="shared" si="355"/>
        <v>0</v>
      </c>
      <c r="AE120" s="156">
        <f t="shared" si="400"/>
        <v>0</v>
      </c>
      <c r="AF120" s="154">
        <f t="shared" si="357"/>
        <v>0</v>
      </c>
      <c r="AG120" s="154">
        <f t="shared" si="281"/>
        <v>0</v>
      </c>
      <c r="AH120" s="154">
        <f t="shared" si="358"/>
        <v>0</v>
      </c>
      <c r="AI120" s="154">
        <f t="shared" si="282"/>
        <v>0</v>
      </c>
      <c r="AJ120" s="154">
        <f t="shared" si="359"/>
        <v>0</v>
      </c>
      <c r="AK120" s="154">
        <f t="shared" si="283"/>
        <v>0</v>
      </c>
      <c r="AL120" s="154">
        <f t="shared" si="360"/>
        <v>0</v>
      </c>
      <c r="AM120" s="154">
        <f t="shared" si="284"/>
        <v>0</v>
      </c>
      <c r="AN120" s="154">
        <f t="shared" si="361"/>
        <v>0</v>
      </c>
      <c r="AO120" s="157">
        <f t="shared" si="285"/>
        <v>0</v>
      </c>
      <c r="AP120" s="154">
        <f t="shared" si="286"/>
        <v>0</v>
      </c>
      <c r="AQ120" s="158">
        <f t="shared" si="287"/>
        <v>0</v>
      </c>
      <c r="AR120" s="156">
        <f t="shared" si="400"/>
        <v>0</v>
      </c>
      <c r="AS120" s="154">
        <f t="shared" si="362"/>
        <v>0</v>
      </c>
      <c r="AT120" s="154">
        <f t="shared" si="288"/>
        <v>0</v>
      </c>
      <c r="AU120" s="154">
        <f t="shared" si="363"/>
        <v>0</v>
      </c>
      <c r="AV120" s="154">
        <f t="shared" si="289"/>
        <v>0</v>
      </c>
      <c r="AW120" s="154">
        <f t="shared" si="364"/>
        <v>0</v>
      </c>
      <c r="AX120" s="154">
        <f t="shared" si="290"/>
        <v>0</v>
      </c>
      <c r="AY120" s="154">
        <f t="shared" si="365"/>
        <v>0</v>
      </c>
      <c r="AZ120" s="154">
        <f t="shared" si="291"/>
        <v>0</v>
      </c>
      <c r="BA120" s="154">
        <f t="shared" si="366"/>
        <v>0</v>
      </c>
      <c r="BB120" s="157">
        <f t="shared" si="292"/>
        <v>0</v>
      </c>
      <c r="BC120" s="154">
        <f t="shared" si="293"/>
        <v>0</v>
      </c>
      <c r="BD120" s="158">
        <f t="shared" si="294"/>
        <v>0</v>
      </c>
      <c r="BE120" s="156">
        <f t="shared" si="400"/>
        <v>0</v>
      </c>
      <c r="BF120" s="154">
        <f t="shared" si="367"/>
        <v>0</v>
      </c>
      <c r="BG120" s="154">
        <f t="shared" si="295"/>
        <v>0</v>
      </c>
      <c r="BH120" s="154">
        <f t="shared" si="368"/>
        <v>0</v>
      </c>
      <c r="BI120" s="154">
        <f t="shared" si="296"/>
        <v>0</v>
      </c>
      <c r="BJ120" s="154">
        <f t="shared" si="369"/>
        <v>0</v>
      </c>
      <c r="BK120" s="154">
        <f t="shared" si="297"/>
        <v>0</v>
      </c>
      <c r="BL120" s="154">
        <f t="shared" si="370"/>
        <v>0</v>
      </c>
      <c r="BM120" s="154">
        <f t="shared" si="298"/>
        <v>0</v>
      </c>
      <c r="BN120" s="154">
        <f t="shared" si="371"/>
        <v>0</v>
      </c>
      <c r="BO120" s="157">
        <f t="shared" si="299"/>
        <v>0</v>
      </c>
      <c r="BP120" s="154">
        <f t="shared" si="300"/>
        <v>0</v>
      </c>
      <c r="BQ120" s="158">
        <f t="shared" si="301"/>
        <v>0</v>
      </c>
      <c r="BR120" s="156">
        <f t="shared" si="400"/>
        <v>0</v>
      </c>
      <c r="BS120" s="154">
        <f t="shared" si="372"/>
        <v>0</v>
      </c>
      <c r="BT120" s="154">
        <f t="shared" si="302"/>
        <v>0</v>
      </c>
      <c r="BU120" s="154">
        <f t="shared" si="373"/>
        <v>0</v>
      </c>
      <c r="BV120" s="154">
        <f t="shared" si="303"/>
        <v>0</v>
      </c>
      <c r="BW120" s="154">
        <f t="shared" si="374"/>
        <v>0</v>
      </c>
      <c r="BX120" s="154">
        <f t="shared" si="304"/>
        <v>0</v>
      </c>
      <c r="BY120" s="154">
        <f t="shared" si="375"/>
        <v>0</v>
      </c>
      <c r="BZ120" s="154">
        <f t="shared" si="305"/>
        <v>0</v>
      </c>
      <c r="CA120" s="154">
        <f t="shared" si="376"/>
        <v>0</v>
      </c>
      <c r="CB120" s="157">
        <f t="shared" si="306"/>
        <v>0</v>
      </c>
      <c r="CC120" s="154">
        <f t="shared" si="307"/>
        <v>0</v>
      </c>
      <c r="CD120" s="158">
        <f t="shared" si="308"/>
        <v>0</v>
      </c>
      <c r="CE120" s="156">
        <f t="shared" si="400"/>
        <v>0</v>
      </c>
      <c r="CF120" s="154">
        <f t="shared" si="377"/>
        <v>0</v>
      </c>
      <c r="CG120" s="154">
        <f t="shared" si="309"/>
        <v>0</v>
      </c>
      <c r="CH120" s="154">
        <f t="shared" si="378"/>
        <v>0</v>
      </c>
      <c r="CI120" s="154">
        <f t="shared" si="310"/>
        <v>0</v>
      </c>
      <c r="CJ120" s="154">
        <f t="shared" si="379"/>
        <v>0</v>
      </c>
      <c r="CK120" s="154">
        <f t="shared" si="311"/>
        <v>0</v>
      </c>
      <c r="CL120" s="154">
        <f t="shared" si="380"/>
        <v>0</v>
      </c>
      <c r="CM120" s="154">
        <f t="shared" si="312"/>
        <v>0</v>
      </c>
      <c r="CN120" s="154">
        <f t="shared" si="381"/>
        <v>0</v>
      </c>
      <c r="CO120" s="157">
        <f t="shared" si="313"/>
        <v>0</v>
      </c>
      <c r="CP120" s="154">
        <f t="shared" si="314"/>
        <v>0</v>
      </c>
      <c r="CQ120" s="158">
        <f t="shared" si="315"/>
        <v>0</v>
      </c>
      <c r="CR120" s="156">
        <f t="shared" si="401"/>
        <v>0</v>
      </c>
      <c r="CS120" s="154">
        <f t="shared" si="383"/>
        <v>0</v>
      </c>
      <c r="CT120" s="154">
        <f t="shared" si="317"/>
        <v>0</v>
      </c>
      <c r="CU120" s="154">
        <f t="shared" si="384"/>
        <v>0</v>
      </c>
      <c r="CV120" s="154">
        <f t="shared" si="318"/>
        <v>0</v>
      </c>
      <c r="CW120" s="154">
        <f t="shared" si="385"/>
        <v>0</v>
      </c>
      <c r="CX120" s="154">
        <f t="shared" si="319"/>
        <v>0</v>
      </c>
      <c r="CY120" s="154">
        <f t="shared" si="386"/>
        <v>0</v>
      </c>
      <c r="CZ120" s="154">
        <f t="shared" si="320"/>
        <v>0</v>
      </c>
      <c r="DA120" s="154">
        <f t="shared" si="387"/>
        <v>0</v>
      </c>
      <c r="DB120" s="157">
        <f t="shared" si="321"/>
        <v>0</v>
      </c>
      <c r="DC120" s="154">
        <f t="shared" si="322"/>
        <v>0</v>
      </c>
      <c r="DD120" s="158">
        <f t="shared" si="323"/>
        <v>0</v>
      </c>
      <c r="DE120" s="156">
        <f t="shared" si="401"/>
        <v>0</v>
      </c>
      <c r="DF120" s="154">
        <f t="shared" si="388"/>
        <v>0</v>
      </c>
      <c r="DG120" s="154">
        <f t="shared" si="324"/>
        <v>0</v>
      </c>
      <c r="DH120" s="154">
        <f t="shared" si="389"/>
        <v>0</v>
      </c>
      <c r="DI120" s="154">
        <f t="shared" si="325"/>
        <v>0</v>
      </c>
      <c r="DJ120" s="154">
        <f t="shared" si="390"/>
        <v>0</v>
      </c>
      <c r="DK120" s="154">
        <f t="shared" si="326"/>
        <v>0</v>
      </c>
      <c r="DL120" s="154">
        <f t="shared" si="391"/>
        <v>0</v>
      </c>
      <c r="DM120" s="154">
        <f t="shared" si="327"/>
        <v>0</v>
      </c>
      <c r="DN120" s="154">
        <f t="shared" si="392"/>
        <v>0</v>
      </c>
      <c r="DO120" s="157">
        <f t="shared" si="328"/>
        <v>0</v>
      </c>
      <c r="DP120" s="154">
        <f t="shared" si="329"/>
        <v>0</v>
      </c>
      <c r="DQ120" s="158">
        <f t="shared" si="330"/>
        <v>0</v>
      </c>
      <c r="DR120" s="156">
        <f t="shared" si="401"/>
        <v>0</v>
      </c>
      <c r="DS120" s="154">
        <f t="shared" si="393"/>
        <v>0</v>
      </c>
      <c r="DT120" s="154">
        <f t="shared" si="331"/>
        <v>0</v>
      </c>
      <c r="DU120" s="154">
        <f t="shared" si="394"/>
        <v>0</v>
      </c>
      <c r="DV120" s="154">
        <f t="shared" si="332"/>
        <v>0</v>
      </c>
      <c r="DW120" s="154">
        <f t="shared" si="395"/>
        <v>0</v>
      </c>
      <c r="DX120" s="154">
        <f t="shared" si="333"/>
        <v>0</v>
      </c>
      <c r="DY120" s="154">
        <f t="shared" si="396"/>
        <v>0</v>
      </c>
      <c r="DZ120" s="154">
        <f t="shared" si="334"/>
        <v>0</v>
      </c>
      <c r="EA120" s="154">
        <f t="shared" si="397"/>
        <v>0</v>
      </c>
      <c r="EB120" s="157">
        <f t="shared" si="335"/>
        <v>0</v>
      </c>
      <c r="EC120" s="154">
        <f t="shared" si="336"/>
        <v>0</v>
      </c>
      <c r="ED120" s="158">
        <f t="shared" si="337"/>
        <v>0</v>
      </c>
    </row>
    <row r="121" spans="1:134" x14ac:dyDescent="0.35">
      <c r="A121" s="172"/>
      <c r="B121" s="173"/>
      <c r="C121" s="174"/>
      <c r="D121" s="175"/>
      <c r="E121" s="176"/>
      <c r="F121" s="177"/>
      <c r="G121" s="178"/>
      <c r="H121" s="179"/>
      <c r="I121" s="180"/>
      <c r="J121" s="181"/>
      <c r="K121" s="152">
        <f t="shared" si="338"/>
        <v>0</v>
      </c>
      <c r="L121" s="153">
        <f t="shared" si="339"/>
        <v>0</v>
      </c>
      <c r="M121" s="154">
        <f t="shared" si="340"/>
        <v>0</v>
      </c>
      <c r="N121" s="154"/>
      <c r="O121" s="154">
        <f t="shared" si="341"/>
        <v>0</v>
      </c>
      <c r="P121" s="155"/>
      <c r="Q121" s="154">
        <f t="shared" si="342"/>
        <v>0</v>
      </c>
      <c r="R121" s="156">
        <f t="shared" si="343"/>
        <v>0</v>
      </c>
      <c r="S121" s="154">
        <f t="shared" si="344"/>
        <v>0</v>
      </c>
      <c r="T121" s="154">
        <f t="shared" si="345"/>
        <v>0</v>
      </c>
      <c r="U121" s="154">
        <f t="shared" si="346"/>
        <v>0</v>
      </c>
      <c r="V121" s="154">
        <f t="shared" si="347"/>
        <v>0</v>
      </c>
      <c r="W121" s="154">
        <f t="shared" si="348"/>
        <v>0</v>
      </c>
      <c r="X121" s="154">
        <f t="shared" si="349"/>
        <v>0</v>
      </c>
      <c r="Y121" s="154">
        <f t="shared" si="350"/>
        <v>0</v>
      </c>
      <c r="Z121" s="154">
        <f t="shared" si="351"/>
        <v>0</v>
      </c>
      <c r="AA121" s="154">
        <f t="shared" si="352"/>
        <v>0</v>
      </c>
      <c r="AB121" s="157">
        <f t="shared" si="353"/>
        <v>0</v>
      </c>
      <c r="AC121" s="154">
        <f t="shared" si="354"/>
        <v>0</v>
      </c>
      <c r="AD121" s="158">
        <f t="shared" si="355"/>
        <v>0</v>
      </c>
      <c r="AE121" s="156">
        <f t="shared" si="400"/>
        <v>0</v>
      </c>
      <c r="AF121" s="154">
        <f t="shared" si="357"/>
        <v>0</v>
      </c>
      <c r="AG121" s="154">
        <f t="shared" si="281"/>
        <v>0</v>
      </c>
      <c r="AH121" s="154">
        <f t="shared" si="358"/>
        <v>0</v>
      </c>
      <c r="AI121" s="154">
        <f t="shared" si="282"/>
        <v>0</v>
      </c>
      <c r="AJ121" s="154">
        <f t="shared" si="359"/>
        <v>0</v>
      </c>
      <c r="AK121" s="154">
        <f t="shared" si="283"/>
        <v>0</v>
      </c>
      <c r="AL121" s="154">
        <f t="shared" si="360"/>
        <v>0</v>
      </c>
      <c r="AM121" s="154">
        <f t="shared" si="284"/>
        <v>0</v>
      </c>
      <c r="AN121" s="154">
        <f t="shared" si="361"/>
        <v>0</v>
      </c>
      <c r="AO121" s="157">
        <f t="shared" si="285"/>
        <v>0</v>
      </c>
      <c r="AP121" s="154">
        <f t="shared" si="286"/>
        <v>0</v>
      </c>
      <c r="AQ121" s="158">
        <f t="shared" si="287"/>
        <v>0</v>
      </c>
      <c r="AR121" s="156">
        <f t="shared" si="400"/>
        <v>0</v>
      </c>
      <c r="AS121" s="154">
        <f t="shared" si="362"/>
        <v>0</v>
      </c>
      <c r="AT121" s="154">
        <f t="shared" si="288"/>
        <v>0</v>
      </c>
      <c r="AU121" s="154">
        <f t="shared" si="363"/>
        <v>0</v>
      </c>
      <c r="AV121" s="154">
        <f t="shared" si="289"/>
        <v>0</v>
      </c>
      <c r="AW121" s="154">
        <f t="shared" si="364"/>
        <v>0</v>
      </c>
      <c r="AX121" s="154">
        <f t="shared" si="290"/>
        <v>0</v>
      </c>
      <c r="AY121" s="154">
        <f t="shared" si="365"/>
        <v>0</v>
      </c>
      <c r="AZ121" s="154">
        <f t="shared" si="291"/>
        <v>0</v>
      </c>
      <c r="BA121" s="154">
        <f t="shared" si="366"/>
        <v>0</v>
      </c>
      <c r="BB121" s="157">
        <f t="shared" si="292"/>
        <v>0</v>
      </c>
      <c r="BC121" s="154">
        <f t="shared" si="293"/>
        <v>0</v>
      </c>
      <c r="BD121" s="158">
        <f t="shared" si="294"/>
        <v>0</v>
      </c>
      <c r="BE121" s="156">
        <f t="shared" si="400"/>
        <v>0</v>
      </c>
      <c r="BF121" s="154">
        <f t="shared" si="367"/>
        <v>0</v>
      </c>
      <c r="BG121" s="154">
        <f t="shared" si="295"/>
        <v>0</v>
      </c>
      <c r="BH121" s="154">
        <f t="shared" si="368"/>
        <v>0</v>
      </c>
      <c r="BI121" s="154">
        <f t="shared" si="296"/>
        <v>0</v>
      </c>
      <c r="BJ121" s="154">
        <f t="shared" si="369"/>
        <v>0</v>
      </c>
      <c r="BK121" s="154">
        <f t="shared" si="297"/>
        <v>0</v>
      </c>
      <c r="BL121" s="154">
        <f t="shared" si="370"/>
        <v>0</v>
      </c>
      <c r="BM121" s="154">
        <f t="shared" si="298"/>
        <v>0</v>
      </c>
      <c r="BN121" s="154">
        <f t="shared" si="371"/>
        <v>0</v>
      </c>
      <c r="BO121" s="157">
        <f t="shared" si="299"/>
        <v>0</v>
      </c>
      <c r="BP121" s="154">
        <f t="shared" si="300"/>
        <v>0</v>
      </c>
      <c r="BQ121" s="158">
        <f t="shared" si="301"/>
        <v>0</v>
      </c>
      <c r="BR121" s="156">
        <f t="shared" si="400"/>
        <v>0</v>
      </c>
      <c r="BS121" s="154">
        <f t="shared" si="372"/>
        <v>0</v>
      </c>
      <c r="BT121" s="154">
        <f t="shared" si="302"/>
        <v>0</v>
      </c>
      <c r="BU121" s="154">
        <f t="shared" si="373"/>
        <v>0</v>
      </c>
      <c r="BV121" s="154">
        <f t="shared" si="303"/>
        <v>0</v>
      </c>
      <c r="BW121" s="154">
        <f t="shared" si="374"/>
        <v>0</v>
      </c>
      <c r="BX121" s="154">
        <f t="shared" si="304"/>
        <v>0</v>
      </c>
      <c r="BY121" s="154">
        <f t="shared" si="375"/>
        <v>0</v>
      </c>
      <c r="BZ121" s="154">
        <f t="shared" si="305"/>
        <v>0</v>
      </c>
      <c r="CA121" s="154">
        <f t="shared" si="376"/>
        <v>0</v>
      </c>
      <c r="CB121" s="157">
        <f t="shared" si="306"/>
        <v>0</v>
      </c>
      <c r="CC121" s="154">
        <f t="shared" si="307"/>
        <v>0</v>
      </c>
      <c r="CD121" s="158">
        <f t="shared" si="308"/>
        <v>0</v>
      </c>
      <c r="CE121" s="156">
        <f t="shared" si="400"/>
        <v>0</v>
      </c>
      <c r="CF121" s="154">
        <f t="shared" si="377"/>
        <v>0</v>
      </c>
      <c r="CG121" s="154">
        <f t="shared" si="309"/>
        <v>0</v>
      </c>
      <c r="CH121" s="154">
        <f t="shared" si="378"/>
        <v>0</v>
      </c>
      <c r="CI121" s="154">
        <f t="shared" si="310"/>
        <v>0</v>
      </c>
      <c r="CJ121" s="154">
        <f t="shared" si="379"/>
        <v>0</v>
      </c>
      <c r="CK121" s="154">
        <f t="shared" si="311"/>
        <v>0</v>
      </c>
      <c r="CL121" s="154">
        <f t="shared" si="380"/>
        <v>0</v>
      </c>
      <c r="CM121" s="154">
        <f t="shared" si="312"/>
        <v>0</v>
      </c>
      <c r="CN121" s="154">
        <f t="shared" si="381"/>
        <v>0</v>
      </c>
      <c r="CO121" s="157">
        <f t="shared" si="313"/>
        <v>0</v>
      </c>
      <c r="CP121" s="154">
        <f t="shared" si="314"/>
        <v>0</v>
      </c>
      <c r="CQ121" s="158">
        <f t="shared" si="315"/>
        <v>0</v>
      </c>
      <c r="CR121" s="156">
        <f t="shared" si="401"/>
        <v>0</v>
      </c>
      <c r="CS121" s="154">
        <f t="shared" si="383"/>
        <v>0</v>
      </c>
      <c r="CT121" s="154">
        <f t="shared" si="317"/>
        <v>0</v>
      </c>
      <c r="CU121" s="154">
        <f t="shared" si="384"/>
        <v>0</v>
      </c>
      <c r="CV121" s="154">
        <f t="shared" si="318"/>
        <v>0</v>
      </c>
      <c r="CW121" s="154">
        <f t="shared" si="385"/>
        <v>0</v>
      </c>
      <c r="CX121" s="154">
        <f t="shared" si="319"/>
        <v>0</v>
      </c>
      <c r="CY121" s="154">
        <f t="shared" si="386"/>
        <v>0</v>
      </c>
      <c r="CZ121" s="154">
        <f t="shared" si="320"/>
        <v>0</v>
      </c>
      <c r="DA121" s="154">
        <f t="shared" si="387"/>
        <v>0</v>
      </c>
      <c r="DB121" s="157">
        <f t="shared" si="321"/>
        <v>0</v>
      </c>
      <c r="DC121" s="154">
        <f t="shared" si="322"/>
        <v>0</v>
      </c>
      <c r="DD121" s="158">
        <f t="shared" si="323"/>
        <v>0</v>
      </c>
      <c r="DE121" s="156">
        <f t="shared" si="401"/>
        <v>0</v>
      </c>
      <c r="DF121" s="154">
        <f t="shared" si="388"/>
        <v>0</v>
      </c>
      <c r="DG121" s="154">
        <f t="shared" si="324"/>
        <v>0</v>
      </c>
      <c r="DH121" s="154">
        <f t="shared" si="389"/>
        <v>0</v>
      </c>
      <c r="DI121" s="154">
        <f t="shared" si="325"/>
        <v>0</v>
      </c>
      <c r="DJ121" s="154">
        <f t="shared" si="390"/>
        <v>0</v>
      </c>
      <c r="DK121" s="154">
        <f t="shared" si="326"/>
        <v>0</v>
      </c>
      <c r="DL121" s="154">
        <f t="shared" si="391"/>
        <v>0</v>
      </c>
      <c r="DM121" s="154">
        <f t="shared" si="327"/>
        <v>0</v>
      </c>
      <c r="DN121" s="154">
        <f t="shared" si="392"/>
        <v>0</v>
      </c>
      <c r="DO121" s="157">
        <f t="shared" si="328"/>
        <v>0</v>
      </c>
      <c r="DP121" s="154">
        <f t="shared" si="329"/>
        <v>0</v>
      </c>
      <c r="DQ121" s="158">
        <f t="shared" si="330"/>
        <v>0</v>
      </c>
      <c r="DR121" s="156">
        <f t="shared" si="401"/>
        <v>0</v>
      </c>
      <c r="DS121" s="154">
        <f t="shared" si="393"/>
        <v>0</v>
      </c>
      <c r="DT121" s="154">
        <f t="shared" si="331"/>
        <v>0</v>
      </c>
      <c r="DU121" s="154">
        <f t="shared" si="394"/>
        <v>0</v>
      </c>
      <c r="DV121" s="154">
        <f t="shared" si="332"/>
        <v>0</v>
      </c>
      <c r="DW121" s="154">
        <f t="shared" si="395"/>
        <v>0</v>
      </c>
      <c r="DX121" s="154">
        <f t="shared" si="333"/>
        <v>0</v>
      </c>
      <c r="DY121" s="154">
        <f t="shared" si="396"/>
        <v>0</v>
      </c>
      <c r="DZ121" s="154">
        <f t="shared" si="334"/>
        <v>0</v>
      </c>
      <c r="EA121" s="154">
        <f t="shared" si="397"/>
        <v>0</v>
      </c>
      <c r="EB121" s="157">
        <f t="shared" si="335"/>
        <v>0</v>
      </c>
      <c r="EC121" s="154">
        <f t="shared" si="336"/>
        <v>0</v>
      </c>
      <c r="ED121" s="158">
        <f t="shared" si="337"/>
        <v>0</v>
      </c>
    </row>
    <row r="122" spans="1:134" x14ac:dyDescent="0.35">
      <c r="A122" s="172"/>
      <c r="B122" s="173"/>
      <c r="C122" s="174"/>
      <c r="D122" s="175"/>
      <c r="E122" s="176"/>
      <c r="F122" s="177"/>
      <c r="G122" s="178"/>
      <c r="H122" s="179"/>
      <c r="I122" s="180"/>
      <c r="J122" s="181"/>
      <c r="K122" s="152">
        <f t="shared" si="338"/>
        <v>0</v>
      </c>
      <c r="L122" s="153">
        <f t="shared" si="339"/>
        <v>0</v>
      </c>
      <c r="M122" s="154">
        <f t="shared" si="340"/>
        <v>0</v>
      </c>
      <c r="N122" s="154"/>
      <c r="O122" s="154">
        <f t="shared" si="341"/>
        <v>0</v>
      </c>
      <c r="P122" s="155"/>
      <c r="Q122" s="154">
        <f t="shared" si="342"/>
        <v>0</v>
      </c>
      <c r="R122" s="156">
        <f t="shared" si="343"/>
        <v>0</v>
      </c>
      <c r="S122" s="154">
        <f t="shared" si="344"/>
        <v>0</v>
      </c>
      <c r="T122" s="154">
        <f t="shared" si="345"/>
        <v>0</v>
      </c>
      <c r="U122" s="154">
        <f t="shared" si="346"/>
        <v>0</v>
      </c>
      <c r="V122" s="154">
        <f t="shared" si="347"/>
        <v>0</v>
      </c>
      <c r="W122" s="154">
        <f t="shared" si="348"/>
        <v>0</v>
      </c>
      <c r="X122" s="154">
        <f t="shared" si="349"/>
        <v>0</v>
      </c>
      <c r="Y122" s="154">
        <f t="shared" si="350"/>
        <v>0</v>
      </c>
      <c r="Z122" s="154">
        <f t="shared" si="351"/>
        <v>0</v>
      </c>
      <c r="AA122" s="154">
        <f t="shared" si="352"/>
        <v>0</v>
      </c>
      <c r="AB122" s="157">
        <f t="shared" si="353"/>
        <v>0</v>
      </c>
      <c r="AC122" s="154">
        <f t="shared" si="354"/>
        <v>0</v>
      </c>
      <c r="AD122" s="158">
        <f t="shared" si="355"/>
        <v>0</v>
      </c>
      <c r="AE122" s="156">
        <f t="shared" si="400"/>
        <v>0</v>
      </c>
      <c r="AF122" s="154">
        <f t="shared" si="357"/>
        <v>0</v>
      </c>
      <c r="AG122" s="154">
        <f t="shared" si="281"/>
        <v>0</v>
      </c>
      <c r="AH122" s="154">
        <f t="shared" si="358"/>
        <v>0</v>
      </c>
      <c r="AI122" s="154">
        <f t="shared" si="282"/>
        <v>0</v>
      </c>
      <c r="AJ122" s="154">
        <f t="shared" si="359"/>
        <v>0</v>
      </c>
      <c r="AK122" s="154">
        <f t="shared" si="283"/>
        <v>0</v>
      </c>
      <c r="AL122" s="154">
        <f t="shared" si="360"/>
        <v>0</v>
      </c>
      <c r="AM122" s="154">
        <f t="shared" si="284"/>
        <v>0</v>
      </c>
      <c r="AN122" s="154">
        <f t="shared" si="361"/>
        <v>0</v>
      </c>
      <c r="AO122" s="157">
        <f t="shared" si="285"/>
        <v>0</v>
      </c>
      <c r="AP122" s="154">
        <f t="shared" si="286"/>
        <v>0</v>
      </c>
      <c r="AQ122" s="158">
        <f t="shared" si="287"/>
        <v>0</v>
      </c>
      <c r="AR122" s="156">
        <f t="shared" si="400"/>
        <v>0</v>
      </c>
      <c r="AS122" s="154">
        <f t="shared" si="362"/>
        <v>0</v>
      </c>
      <c r="AT122" s="154">
        <f t="shared" si="288"/>
        <v>0</v>
      </c>
      <c r="AU122" s="154">
        <f t="shared" si="363"/>
        <v>0</v>
      </c>
      <c r="AV122" s="154">
        <f t="shared" si="289"/>
        <v>0</v>
      </c>
      <c r="AW122" s="154">
        <f t="shared" si="364"/>
        <v>0</v>
      </c>
      <c r="AX122" s="154">
        <f t="shared" si="290"/>
        <v>0</v>
      </c>
      <c r="AY122" s="154">
        <f t="shared" si="365"/>
        <v>0</v>
      </c>
      <c r="AZ122" s="154">
        <f t="shared" si="291"/>
        <v>0</v>
      </c>
      <c r="BA122" s="154">
        <f t="shared" si="366"/>
        <v>0</v>
      </c>
      <c r="BB122" s="157">
        <f t="shared" si="292"/>
        <v>0</v>
      </c>
      <c r="BC122" s="154">
        <f t="shared" si="293"/>
        <v>0</v>
      </c>
      <c r="BD122" s="158">
        <f t="shared" si="294"/>
        <v>0</v>
      </c>
      <c r="BE122" s="156">
        <f t="shared" si="400"/>
        <v>0</v>
      </c>
      <c r="BF122" s="154">
        <f t="shared" si="367"/>
        <v>0</v>
      </c>
      <c r="BG122" s="154">
        <f t="shared" si="295"/>
        <v>0</v>
      </c>
      <c r="BH122" s="154">
        <f t="shared" si="368"/>
        <v>0</v>
      </c>
      <c r="BI122" s="154">
        <f t="shared" si="296"/>
        <v>0</v>
      </c>
      <c r="BJ122" s="154">
        <f t="shared" si="369"/>
        <v>0</v>
      </c>
      <c r="BK122" s="154">
        <f t="shared" si="297"/>
        <v>0</v>
      </c>
      <c r="BL122" s="154">
        <f t="shared" si="370"/>
        <v>0</v>
      </c>
      <c r="BM122" s="154">
        <f t="shared" si="298"/>
        <v>0</v>
      </c>
      <c r="BN122" s="154">
        <f t="shared" si="371"/>
        <v>0</v>
      </c>
      <c r="BO122" s="157">
        <f t="shared" si="299"/>
        <v>0</v>
      </c>
      <c r="BP122" s="154">
        <f t="shared" si="300"/>
        <v>0</v>
      </c>
      <c r="BQ122" s="158">
        <f t="shared" si="301"/>
        <v>0</v>
      </c>
      <c r="BR122" s="156">
        <f t="shared" si="400"/>
        <v>0</v>
      </c>
      <c r="BS122" s="154">
        <f t="shared" si="372"/>
        <v>0</v>
      </c>
      <c r="BT122" s="154">
        <f t="shared" si="302"/>
        <v>0</v>
      </c>
      <c r="BU122" s="154">
        <f t="shared" si="373"/>
        <v>0</v>
      </c>
      <c r="BV122" s="154">
        <f t="shared" si="303"/>
        <v>0</v>
      </c>
      <c r="BW122" s="154">
        <f t="shared" si="374"/>
        <v>0</v>
      </c>
      <c r="BX122" s="154">
        <f t="shared" si="304"/>
        <v>0</v>
      </c>
      <c r="BY122" s="154">
        <f t="shared" si="375"/>
        <v>0</v>
      </c>
      <c r="BZ122" s="154">
        <f t="shared" si="305"/>
        <v>0</v>
      </c>
      <c r="CA122" s="154">
        <f t="shared" si="376"/>
        <v>0</v>
      </c>
      <c r="CB122" s="157">
        <f t="shared" si="306"/>
        <v>0</v>
      </c>
      <c r="CC122" s="154">
        <f t="shared" si="307"/>
        <v>0</v>
      </c>
      <c r="CD122" s="158">
        <f t="shared" si="308"/>
        <v>0</v>
      </c>
      <c r="CE122" s="156">
        <f t="shared" si="400"/>
        <v>0</v>
      </c>
      <c r="CF122" s="154">
        <f t="shared" si="377"/>
        <v>0</v>
      </c>
      <c r="CG122" s="154">
        <f t="shared" si="309"/>
        <v>0</v>
      </c>
      <c r="CH122" s="154">
        <f t="shared" si="378"/>
        <v>0</v>
      </c>
      <c r="CI122" s="154">
        <f t="shared" si="310"/>
        <v>0</v>
      </c>
      <c r="CJ122" s="154">
        <f t="shared" si="379"/>
        <v>0</v>
      </c>
      <c r="CK122" s="154">
        <f t="shared" si="311"/>
        <v>0</v>
      </c>
      <c r="CL122" s="154">
        <f t="shared" si="380"/>
        <v>0</v>
      </c>
      <c r="CM122" s="154">
        <f t="shared" si="312"/>
        <v>0</v>
      </c>
      <c r="CN122" s="154">
        <f t="shared" si="381"/>
        <v>0</v>
      </c>
      <c r="CO122" s="157">
        <f t="shared" si="313"/>
        <v>0</v>
      </c>
      <c r="CP122" s="154">
        <f t="shared" si="314"/>
        <v>0</v>
      </c>
      <c r="CQ122" s="158">
        <f t="shared" si="315"/>
        <v>0</v>
      </c>
      <c r="CR122" s="156">
        <f t="shared" si="401"/>
        <v>0</v>
      </c>
      <c r="CS122" s="154">
        <f t="shared" si="383"/>
        <v>0</v>
      </c>
      <c r="CT122" s="154">
        <f t="shared" si="317"/>
        <v>0</v>
      </c>
      <c r="CU122" s="154">
        <f t="shared" si="384"/>
        <v>0</v>
      </c>
      <c r="CV122" s="154">
        <f t="shared" si="318"/>
        <v>0</v>
      </c>
      <c r="CW122" s="154">
        <f t="shared" si="385"/>
        <v>0</v>
      </c>
      <c r="CX122" s="154">
        <f t="shared" si="319"/>
        <v>0</v>
      </c>
      <c r="CY122" s="154">
        <f t="shared" si="386"/>
        <v>0</v>
      </c>
      <c r="CZ122" s="154">
        <f t="shared" si="320"/>
        <v>0</v>
      </c>
      <c r="DA122" s="154">
        <f t="shared" si="387"/>
        <v>0</v>
      </c>
      <c r="DB122" s="157">
        <f t="shared" si="321"/>
        <v>0</v>
      </c>
      <c r="DC122" s="154">
        <f t="shared" si="322"/>
        <v>0</v>
      </c>
      <c r="DD122" s="158">
        <f t="shared" si="323"/>
        <v>0</v>
      </c>
      <c r="DE122" s="156">
        <f t="shared" si="401"/>
        <v>0</v>
      </c>
      <c r="DF122" s="154">
        <f t="shared" si="388"/>
        <v>0</v>
      </c>
      <c r="DG122" s="154">
        <f t="shared" si="324"/>
        <v>0</v>
      </c>
      <c r="DH122" s="154">
        <f t="shared" si="389"/>
        <v>0</v>
      </c>
      <c r="DI122" s="154">
        <f t="shared" si="325"/>
        <v>0</v>
      </c>
      <c r="DJ122" s="154">
        <f t="shared" si="390"/>
        <v>0</v>
      </c>
      <c r="DK122" s="154">
        <f t="shared" si="326"/>
        <v>0</v>
      </c>
      <c r="DL122" s="154">
        <f t="shared" si="391"/>
        <v>0</v>
      </c>
      <c r="DM122" s="154">
        <f t="shared" si="327"/>
        <v>0</v>
      </c>
      <c r="DN122" s="154">
        <f t="shared" si="392"/>
        <v>0</v>
      </c>
      <c r="DO122" s="157">
        <f t="shared" si="328"/>
        <v>0</v>
      </c>
      <c r="DP122" s="154">
        <f t="shared" si="329"/>
        <v>0</v>
      </c>
      <c r="DQ122" s="158">
        <f t="shared" si="330"/>
        <v>0</v>
      </c>
      <c r="DR122" s="156">
        <f t="shared" si="401"/>
        <v>0</v>
      </c>
      <c r="DS122" s="154">
        <f t="shared" si="393"/>
        <v>0</v>
      </c>
      <c r="DT122" s="154">
        <f t="shared" si="331"/>
        <v>0</v>
      </c>
      <c r="DU122" s="154">
        <f t="shared" si="394"/>
        <v>0</v>
      </c>
      <c r="DV122" s="154">
        <f t="shared" si="332"/>
        <v>0</v>
      </c>
      <c r="DW122" s="154">
        <f t="shared" si="395"/>
        <v>0</v>
      </c>
      <c r="DX122" s="154">
        <f t="shared" si="333"/>
        <v>0</v>
      </c>
      <c r="DY122" s="154">
        <f t="shared" si="396"/>
        <v>0</v>
      </c>
      <c r="DZ122" s="154">
        <f t="shared" si="334"/>
        <v>0</v>
      </c>
      <c r="EA122" s="154">
        <f t="shared" si="397"/>
        <v>0</v>
      </c>
      <c r="EB122" s="157">
        <f t="shared" si="335"/>
        <v>0</v>
      </c>
      <c r="EC122" s="154">
        <f t="shared" si="336"/>
        <v>0</v>
      </c>
      <c r="ED122" s="158">
        <f t="shared" si="337"/>
        <v>0</v>
      </c>
    </row>
    <row r="123" spans="1:134" x14ac:dyDescent="0.35">
      <c r="A123" s="172"/>
      <c r="B123" s="173"/>
      <c r="C123" s="174"/>
      <c r="D123" s="175"/>
      <c r="E123" s="176"/>
      <c r="F123" s="177"/>
      <c r="G123" s="178"/>
      <c r="H123" s="179"/>
      <c r="I123" s="180"/>
      <c r="J123" s="181"/>
      <c r="K123" s="152">
        <f t="shared" si="338"/>
        <v>0</v>
      </c>
      <c r="L123" s="153">
        <f t="shared" si="339"/>
        <v>0</v>
      </c>
      <c r="M123" s="154">
        <f t="shared" si="340"/>
        <v>0</v>
      </c>
      <c r="N123" s="154"/>
      <c r="O123" s="154">
        <f t="shared" si="341"/>
        <v>0</v>
      </c>
      <c r="P123" s="155"/>
      <c r="Q123" s="154">
        <f t="shared" si="342"/>
        <v>0</v>
      </c>
      <c r="R123" s="156">
        <f t="shared" si="343"/>
        <v>0</v>
      </c>
      <c r="S123" s="154">
        <f t="shared" si="344"/>
        <v>0</v>
      </c>
      <c r="T123" s="154">
        <f t="shared" si="345"/>
        <v>0</v>
      </c>
      <c r="U123" s="154">
        <f t="shared" si="346"/>
        <v>0</v>
      </c>
      <c r="V123" s="154">
        <f t="shared" si="347"/>
        <v>0</v>
      </c>
      <c r="W123" s="154">
        <f t="shared" si="348"/>
        <v>0</v>
      </c>
      <c r="X123" s="154">
        <f t="shared" si="349"/>
        <v>0</v>
      </c>
      <c r="Y123" s="154">
        <f t="shared" si="350"/>
        <v>0</v>
      </c>
      <c r="Z123" s="154">
        <f t="shared" si="351"/>
        <v>0</v>
      </c>
      <c r="AA123" s="154">
        <f t="shared" si="352"/>
        <v>0</v>
      </c>
      <c r="AB123" s="157">
        <f t="shared" si="353"/>
        <v>0</v>
      </c>
      <c r="AC123" s="154">
        <f t="shared" si="354"/>
        <v>0</v>
      </c>
      <c r="AD123" s="158">
        <f t="shared" si="355"/>
        <v>0</v>
      </c>
      <c r="AE123" s="156">
        <f t="shared" si="400"/>
        <v>0</v>
      </c>
      <c r="AF123" s="154">
        <f t="shared" si="357"/>
        <v>0</v>
      </c>
      <c r="AG123" s="154">
        <f t="shared" si="281"/>
        <v>0</v>
      </c>
      <c r="AH123" s="154">
        <f t="shared" si="358"/>
        <v>0</v>
      </c>
      <c r="AI123" s="154">
        <f t="shared" si="282"/>
        <v>0</v>
      </c>
      <c r="AJ123" s="154">
        <f t="shared" si="359"/>
        <v>0</v>
      </c>
      <c r="AK123" s="154">
        <f t="shared" si="283"/>
        <v>0</v>
      </c>
      <c r="AL123" s="154">
        <f t="shared" si="360"/>
        <v>0</v>
      </c>
      <c r="AM123" s="154">
        <f t="shared" si="284"/>
        <v>0</v>
      </c>
      <c r="AN123" s="154">
        <f t="shared" si="361"/>
        <v>0</v>
      </c>
      <c r="AO123" s="157">
        <f t="shared" si="285"/>
        <v>0</v>
      </c>
      <c r="AP123" s="154">
        <f t="shared" si="286"/>
        <v>0</v>
      </c>
      <c r="AQ123" s="158">
        <f t="shared" si="287"/>
        <v>0</v>
      </c>
      <c r="AR123" s="156">
        <f t="shared" si="400"/>
        <v>0</v>
      </c>
      <c r="AS123" s="154">
        <f t="shared" si="362"/>
        <v>0</v>
      </c>
      <c r="AT123" s="154">
        <f t="shared" si="288"/>
        <v>0</v>
      </c>
      <c r="AU123" s="154">
        <f t="shared" si="363"/>
        <v>0</v>
      </c>
      <c r="AV123" s="154">
        <f t="shared" si="289"/>
        <v>0</v>
      </c>
      <c r="AW123" s="154">
        <f t="shared" si="364"/>
        <v>0</v>
      </c>
      <c r="AX123" s="154">
        <f t="shared" si="290"/>
        <v>0</v>
      </c>
      <c r="AY123" s="154">
        <f t="shared" si="365"/>
        <v>0</v>
      </c>
      <c r="AZ123" s="154">
        <f t="shared" si="291"/>
        <v>0</v>
      </c>
      <c r="BA123" s="154">
        <f t="shared" si="366"/>
        <v>0</v>
      </c>
      <c r="BB123" s="157">
        <f t="shared" si="292"/>
        <v>0</v>
      </c>
      <c r="BC123" s="154">
        <f t="shared" si="293"/>
        <v>0</v>
      </c>
      <c r="BD123" s="158">
        <f t="shared" si="294"/>
        <v>0</v>
      </c>
      <c r="BE123" s="156">
        <f t="shared" si="400"/>
        <v>0</v>
      </c>
      <c r="BF123" s="154">
        <f t="shared" si="367"/>
        <v>0</v>
      </c>
      <c r="BG123" s="154">
        <f t="shared" si="295"/>
        <v>0</v>
      </c>
      <c r="BH123" s="154">
        <f t="shared" si="368"/>
        <v>0</v>
      </c>
      <c r="BI123" s="154">
        <f t="shared" si="296"/>
        <v>0</v>
      </c>
      <c r="BJ123" s="154">
        <f t="shared" si="369"/>
        <v>0</v>
      </c>
      <c r="BK123" s="154">
        <f t="shared" si="297"/>
        <v>0</v>
      </c>
      <c r="BL123" s="154">
        <f t="shared" si="370"/>
        <v>0</v>
      </c>
      <c r="BM123" s="154">
        <f t="shared" si="298"/>
        <v>0</v>
      </c>
      <c r="BN123" s="154">
        <f t="shared" si="371"/>
        <v>0</v>
      </c>
      <c r="BO123" s="157">
        <f t="shared" si="299"/>
        <v>0</v>
      </c>
      <c r="BP123" s="154">
        <f t="shared" si="300"/>
        <v>0</v>
      </c>
      <c r="BQ123" s="158">
        <f t="shared" si="301"/>
        <v>0</v>
      </c>
      <c r="BR123" s="156">
        <f t="shared" si="400"/>
        <v>0</v>
      </c>
      <c r="BS123" s="154">
        <f t="shared" si="372"/>
        <v>0</v>
      </c>
      <c r="BT123" s="154">
        <f t="shared" si="302"/>
        <v>0</v>
      </c>
      <c r="BU123" s="154">
        <f t="shared" si="373"/>
        <v>0</v>
      </c>
      <c r="BV123" s="154">
        <f t="shared" si="303"/>
        <v>0</v>
      </c>
      <c r="BW123" s="154">
        <f t="shared" si="374"/>
        <v>0</v>
      </c>
      <c r="BX123" s="154">
        <f t="shared" si="304"/>
        <v>0</v>
      </c>
      <c r="BY123" s="154">
        <f t="shared" si="375"/>
        <v>0</v>
      </c>
      <c r="BZ123" s="154">
        <f t="shared" si="305"/>
        <v>0</v>
      </c>
      <c r="CA123" s="154">
        <f t="shared" si="376"/>
        <v>0</v>
      </c>
      <c r="CB123" s="157">
        <f t="shared" si="306"/>
        <v>0</v>
      </c>
      <c r="CC123" s="154">
        <f t="shared" si="307"/>
        <v>0</v>
      </c>
      <c r="CD123" s="158">
        <f t="shared" si="308"/>
        <v>0</v>
      </c>
      <c r="CE123" s="156">
        <f t="shared" si="400"/>
        <v>0</v>
      </c>
      <c r="CF123" s="154">
        <f t="shared" si="377"/>
        <v>0</v>
      </c>
      <c r="CG123" s="154">
        <f t="shared" si="309"/>
        <v>0</v>
      </c>
      <c r="CH123" s="154">
        <f t="shared" si="378"/>
        <v>0</v>
      </c>
      <c r="CI123" s="154">
        <f t="shared" si="310"/>
        <v>0</v>
      </c>
      <c r="CJ123" s="154">
        <f t="shared" si="379"/>
        <v>0</v>
      </c>
      <c r="CK123" s="154">
        <f t="shared" si="311"/>
        <v>0</v>
      </c>
      <c r="CL123" s="154">
        <f t="shared" si="380"/>
        <v>0</v>
      </c>
      <c r="CM123" s="154">
        <f t="shared" si="312"/>
        <v>0</v>
      </c>
      <c r="CN123" s="154">
        <f t="shared" si="381"/>
        <v>0</v>
      </c>
      <c r="CO123" s="157">
        <f t="shared" si="313"/>
        <v>0</v>
      </c>
      <c r="CP123" s="154">
        <f t="shared" si="314"/>
        <v>0</v>
      </c>
      <c r="CQ123" s="158">
        <f t="shared" si="315"/>
        <v>0</v>
      </c>
      <c r="CR123" s="156">
        <f t="shared" si="401"/>
        <v>0</v>
      </c>
      <c r="CS123" s="154">
        <f t="shared" si="383"/>
        <v>0</v>
      </c>
      <c r="CT123" s="154">
        <f t="shared" si="317"/>
        <v>0</v>
      </c>
      <c r="CU123" s="154">
        <f t="shared" si="384"/>
        <v>0</v>
      </c>
      <c r="CV123" s="154">
        <f t="shared" si="318"/>
        <v>0</v>
      </c>
      <c r="CW123" s="154">
        <f t="shared" si="385"/>
        <v>0</v>
      </c>
      <c r="CX123" s="154">
        <f t="shared" si="319"/>
        <v>0</v>
      </c>
      <c r="CY123" s="154">
        <f t="shared" si="386"/>
        <v>0</v>
      </c>
      <c r="CZ123" s="154">
        <f t="shared" si="320"/>
        <v>0</v>
      </c>
      <c r="DA123" s="154">
        <f t="shared" si="387"/>
        <v>0</v>
      </c>
      <c r="DB123" s="157">
        <f t="shared" si="321"/>
        <v>0</v>
      </c>
      <c r="DC123" s="154">
        <f t="shared" si="322"/>
        <v>0</v>
      </c>
      <c r="DD123" s="158">
        <f t="shared" si="323"/>
        <v>0</v>
      </c>
      <c r="DE123" s="156">
        <f t="shared" si="401"/>
        <v>0</v>
      </c>
      <c r="DF123" s="154">
        <f t="shared" si="388"/>
        <v>0</v>
      </c>
      <c r="DG123" s="154">
        <f t="shared" si="324"/>
        <v>0</v>
      </c>
      <c r="DH123" s="154">
        <f t="shared" si="389"/>
        <v>0</v>
      </c>
      <c r="DI123" s="154">
        <f t="shared" si="325"/>
        <v>0</v>
      </c>
      <c r="DJ123" s="154">
        <f t="shared" si="390"/>
        <v>0</v>
      </c>
      <c r="DK123" s="154">
        <f t="shared" si="326"/>
        <v>0</v>
      </c>
      <c r="DL123" s="154">
        <f t="shared" si="391"/>
        <v>0</v>
      </c>
      <c r="DM123" s="154">
        <f t="shared" si="327"/>
        <v>0</v>
      </c>
      <c r="DN123" s="154">
        <f t="shared" si="392"/>
        <v>0</v>
      </c>
      <c r="DO123" s="157">
        <f t="shared" si="328"/>
        <v>0</v>
      </c>
      <c r="DP123" s="154">
        <f t="shared" si="329"/>
        <v>0</v>
      </c>
      <c r="DQ123" s="158">
        <f t="shared" si="330"/>
        <v>0</v>
      </c>
      <c r="DR123" s="156">
        <f t="shared" si="401"/>
        <v>0</v>
      </c>
      <c r="DS123" s="154">
        <f t="shared" si="393"/>
        <v>0</v>
      </c>
      <c r="DT123" s="154">
        <f t="shared" si="331"/>
        <v>0</v>
      </c>
      <c r="DU123" s="154">
        <f t="shared" si="394"/>
        <v>0</v>
      </c>
      <c r="DV123" s="154">
        <f t="shared" si="332"/>
        <v>0</v>
      </c>
      <c r="DW123" s="154">
        <f t="shared" si="395"/>
        <v>0</v>
      </c>
      <c r="DX123" s="154">
        <f t="shared" si="333"/>
        <v>0</v>
      </c>
      <c r="DY123" s="154">
        <f t="shared" si="396"/>
        <v>0</v>
      </c>
      <c r="DZ123" s="154">
        <f t="shared" si="334"/>
        <v>0</v>
      </c>
      <c r="EA123" s="154">
        <f t="shared" si="397"/>
        <v>0</v>
      </c>
      <c r="EB123" s="157">
        <f t="shared" si="335"/>
        <v>0</v>
      </c>
      <c r="EC123" s="154">
        <f t="shared" si="336"/>
        <v>0</v>
      </c>
      <c r="ED123" s="158">
        <f t="shared" si="337"/>
        <v>0</v>
      </c>
    </row>
    <row r="124" spans="1:134" x14ac:dyDescent="0.35">
      <c r="A124" s="172"/>
      <c r="B124" s="173"/>
      <c r="C124" s="174"/>
      <c r="D124" s="175"/>
      <c r="E124" s="176"/>
      <c r="F124" s="177"/>
      <c r="G124" s="178"/>
      <c r="H124" s="179"/>
      <c r="I124" s="180"/>
      <c r="J124" s="181"/>
      <c r="K124" s="152">
        <f t="shared" si="338"/>
        <v>0</v>
      </c>
      <c r="L124" s="153">
        <f t="shared" si="339"/>
        <v>0</v>
      </c>
      <c r="M124" s="154">
        <f t="shared" si="340"/>
        <v>0</v>
      </c>
      <c r="N124" s="154"/>
      <c r="O124" s="154">
        <f t="shared" si="341"/>
        <v>0</v>
      </c>
      <c r="P124" s="155"/>
      <c r="Q124" s="154">
        <f t="shared" si="342"/>
        <v>0</v>
      </c>
      <c r="R124" s="156">
        <f t="shared" si="343"/>
        <v>0</v>
      </c>
      <c r="S124" s="154">
        <f t="shared" si="344"/>
        <v>0</v>
      </c>
      <c r="T124" s="154">
        <f t="shared" si="345"/>
        <v>0</v>
      </c>
      <c r="U124" s="154">
        <f t="shared" si="346"/>
        <v>0</v>
      </c>
      <c r="V124" s="154">
        <f t="shared" si="347"/>
        <v>0</v>
      </c>
      <c r="W124" s="154">
        <f t="shared" si="348"/>
        <v>0</v>
      </c>
      <c r="X124" s="154">
        <f t="shared" si="349"/>
        <v>0</v>
      </c>
      <c r="Y124" s="154">
        <f t="shared" si="350"/>
        <v>0</v>
      </c>
      <c r="Z124" s="154">
        <f t="shared" si="351"/>
        <v>0</v>
      </c>
      <c r="AA124" s="154">
        <f t="shared" si="352"/>
        <v>0</v>
      </c>
      <c r="AB124" s="157">
        <f t="shared" si="353"/>
        <v>0</v>
      </c>
      <c r="AC124" s="154">
        <f t="shared" si="354"/>
        <v>0</v>
      </c>
      <c r="AD124" s="158">
        <f t="shared" si="355"/>
        <v>0</v>
      </c>
      <c r="AE124" s="156">
        <f t="shared" si="400"/>
        <v>0</v>
      </c>
      <c r="AF124" s="154">
        <f t="shared" si="357"/>
        <v>0</v>
      </c>
      <c r="AG124" s="154">
        <f t="shared" si="281"/>
        <v>0</v>
      </c>
      <c r="AH124" s="154">
        <f t="shared" si="358"/>
        <v>0</v>
      </c>
      <c r="AI124" s="154">
        <f t="shared" si="282"/>
        <v>0</v>
      </c>
      <c r="AJ124" s="154">
        <f t="shared" si="359"/>
        <v>0</v>
      </c>
      <c r="AK124" s="154">
        <f t="shared" si="283"/>
        <v>0</v>
      </c>
      <c r="AL124" s="154">
        <f t="shared" si="360"/>
        <v>0</v>
      </c>
      <c r="AM124" s="154">
        <f t="shared" si="284"/>
        <v>0</v>
      </c>
      <c r="AN124" s="154">
        <f t="shared" si="361"/>
        <v>0</v>
      </c>
      <c r="AO124" s="157">
        <f t="shared" si="285"/>
        <v>0</v>
      </c>
      <c r="AP124" s="154">
        <f t="shared" si="286"/>
        <v>0</v>
      </c>
      <c r="AQ124" s="158">
        <f t="shared" si="287"/>
        <v>0</v>
      </c>
      <c r="AR124" s="156">
        <f t="shared" si="400"/>
        <v>0</v>
      </c>
      <c r="AS124" s="154">
        <f t="shared" si="362"/>
        <v>0</v>
      </c>
      <c r="AT124" s="154">
        <f t="shared" si="288"/>
        <v>0</v>
      </c>
      <c r="AU124" s="154">
        <f t="shared" si="363"/>
        <v>0</v>
      </c>
      <c r="AV124" s="154">
        <f t="shared" si="289"/>
        <v>0</v>
      </c>
      <c r="AW124" s="154">
        <f t="shared" si="364"/>
        <v>0</v>
      </c>
      <c r="AX124" s="154">
        <f t="shared" si="290"/>
        <v>0</v>
      </c>
      <c r="AY124" s="154">
        <f t="shared" si="365"/>
        <v>0</v>
      </c>
      <c r="AZ124" s="154">
        <f t="shared" si="291"/>
        <v>0</v>
      </c>
      <c r="BA124" s="154">
        <f t="shared" si="366"/>
        <v>0</v>
      </c>
      <c r="BB124" s="157">
        <f t="shared" si="292"/>
        <v>0</v>
      </c>
      <c r="BC124" s="154">
        <f t="shared" si="293"/>
        <v>0</v>
      </c>
      <c r="BD124" s="158">
        <f t="shared" si="294"/>
        <v>0</v>
      </c>
      <c r="BE124" s="156">
        <f t="shared" si="400"/>
        <v>0</v>
      </c>
      <c r="BF124" s="154">
        <f t="shared" si="367"/>
        <v>0</v>
      </c>
      <c r="BG124" s="154">
        <f t="shared" si="295"/>
        <v>0</v>
      </c>
      <c r="BH124" s="154">
        <f t="shared" si="368"/>
        <v>0</v>
      </c>
      <c r="BI124" s="154">
        <f t="shared" si="296"/>
        <v>0</v>
      </c>
      <c r="BJ124" s="154">
        <f t="shared" si="369"/>
        <v>0</v>
      </c>
      <c r="BK124" s="154">
        <f t="shared" si="297"/>
        <v>0</v>
      </c>
      <c r="BL124" s="154">
        <f t="shared" si="370"/>
        <v>0</v>
      </c>
      <c r="BM124" s="154">
        <f t="shared" si="298"/>
        <v>0</v>
      </c>
      <c r="BN124" s="154">
        <f t="shared" si="371"/>
        <v>0</v>
      </c>
      <c r="BO124" s="157">
        <f t="shared" si="299"/>
        <v>0</v>
      </c>
      <c r="BP124" s="154">
        <f t="shared" si="300"/>
        <v>0</v>
      </c>
      <c r="BQ124" s="158">
        <f t="shared" si="301"/>
        <v>0</v>
      </c>
      <c r="BR124" s="156">
        <f t="shared" si="400"/>
        <v>0</v>
      </c>
      <c r="BS124" s="154">
        <f t="shared" si="372"/>
        <v>0</v>
      </c>
      <c r="BT124" s="154">
        <f t="shared" si="302"/>
        <v>0</v>
      </c>
      <c r="BU124" s="154">
        <f t="shared" si="373"/>
        <v>0</v>
      </c>
      <c r="BV124" s="154">
        <f t="shared" si="303"/>
        <v>0</v>
      </c>
      <c r="BW124" s="154">
        <f t="shared" si="374"/>
        <v>0</v>
      </c>
      <c r="BX124" s="154">
        <f t="shared" si="304"/>
        <v>0</v>
      </c>
      <c r="BY124" s="154">
        <f t="shared" si="375"/>
        <v>0</v>
      </c>
      <c r="BZ124" s="154">
        <f t="shared" si="305"/>
        <v>0</v>
      </c>
      <c r="CA124" s="154">
        <f t="shared" si="376"/>
        <v>0</v>
      </c>
      <c r="CB124" s="157">
        <f t="shared" si="306"/>
        <v>0</v>
      </c>
      <c r="CC124" s="154">
        <f t="shared" si="307"/>
        <v>0</v>
      </c>
      <c r="CD124" s="158">
        <f t="shared" si="308"/>
        <v>0</v>
      </c>
      <c r="CE124" s="156">
        <f t="shared" si="400"/>
        <v>0</v>
      </c>
      <c r="CF124" s="154">
        <f t="shared" si="377"/>
        <v>0</v>
      </c>
      <c r="CG124" s="154">
        <f t="shared" si="309"/>
        <v>0</v>
      </c>
      <c r="CH124" s="154">
        <f t="shared" si="378"/>
        <v>0</v>
      </c>
      <c r="CI124" s="154">
        <f t="shared" si="310"/>
        <v>0</v>
      </c>
      <c r="CJ124" s="154">
        <f t="shared" si="379"/>
        <v>0</v>
      </c>
      <c r="CK124" s="154">
        <f t="shared" si="311"/>
        <v>0</v>
      </c>
      <c r="CL124" s="154">
        <f t="shared" si="380"/>
        <v>0</v>
      </c>
      <c r="CM124" s="154">
        <f t="shared" si="312"/>
        <v>0</v>
      </c>
      <c r="CN124" s="154">
        <f t="shared" si="381"/>
        <v>0</v>
      </c>
      <c r="CO124" s="157">
        <f t="shared" si="313"/>
        <v>0</v>
      </c>
      <c r="CP124" s="154">
        <f t="shared" si="314"/>
        <v>0</v>
      </c>
      <c r="CQ124" s="158">
        <f t="shared" si="315"/>
        <v>0</v>
      </c>
      <c r="CR124" s="156">
        <f t="shared" si="401"/>
        <v>0</v>
      </c>
      <c r="CS124" s="154">
        <f t="shared" si="383"/>
        <v>0</v>
      </c>
      <c r="CT124" s="154">
        <f t="shared" si="317"/>
        <v>0</v>
      </c>
      <c r="CU124" s="154">
        <f t="shared" si="384"/>
        <v>0</v>
      </c>
      <c r="CV124" s="154">
        <f t="shared" si="318"/>
        <v>0</v>
      </c>
      <c r="CW124" s="154">
        <f t="shared" si="385"/>
        <v>0</v>
      </c>
      <c r="CX124" s="154">
        <f t="shared" si="319"/>
        <v>0</v>
      </c>
      <c r="CY124" s="154">
        <f t="shared" si="386"/>
        <v>0</v>
      </c>
      <c r="CZ124" s="154">
        <f t="shared" si="320"/>
        <v>0</v>
      </c>
      <c r="DA124" s="154">
        <f t="shared" si="387"/>
        <v>0</v>
      </c>
      <c r="DB124" s="157">
        <f t="shared" si="321"/>
        <v>0</v>
      </c>
      <c r="DC124" s="154">
        <f t="shared" si="322"/>
        <v>0</v>
      </c>
      <c r="DD124" s="158">
        <f t="shared" si="323"/>
        <v>0</v>
      </c>
      <c r="DE124" s="156">
        <f t="shared" si="401"/>
        <v>0</v>
      </c>
      <c r="DF124" s="154">
        <f t="shared" si="388"/>
        <v>0</v>
      </c>
      <c r="DG124" s="154">
        <f t="shared" si="324"/>
        <v>0</v>
      </c>
      <c r="DH124" s="154">
        <f t="shared" si="389"/>
        <v>0</v>
      </c>
      <c r="DI124" s="154">
        <f t="shared" si="325"/>
        <v>0</v>
      </c>
      <c r="DJ124" s="154">
        <f t="shared" si="390"/>
        <v>0</v>
      </c>
      <c r="DK124" s="154">
        <f t="shared" si="326"/>
        <v>0</v>
      </c>
      <c r="DL124" s="154">
        <f t="shared" si="391"/>
        <v>0</v>
      </c>
      <c r="DM124" s="154">
        <f t="shared" si="327"/>
        <v>0</v>
      </c>
      <c r="DN124" s="154">
        <f t="shared" si="392"/>
        <v>0</v>
      </c>
      <c r="DO124" s="157">
        <f t="shared" si="328"/>
        <v>0</v>
      </c>
      <c r="DP124" s="154">
        <f t="shared" si="329"/>
        <v>0</v>
      </c>
      <c r="DQ124" s="158">
        <f t="shared" si="330"/>
        <v>0</v>
      </c>
      <c r="DR124" s="156">
        <f t="shared" si="401"/>
        <v>0</v>
      </c>
      <c r="DS124" s="154">
        <f t="shared" si="393"/>
        <v>0</v>
      </c>
      <c r="DT124" s="154">
        <f t="shared" si="331"/>
        <v>0</v>
      </c>
      <c r="DU124" s="154">
        <f t="shared" si="394"/>
        <v>0</v>
      </c>
      <c r="DV124" s="154">
        <f t="shared" si="332"/>
        <v>0</v>
      </c>
      <c r="DW124" s="154">
        <f t="shared" si="395"/>
        <v>0</v>
      </c>
      <c r="DX124" s="154">
        <f t="shared" si="333"/>
        <v>0</v>
      </c>
      <c r="DY124" s="154">
        <f t="shared" si="396"/>
        <v>0</v>
      </c>
      <c r="DZ124" s="154">
        <f t="shared" si="334"/>
        <v>0</v>
      </c>
      <c r="EA124" s="154">
        <f t="shared" si="397"/>
        <v>0</v>
      </c>
      <c r="EB124" s="157">
        <f t="shared" si="335"/>
        <v>0</v>
      </c>
      <c r="EC124" s="154">
        <f t="shared" si="336"/>
        <v>0</v>
      </c>
      <c r="ED124" s="158">
        <f t="shared" si="337"/>
        <v>0</v>
      </c>
    </row>
    <row r="125" spans="1:134" ht="15" thickBot="1" x14ac:dyDescent="0.4">
      <c r="A125" s="186"/>
      <c r="B125" s="187"/>
      <c r="C125" s="188"/>
      <c r="D125" s="189"/>
      <c r="E125" s="190"/>
      <c r="F125" s="191"/>
      <c r="G125" s="192"/>
      <c r="H125" s="193"/>
      <c r="I125" s="194"/>
      <c r="J125" s="195"/>
      <c r="K125" s="159">
        <f t="shared" si="338"/>
        <v>0</v>
      </c>
      <c r="L125" s="160">
        <f t="shared" si="339"/>
        <v>0</v>
      </c>
      <c r="M125" s="161">
        <f t="shared" si="340"/>
        <v>0</v>
      </c>
      <c r="N125" s="161"/>
      <c r="O125" s="161">
        <f t="shared" si="341"/>
        <v>0</v>
      </c>
      <c r="P125" s="162"/>
      <c r="Q125" s="161">
        <f t="shared" si="342"/>
        <v>0</v>
      </c>
      <c r="R125" s="163">
        <f t="shared" si="343"/>
        <v>0</v>
      </c>
      <c r="S125" s="161">
        <f t="shared" si="344"/>
        <v>0</v>
      </c>
      <c r="T125" s="161">
        <f t="shared" si="345"/>
        <v>0</v>
      </c>
      <c r="U125" s="161">
        <f t="shared" si="346"/>
        <v>0</v>
      </c>
      <c r="V125" s="161">
        <f t="shared" si="347"/>
        <v>0</v>
      </c>
      <c r="W125" s="161">
        <f t="shared" si="348"/>
        <v>0</v>
      </c>
      <c r="X125" s="161">
        <f t="shared" si="349"/>
        <v>0</v>
      </c>
      <c r="Y125" s="161">
        <f t="shared" si="350"/>
        <v>0</v>
      </c>
      <c r="Z125" s="161">
        <f t="shared" si="351"/>
        <v>0</v>
      </c>
      <c r="AA125" s="161">
        <f t="shared" si="352"/>
        <v>0</v>
      </c>
      <c r="AB125" s="164">
        <f t="shared" si="353"/>
        <v>0</v>
      </c>
      <c r="AC125" s="161">
        <f t="shared" si="354"/>
        <v>0</v>
      </c>
      <c r="AD125" s="165">
        <f t="shared" si="355"/>
        <v>0</v>
      </c>
      <c r="AE125" s="163">
        <f t="shared" si="400"/>
        <v>0</v>
      </c>
      <c r="AF125" s="161">
        <f t="shared" si="357"/>
        <v>0</v>
      </c>
      <c r="AG125" s="161">
        <f t="shared" si="281"/>
        <v>0</v>
      </c>
      <c r="AH125" s="161">
        <f t="shared" si="358"/>
        <v>0</v>
      </c>
      <c r="AI125" s="161">
        <f t="shared" si="282"/>
        <v>0</v>
      </c>
      <c r="AJ125" s="161">
        <f t="shared" si="359"/>
        <v>0</v>
      </c>
      <c r="AK125" s="161">
        <f t="shared" si="283"/>
        <v>0</v>
      </c>
      <c r="AL125" s="161">
        <f t="shared" si="360"/>
        <v>0</v>
      </c>
      <c r="AM125" s="161">
        <f t="shared" si="284"/>
        <v>0</v>
      </c>
      <c r="AN125" s="161">
        <f t="shared" si="361"/>
        <v>0</v>
      </c>
      <c r="AO125" s="164">
        <f t="shared" si="285"/>
        <v>0</v>
      </c>
      <c r="AP125" s="161">
        <f t="shared" si="286"/>
        <v>0</v>
      </c>
      <c r="AQ125" s="165">
        <f t="shared" si="287"/>
        <v>0</v>
      </c>
      <c r="AR125" s="163">
        <f t="shared" si="400"/>
        <v>0</v>
      </c>
      <c r="AS125" s="161">
        <f t="shared" si="362"/>
        <v>0</v>
      </c>
      <c r="AT125" s="161">
        <f t="shared" si="288"/>
        <v>0</v>
      </c>
      <c r="AU125" s="161">
        <f t="shared" si="363"/>
        <v>0</v>
      </c>
      <c r="AV125" s="161">
        <f t="shared" si="289"/>
        <v>0</v>
      </c>
      <c r="AW125" s="161">
        <f t="shared" si="364"/>
        <v>0</v>
      </c>
      <c r="AX125" s="161">
        <f t="shared" si="290"/>
        <v>0</v>
      </c>
      <c r="AY125" s="161">
        <f t="shared" si="365"/>
        <v>0</v>
      </c>
      <c r="AZ125" s="161">
        <f t="shared" si="291"/>
        <v>0</v>
      </c>
      <c r="BA125" s="161">
        <f t="shared" si="366"/>
        <v>0</v>
      </c>
      <c r="BB125" s="164">
        <f t="shared" si="292"/>
        <v>0</v>
      </c>
      <c r="BC125" s="161">
        <f t="shared" si="293"/>
        <v>0</v>
      </c>
      <c r="BD125" s="165">
        <f t="shared" si="294"/>
        <v>0</v>
      </c>
      <c r="BE125" s="163">
        <f t="shared" si="400"/>
        <v>0</v>
      </c>
      <c r="BF125" s="161">
        <f t="shared" si="367"/>
        <v>0</v>
      </c>
      <c r="BG125" s="161">
        <f t="shared" si="295"/>
        <v>0</v>
      </c>
      <c r="BH125" s="161">
        <f t="shared" si="368"/>
        <v>0</v>
      </c>
      <c r="BI125" s="161">
        <f t="shared" si="296"/>
        <v>0</v>
      </c>
      <c r="BJ125" s="161">
        <f t="shared" si="369"/>
        <v>0</v>
      </c>
      <c r="BK125" s="161">
        <f t="shared" si="297"/>
        <v>0</v>
      </c>
      <c r="BL125" s="161">
        <f t="shared" si="370"/>
        <v>0</v>
      </c>
      <c r="BM125" s="161">
        <f t="shared" si="298"/>
        <v>0</v>
      </c>
      <c r="BN125" s="161">
        <f t="shared" si="371"/>
        <v>0</v>
      </c>
      <c r="BO125" s="164">
        <f t="shared" si="299"/>
        <v>0</v>
      </c>
      <c r="BP125" s="161">
        <f t="shared" si="300"/>
        <v>0</v>
      </c>
      <c r="BQ125" s="165">
        <f t="shared" si="301"/>
        <v>0</v>
      </c>
      <c r="BR125" s="163">
        <f t="shared" si="400"/>
        <v>0</v>
      </c>
      <c r="BS125" s="161">
        <f t="shared" si="372"/>
        <v>0</v>
      </c>
      <c r="BT125" s="161">
        <f t="shared" si="302"/>
        <v>0</v>
      </c>
      <c r="BU125" s="161">
        <f t="shared" si="373"/>
        <v>0</v>
      </c>
      <c r="BV125" s="161">
        <f t="shared" si="303"/>
        <v>0</v>
      </c>
      <c r="BW125" s="161">
        <f t="shared" si="374"/>
        <v>0</v>
      </c>
      <c r="BX125" s="161">
        <f t="shared" si="304"/>
        <v>0</v>
      </c>
      <c r="BY125" s="161">
        <f t="shared" si="375"/>
        <v>0</v>
      </c>
      <c r="BZ125" s="161">
        <f t="shared" si="305"/>
        <v>0</v>
      </c>
      <c r="CA125" s="161">
        <f t="shared" si="376"/>
        <v>0</v>
      </c>
      <c r="CB125" s="164">
        <f t="shared" si="306"/>
        <v>0</v>
      </c>
      <c r="CC125" s="161">
        <f t="shared" si="307"/>
        <v>0</v>
      </c>
      <c r="CD125" s="165">
        <f t="shared" si="308"/>
        <v>0</v>
      </c>
      <c r="CE125" s="163">
        <f t="shared" si="400"/>
        <v>0</v>
      </c>
      <c r="CF125" s="161">
        <f t="shared" si="377"/>
        <v>0</v>
      </c>
      <c r="CG125" s="161">
        <f t="shared" si="309"/>
        <v>0</v>
      </c>
      <c r="CH125" s="161">
        <f t="shared" si="378"/>
        <v>0</v>
      </c>
      <c r="CI125" s="161">
        <f t="shared" si="310"/>
        <v>0</v>
      </c>
      <c r="CJ125" s="161">
        <f t="shared" si="379"/>
        <v>0</v>
      </c>
      <c r="CK125" s="161">
        <f t="shared" si="311"/>
        <v>0</v>
      </c>
      <c r="CL125" s="161">
        <f t="shared" si="380"/>
        <v>0</v>
      </c>
      <c r="CM125" s="161">
        <f t="shared" si="312"/>
        <v>0</v>
      </c>
      <c r="CN125" s="161">
        <f t="shared" si="381"/>
        <v>0</v>
      </c>
      <c r="CO125" s="164">
        <f t="shared" si="313"/>
        <v>0</v>
      </c>
      <c r="CP125" s="161">
        <f t="shared" si="314"/>
        <v>0</v>
      </c>
      <c r="CQ125" s="165">
        <f t="shared" si="315"/>
        <v>0</v>
      </c>
      <c r="CR125" s="163">
        <f t="shared" si="401"/>
        <v>0</v>
      </c>
      <c r="CS125" s="161">
        <f t="shared" si="383"/>
        <v>0</v>
      </c>
      <c r="CT125" s="161">
        <f t="shared" si="317"/>
        <v>0</v>
      </c>
      <c r="CU125" s="161">
        <f t="shared" si="384"/>
        <v>0</v>
      </c>
      <c r="CV125" s="161">
        <f t="shared" si="318"/>
        <v>0</v>
      </c>
      <c r="CW125" s="161">
        <f t="shared" si="385"/>
        <v>0</v>
      </c>
      <c r="CX125" s="161">
        <f t="shared" si="319"/>
        <v>0</v>
      </c>
      <c r="CY125" s="161">
        <f t="shared" si="386"/>
        <v>0</v>
      </c>
      <c r="CZ125" s="161">
        <f t="shared" si="320"/>
        <v>0</v>
      </c>
      <c r="DA125" s="161">
        <f t="shared" si="387"/>
        <v>0</v>
      </c>
      <c r="DB125" s="164">
        <f t="shared" si="321"/>
        <v>0</v>
      </c>
      <c r="DC125" s="161">
        <f t="shared" si="322"/>
        <v>0</v>
      </c>
      <c r="DD125" s="165">
        <f t="shared" si="323"/>
        <v>0</v>
      </c>
      <c r="DE125" s="163">
        <f t="shared" si="401"/>
        <v>0</v>
      </c>
      <c r="DF125" s="161">
        <f t="shared" si="388"/>
        <v>0</v>
      </c>
      <c r="DG125" s="161">
        <f t="shared" si="324"/>
        <v>0</v>
      </c>
      <c r="DH125" s="161">
        <f t="shared" si="389"/>
        <v>0</v>
      </c>
      <c r="DI125" s="161">
        <f t="shared" si="325"/>
        <v>0</v>
      </c>
      <c r="DJ125" s="161">
        <f t="shared" si="390"/>
        <v>0</v>
      </c>
      <c r="DK125" s="161">
        <f t="shared" si="326"/>
        <v>0</v>
      </c>
      <c r="DL125" s="161">
        <f t="shared" si="391"/>
        <v>0</v>
      </c>
      <c r="DM125" s="161">
        <f t="shared" si="327"/>
        <v>0</v>
      </c>
      <c r="DN125" s="161">
        <f t="shared" si="392"/>
        <v>0</v>
      </c>
      <c r="DO125" s="164">
        <f t="shared" si="328"/>
        <v>0</v>
      </c>
      <c r="DP125" s="161">
        <f t="shared" si="329"/>
        <v>0</v>
      </c>
      <c r="DQ125" s="165">
        <f t="shared" si="330"/>
        <v>0</v>
      </c>
      <c r="DR125" s="163">
        <f t="shared" si="401"/>
        <v>0</v>
      </c>
      <c r="DS125" s="161">
        <f t="shared" si="393"/>
        <v>0</v>
      </c>
      <c r="DT125" s="161">
        <f t="shared" si="331"/>
        <v>0</v>
      </c>
      <c r="DU125" s="161">
        <f t="shared" si="394"/>
        <v>0</v>
      </c>
      <c r="DV125" s="161">
        <f t="shared" si="332"/>
        <v>0</v>
      </c>
      <c r="DW125" s="161">
        <f t="shared" si="395"/>
        <v>0</v>
      </c>
      <c r="DX125" s="161">
        <f t="shared" si="333"/>
        <v>0</v>
      </c>
      <c r="DY125" s="161">
        <f t="shared" si="396"/>
        <v>0</v>
      </c>
      <c r="DZ125" s="161">
        <f t="shared" si="334"/>
        <v>0</v>
      </c>
      <c r="EA125" s="161">
        <f t="shared" si="397"/>
        <v>0</v>
      </c>
      <c r="EB125" s="164">
        <f t="shared" si="335"/>
        <v>0</v>
      </c>
      <c r="EC125" s="161">
        <f t="shared" si="336"/>
        <v>0</v>
      </c>
      <c r="ED125" s="165">
        <f t="shared" si="337"/>
        <v>0</v>
      </c>
    </row>
    <row r="126" spans="1:134" ht="24" customHeight="1" x14ac:dyDescent="0.35">
      <c r="J126" s="10" t="s">
        <v>166</v>
      </c>
      <c r="M126" s="166">
        <f>SUM(M5:M125)</f>
        <v>2829762.5</v>
      </c>
      <c r="N126" s="166">
        <f t="shared" ref="N126:AD126" si="402">SUM(N5:N125)</f>
        <v>0</v>
      </c>
      <c r="O126" s="166">
        <f t="shared" si="402"/>
        <v>3921237.5</v>
      </c>
      <c r="P126" s="166">
        <f t="shared" si="402"/>
        <v>0</v>
      </c>
      <c r="Q126" s="168">
        <f t="shared" si="402"/>
        <v>6751000</v>
      </c>
      <c r="R126" s="166">
        <f t="shared" si="402"/>
        <v>0</v>
      </c>
      <c r="S126" s="166">
        <f t="shared" si="402"/>
        <v>0</v>
      </c>
      <c r="T126" s="166">
        <f t="shared" si="402"/>
        <v>0</v>
      </c>
      <c r="U126" s="166">
        <f t="shared" si="402"/>
        <v>0</v>
      </c>
      <c r="V126" s="166">
        <f t="shared" si="402"/>
        <v>6751000</v>
      </c>
      <c r="W126" s="166">
        <f t="shared" si="402"/>
        <v>6751000</v>
      </c>
      <c r="X126" s="166">
        <f t="shared" si="402"/>
        <v>199080</v>
      </c>
      <c r="Y126" s="166">
        <f t="shared" si="402"/>
        <v>199080</v>
      </c>
      <c r="Z126" s="166">
        <f t="shared" si="402"/>
        <v>2630682.5</v>
      </c>
      <c r="AA126" s="166">
        <f t="shared" si="402"/>
        <v>2630682.5</v>
      </c>
      <c r="AB126" s="166">
        <f t="shared" si="402"/>
        <v>4120317.5</v>
      </c>
      <c r="AC126" s="166">
        <f t="shared" si="402"/>
        <v>0</v>
      </c>
      <c r="AD126" s="168">
        <f t="shared" si="402"/>
        <v>0</v>
      </c>
      <c r="AE126" s="166">
        <f t="shared" ref="AE126:CP126" si="403">SUM(AE5:AE125)</f>
        <v>0</v>
      </c>
      <c r="AF126" s="166">
        <f t="shared" si="403"/>
        <v>0</v>
      </c>
      <c r="AG126" s="166">
        <f t="shared" si="403"/>
        <v>0</v>
      </c>
      <c r="AH126" s="166">
        <f t="shared" si="403"/>
        <v>0</v>
      </c>
      <c r="AI126" s="166">
        <f t="shared" si="403"/>
        <v>6751000</v>
      </c>
      <c r="AJ126" s="166">
        <f t="shared" si="403"/>
        <v>6651000</v>
      </c>
      <c r="AK126" s="166">
        <f t="shared" si="403"/>
        <v>197080</v>
      </c>
      <c r="AL126" s="166">
        <f t="shared" si="403"/>
        <v>197080</v>
      </c>
      <c r="AM126" s="166">
        <f t="shared" si="403"/>
        <v>2433602.5</v>
      </c>
      <c r="AN126" s="166">
        <f t="shared" si="403"/>
        <v>2433602.5</v>
      </c>
      <c r="AO126" s="166">
        <f t="shared" si="403"/>
        <v>4317397.5</v>
      </c>
      <c r="AP126" s="166">
        <f t="shared" si="403"/>
        <v>0</v>
      </c>
      <c r="AQ126" s="168">
        <f t="shared" si="403"/>
        <v>0</v>
      </c>
      <c r="AR126" s="166">
        <f t="shared" si="403"/>
        <v>0</v>
      </c>
      <c r="AS126" s="166">
        <f t="shared" si="403"/>
        <v>0</v>
      </c>
      <c r="AT126" s="166">
        <f t="shared" si="403"/>
        <v>0</v>
      </c>
      <c r="AU126" s="166">
        <f t="shared" si="403"/>
        <v>0</v>
      </c>
      <c r="AV126" s="166">
        <f t="shared" si="403"/>
        <v>6751000</v>
      </c>
      <c r="AW126" s="166">
        <f t="shared" si="403"/>
        <v>6551000</v>
      </c>
      <c r="AX126" s="166">
        <f t="shared" si="403"/>
        <v>195080</v>
      </c>
      <c r="AY126" s="166">
        <f t="shared" si="403"/>
        <v>195080</v>
      </c>
      <c r="AZ126" s="166">
        <f t="shared" si="403"/>
        <v>2238522.5</v>
      </c>
      <c r="BA126" s="166">
        <f t="shared" si="403"/>
        <v>2238522.5</v>
      </c>
      <c r="BB126" s="166">
        <f t="shared" si="403"/>
        <v>4512477.5</v>
      </c>
      <c r="BC126" s="166">
        <f t="shared" si="403"/>
        <v>0</v>
      </c>
      <c r="BD126" s="168">
        <f t="shared" si="403"/>
        <v>0</v>
      </c>
      <c r="BE126" s="166">
        <f t="shared" si="403"/>
        <v>0</v>
      </c>
      <c r="BF126" s="166">
        <f t="shared" si="403"/>
        <v>0</v>
      </c>
      <c r="BG126" s="166">
        <f t="shared" si="403"/>
        <v>0</v>
      </c>
      <c r="BH126" s="166">
        <f t="shared" si="403"/>
        <v>0</v>
      </c>
      <c r="BI126" s="166">
        <f t="shared" si="403"/>
        <v>6751000</v>
      </c>
      <c r="BJ126" s="166">
        <f t="shared" si="403"/>
        <v>6551000</v>
      </c>
      <c r="BK126" s="166">
        <f t="shared" si="403"/>
        <v>195080</v>
      </c>
      <c r="BL126" s="166">
        <f t="shared" si="403"/>
        <v>195080</v>
      </c>
      <c r="BM126" s="166">
        <f t="shared" si="403"/>
        <v>2043442.5</v>
      </c>
      <c r="BN126" s="166">
        <f t="shared" si="403"/>
        <v>2043442.5</v>
      </c>
      <c r="BO126" s="166">
        <f t="shared" si="403"/>
        <v>4707557.5</v>
      </c>
      <c r="BP126" s="166">
        <f t="shared" si="403"/>
        <v>0</v>
      </c>
      <c r="BQ126" s="168">
        <f t="shared" si="403"/>
        <v>0</v>
      </c>
      <c r="BR126" s="166">
        <f t="shared" si="403"/>
        <v>0</v>
      </c>
      <c r="BS126" s="166">
        <f t="shared" si="403"/>
        <v>0</v>
      </c>
      <c r="BT126" s="166">
        <f t="shared" si="403"/>
        <v>0</v>
      </c>
      <c r="BU126" s="166">
        <f t="shared" si="403"/>
        <v>0</v>
      </c>
      <c r="BV126" s="166">
        <f t="shared" si="403"/>
        <v>6751000</v>
      </c>
      <c r="BW126" s="166">
        <f t="shared" si="403"/>
        <v>5834439.9000000004</v>
      </c>
      <c r="BX126" s="166">
        <f t="shared" si="403"/>
        <v>167062.5</v>
      </c>
      <c r="BY126" s="166">
        <f t="shared" si="403"/>
        <v>167062.5</v>
      </c>
      <c r="BZ126" s="166">
        <f t="shared" si="403"/>
        <v>1876380</v>
      </c>
      <c r="CA126" s="166">
        <f t="shared" si="403"/>
        <v>1876380</v>
      </c>
      <c r="CB126" s="166">
        <f t="shared" si="403"/>
        <v>4874620</v>
      </c>
      <c r="CC126" s="166">
        <f t="shared" si="403"/>
        <v>0</v>
      </c>
      <c r="CD126" s="168">
        <f t="shared" si="403"/>
        <v>0</v>
      </c>
      <c r="CE126" s="166">
        <f t="shared" si="403"/>
        <v>0</v>
      </c>
      <c r="CF126" s="166">
        <f t="shared" si="403"/>
        <v>0</v>
      </c>
      <c r="CG126" s="166">
        <f t="shared" si="403"/>
        <v>0</v>
      </c>
      <c r="CH126" s="166">
        <f t="shared" si="403"/>
        <v>0</v>
      </c>
      <c r="CI126" s="166">
        <f t="shared" si="403"/>
        <v>6751000</v>
      </c>
      <c r="CJ126" s="166">
        <f t="shared" si="403"/>
        <v>4451000</v>
      </c>
      <c r="CK126" s="166">
        <f t="shared" si="403"/>
        <v>112970</v>
      </c>
      <c r="CL126" s="166">
        <f t="shared" si="403"/>
        <v>112970</v>
      </c>
      <c r="CM126" s="166">
        <f t="shared" si="403"/>
        <v>1763410</v>
      </c>
      <c r="CN126" s="166">
        <f t="shared" si="403"/>
        <v>1763410</v>
      </c>
      <c r="CO126" s="166">
        <f t="shared" si="403"/>
        <v>4987590</v>
      </c>
      <c r="CP126" s="166">
        <f t="shared" si="403"/>
        <v>0</v>
      </c>
      <c r="CQ126" s="168">
        <f t="shared" ref="CQ126:ED126" si="404">SUM(CQ5:CQ125)</f>
        <v>0</v>
      </c>
      <c r="CR126" s="166">
        <f t="shared" si="404"/>
        <v>0</v>
      </c>
      <c r="CS126" s="166">
        <f t="shared" si="404"/>
        <v>0</v>
      </c>
      <c r="CT126" s="166">
        <f t="shared" si="404"/>
        <v>0</v>
      </c>
      <c r="CU126" s="166">
        <f t="shared" si="404"/>
        <v>0</v>
      </c>
      <c r="CV126" s="166">
        <f t="shared" si="404"/>
        <v>6751000</v>
      </c>
      <c r="CW126" s="166">
        <f t="shared" si="404"/>
        <v>4451000</v>
      </c>
      <c r="CX126" s="166">
        <f t="shared" si="404"/>
        <v>112970</v>
      </c>
      <c r="CY126" s="166">
        <f t="shared" si="404"/>
        <v>112970</v>
      </c>
      <c r="CZ126" s="166">
        <f t="shared" si="404"/>
        <v>1650440</v>
      </c>
      <c r="DA126" s="166">
        <f t="shared" si="404"/>
        <v>1650440</v>
      </c>
      <c r="DB126" s="166">
        <f t="shared" si="404"/>
        <v>5100560</v>
      </c>
      <c r="DC126" s="166">
        <f t="shared" si="404"/>
        <v>0</v>
      </c>
      <c r="DD126" s="168">
        <f t="shared" si="404"/>
        <v>0</v>
      </c>
      <c r="DE126" s="166">
        <f t="shared" si="404"/>
        <v>0</v>
      </c>
      <c r="DF126" s="166">
        <f t="shared" si="404"/>
        <v>0</v>
      </c>
      <c r="DG126" s="166">
        <f t="shared" si="404"/>
        <v>0</v>
      </c>
      <c r="DH126" s="166">
        <f t="shared" si="404"/>
        <v>0</v>
      </c>
      <c r="DI126" s="166">
        <f t="shared" si="404"/>
        <v>6751000</v>
      </c>
      <c r="DJ126" s="166">
        <f t="shared" si="404"/>
        <v>4451000</v>
      </c>
      <c r="DK126" s="166">
        <f t="shared" si="404"/>
        <v>112970</v>
      </c>
      <c r="DL126" s="166">
        <f t="shared" si="404"/>
        <v>112970</v>
      </c>
      <c r="DM126" s="166">
        <f t="shared" si="404"/>
        <v>1537470</v>
      </c>
      <c r="DN126" s="166">
        <f t="shared" si="404"/>
        <v>1537470</v>
      </c>
      <c r="DO126" s="166">
        <f t="shared" si="404"/>
        <v>5213530</v>
      </c>
      <c r="DP126" s="166">
        <f t="shared" si="404"/>
        <v>0</v>
      </c>
      <c r="DQ126" s="168">
        <f t="shared" si="404"/>
        <v>0</v>
      </c>
      <c r="DR126" s="166">
        <f t="shared" si="404"/>
        <v>0</v>
      </c>
      <c r="DS126" s="166">
        <f t="shared" si="404"/>
        <v>0</v>
      </c>
      <c r="DT126" s="166">
        <f t="shared" si="404"/>
        <v>0</v>
      </c>
      <c r="DU126" s="166">
        <f t="shared" si="404"/>
        <v>0</v>
      </c>
      <c r="DV126" s="166">
        <f t="shared" si="404"/>
        <v>6751000</v>
      </c>
      <c r="DW126" s="166">
        <f t="shared" si="404"/>
        <v>4451000</v>
      </c>
      <c r="DX126" s="166">
        <f t="shared" si="404"/>
        <v>112970</v>
      </c>
      <c r="DY126" s="166">
        <f t="shared" si="404"/>
        <v>112970</v>
      </c>
      <c r="DZ126" s="166">
        <f t="shared" si="404"/>
        <v>1424500</v>
      </c>
      <c r="EA126" s="166">
        <f t="shared" si="404"/>
        <v>1424500</v>
      </c>
      <c r="EB126" s="166">
        <f t="shared" si="404"/>
        <v>5326500</v>
      </c>
      <c r="EC126" s="166">
        <f t="shared" si="404"/>
        <v>0</v>
      </c>
      <c r="ED126" s="168">
        <f t="shared" si="404"/>
        <v>0</v>
      </c>
    </row>
    <row r="127" spans="1:134" ht="11.25" customHeight="1" x14ac:dyDescent="0.35">
      <c r="A127" s="167"/>
      <c r="B127" s="167"/>
      <c r="C127" s="167"/>
      <c r="D127" s="167"/>
      <c r="E127" s="167"/>
      <c r="F127" s="167"/>
      <c r="G127" s="167"/>
      <c r="H127" s="167"/>
      <c r="I127" s="167"/>
      <c r="J127" s="167"/>
      <c r="K127" s="167"/>
      <c r="L127" s="167"/>
      <c r="M127" s="167"/>
      <c r="N127" s="167"/>
      <c r="O127" s="167"/>
      <c r="P127" s="167"/>
      <c r="Q127" s="169"/>
      <c r="R127" s="167"/>
      <c r="S127" s="167"/>
      <c r="T127" s="167"/>
      <c r="U127" s="167"/>
      <c r="V127" s="167"/>
      <c r="W127" s="167"/>
      <c r="X127" s="167"/>
      <c r="Y127" s="167"/>
      <c r="Z127" s="167"/>
      <c r="AA127" s="167"/>
      <c r="AB127" s="167"/>
      <c r="AC127" s="167"/>
      <c r="AD127" s="169"/>
      <c r="AE127" s="167"/>
      <c r="AF127" s="167"/>
      <c r="AG127" s="167"/>
      <c r="AH127" s="167"/>
      <c r="AI127" s="167"/>
      <c r="AJ127" s="167"/>
      <c r="AK127" s="167"/>
      <c r="AL127" s="167"/>
      <c r="AM127" s="167"/>
      <c r="AN127" s="167"/>
      <c r="AO127" s="167"/>
      <c r="AP127" s="167"/>
      <c r="AQ127" s="169"/>
      <c r="AR127" s="167"/>
      <c r="AS127" s="167"/>
      <c r="AT127" s="167"/>
      <c r="AU127" s="167"/>
      <c r="AV127" s="167"/>
      <c r="AW127" s="167"/>
      <c r="AX127" s="167"/>
      <c r="AY127" s="167"/>
      <c r="AZ127" s="167"/>
      <c r="BA127" s="167"/>
      <c r="BB127" s="167"/>
      <c r="BC127" s="167"/>
      <c r="BD127" s="169"/>
      <c r="BE127" s="167"/>
      <c r="BF127" s="167"/>
      <c r="BG127" s="167"/>
      <c r="BH127" s="167"/>
      <c r="BI127" s="167"/>
      <c r="BJ127" s="167"/>
      <c r="BK127" s="167"/>
      <c r="BL127" s="167"/>
      <c r="BM127" s="167"/>
      <c r="BN127" s="167"/>
      <c r="BO127" s="167"/>
      <c r="BP127" s="167"/>
      <c r="BQ127" s="169"/>
      <c r="BR127" s="167"/>
      <c r="BS127" s="167"/>
      <c r="BT127" s="167"/>
      <c r="BU127" s="167"/>
      <c r="BV127" s="167"/>
      <c r="BW127" s="167"/>
      <c r="BX127" s="167"/>
      <c r="BY127" s="167"/>
      <c r="BZ127" s="167"/>
      <c r="CA127" s="167"/>
      <c r="CB127" s="167"/>
      <c r="CC127" s="167"/>
      <c r="CD127" s="169"/>
      <c r="CE127" s="167"/>
      <c r="CF127" s="167"/>
      <c r="CG127" s="167"/>
      <c r="CH127" s="167"/>
      <c r="CI127" s="167"/>
      <c r="CJ127" s="167"/>
      <c r="CK127" s="167"/>
      <c r="CL127" s="167"/>
      <c r="CM127" s="167"/>
      <c r="CN127" s="167"/>
      <c r="CO127" s="167"/>
      <c r="CP127" s="167"/>
      <c r="CQ127" s="169"/>
      <c r="CR127" s="167"/>
      <c r="CS127" s="167"/>
      <c r="CT127" s="167"/>
      <c r="CU127" s="167"/>
      <c r="CV127" s="167"/>
      <c r="CW127" s="167"/>
      <c r="CX127" s="167"/>
      <c r="CY127" s="167"/>
      <c r="CZ127" s="167"/>
      <c r="DA127" s="167"/>
      <c r="DB127" s="167"/>
      <c r="DC127" s="167"/>
      <c r="DD127" s="169"/>
      <c r="DE127" s="167"/>
      <c r="DF127" s="167"/>
      <c r="DG127" s="167"/>
      <c r="DH127" s="167"/>
      <c r="DI127" s="167"/>
      <c r="DJ127" s="167"/>
      <c r="DK127" s="167"/>
      <c r="DL127" s="167"/>
      <c r="DM127" s="167"/>
      <c r="DN127" s="167"/>
      <c r="DO127" s="167"/>
      <c r="DP127" s="167"/>
      <c r="DQ127" s="169"/>
      <c r="DR127" s="167"/>
      <c r="DS127" s="167"/>
      <c r="DT127" s="167"/>
      <c r="DU127" s="167"/>
      <c r="DV127" s="167"/>
      <c r="DW127" s="167"/>
      <c r="DX127" s="167"/>
      <c r="DY127" s="167"/>
      <c r="DZ127" s="167"/>
      <c r="EA127" s="167"/>
      <c r="EB127" s="167"/>
      <c r="EC127" s="167"/>
      <c r="ED127" s="169"/>
    </row>
    <row r="128" spans="1:134" ht="18.5" x14ac:dyDescent="0.45">
      <c r="Q128" s="225"/>
      <c r="R128" s="381"/>
      <c r="X128" s="375">
        <f>X4</f>
        <v>2012</v>
      </c>
      <c r="AD128" s="205"/>
      <c r="AE128" s="381"/>
      <c r="AK128" s="375">
        <f t="shared" ref="AK128" si="405">AK4</f>
        <v>2013</v>
      </c>
      <c r="AQ128" s="205"/>
      <c r="AR128" s="381"/>
      <c r="AX128" s="375">
        <f t="shared" ref="AX128" si="406">AX4</f>
        <v>2014</v>
      </c>
      <c r="BD128" s="205"/>
      <c r="BE128" s="381"/>
      <c r="BK128" s="375">
        <f t="shared" ref="BK128" si="407">BK4</f>
        <v>2015</v>
      </c>
      <c r="BQ128" s="205"/>
      <c r="BR128" s="381"/>
      <c r="BX128" s="375">
        <f t="shared" ref="BX128" si="408">BX4</f>
        <v>2016</v>
      </c>
      <c r="CD128" s="205"/>
      <c r="CE128" s="381"/>
      <c r="CK128" s="375">
        <f t="shared" ref="CK128" si="409">CK4</f>
        <v>2017</v>
      </c>
      <c r="CQ128" s="205"/>
      <c r="CR128" s="381"/>
      <c r="CX128" s="375">
        <f t="shared" ref="CX128" si="410">CX4</f>
        <v>2018</v>
      </c>
      <c r="DD128" s="205"/>
      <c r="DE128" s="381"/>
      <c r="DK128" s="375">
        <f t="shared" ref="DK128" si="411">DK4</f>
        <v>2019</v>
      </c>
      <c r="DQ128" s="205"/>
      <c r="DR128" s="381"/>
      <c r="DX128" s="375">
        <f t="shared" ref="DX128" si="412">DX4</f>
        <v>2020</v>
      </c>
      <c r="ED128" s="205"/>
    </row>
    <row r="129" spans="1:134" ht="21" x14ac:dyDescent="0.5">
      <c r="A129" s="95" t="s">
        <v>560</v>
      </c>
      <c r="F129" s="288" t="str">
        <f>"Zwischen Zeile "&amp;ROW(128:128)&amp;" und Zeile "&amp;ROW(207:207)&amp;" weder eine Zeile einfügen noch löschen!!!"</f>
        <v>Zwischen Zeile 128 und Zeile 207 weder eine Zeile einfügen noch löschen!!!</v>
      </c>
      <c r="Q129" s="225">
        <v>2</v>
      </c>
      <c r="R129" s="382" t="s">
        <v>588</v>
      </c>
      <c r="V129" s="80" t="s">
        <v>704</v>
      </c>
      <c r="W129" s="80" t="s">
        <v>703</v>
      </c>
      <c r="X129" s="80" t="s">
        <v>551</v>
      </c>
      <c r="Y129" s="80" t="s">
        <v>550</v>
      </c>
      <c r="Z129" s="79" t="s">
        <v>896</v>
      </c>
      <c r="AD129" s="205"/>
      <c r="AE129" s="382" t="s">
        <v>588</v>
      </c>
      <c r="AI129" s="80" t="s">
        <v>704</v>
      </c>
      <c r="AJ129" s="80" t="s">
        <v>703</v>
      </c>
      <c r="AK129" s="80" t="s">
        <v>551</v>
      </c>
      <c r="AL129" s="80" t="s">
        <v>550</v>
      </c>
      <c r="AM129" s="79" t="s">
        <v>896</v>
      </c>
      <c r="AQ129" s="205"/>
      <c r="AR129" s="382" t="s">
        <v>588</v>
      </c>
      <c r="AV129" s="80" t="s">
        <v>704</v>
      </c>
      <c r="AW129" s="80" t="s">
        <v>703</v>
      </c>
      <c r="AX129" s="80" t="s">
        <v>551</v>
      </c>
      <c r="AY129" s="80" t="s">
        <v>550</v>
      </c>
      <c r="AZ129" s="79" t="s">
        <v>896</v>
      </c>
      <c r="BD129" s="205"/>
      <c r="BE129" s="382" t="s">
        <v>588</v>
      </c>
      <c r="BI129" s="80" t="s">
        <v>704</v>
      </c>
      <c r="BJ129" s="80" t="s">
        <v>703</v>
      </c>
      <c r="BK129" s="80" t="s">
        <v>551</v>
      </c>
      <c r="BL129" s="80" t="s">
        <v>550</v>
      </c>
      <c r="BM129" s="79" t="s">
        <v>896</v>
      </c>
      <c r="BQ129" s="205"/>
      <c r="BR129" s="382" t="s">
        <v>588</v>
      </c>
      <c r="BV129" s="80" t="s">
        <v>704</v>
      </c>
      <c r="BW129" s="80" t="s">
        <v>703</v>
      </c>
      <c r="BX129" s="80" t="s">
        <v>551</v>
      </c>
      <c r="BY129" s="80" t="s">
        <v>550</v>
      </c>
      <c r="BZ129" s="79" t="s">
        <v>896</v>
      </c>
      <c r="CD129" s="205"/>
      <c r="CE129" s="382" t="s">
        <v>588</v>
      </c>
      <c r="CI129" s="80" t="s">
        <v>704</v>
      </c>
      <c r="CJ129" s="80" t="s">
        <v>703</v>
      </c>
      <c r="CK129" s="80" t="s">
        <v>551</v>
      </c>
      <c r="CL129" s="80" t="s">
        <v>550</v>
      </c>
      <c r="CM129" s="79" t="s">
        <v>896</v>
      </c>
      <c r="CQ129" s="205"/>
      <c r="CR129" s="382" t="s">
        <v>588</v>
      </c>
      <c r="CV129" s="80" t="s">
        <v>704</v>
      </c>
      <c r="CW129" s="80" t="s">
        <v>703</v>
      </c>
      <c r="CX129" s="80" t="s">
        <v>551</v>
      </c>
      <c r="CY129" s="80" t="s">
        <v>550</v>
      </c>
      <c r="CZ129" s="79" t="s">
        <v>896</v>
      </c>
      <c r="DD129" s="205"/>
      <c r="DE129" s="382" t="s">
        <v>588</v>
      </c>
      <c r="DI129" s="80" t="s">
        <v>704</v>
      </c>
      <c r="DJ129" s="80" t="s">
        <v>703</v>
      </c>
      <c r="DK129" s="80" t="s">
        <v>551</v>
      </c>
      <c r="DL129" s="80" t="s">
        <v>550</v>
      </c>
      <c r="DM129" s="79" t="s">
        <v>896</v>
      </c>
      <c r="DQ129" s="205"/>
      <c r="DR129" s="382" t="s">
        <v>588</v>
      </c>
      <c r="DV129" s="80" t="s">
        <v>704</v>
      </c>
      <c r="DW129" s="80" t="s">
        <v>703</v>
      </c>
      <c r="DX129" s="80" t="s">
        <v>551</v>
      </c>
      <c r="DY129" s="80" t="s">
        <v>550</v>
      </c>
      <c r="DZ129" s="79" t="s">
        <v>896</v>
      </c>
      <c r="ED129" s="205"/>
    </row>
    <row r="130" spans="1:134" x14ac:dyDescent="0.35">
      <c r="A130" s="561" t="s">
        <v>589</v>
      </c>
      <c r="Q130" s="225">
        <v>3</v>
      </c>
      <c r="R130" s="383" t="s">
        <v>545</v>
      </c>
      <c r="V130" s="89">
        <f>SUMIF($D$5:$D$125,"=zus",V5:V125)+SUMIF($D$5:$D$125,"=zum",V5:V125)+SUMIF($D$5:$D$125,"=zur",V5:V125)+SUMIF($D$5:$D$125,"=zuk",V5:V125)</f>
        <v>6351000</v>
      </c>
      <c r="W130" s="90">
        <f>SUM(W131:W133)</f>
        <v>1</v>
      </c>
      <c r="X130" s="89">
        <f>SUMIF($D$5:$D$125,"=zus",X5:X125)+SUMIF($D$5:$D$125,"=zum",X5:X125)+SUMIF($D$5:$D$125,"=zur",X5:X125)+SUMIF($D$5:$D$125,"=zuk",X5:X125)</f>
        <v>185280</v>
      </c>
      <c r="Y130" s="90">
        <f>SUM(Y131:Y133)</f>
        <v>1</v>
      </c>
      <c r="Z130" s="207" t="s">
        <v>897</v>
      </c>
      <c r="AD130" s="205"/>
      <c r="AE130" s="383" t="s">
        <v>545</v>
      </c>
      <c r="AI130" s="89">
        <f t="shared" ref="AI130" si="413">SUMIF($D$5:$D$125,"=zus",AI5:AI125)+SUMIF($D$5:$D$125,"=zum",AI5:AI125)+SUMIF($D$5:$D$125,"=zur",AI5:AI125)+SUMIF($D$5:$D$125,"=zuk",AI5:AI125)</f>
        <v>6351000</v>
      </c>
      <c r="AJ130" s="90">
        <f t="shared" ref="AJ130" si="414">SUM(AJ131:AJ133)</f>
        <v>1</v>
      </c>
      <c r="AK130" s="89">
        <f t="shared" ref="AK130" si="415">SUMIF($D$5:$D$125,"=zus",AK5:AK125)+SUMIF($D$5:$D$125,"=zum",AK5:AK125)+SUMIF($D$5:$D$125,"=zur",AK5:AK125)+SUMIF($D$5:$D$125,"=zuk",AK5:AK125)</f>
        <v>183280</v>
      </c>
      <c r="AL130" s="90">
        <f t="shared" ref="AL130" si="416">SUM(AL131:AL133)</f>
        <v>1</v>
      </c>
      <c r="AM130" s="289" t="s">
        <v>897</v>
      </c>
      <c r="AQ130" s="205"/>
      <c r="AR130" s="383" t="s">
        <v>545</v>
      </c>
      <c r="AV130" s="89">
        <f t="shared" ref="AV130" si="417">SUMIF($D$5:$D$125,"=zus",AV5:AV125)+SUMIF($D$5:$D$125,"=zum",AV5:AV125)+SUMIF($D$5:$D$125,"=zur",AV5:AV125)+SUMIF($D$5:$D$125,"=zuk",AV5:AV125)</f>
        <v>6351000</v>
      </c>
      <c r="AW130" s="90">
        <f t="shared" ref="AW130" si="418">SUM(AW131:AW133)</f>
        <v>1</v>
      </c>
      <c r="AX130" s="89">
        <f t="shared" ref="AX130" si="419">SUMIF($D$5:$D$125,"=zus",AX5:AX125)+SUMIF($D$5:$D$125,"=zum",AX5:AX125)+SUMIF($D$5:$D$125,"=zur",AX5:AX125)+SUMIF($D$5:$D$125,"=zuk",AX5:AX125)</f>
        <v>181280</v>
      </c>
      <c r="AY130" s="90">
        <f t="shared" ref="AY130" si="420">SUM(AY131:AY133)</f>
        <v>1</v>
      </c>
      <c r="AZ130" s="289" t="s">
        <v>897</v>
      </c>
      <c r="BD130" s="205"/>
      <c r="BE130" s="383" t="s">
        <v>545</v>
      </c>
      <c r="BI130" s="89">
        <f t="shared" ref="BI130" si="421">SUMIF($D$5:$D$125,"=zus",BI5:BI125)+SUMIF($D$5:$D$125,"=zum",BI5:BI125)+SUMIF($D$5:$D$125,"=zur",BI5:BI125)+SUMIF($D$5:$D$125,"=zuk",BI5:BI125)</f>
        <v>6351000</v>
      </c>
      <c r="BJ130" s="90">
        <f t="shared" ref="BJ130" si="422">SUM(BJ131:BJ133)</f>
        <v>1</v>
      </c>
      <c r="BK130" s="89">
        <f t="shared" ref="BK130" si="423">SUMIF($D$5:$D$125,"=zus",BK5:BK125)+SUMIF($D$5:$D$125,"=zum",BK5:BK125)+SUMIF($D$5:$D$125,"=zur",BK5:BK125)+SUMIF($D$5:$D$125,"=zuk",BK5:BK125)</f>
        <v>181280</v>
      </c>
      <c r="BL130" s="90">
        <f t="shared" ref="BL130" si="424">SUM(BL131:BL133)</f>
        <v>1</v>
      </c>
      <c r="BM130" s="289" t="s">
        <v>897</v>
      </c>
      <c r="BQ130" s="205"/>
      <c r="BR130" s="383" t="s">
        <v>545</v>
      </c>
      <c r="BV130" s="89">
        <f t="shared" ref="BV130" si="425">SUMIF($D$5:$D$125,"=zus",BV5:BV125)+SUMIF($D$5:$D$125,"=zum",BV5:BV125)+SUMIF($D$5:$D$125,"=zur",BV5:BV125)+SUMIF($D$5:$D$125,"=zuk",BV5:BV125)</f>
        <v>6351000</v>
      </c>
      <c r="BW130" s="90">
        <f t="shared" ref="BW130" si="426">SUM(BW131:BW133)</f>
        <v>1</v>
      </c>
      <c r="BX130" s="89">
        <f t="shared" ref="BX130" si="427">SUMIF($D$5:$D$125,"=zus",BX5:BX125)+SUMIF($D$5:$D$125,"=zum",BX5:BX125)+SUMIF($D$5:$D$125,"=zur",BX5:BX125)+SUMIF($D$5:$D$125,"=zuk",BX5:BX125)</f>
        <v>153262.5</v>
      </c>
      <c r="BY130" s="90">
        <f t="shared" ref="BY130" si="428">SUM(BY131:BY133)</f>
        <v>1</v>
      </c>
      <c r="BZ130" s="289" t="s">
        <v>897</v>
      </c>
      <c r="CD130" s="205"/>
      <c r="CE130" s="383" t="s">
        <v>545</v>
      </c>
      <c r="CI130" s="89">
        <f t="shared" ref="CI130" si="429">SUMIF($D$5:$D$125,"=zus",CI5:CI125)+SUMIF($D$5:$D$125,"=zum",CI5:CI125)+SUMIF($D$5:$D$125,"=zur",CI5:CI125)+SUMIF($D$5:$D$125,"=zuk",CI5:CI125)</f>
        <v>6351000</v>
      </c>
      <c r="CJ130" s="90">
        <f t="shared" ref="CJ130" si="430">SUM(CJ131:CJ133)</f>
        <v>1</v>
      </c>
      <c r="CK130" s="89">
        <f t="shared" ref="CK130" si="431">SUMIF($D$5:$D$125,"=zus",CK5:CK125)+SUMIF($D$5:$D$125,"=zum",CK5:CK125)+SUMIF($D$5:$D$125,"=zur",CK5:CK125)+SUMIF($D$5:$D$125,"=zuk",CK5:CK125)</f>
        <v>99170</v>
      </c>
      <c r="CL130" s="90">
        <f t="shared" ref="CL130" si="432">SUM(CL131:CL133)</f>
        <v>1</v>
      </c>
      <c r="CM130" s="289" t="s">
        <v>897</v>
      </c>
      <c r="CQ130" s="205"/>
      <c r="CR130" s="383" t="s">
        <v>545</v>
      </c>
      <c r="CV130" s="89">
        <f t="shared" ref="CV130" si="433">SUMIF($D$5:$D$125,"=zus",CV5:CV125)+SUMIF($D$5:$D$125,"=zum",CV5:CV125)+SUMIF($D$5:$D$125,"=zur",CV5:CV125)+SUMIF($D$5:$D$125,"=zuk",CV5:CV125)</f>
        <v>6351000</v>
      </c>
      <c r="CW130" s="90">
        <f t="shared" ref="CW130" si="434">SUM(CW131:CW133)</f>
        <v>1</v>
      </c>
      <c r="CX130" s="89">
        <f t="shared" ref="CX130" si="435">SUMIF($D$5:$D$125,"=zus",CX5:CX125)+SUMIF($D$5:$D$125,"=zum",CX5:CX125)+SUMIF($D$5:$D$125,"=zur",CX5:CX125)+SUMIF($D$5:$D$125,"=zuk",CX5:CX125)</f>
        <v>99170</v>
      </c>
      <c r="CY130" s="90">
        <f t="shared" ref="CY130" si="436">SUM(CY131:CY133)</f>
        <v>1</v>
      </c>
      <c r="CZ130" s="289" t="s">
        <v>897</v>
      </c>
      <c r="DD130" s="205"/>
      <c r="DE130" s="383" t="s">
        <v>545</v>
      </c>
      <c r="DI130" s="89">
        <f t="shared" ref="DI130" si="437">SUMIF($D$5:$D$125,"=zus",DI5:DI125)+SUMIF($D$5:$D$125,"=zum",DI5:DI125)+SUMIF($D$5:$D$125,"=zur",DI5:DI125)+SUMIF($D$5:$D$125,"=zuk",DI5:DI125)</f>
        <v>6351000</v>
      </c>
      <c r="DJ130" s="90">
        <f t="shared" ref="DJ130" si="438">SUM(DJ131:DJ133)</f>
        <v>1</v>
      </c>
      <c r="DK130" s="89">
        <f t="shared" ref="DK130" si="439">SUMIF($D$5:$D$125,"=zus",DK5:DK125)+SUMIF($D$5:$D$125,"=zum",DK5:DK125)+SUMIF($D$5:$D$125,"=zur",DK5:DK125)+SUMIF($D$5:$D$125,"=zuk",DK5:DK125)</f>
        <v>99170</v>
      </c>
      <c r="DL130" s="90">
        <f t="shared" ref="DL130" si="440">SUM(DL131:DL133)</f>
        <v>1</v>
      </c>
      <c r="DM130" s="289" t="s">
        <v>897</v>
      </c>
      <c r="DQ130" s="205"/>
      <c r="DR130" s="383" t="s">
        <v>545</v>
      </c>
      <c r="DV130" s="89">
        <f t="shared" ref="DV130" si="441">SUMIF($D$5:$D$125,"=zus",DV5:DV125)+SUMIF($D$5:$D$125,"=zum",DV5:DV125)+SUMIF($D$5:$D$125,"=zur",DV5:DV125)+SUMIF($D$5:$D$125,"=zuk",DV5:DV125)</f>
        <v>6351000</v>
      </c>
      <c r="DW130" s="90">
        <f t="shared" ref="DW130" si="442">SUM(DW131:DW133)</f>
        <v>1</v>
      </c>
      <c r="DX130" s="89">
        <f t="shared" ref="DX130" si="443">SUMIF($D$5:$D$125,"=zus",DX5:DX125)+SUMIF($D$5:$D$125,"=zum",DX5:DX125)+SUMIF($D$5:$D$125,"=zur",DX5:DX125)+SUMIF($D$5:$D$125,"=zuk",DX5:DX125)</f>
        <v>99170</v>
      </c>
      <c r="DY130" s="90">
        <f t="shared" ref="DY130" si="444">SUM(DY131:DY133)</f>
        <v>1</v>
      </c>
      <c r="DZ130" s="289" t="s">
        <v>897</v>
      </c>
      <c r="ED130" s="205"/>
    </row>
    <row r="131" spans="1:134" x14ac:dyDescent="0.35">
      <c r="A131" s="560" t="s">
        <v>169</v>
      </c>
      <c r="Q131" s="225">
        <v>4</v>
      </c>
      <c r="R131" s="381"/>
      <c r="V131" s="89">
        <f>SUMIF($D$5:$D$125,"=zus",V5:V125)*HLOOKUP(X128,Verteil_sw,39,FALSE)+SUMIF($D$5:$D$125,"=zum",V5:V125)*HLOOKUP(X128,Verteil_sw,40,FALSE)+SUMIF($D$5:$D$125,"=zur",V5:V125)*HLOOKUP(X128,Verteil_sw,41,FALSE)+SUMIF($D$5:$D$125,"=zuk",V5:V125)*HLOOKUP(X128,Verteil_sw,42,FALSE)</f>
        <v>4166262.5</v>
      </c>
      <c r="W131" s="90">
        <f>IF(V130&lt;&gt;0,V131/V130,0)</f>
        <v>0.6560010234608723</v>
      </c>
      <c r="X131" s="89">
        <f>SUMIF($D$5:$D$125,"=zus",X5:X125)*HLOOKUP(X128,Verteil_sw,39,FALSE)+SUMIF($D$5:$D$125,"=zum",X5:X125)*HLOOKUP(X128,Verteil_sw,40,FALSE)+SUMIF($D$5:$D$125,"=zur",X5:X125)*HLOOKUP(X128,Verteil_sw,41,FALSE)+SUMIF($D$5:$D$125,"=zuk",X5:X125)*HLOOKUP(X128,Verteil_sw,42,FALSE)</f>
        <v>131879.603</v>
      </c>
      <c r="Y131" s="90">
        <f>IF(X130&lt;&gt;0,X131/X130,0)</f>
        <v>0.71178542206390327</v>
      </c>
      <c r="Z131" s="73" t="s">
        <v>169</v>
      </c>
      <c r="AD131" s="205"/>
      <c r="AE131" s="381"/>
      <c r="AI131" s="89">
        <f>SUMIF($D$5:$D$125,"=zus",AI5:AI125)*HLOOKUP(AK128,Verteil_sw,39,FALSE)+SUMIF($D$5:$D$125,"=zum",AI5:AI125)*HLOOKUP(AK128,Verteil_sw,40,FALSE)+SUMIF($D$5:$D$125,"=zur",AI5:AI125)*HLOOKUP(AK128,Verteil_sw,41,FALSE)+SUMIF($D$5:$D$125,"=zuk",AI5:AI125)*HLOOKUP(AK128,Verteil_sw,42,FALSE)</f>
        <v>4166262.5</v>
      </c>
      <c r="AJ131" s="90">
        <f t="shared" ref="AJ131" si="445">IF(AI130&lt;&gt;0,AI131/AI130,0)</f>
        <v>0.6560010234608723</v>
      </c>
      <c r="AK131" s="89">
        <f>SUMIF($D$5:$D$125,"=zus",AK5:AK125)*HLOOKUP(AK128,Verteil_sw,39,FALSE)+SUMIF($D$5:$D$125,"=zum",AK5:AK125)*HLOOKUP(AK128,Verteil_sw,40,FALSE)+SUMIF($D$5:$D$125,"=zur",AK5:AK125)*HLOOKUP(AK128,Verteil_sw,41,FALSE)+SUMIF($D$5:$D$125,"=zuk",AK5:AK125)*HLOOKUP(AK128,Verteil_sw,42,FALSE)</f>
        <v>130879.603</v>
      </c>
      <c r="AL131" s="90">
        <f t="shared" ref="AL131" si="446">IF(AK130&lt;&gt;0,AK131/AK130,0)</f>
        <v>0.7140964807944129</v>
      </c>
      <c r="AM131" s="571" t="s">
        <v>169</v>
      </c>
      <c r="AQ131" s="205"/>
      <c r="AR131" s="381"/>
      <c r="AV131" s="89">
        <f>SUMIF($D$5:$D$125,"=zus",AV5:AV125)*HLOOKUP(AX128,Verteil_sw,39,FALSE)+SUMIF($D$5:$D$125,"=zum",AV5:AV125)*HLOOKUP(AX128,Verteil_sw,40,FALSE)+SUMIF($D$5:$D$125,"=zur",AV5:AV125)*HLOOKUP(AX128,Verteil_sw,41,FALSE)+SUMIF($D$5:$D$125,"=zuk",AV5:AV125)*HLOOKUP(AX128,Verteil_sw,42,FALSE)</f>
        <v>4166262.5</v>
      </c>
      <c r="AW131" s="90">
        <f t="shared" ref="AW131" si="447">IF(AV130&lt;&gt;0,AV131/AV130,0)</f>
        <v>0.6560010234608723</v>
      </c>
      <c r="AX131" s="89">
        <f>SUMIF($D$5:$D$125,"=zus",AX5:AX125)*HLOOKUP(AX128,Verteil_sw,39,FALSE)+SUMIF($D$5:$D$125,"=zum",AX5:AX125)*HLOOKUP(AX128,Verteil_sw,40,FALSE)+SUMIF($D$5:$D$125,"=zur",AX5:AX125)*HLOOKUP(AX128,Verteil_sw,41,FALSE)+SUMIF($D$5:$D$125,"=zuk",AX5:AX125)*HLOOKUP(AX128,Verteil_sw,42,FALSE)</f>
        <v>129879.603</v>
      </c>
      <c r="AY131" s="90">
        <f t="shared" ref="AY131" si="448">IF(AX130&lt;&gt;0,AX131/AX130,0)</f>
        <v>0.71645853375992941</v>
      </c>
      <c r="AZ131" s="571" t="s">
        <v>169</v>
      </c>
      <c r="BD131" s="205"/>
      <c r="BE131" s="381"/>
      <c r="BI131" s="89">
        <f>SUMIF($D$5:$D$125,"=zus",BI5:BI125)*HLOOKUP(BK128,Verteil_sw,39,FALSE)+SUMIF($D$5:$D$125,"=zum",BI5:BI125)*HLOOKUP(BK128,Verteil_sw,40,FALSE)+SUMIF($D$5:$D$125,"=zur",BI5:BI125)*HLOOKUP(BK128,Verteil_sw,41,FALSE)+SUMIF($D$5:$D$125,"=zuk",BI5:BI125)*HLOOKUP(BK128,Verteil_sw,42,FALSE)</f>
        <v>4166262.5</v>
      </c>
      <c r="BJ131" s="90">
        <f t="shared" ref="BJ131" si="449">IF(BI130&lt;&gt;0,BI131/BI130,0)</f>
        <v>0.6560010234608723</v>
      </c>
      <c r="BK131" s="89">
        <f>SUMIF($D$5:$D$125,"=zus",BK5:BK125)*HLOOKUP(BK128,Verteil_sw,39,FALSE)+SUMIF($D$5:$D$125,"=zum",BK5:BK125)*HLOOKUP(BK128,Verteil_sw,40,FALSE)+SUMIF($D$5:$D$125,"=zur",BK5:BK125)*HLOOKUP(BK128,Verteil_sw,41,FALSE)+SUMIF($D$5:$D$125,"=zuk",BK5:BK125)*HLOOKUP(BK128,Verteil_sw,42,FALSE)</f>
        <v>129879.603</v>
      </c>
      <c r="BL131" s="90">
        <f t="shared" ref="BL131" si="450">IF(BK130&lt;&gt;0,BK131/BK130,0)</f>
        <v>0.71645853375992941</v>
      </c>
      <c r="BM131" s="571" t="s">
        <v>169</v>
      </c>
      <c r="BQ131" s="205"/>
      <c r="BR131" s="381"/>
      <c r="BV131" s="89">
        <f>SUMIF($D$5:$D$125,"=zus",BV5:BV125)*HLOOKUP(BX128,Verteil_sw,39,FALSE)+SUMIF($D$5:$D$125,"=zum",BV5:BV125)*HLOOKUP(BX128,Verteil_sw,40,FALSE)+SUMIF($D$5:$D$125,"=zur",BV5:BV125)*HLOOKUP(BX128,Verteil_sw,41,FALSE)+SUMIF($D$5:$D$125,"=zuk",BV5:BV125)*HLOOKUP(BX128,Verteil_sw,42,FALSE)</f>
        <v>4166262.5</v>
      </c>
      <c r="BW131" s="90">
        <f t="shared" ref="BW131" si="451">IF(BV130&lt;&gt;0,BV131/BV130,0)</f>
        <v>0.6560010234608723</v>
      </c>
      <c r="BX131" s="89">
        <f>SUMIF($D$5:$D$125,"=zus",BX5:BX125)*HLOOKUP(BX128,Verteil_sw,39,FALSE)+SUMIF($D$5:$D$125,"=zum",BX5:BX125)*HLOOKUP(BX128,Verteil_sw,40,FALSE)+SUMIF($D$5:$D$125,"=zur",BX5:BX125)*HLOOKUP(BX128,Verteil_sw,41,FALSE)+SUMIF($D$5:$D$125,"=zuk",BX5:BX125)*HLOOKUP(BX128,Verteil_sw,42,FALSE)</f>
        <v>103948.005875</v>
      </c>
      <c r="BY131" s="90">
        <f t="shared" ref="BY131" si="452">IF(BX130&lt;&gt;0,BX131/BX130,0)</f>
        <v>0.67823509256993719</v>
      </c>
      <c r="BZ131" s="571" t="s">
        <v>169</v>
      </c>
      <c r="CD131" s="205"/>
      <c r="CE131" s="381"/>
      <c r="CI131" s="89">
        <f>SUMIF($D$5:$D$125,"=zus",CI5:CI125)*HLOOKUP(CK128,Verteil_sw,39,FALSE)+SUMIF($D$5:$D$125,"=zum",CI5:CI125)*HLOOKUP(CK128,Verteil_sw,40,FALSE)+SUMIF($D$5:$D$125,"=zur",CI5:CI125)*HLOOKUP(CK128,Verteil_sw,41,FALSE)+SUMIF($D$5:$D$125,"=zuk",CI5:CI125)*HLOOKUP(CK128,Verteil_sw,42,FALSE)</f>
        <v>4166262.5</v>
      </c>
      <c r="CJ131" s="90">
        <f t="shared" ref="CJ131" si="453">IF(CI130&lt;&gt;0,CI131/CI130,0)</f>
        <v>0.6560010234608723</v>
      </c>
      <c r="CK131" s="89">
        <f>SUMIF($D$5:$D$125,"=zus",CK5:CK125)*HLOOKUP(CK128,Verteil_sw,39,FALSE)+SUMIF($D$5:$D$125,"=zum",CK5:CK125)*HLOOKUP(CK128,Verteil_sw,40,FALSE)+SUMIF($D$5:$D$125,"=zur",CK5:CK125)*HLOOKUP(CK128,Verteil_sw,41,FALSE)+SUMIF($D$5:$D$125,"=zuk",CK5:CK125)*HLOOKUP(CK128,Verteil_sw,42,FALSE)</f>
        <v>53882.692500000005</v>
      </c>
      <c r="CL131" s="90">
        <f t="shared" ref="CL131" si="454">IF(CK130&lt;&gt;0,CK131/CK130,0)</f>
        <v>0.54333661893717866</v>
      </c>
      <c r="CM131" s="571" t="s">
        <v>169</v>
      </c>
      <c r="CQ131" s="205"/>
      <c r="CR131" s="381"/>
      <c r="CV131" s="89">
        <f>SUMIF($D$5:$D$125,"=zus",CV5:CV125)*HLOOKUP(CX128,Verteil_sw,39,FALSE)+SUMIF($D$5:$D$125,"=zum",CV5:CV125)*HLOOKUP(CX128,Verteil_sw,40,FALSE)+SUMIF($D$5:$D$125,"=zur",CV5:CV125)*HLOOKUP(CX128,Verteil_sw,41,FALSE)+SUMIF($D$5:$D$125,"=zuk",CV5:CV125)*HLOOKUP(CX128,Verteil_sw,42,FALSE)</f>
        <v>4166262.5</v>
      </c>
      <c r="CW131" s="90">
        <f t="shared" ref="CW131" si="455">IF(CV130&lt;&gt;0,CV131/CV130,0)</f>
        <v>0.6560010234608723</v>
      </c>
      <c r="CX131" s="89">
        <f>SUMIF($D$5:$D$125,"=zus",CX5:CX125)*HLOOKUP(CX128,Verteil_sw,39,FALSE)+SUMIF($D$5:$D$125,"=zum",CX5:CX125)*HLOOKUP(CX128,Verteil_sw,40,FALSE)+SUMIF($D$5:$D$125,"=zur",CX5:CX125)*HLOOKUP(CX128,Verteil_sw,41,FALSE)+SUMIF($D$5:$D$125,"=zuk",CX5:CX125)*HLOOKUP(CX128,Verteil_sw,42,FALSE)</f>
        <v>53882.692500000005</v>
      </c>
      <c r="CY131" s="90">
        <f t="shared" ref="CY131" si="456">IF(CX130&lt;&gt;0,CX131/CX130,0)</f>
        <v>0.54333661893717866</v>
      </c>
      <c r="CZ131" s="571" t="s">
        <v>169</v>
      </c>
      <c r="DD131" s="205"/>
      <c r="DE131" s="381"/>
      <c r="DI131" s="89">
        <f>SUMIF($D$5:$D$125,"=zus",DI5:DI125)*HLOOKUP(DK128,Verteil_sw,39,FALSE)+SUMIF($D$5:$D$125,"=zum",DI5:DI125)*HLOOKUP(DK128,Verteil_sw,40,FALSE)+SUMIF($D$5:$D$125,"=zur",DI5:DI125)*HLOOKUP(DK128,Verteil_sw,41,FALSE)+SUMIF($D$5:$D$125,"=zuk",DI5:DI125)*HLOOKUP(DK128,Verteil_sw,42,FALSE)</f>
        <v>4166262.5</v>
      </c>
      <c r="DJ131" s="90">
        <f t="shared" ref="DJ131" si="457">IF(DI130&lt;&gt;0,DI131/DI130,0)</f>
        <v>0.6560010234608723</v>
      </c>
      <c r="DK131" s="89">
        <f>SUMIF($D$5:$D$125,"=zus",DK5:DK125)*HLOOKUP(DK128,Verteil_sw,39,FALSE)+SUMIF($D$5:$D$125,"=zum",DK5:DK125)*HLOOKUP(DK128,Verteil_sw,40,FALSE)+SUMIF($D$5:$D$125,"=zur",DK5:DK125)*HLOOKUP(DK128,Verteil_sw,41,FALSE)+SUMIF($D$5:$D$125,"=zuk",DK5:DK125)*HLOOKUP(DK128,Verteil_sw,42,FALSE)</f>
        <v>53882.692500000005</v>
      </c>
      <c r="DL131" s="90">
        <f t="shared" ref="DL131" si="458">IF(DK130&lt;&gt;0,DK131/DK130,0)</f>
        <v>0.54333661893717866</v>
      </c>
      <c r="DM131" s="571" t="s">
        <v>169</v>
      </c>
      <c r="DQ131" s="205"/>
      <c r="DR131" s="381"/>
      <c r="DV131" s="89">
        <f>SUMIF($D$5:$D$125,"=zus",DV5:DV125)*HLOOKUP(DX128,Verteil_sw,39,FALSE)+SUMIF($D$5:$D$125,"=zum",DV5:DV125)*HLOOKUP(DX128,Verteil_sw,40,FALSE)+SUMIF($D$5:$D$125,"=zur",DV5:DV125)*HLOOKUP(DX128,Verteil_sw,41,FALSE)+SUMIF($D$5:$D$125,"=zuk",DV5:DV125)*HLOOKUP(DX128,Verteil_sw,42,FALSE)</f>
        <v>4166262.5</v>
      </c>
      <c r="DW131" s="90">
        <f t="shared" ref="DW131" si="459">IF(DV130&lt;&gt;0,DV131/DV130,0)</f>
        <v>0.6560010234608723</v>
      </c>
      <c r="DX131" s="89">
        <f>SUMIF($D$5:$D$125,"=zus",DX5:DX125)*HLOOKUP(DX128,Verteil_sw,39,FALSE)+SUMIF($D$5:$D$125,"=zum",DX5:DX125)*HLOOKUP(DX128,Verteil_sw,40,FALSE)+SUMIF($D$5:$D$125,"=zur",DX5:DX125)*HLOOKUP(DX128,Verteil_sw,41,FALSE)+SUMIF($D$5:$D$125,"=zuk",DX5:DX125)*HLOOKUP(DX128,Verteil_sw,42,FALSE)</f>
        <v>53882.692500000005</v>
      </c>
      <c r="DY131" s="90">
        <f t="shared" ref="DY131" si="460">IF(DX130&lt;&gt;0,DX131/DX130,0)</f>
        <v>0.54333661893717866</v>
      </c>
      <c r="DZ131" s="571" t="s">
        <v>169</v>
      </c>
      <c r="ED131" s="205"/>
    </row>
    <row r="132" spans="1:134" x14ac:dyDescent="0.35">
      <c r="A132" s="560" t="s">
        <v>170</v>
      </c>
      <c r="Q132" s="225">
        <v>5</v>
      </c>
      <c r="R132" s="381"/>
      <c r="V132" s="89">
        <f>SUMIF($D$5:$D$125,"=zus",V5:V125)*HLOOKUP(X128,Verteil_rwgr,38,FALSE)+SUMIF($D$5:$D$125,"=zum",V5:V125)*HLOOKUP(X128,Verteil_rwgr,39,FALSE)+SUMIF($D$5:$D$125,"=zur",V5:V125)*HLOOKUP(X128,Verteil_rwgr,40,FALSE)+SUMIF($D$5:$D$125,"=zuk",V5:V125)*HLOOKUP(X128,Verteil_rwgr,41,FALSE)</f>
        <v>2184737.5</v>
      </c>
      <c r="W132" s="90">
        <f>IF(V130&lt;&gt;0,V132/V130,0)</f>
        <v>0.3439989765391277</v>
      </c>
      <c r="X132" s="89">
        <f>SUMIF($D$5:$D$125,"=zus",X5:X125)*HLOOKUP(X128,Verteil_rwgr,38,FALSE)+SUMIF($D$5:$D$125,"=zum",X5:X125)*HLOOKUP(X128,Verteil_rwgr,39,FALSE)+SUMIF($D$5:$D$125,"=zur",X5:X125)*HLOOKUP(X128,Verteil_rwgr,40,FALSE)+SUMIF($D$5:$D$125,"=zuk",X5:X125)*HLOOKUP(X128,Verteil_rwgr,41,FALSE)</f>
        <v>53400.396999999997</v>
      </c>
      <c r="Y132" s="90">
        <f>IF(X130&lt;&gt;0,X132/X130,0)</f>
        <v>0.28821457793609673</v>
      </c>
      <c r="Z132" s="73" t="s">
        <v>170</v>
      </c>
      <c r="AD132" s="205"/>
      <c r="AE132" s="381"/>
      <c r="AI132" s="89">
        <f>SUMIF($D$5:$D$125,"=zus",AI5:AI125)*HLOOKUP(AK128,Verteil_rwgr,38,FALSE)+SUMIF($D$5:$D$125,"=zum",AI5:AI125)*HLOOKUP(AK128,Verteil_rwgr,39,FALSE)+SUMIF($D$5:$D$125,"=zur",AI5:AI125)*HLOOKUP(AK128,Verteil_rwgr,40,FALSE)+SUMIF($D$5:$D$125,"=zuk",AI5:AI125)*HLOOKUP(AK128,Verteil_rwgr,41,FALSE)</f>
        <v>2184737.5</v>
      </c>
      <c r="AJ132" s="90">
        <f t="shared" ref="AJ132" si="461">IF(AI130&lt;&gt;0,AI132/AI130,0)</f>
        <v>0.3439989765391277</v>
      </c>
      <c r="AK132" s="89">
        <f>SUMIF($D$5:$D$125,"=zus",AK5:AK125)*HLOOKUP(AK128,Verteil_rwgr,38,FALSE)+SUMIF($D$5:$D$125,"=zum",AK5:AK125)*HLOOKUP(AK128,Verteil_rwgr,39,FALSE)+SUMIF($D$5:$D$125,"=zur",AK5:AK125)*HLOOKUP(AK128,Verteil_rwgr,40,FALSE)+SUMIF($D$5:$D$125,"=zuk",AK5:AK125)*HLOOKUP(AK128,Verteil_rwgr,41,FALSE)</f>
        <v>52400.396999999997</v>
      </c>
      <c r="AL132" s="90">
        <f t="shared" ref="AL132" si="462">IF(AK130&lt;&gt;0,AK132/AK130,0)</f>
        <v>0.28590351920558704</v>
      </c>
      <c r="AM132" s="571" t="s">
        <v>170</v>
      </c>
      <c r="AQ132" s="205"/>
      <c r="AR132" s="381"/>
      <c r="AV132" s="89">
        <f>SUMIF($D$5:$D$125,"=zus",AV5:AV125)*HLOOKUP(AX128,Verteil_rwgr,38,FALSE)+SUMIF($D$5:$D$125,"=zum",AV5:AV125)*HLOOKUP(AX128,Verteil_rwgr,39,FALSE)+SUMIF($D$5:$D$125,"=zur",AV5:AV125)*HLOOKUP(AX128,Verteil_rwgr,40,FALSE)+SUMIF($D$5:$D$125,"=zuk",AV5:AV125)*HLOOKUP(AX128,Verteil_rwgr,41,FALSE)</f>
        <v>2184737.5</v>
      </c>
      <c r="AW132" s="90">
        <f t="shared" ref="AW132" si="463">IF(AV130&lt;&gt;0,AV132/AV130,0)</f>
        <v>0.3439989765391277</v>
      </c>
      <c r="AX132" s="89">
        <f>SUMIF($D$5:$D$125,"=zus",AX5:AX125)*HLOOKUP(AX128,Verteil_rwgr,38,FALSE)+SUMIF($D$5:$D$125,"=zum",AX5:AX125)*HLOOKUP(AX128,Verteil_rwgr,39,FALSE)+SUMIF($D$5:$D$125,"=zur",AX5:AX125)*HLOOKUP(AX128,Verteil_rwgr,40,FALSE)+SUMIF($D$5:$D$125,"=zuk",AX5:AX125)*HLOOKUP(AX128,Verteil_rwgr,41,FALSE)</f>
        <v>51400.396999999997</v>
      </c>
      <c r="AY132" s="90">
        <f t="shared" ref="AY132" si="464">IF(AX130&lt;&gt;0,AX132/AX130,0)</f>
        <v>0.28354146624007059</v>
      </c>
      <c r="AZ132" s="571" t="s">
        <v>170</v>
      </c>
      <c r="BD132" s="205"/>
      <c r="BE132" s="381"/>
      <c r="BI132" s="89">
        <f>SUMIF($D$5:$D$125,"=zus",BI5:BI125)*HLOOKUP(BK128,Verteil_rwgr,38,FALSE)+SUMIF($D$5:$D$125,"=zum",BI5:BI125)*HLOOKUP(BK128,Verteil_rwgr,39,FALSE)+SUMIF($D$5:$D$125,"=zur",BI5:BI125)*HLOOKUP(BK128,Verteil_rwgr,40,FALSE)+SUMIF($D$5:$D$125,"=zuk",BI5:BI125)*HLOOKUP(BK128,Verteil_rwgr,41,FALSE)</f>
        <v>2184737.5</v>
      </c>
      <c r="BJ132" s="90">
        <f t="shared" ref="BJ132" si="465">IF(BI130&lt;&gt;0,BI132/BI130,0)</f>
        <v>0.3439989765391277</v>
      </c>
      <c r="BK132" s="89">
        <f>SUMIF($D$5:$D$125,"=zus",BK5:BK125)*HLOOKUP(BK128,Verteil_rwgr,38,FALSE)+SUMIF($D$5:$D$125,"=zum",BK5:BK125)*HLOOKUP(BK128,Verteil_rwgr,39,FALSE)+SUMIF($D$5:$D$125,"=zur",BK5:BK125)*HLOOKUP(BK128,Verteil_rwgr,40,FALSE)+SUMIF($D$5:$D$125,"=zuk",BK5:BK125)*HLOOKUP(BK128,Verteil_rwgr,41,FALSE)</f>
        <v>51400.396999999997</v>
      </c>
      <c r="BL132" s="90">
        <f t="shared" ref="BL132" si="466">IF(BK130&lt;&gt;0,BK132/BK130,0)</f>
        <v>0.28354146624007059</v>
      </c>
      <c r="BM132" s="571" t="s">
        <v>170</v>
      </c>
      <c r="BQ132" s="205"/>
      <c r="BR132" s="381"/>
      <c r="BV132" s="89">
        <f>SUMIF($D$5:$D$125,"=zus",BV5:BV125)*HLOOKUP(BX128,Verteil_rwgr,38,FALSE)+SUMIF($D$5:$D$125,"=zum",BV5:BV125)*HLOOKUP(BX128,Verteil_rwgr,39,FALSE)+SUMIF($D$5:$D$125,"=zur",BV5:BV125)*HLOOKUP(BX128,Verteil_rwgr,40,FALSE)+SUMIF($D$5:$D$125,"=zuk",BV5:BV125)*HLOOKUP(BX128,Verteil_rwgr,41,FALSE)</f>
        <v>2184737.5</v>
      </c>
      <c r="BW132" s="90">
        <f t="shared" ref="BW132" si="467">IF(BV130&lt;&gt;0,BV132/BV130,0)</f>
        <v>0.3439989765391277</v>
      </c>
      <c r="BX132" s="89">
        <f>SUMIF($D$5:$D$125,"=zus",BX5:BX125)*HLOOKUP(BX128,Verteil_rwgr,38,FALSE)+SUMIF($D$5:$D$125,"=zum",BX5:BX125)*HLOOKUP(BX128,Verteil_rwgr,39,FALSE)+SUMIF($D$5:$D$125,"=zur",BX5:BX125)*HLOOKUP(BX128,Verteil_rwgr,40,FALSE)+SUMIF($D$5:$D$125,"=zuk",BX5:BX125)*HLOOKUP(BX128,Verteil_rwgr,41,FALSE)</f>
        <v>49314.494124999997</v>
      </c>
      <c r="BY132" s="90">
        <f t="shared" ref="BY132" si="468">IF(BX130&lt;&gt;0,BX132/BX130,0)</f>
        <v>0.32176490743006281</v>
      </c>
      <c r="BZ132" s="571" t="s">
        <v>170</v>
      </c>
      <c r="CD132" s="205"/>
      <c r="CE132" s="381"/>
      <c r="CI132" s="89">
        <f>SUMIF($D$5:$D$125,"=zus",CI5:CI125)*HLOOKUP(CK128,Verteil_rwgr,38,FALSE)+SUMIF($D$5:$D$125,"=zum",CI5:CI125)*HLOOKUP(CK128,Verteil_rwgr,39,FALSE)+SUMIF($D$5:$D$125,"=zur",CI5:CI125)*HLOOKUP(CK128,Verteil_rwgr,40,FALSE)+SUMIF($D$5:$D$125,"=zuk",CI5:CI125)*HLOOKUP(CK128,Verteil_rwgr,41,FALSE)</f>
        <v>2184737.5</v>
      </c>
      <c r="CJ132" s="90">
        <f t="shared" ref="CJ132" si="469">IF(CI130&lt;&gt;0,CI132/CI130,0)</f>
        <v>0.3439989765391277</v>
      </c>
      <c r="CK132" s="89">
        <f>SUMIF($D$5:$D$125,"=zus",CK5:CK125)*HLOOKUP(CK128,Verteil_rwgr,38,FALSE)+SUMIF($D$5:$D$125,"=zum",CK5:CK125)*HLOOKUP(CK128,Verteil_rwgr,39,FALSE)+SUMIF($D$5:$D$125,"=zur",CK5:CK125)*HLOOKUP(CK128,Verteil_rwgr,40,FALSE)+SUMIF($D$5:$D$125,"=zuk",CK5:CK125)*HLOOKUP(CK128,Verteil_rwgr,41,FALSE)</f>
        <v>45287.307500000003</v>
      </c>
      <c r="CL132" s="90">
        <f t="shared" ref="CL132" si="470">IF(CK130&lt;&gt;0,CK132/CK130,0)</f>
        <v>0.45666338106282145</v>
      </c>
      <c r="CM132" s="571" t="s">
        <v>170</v>
      </c>
      <c r="CQ132" s="205"/>
      <c r="CR132" s="381"/>
      <c r="CV132" s="89">
        <f>SUMIF($D$5:$D$125,"=zus",CV5:CV125)*HLOOKUP(CX128,Verteil_rwgr,38,FALSE)+SUMIF($D$5:$D$125,"=zum",CV5:CV125)*HLOOKUP(CX128,Verteil_rwgr,39,FALSE)+SUMIF($D$5:$D$125,"=zur",CV5:CV125)*HLOOKUP(CX128,Verteil_rwgr,40,FALSE)+SUMIF($D$5:$D$125,"=zuk",CV5:CV125)*HLOOKUP(CX128,Verteil_rwgr,41,FALSE)</f>
        <v>2184737.5</v>
      </c>
      <c r="CW132" s="90">
        <f t="shared" ref="CW132" si="471">IF(CV130&lt;&gt;0,CV132/CV130,0)</f>
        <v>0.3439989765391277</v>
      </c>
      <c r="CX132" s="89">
        <f>SUMIF($D$5:$D$125,"=zus",CX5:CX125)*HLOOKUP(CX128,Verteil_rwgr,38,FALSE)+SUMIF($D$5:$D$125,"=zum",CX5:CX125)*HLOOKUP(CX128,Verteil_rwgr,39,FALSE)+SUMIF($D$5:$D$125,"=zur",CX5:CX125)*HLOOKUP(CX128,Verteil_rwgr,40,FALSE)+SUMIF($D$5:$D$125,"=zuk",CX5:CX125)*HLOOKUP(CX128,Verteil_rwgr,41,FALSE)</f>
        <v>45287.307500000003</v>
      </c>
      <c r="CY132" s="90">
        <f t="shared" ref="CY132" si="472">IF(CX130&lt;&gt;0,CX132/CX130,0)</f>
        <v>0.45666338106282145</v>
      </c>
      <c r="CZ132" s="571" t="s">
        <v>170</v>
      </c>
      <c r="DD132" s="205"/>
      <c r="DE132" s="381"/>
      <c r="DI132" s="89">
        <f>SUMIF($D$5:$D$125,"=zus",DI5:DI125)*HLOOKUP(DK128,Verteil_rwgr,38,FALSE)+SUMIF($D$5:$D$125,"=zum",DI5:DI125)*HLOOKUP(DK128,Verteil_rwgr,39,FALSE)+SUMIF($D$5:$D$125,"=zur",DI5:DI125)*HLOOKUP(DK128,Verteil_rwgr,40,FALSE)+SUMIF($D$5:$D$125,"=zuk",DI5:DI125)*HLOOKUP(DK128,Verteil_rwgr,41,FALSE)</f>
        <v>2184737.5</v>
      </c>
      <c r="DJ132" s="90">
        <f t="shared" ref="DJ132" si="473">IF(DI130&lt;&gt;0,DI132/DI130,0)</f>
        <v>0.3439989765391277</v>
      </c>
      <c r="DK132" s="89">
        <f>SUMIF($D$5:$D$125,"=zus",DK5:DK125)*HLOOKUP(DK128,Verteil_rwgr,38,FALSE)+SUMIF($D$5:$D$125,"=zum",DK5:DK125)*HLOOKUP(DK128,Verteil_rwgr,39,FALSE)+SUMIF($D$5:$D$125,"=zur",DK5:DK125)*HLOOKUP(DK128,Verteil_rwgr,40,FALSE)+SUMIF($D$5:$D$125,"=zuk",DK5:DK125)*HLOOKUP(DK128,Verteil_rwgr,41,FALSE)</f>
        <v>45287.307500000003</v>
      </c>
      <c r="DL132" s="90">
        <f t="shared" ref="DL132" si="474">IF(DK130&lt;&gt;0,DK132/DK130,0)</f>
        <v>0.45666338106282145</v>
      </c>
      <c r="DM132" s="571" t="s">
        <v>170</v>
      </c>
      <c r="DQ132" s="205"/>
      <c r="DR132" s="381"/>
      <c r="DV132" s="89">
        <f>SUMIF($D$5:$D$125,"=zus",DV5:DV125)*HLOOKUP(DX128,Verteil_rwgr,38,FALSE)+SUMIF($D$5:$D$125,"=zum",DV5:DV125)*HLOOKUP(DX128,Verteil_rwgr,39,FALSE)+SUMIF($D$5:$D$125,"=zur",DV5:DV125)*HLOOKUP(DX128,Verteil_rwgr,40,FALSE)+SUMIF($D$5:$D$125,"=zuk",DV5:DV125)*HLOOKUP(DX128,Verteil_rwgr,41,FALSE)</f>
        <v>2184737.5</v>
      </c>
      <c r="DW132" s="90">
        <f t="shared" ref="DW132" si="475">IF(DV130&lt;&gt;0,DV132/DV130,0)</f>
        <v>0.3439989765391277</v>
      </c>
      <c r="DX132" s="89">
        <f>SUMIF($D$5:$D$125,"=zus",DX5:DX125)*HLOOKUP(DX128,Verteil_rwgr,38,FALSE)+SUMIF($D$5:$D$125,"=zum",DX5:DX125)*HLOOKUP(DX128,Verteil_rwgr,39,FALSE)+SUMIF($D$5:$D$125,"=zur",DX5:DX125)*HLOOKUP(DX128,Verteil_rwgr,40,FALSE)+SUMIF($D$5:$D$125,"=zuk",DX5:DX125)*HLOOKUP(DX128,Verteil_rwgr,41,FALSE)</f>
        <v>45287.307500000003</v>
      </c>
      <c r="DY132" s="90">
        <f t="shared" ref="DY132" si="476">IF(DX130&lt;&gt;0,DX132/DX130,0)</f>
        <v>0.45666338106282145</v>
      </c>
      <c r="DZ132" s="571" t="s">
        <v>170</v>
      </c>
      <c r="ED132" s="205"/>
    </row>
    <row r="133" spans="1:134" x14ac:dyDescent="0.35">
      <c r="A133" s="560" t="s">
        <v>702</v>
      </c>
      <c r="Q133" s="225">
        <v>6</v>
      </c>
      <c r="R133" s="381"/>
      <c r="V133" s="89">
        <f>SUMIF($D$5:$D$125,"=zus",$X$5:$X$125)*HLOOKUP($X$128,Verteil_rwst,37,FALSE)+SUMIF($D$5:$D$125,"=zum",$X$5:$X$125)*HLOOKUP($X$128,Verteil_rwst,38,FALSE)+SUMIF($D$5:$D$125,"=zur",$X$5:$X$125)*HLOOKUP($X$128,Verteil_rwst,39,FALSE)</f>
        <v>0</v>
      </c>
      <c r="W133" s="90">
        <f>IF(V130&lt;&gt;0,V133/V130,0)</f>
        <v>0</v>
      </c>
      <c r="X133" s="89">
        <f>SUMIF($D$5:$D$125,"=zus",X5:X125)*HLOOKUP(X128,Verteil_rwst,37,FALSE)+SUMIF($D$5:$D$125,"=zum",X5:X125)*HLOOKUP(X128,Verteil_rwst,38,FALSE)+SUMIF($D$5:$D$125,"=zur",X5:X125)*HLOOKUP(X128,Verteil_rwst,39,FALSE)</f>
        <v>0</v>
      </c>
      <c r="Y133" s="90">
        <f>IF(X130&lt;&gt;0,X133/X130,0)</f>
        <v>0</v>
      </c>
      <c r="Z133" s="73" t="s">
        <v>702</v>
      </c>
      <c r="AD133" s="205"/>
      <c r="AE133" s="381"/>
      <c r="AI133" s="89">
        <f>SUMIF($D$5:$D$125,"=zus",$X$5:$X$125)*HLOOKUP($X$128,Verteil_rwst,37,FALSE)+SUMIF($D$5:$D$125,"=zum",$X$5:$X$125)*HLOOKUP($X$128,Verteil_rwst,38,FALSE)+SUMIF($D$5:$D$125,"=zur",$X$5:$X$125)*HLOOKUP($X$128,Verteil_rwst,39,FALSE)</f>
        <v>0</v>
      </c>
      <c r="AJ133" s="90">
        <f t="shared" ref="AJ133" si="477">IF(AI130&lt;&gt;0,AI133/AI130,0)</f>
        <v>0</v>
      </c>
      <c r="AK133" s="89">
        <f>SUMIF($D$5:$D$125,"=zus",AK5:AK125)*HLOOKUP(AK128,Verteil_rwst,37,FALSE)+SUMIF($D$5:$D$125,"=zum",AK5:AK125)*HLOOKUP(AK128,Verteil_rwst,38,FALSE)+SUMIF($D$5:$D$125,"=zur",AK5:AK125)*HLOOKUP(AK128,Verteil_rwst,39,FALSE)</f>
        <v>0</v>
      </c>
      <c r="AL133" s="90">
        <f t="shared" ref="AL133" si="478">IF(AK130&lt;&gt;0,AK133/AK130,0)</f>
        <v>0</v>
      </c>
      <c r="AM133" s="571" t="s">
        <v>702</v>
      </c>
      <c r="AQ133" s="205"/>
      <c r="AR133" s="381"/>
      <c r="AV133" s="89">
        <f>SUMIF($D$5:$D$125,"=zus",$X$5:$X$125)*HLOOKUP($X$128,Verteil_rwst,37,FALSE)+SUMIF($D$5:$D$125,"=zum",$X$5:$X$125)*HLOOKUP($X$128,Verteil_rwst,38,FALSE)+SUMIF($D$5:$D$125,"=zur",$X$5:$X$125)*HLOOKUP($X$128,Verteil_rwst,39,FALSE)</f>
        <v>0</v>
      </c>
      <c r="AW133" s="90">
        <f t="shared" ref="AW133" si="479">IF(AV130&lt;&gt;0,AV133/AV130,0)</f>
        <v>0</v>
      </c>
      <c r="AX133" s="89">
        <f>SUMIF($D$5:$D$125,"=zus",AX5:AX125)*HLOOKUP(AX128,Verteil_rwst,37,FALSE)+SUMIF($D$5:$D$125,"=zum",AX5:AX125)*HLOOKUP(AX128,Verteil_rwst,38,FALSE)+SUMIF($D$5:$D$125,"=zur",AX5:AX125)*HLOOKUP(AX128,Verteil_rwst,39,FALSE)</f>
        <v>0</v>
      </c>
      <c r="AY133" s="90">
        <f t="shared" ref="AY133" si="480">IF(AX130&lt;&gt;0,AX133/AX130,0)</f>
        <v>0</v>
      </c>
      <c r="AZ133" s="571" t="s">
        <v>702</v>
      </c>
      <c r="BD133" s="205"/>
      <c r="BE133" s="381"/>
      <c r="BI133" s="89">
        <f>SUMIF($D$5:$D$125,"=zus",$X$5:$X$125)*HLOOKUP($X$128,Verteil_rwst,37,FALSE)+SUMIF($D$5:$D$125,"=zum",$X$5:$X$125)*HLOOKUP($X$128,Verteil_rwst,38,FALSE)+SUMIF($D$5:$D$125,"=zur",$X$5:$X$125)*HLOOKUP($X$128,Verteil_rwst,39,FALSE)</f>
        <v>0</v>
      </c>
      <c r="BJ133" s="90">
        <f t="shared" ref="BJ133" si="481">IF(BI130&lt;&gt;0,BI133/BI130,0)</f>
        <v>0</v>
      </c>
      <c r="BK133" s="89">
        <f>SUMIF($D$5:$D$125,"=zus",BK5:BK125)*HLOOKUP(BK128,Verteil_rwst,37,FALSE)+SUMIF($D$5:$D$125,"=zum",BK5:BK125)*HLOOKUP(BK128,Verteil_rwst,38,FALSE)+SUMIF($D$5:$D$125,"=zur",BK5:BK125)*HLOOKUP(BK128,Verteil_rwst,39,FALSE)</f>
        <v>0</v>
      </c>
      <c r="BL133" s="90">
        <f t="shared" ref="BL133" si="482">IF(BK130&lt;&gt;0,BK133/BK130,0)</f>
        <v>0</v>
      </c>
      <c r="BM133" s="571" t="s">
        <v>702</v>
      </c>
      <c r="BQ133" s="205"/>
      <c r="BR133" s="381"/>
      <c r="BV133" s="89">
        <f>SUMIF($D$5:$D$125,"=zus",$X$5:$X$125)*HLOOKUP($X$128,Verteil_rwst,37,FALSE)+SUMIF($D$5:$D$125,"=zum",$X$5:$X$125)*HLOOKUP($X$128,Verteil_rwst,38,FALSE)+SUMIF($D$5:$D$125,"=zur",$X$5:$X$125)*HLOOKUP($X$128,Verteil_rwst,39,FALSE)</f>
        <v>0</v>
      </c>
      <c r="BW133" s="90">
        <f t="shared" ref="BW133" si="483">IF(BV130&lt;&gt;0,BV133/BV130,0)</f>
        <v>0</v>
      </c>
      <c r="BX133" s="89">
        <f>SUMIF($D$5:$D$125,"=zus",BX5:BX125)*HLOOKUP(BX128,Verteil_rwst,37,FALSE)+SUMIF($D$5:$D$125,"=zum",BX5:BX125)*HLOOKUP(BX128,Verteil_rwst,38,FALSE)+SUMIF($D$5:$D$125,"=zur",BX5:BX125)*HLOOKUP(BX128,Verteil_rwst,39,FALSE)</f>
        <v>0</v>
      </c>
      <c r="BY133" s="90">
        <f t="shared" ref="BY133" si="484">IF(BX130&lt;&gt;0,BX133/BX130,0)</f>
        <v>0</v>
      </c>
      <c r="BZ133" s="571" t="s">
        <v>702</v>
      </c>
      <c r="CD133" s="205"/>
      <c r="CE133" s="381"/>
      <c r="CI133" s="89">
        <f>SUMIF($D$5:$D$125,"=zus",$X$5:$X$125)*HLOOKUP($X$128,Verteil_rwst,37,FALSE)+SUMIF($D$5:$D$125,"=zum",$X$5:$X$125)*HLOOKUP($X$128,Verteil_rwst,38,FALSE)+SUMIF($D$5:$D$125,"=zur",$X$5:$X$125)*HLOOKUP($X$128,Verteil_rwst,39,FALSE)</f>
        <v>0</v>
      </c>
      <c r="CJ133" s="90">
        <f t="shared" ref="CJ133" si="485">IF(CI130&lt;&gt;0,CI133/CI130,0)</f>
        <v>0</v>
      </c>
      <c r="CK133" s="89">
        <f>SUMIF($D$5:$D$125,"=zus",CK5:CK125)*HLOOKUP(CK128,Verteil_rwst,37,FALSE)+SUMIF($D$5:$D$125,"=zum",CK5:CK125)*HLOOKUP(CK128,Verteil_rwst,38,FALSE)+SUMIF($D$5:$D$125,"=zur",CK5:CK125)*HLOOKUP(CK128,Verteil_rwst,39,FALSE)</f>
        <v>0</v>
      </c>
      <c r="CL133" s="90">
        <f t="shared" ref="CL133" si="486">IF(CK130&lt;&gt;0,CK133/CK130,0)</f>
        <v>0</v>
      </c>
      <c r="CM133" s="571" t="s">
        <v>702</v>
      </c>
      <c r="CQ133" s="205"/>
      <c r="CR133" s="381"/>
      <c r="CV133" s="89">
        <f>SUMIF($D$5:$D$125,"=zus",$X$5:$X$125)*HLOOKUP($X$128,Verteil_rwst,37,FALSE)+SUMIF($D$5:$D$125,"=zum",$X$5:$X$125)*HLOOKUP($X$128,Verteil_rwst,38,FALSE)+SUMIF($D$5:$D$125,"=zur",$X$5:$X$125)*HLOOKUP($X$128,Verteil_rwst,39,FALSE)</f>
        <v>0</v>
      </c>
      <c r="CW133" s="90">
        <f t="shared" ref="CW133" si="487">IF(CV130&lt;&gt;0,CV133/CV130,0)</f>
        <v>0</v>
      </c>
      <c r="CX133" s="89">
        <f>SUMIF($D$5:$D$125,"=zus",CX5:CX125)*HLOOKUP(CX128,Verteil_rwst,37,FALSE)+SUMIF($D$5:$D$125,"=zum",CX5:CX125)*HLOOKUP(CX128,Verteil_rwst,38,FALSE)+SUMIF($D$5:$D$125,"=zur",CX5:CX125)*HLOOKUP(CX128,Verteil_rwst,39,FALSE)</f>
        <v>0</v>
      </c>
      <c r="CY133" s="90">
        <f t="shared" ref="CY133" si="488">IF(CX130&lt;&gt;0,CX133/CX130,0)</f>
        <v>0</v>
      </c>
      <c r="CZ133" s="571" t="s">
        <v>702</v>
      </c>
      <c r="DD133" s="205"/>
      <c r="DE133" s="381"/>
      <c r="DI133" s="89">
        <f>SUMIF($D$5:$D$125,"=zus",$X$5:$X$125)*HLOOKUP($X$128,Verteil_rwst,37,FALSE)+SUMIF($D$5:$D$125,"=zum",$X$5:$X$125)*HLOOKUP($X$128,Verteil_rwst,38,FALSE)+SUMIF($D$5:$D$125,"=zur",$X$5:$X$125)*HLOOKUP($X$128,Verteil_rwst,39,FALSE)</f>
        <v>0</v>
      </c>
      <c r="DJ133" s="90">
        <f t="shared" ref="DJ133" si="489">IF(DI130&lt;&gt;0,DI133/DI130,0)</f>
        <v>0</v>
      </c>
      <c r="DK133" s="89">
        <f>SUMIF($D$5:$D$125,"=zus",DK5:DK125)*HLOOKUP(DK128,Verteil_rwst,37,FALSE)+SUMIF($D$5:$D$125,"=zum",DK5:DK125)*HLOOKUP(DK128,Verteil_rwst,38,FALSE)+SUMIF($D$5:$D$125,"=zur",DK5:DK125)*HLOOKUP(DK128,Verteil_rwst,39,FALSE)</f>
        <v>0</v>
      </c>
      <c r="DL133" s="90">
        <f t="shared" ref="DL133" si="490">IF(DK130&lt;&gt;0,DK133/DK130,0)</f>
        <v>0</v>
      </c>
      <c r="DM133" s="571" t="s">
        <v>702</v>
      </c>
      <c r="DQ133" s="205"/>
      <c r="DR133" s="381"/>
      <c r="DV133" s="89">
        <f>SUMIF($D$5:$D$125,"=zus",$X$5:$X$125)*HLOOKUP($X$128,Verteil_rwst,37,FALSE)+SUMIF($D$5:$D$125,"=zum",$X$5:$X$125)*HLOOKUP($X$128,Verteil_rwst,38,FALSE)+SUMIF($D$5:$D$125,"=zur",$X$5:$X$125)*HLOOKUP($X$128,Verteil_rwst,39,FALSE)</f>
        <v>0</v>
      </c>
      <c r="DW133" s="90">
        <f t="shared" ref="DW133" si="491">IF(DV130&lt;&gt;0,DV133/DV130,0)</f>
        <v>0</v>
      </c>
      <c r="DX133" s="89">
        <f>SUMIF($D$5:$D$125,"=zus",DX5:DX125)*HLOOKUP(DX128,Verteil_rwst,37,FALSE)+SUMIF($D$5:$D$125,"=zum",DX5:DX125)*HLOOKUP(DX128,Verteil_rwst,38,FALSE)+SUMIF($D$5:$D$125,"=zur",DX5:DX125)*HLOOKUP(DX128,Verteil_rwst,39,FALSE)</f>
        <v>0</v>
      </c>
      <c r="DY133" s="90">
        <f t="shared" ref="DY133" si="492">IF(DX130&lt;&gt;0,DX133/DX130,0)</f>
        <v>0</v>
      </c>
      <c r="DZ133" s="571" t="s">
        <v>702</v>
      </c>
      <c r="ED133" s="205"/>
    </row>
    <row r="134" spans="1:134" x14ac:dyDescent="0.35">
      <c r="A134" s="561" t="s">
        <v>590</v>
      </c>
      <c r="Q134" s="225">
        <v>7</v>
      </c>
      <c r="R134" s="381"/>
      <c r="V134" s="89">
        <f>SUMIF($D$5:$D$125,"=zuz",V5:V125)</f>
        <v>400000</v>
      </c>
      <c r="W134" s="90">
        <f>SUM(W135:W137)</f>
        <v>1</v>
      </c>
      <c r="X134" s="89">
        <f>SUMIF($D$5:$D$125,"=zuz",X5:X125)</f>
        <v>13800</v>
      </c>
      <c r="Y134" s="90">
        <f>SUM(Y135:Y137)</f>
        <v>1</v>
      </c>
      <c r="Z134" s="207" t="s">
        <v>898</v>
      </c>
      <c r="AD134" s="205"/>
      <c r="AE134" s="381"/>
      <c r="AI134" s="89">
        <f t="shared" ref="AI134" si="493">SUMIF($D$5:$D$125,"=zuz",AI5:AI125)</f>
        <v>400000</v>
      </c>
      <c r="AJ134" s="90">
        <f t="shared" ref="AJ134" si="494">SUM(AJ135:AJ137)</f>
        <v>1</v>
      </c>
      <c r="AK134" s="89">
        <f t="shared" ref="AK134" si="495">SUMIF($D$5:$D$125,"=zuz",AK5:AK125)</f>
        <v>13800</v>
      </c>
      <c r="AL134" s="90">
        <f t="shared" ref="AL134" si="496">SUM(AL135:AL137)</f>
        <v>0.99999999999999989</v>
      </c>
      <c r="AM134" s="289" t="s">
        <v>898</v>
      </c>
      <c r="AQ134" s="205"/>
      <c r="AR134" s="381"/>
      <c r="AV134" s="89">
        <f t="shared" ref="AV134" si="497">SUMIF($D$5:$D$125,"=zuz",AV5:AV125)</f>
        <v>400000</v>
      </c>
      <c r="AW134" s="90">
        <f t="shared" ref="AW134" si="498">SUM(AW135:AW137)</f>
        <v>1</v>
      </c>
      <c r="AX134" s="89">
        <f t="shared" ref="AX134" si="499">SUMIF($D$5:$D$125,"=zuz",AX5:AX125)</f>
        <v>13800</v>
      </c>
      <c r="AY134" s="90">
        <f t="shared" ref="AY134" si="500">SUM(AY135:AY137)</f>
        <v>1</v>
      </c>
      <c r="AZ134" s="289" t="s">
        <v>898</v>
      </c>
      <c r="BD134" s="205"/>
      <c r="BE134" s="381"/>
      <c r="BI134" s="89">
        <f t="shared" ref="BI134" si="501">SUMIF($D$5:$D$125,"=zuz",BI5:BI125)</f>
        <v>400000</v>
      </c>
      <c r="BJ134" s="90">
        <f t="shared" ref="BJ134" si="502">SUM(BJ135:BJ137)</f>
        <v>1</v>
      </c>
      <c r="BK134" s="89">
        <f t="shared" ref="BK134" si="503">SUMIF($D$5:$D$125,"=zuz",BK5:BK125)</f>
        <v>13800</v>
      </c>
      <c r="BL134" s="90">
        <f t="shared" ref="BL134" si="504">SUM(BL135:BL137)</f>
        <v>0.99999999999999989</v>
      </c>
      <c r="BM134" s="289" t="s">
        <v>898</v>
      </c>
      <c r="BQ134" s="205"/>
      <c r="BR134" s="381"/>
      <c r="BV134" s="89">
        <f t="shared" ref="BV134" si="505">SUMIF($D$5:$D$125,"=zuz",BV5:BV125)</f>
        <v>400000</v>
      </c>
      <c r="BW134" s="90">
        <f t="shared" ref="BW134" si="506">SUM(BW135:BW137)</f>
        <v>1</v>
      </c>
      <c r="BX134" s="89">
        <f t="shared" ref="BX134" si="507">SUMIF($D$5:$D$125,"=zuz",BX5:BX125)</f>
        <v>13800</v>
      </c>
      <c r="BY134" s="90">
        <f t="shared" ref="BY134" si="508">SUM(BY135:BY137)</f>
        <v>1</v>
      </c>
      <c r="BZ134" s="289" t="s">
        <v>898</v>
      </c>
      <c r="CD134" s="205"/>
      <c r="CE134" s="381"/>
      <c r="CI134" s="89">
        <f t="shared" ref="CI134" si="509">SUMIF($D$5:$D$125,"=zuz",CI5:CI125)</f>
        <v>400000</v>
      </c>
      <c r="CJ134" s="90">
        <f t="shared" ref="CJ134" si="510">SUM(CJ135:CJ137)</f>
        <v>1</v>
      </c>
      <c r="CK134" s="89">
        <f t="shared" ref="CK134" si="511">SUMIF($D$5:$D$125,"=zuz",CK5:CK125)</f>
        <v>13800</v>
      </c>
      <c r="CL134" s="90">
        <f t="shared" ref="CL134" si="512">SUM(CL135:CL137)</f>
        <v>1</v>
      </c>
      <c r="CM134" s="289" t="s">
        <v>898</v>
      </c>
      <c r="CQ134" s="205"/>
      <c r="CR134" s="381"/>
      <c r="CV134" s="89">
        <f t="shared" ref="CV134" si="513">SUMIF($D$5:$D$125,"=zuz",CV5:CV125)</f>
        <v>400000</v>
      </c>
      <c r="CW134" s="90">
        <f t="shared" ref="CW134" si="514">SUM(CW135:CW137)</f>
        <v>1</v>
      </c>
      <c r="CX134" s="89">
        <f t="shared" ref="CX134" si="515">SUMIF($D$5:$D$125,"=zuz",CX5:CX125)</f>
        <v>13800</v>
      </c>
      <c r="CY134" s="90">
        <f t="shared" ref="CY134" si="516">SUM(CY135:CY137)</f>
        <v>1</v>
      </c>
      <c r="CZ134" s="289" t="s">
        <v>898</v>
      </c>
      <c r="DD134" s="205"/>
      <c r="DE134" s="381"/>
      <c r="DI134" s="89">
        <f t="shared" ref="DI134" si="517">SUMIF($D$5:$D$125,"=zuz",DI5:DI125)</f>
        <v>400000</v>
      </c>
      <c r="DJ134" s="90">
        <f t="shared" ref="DJ134" si="518">SUM(DJ135:DJ137)</f>
        <v>1</v>
      </c>
      <c r="DK134" s="89">
        <f t="shared" ref="DK134" si="519">SUMIF($D$5:$D$125,"=zuz",DK5:DK125)</f>
        <v>13800</v>
      </c>
      <c r="DL134" s="90">
        <f t="shared" ref="DL134" si="520">SUM(DL135:DL137)</f>
        <v>1</v>
      </c>
      <c r="DM134" s="289" t="s">
        <v>898</v>
      </c>
      <c r="DQ134" s="205"/>
      <c r="DR134" s="381"/>
      <c r="DV134" s="89">
        <f t="shared" ref="DV134" si="521">SUMIF($D$5:$D$125,"=zuz",DV5:DV125)</f>
        <v>400000</v>
      </c>
      <c r="DW134" s="90">
        <f t="shared" ref="DW134" si="522">SUM(DW135:DW137)</f>
        <v>1</v>
      </c>
      <c r="DX134" s="89">
        <f t="shared" ref="DX134" si="523">SUMIF($D$5:$D$125,"=zuz",DX5:DX125)</f>
        <v>13800</v>
      </c>
      <c r="DY134" s="90">
        <f t="shared" ref="DY134" si="524">SUM(DY135:DY137)</f>
        <v>1</v>
      </c>
      <c r="DZ134" s="289" t="s">
        <v>898</v>
      </c>
      <c r="ED134" s="205"/>
    </row>
    <row r="135" spans="1:134" x14ac:dyDescent="0.35">
      <c r="A135" s="560" t="s">
        <v>169</v>
      </c>
      <c r="Q135" s="225">
        <v>8</v>
      </c>
      <c r="R135" s="381"/>
      <c r="V135" s="89">
        <f>SUMIF($D$5:$D$125,"=zuz",V5:V125)*HLOOKUP(X128,Verteil_sw,43,FALSE)</f>
        <v>340492</v>
      </c>
      <c r="W135" s="90">
        <f>IF(V134&lt;&gt;0,V135/V134,0)</f>
        <v>0.85123000000000004</v>
      </c>
      <c r="X135" s="89">
        <f>SUMIF($D$5:$D$125,"=zuz",X5:X125)*HLOOKUP(X128,Verteil_sw,43,FALSE)</f>
        <v>11746.974</v>
      </c>
      <c r="Y135" s="90">
        <f>IF(X134&lt;&gt;0,X135/X134,0)</f>
        <v>0.85123000000000004</v>
      </c>
      <c r="Z135" s="73" t="s">
        <v>169</v>
      </c>
      <c r="AD135" s="205"/>
      <c r="AE135" s="381"/>
      <c r="AI135" s="89">
        <f>SUMIF($D$5:$D$125,"=zuz",AI5:AI125)*HLOOKUP(AK128,Verteil_sw,43,FALSE)</f>
        <v>340408</v>
      </c>
      <c r="AJ135" s="90">
        <f t="shared" ref="AJ135" si="525">IF(AI134&lt;&gt;0,AI135/AI134,0)</f>
        <v>0.85102</v>
      </c>
      <c r="AK135" s="89">
        <f>SUMIF($D$5:$D$125,"=zuz",AK5:AK125)*HLOOKUP(AK128,Verteil_sw,43,FALSE)</f>
        <v>11744.075999999999</v>
      </c>
      <c r="AL135" s="90">
        <f t="shared" ref="AL135" si="526">IF(AK134&lt;&gt;0,AK135/AK134,0)</f>
        <v>0.85101999999999989</v>
      </c>
      <c r="AM135" s="571" t="s">
        <v>169</v>
      </c>
      <c r="AQ135" s="205"/>
      <c r="AR135" s="381"/>
      <c r="AV135" s="89">
        <f>SUMIF($D$5:$D$125,"=zuz",AV5:AV125)*HLOOKUP(AX128,Verteil_sw,43,FALSE)</f>
        <v>340548</v>
      </c>
      <c r="AW135" s="90">
        <f t="shared" ref="AW135" si="527">IF(AV134&lt;&gt;0,AV135/AV134,0)</f>
        <v>0.85136999999999996</v>
      </c>
      <c r="AX135" s="89">
        <f>SUMIF($D$5:$D$125,"=zuz",AX5:AX125)*HLOOKUP(AX128,Verteil_sw,43,FALSE)</f>
        <v>11748.905999999999</v>
      </c>
      <c r="AY135" s="90">
        <f t="shared" ref="AY135" si="528">IF(AX134&lt;&gt;0,AX135/AX134,0)</f>
        <v>0.85136999999999996</v>
      </c>
      <c r="AZ135" s="571" t="s">
        <v>169</v>
      </c>
      <c r="BD135" s="205"/>
      <c r="BE135" s="381"/>
      <c r="BI135" s="89">
        <f>SUMIF($D$5:$D$125,"=zuz",BI5:BI125)*HLOOKUP(BK128,Verteil_sw,43,FALSE)</f>
        <v>340704</v>
      </c>
      <c r="BJ135" s="90">
        <f t="shared" ref="BJ135" si="529">IF(BI134&lt;&gt;0,BI135/BI134,0)</f>
        <v>0.85175999999999996</v>
      </c>
      <c r="BK135" s="89">
        <f>SUMIF($D$5:$D$125,"=zuz",BK5:BK125)*HLOOKUP(BK128,Verteil_sw,43,FALSE)</f>
        <v>11754.287999999999</v>
      </c>
      <c r="BL135" s="90">
        <f t="shared" ref="BL135" si="530">IF(BK134&lt;&gt;0,BK135/BK134,0)</f>
        <v>0.85175999999999985</v>
      </c>
      <c r="BM135" s="571" t="s">
        <v>169</v>
      </c>
      <c r="BQ135" s="205"/>
      <c r="BR135" s="381"/>
      <c r="BV135" s="89">
        <f>SUMIF($D$5:$D$125,"=zuz",BV5:BV125)*HLOOKUP(BX128,Verteil_sw,43,FALSE)</f>
        <v>340176</v>
      </c>
      <c r="BW135" s="90">
        <f t="shared" ref="BW135" si="531">IF(BV134&lt;&gt;0,BV135/BV134,0)</f>
        <v>0.85043999999999997</v>
      </c>
      <c r="BX135" s="89">
        <f>SUMIF($D$5:$D$125,"=zuz",BX5:BX125)*HLOOKUP(BX128,Verteil_sw,43,FALSE)</f>
        <v>11736.072</v>
      </c>
      <c r="BY135" s="90">
        <f t="shared" ref="BY135" si="532">IF(BX134&lt;&gt;0,BX135/BX134,0)</f>
        <v>0.85043999999999997</v>
      </c>
      <c r="BZ135" s="571" t="s">
        <v>169</v>
      </c>
      <c r="CD135" s="205"/>
      <c r="CE135" s="381"/>
      <c r="CI135" s="89">
        <f>SUMIF($D$5:$D$125,"=zuz",CI5:CI125)*HLOOKUP(CK128,Verteil_sw,43,FALSE)</f>
        <v>339760</v>
      </c>
      <c r="CJ135" s="90">
        <f t="shared" ref="CJ135" si="533">IF(CI134&lt;&gt;0,CI135/CI134,0)</f>
        <v>0.84940000000000004</v>
      </c>
      <c r="CK135" s="89">
        <f>SUMIF($D$5:$D$125,"=zuz",CK5:CK125)*HLOOKUP(CK128,Verteil_sw,43,FALSE)</f>
        <v>11721.720000000001</v>
      </c>
      <c r="CL135" s="90">
        <f t="shared" ref="CL135" si="534">IF(CK134&lt;&gt;0,CK135/CK134,0)</f>
        <v>0.84940000000000004</v>
      </c>
      <c r="CM135" s="571" t="s">
        <v>169</v>
      </c>
      <c r="CQ135" s="205"/>
      <c r="CR135" s="381"/>
      <c r="CV135" s="89">
        <f>SUMIF($D$5:$D$125,"=zuz",CV5:CV125)*HLOOKUP(CX128,Verteil_sw,43,FALSE)</f>
        <v>340028</v>
      </c>
      <c r="CW135" s="90">
        <f t="shared" ref="CW135" si="535">IF(CV134&lt;&gt;0,CV135/CV134,0)</f>
        <v>0.85006999999999999</v>
      </c>
      <c r="CX135" s="89">
        <f>SUMIF($D$5:$D$125,"=zuz",CX5:CX125)*HLOOKUP(CX128,Verteil_sw,43,FALSE)</f>
        <v>11730.966</v>
      </c>
      <c r="CY135" s="90">
        <f t="shared" ref="CY135" si="536">IF(CX134&lt;&gt;0,CX135/CX134,0)</f>
        <v>0.85006999999999999</v>
      </c>
      <c r="CZ135" s="571" t="s">
        <v>169</v>
      </c>
      <c r="DD135" s="205"/>
      <c r="DE135" s="381"/>
      <c r="DI135" s="89">
        <f>SUMIF($D$5:$D$125,"=zuz",DI5:DI125)*HLOOKUP(DK128,Verteil_sw,43,FALSE)</f>
        <v>318580</v>
      </c>
      <c r="DJ135" s="90">
        <f t="shared" ref="DJ135" si="537">IF(DI134&lt;&gt;0,DI135/DI134,0)</f>
        <v>0.79644999999999999</v>
      </c>
      <c r="DK135" s="89">
        <f>SUMIF($D$5:$D$125,"=zuz",DK5:DK125)*HLOOKUP(DK128,Verteil_sw,43,FALSE)</f>
        <v>10991.01</v>
      </c>
      <c r="DL135" s="90">
        <f t="shared" ref="DL135" si="538">IF(DK134&lt;&gt;0,DK135/DK134,0)</f>
        <v>0.79644999999999999</v>
      </c>
      <c r="DM135" s="571" t="s">
        <v>169</v>
      </c>
      <c r="DQ135" s="205"/>
      <c r="DR135" s="381"/>
      <c r="DV135" s="89">
        <f>SUMIF($D$5:$D$125,"=zuz",DV5:DV125)*HLOOKUP(DX128,Verteil_sw,43,FALSE)</f>
        <v>316760</v>
      </c>
      <c r="DW135" s="90">
        <f t="shared" ref="DW135" si="539">IF(DV134&lt;&gt;0,DV135/DV134,0)</f>
        <v>0.79190000000000005</v>
      </c>
      <c r="DX135" s="89">
        <f>SUMIF($D$5:$D$125,"=zuz",DX5:DX125)*HLOOKUP(DX128,Verteil_sw,43,FALSE)</f>
        <v>10928.220000000001</v>
      </c>
      <c r="DY135" s="90">
        <f t="shared" ref="DY135" si="540">IF(DX134&lt;&gt;0,DX135/DX134,0)</f>
        <v>0.79190000000000005</v>
      </c>
      <c r="DZ135" s="571" t="s">
        <v>169</v>
      </c>
      <c r="ED135" s="205"/>
    </row>
    <row r="136" spans="1:134" x14ac:dyDescent="0.35">
      <c r="A136" s="560" t="s">
        <v>170</v>
      </c>
      <c r="Q136" s="225">
        <v>9</v>
      </c>
      <c r="R136" s="381"/>
      <c r="V136" s="89">
        <f>SUMIF($D$5:$D$125,"=zuz",V5:V125)*HLOOKUP(X128,Verteil_rwgr,42,FALSE)</f>
        <v>59508.000000000007</v>
      </c>
      <c r="W136" s="90">
        <f>IF(V134&lt;&gt;0,V136/V134,0)</f>
        <v>0.14877000000000001</v>
      </c>
      <c r="X136" s="89">
        <f>SUMIF($D$5:$D$125,"=zuz",X5:X125)*HLOOKUP(X128,Verteil_rwgr,42,FALSE)</f>
        <v>2053.0260000000003</v>
      </c>
      <c r="Y136" s="90">
        <f>IF(X134&lt;&gt;0,X136/X134,0)</f>
        <v>0.14877000000000001</v>
      </c>
      <c r="Z136" s="73" t="s">
        <v>170</v>
      </c>
      <c r="AD136" s="205"/>
      <c r="AE136" s="381"/>
      <c r="AI136" s="89">
        <f>SUMIF($D$5:$D$125,"=zuz",AI5:AI125)*HLOOKUP(AK128,Verteil_rwgr,42,FALSE)</f>
        <v>59592</v>
      </c>
      <c r="AJ136" s="90">
        <f t="shared" ref="AJ136" si="541">IF(AI134&lt;&gt;0,AI136/AI134,0)</f>
        <v>0.14898</v>
      </c>
      <c r="AK136" s="89">
        <f>SUMIF($D$5:$D$125,"=zuz",AK5:AK125)*HLOOKUP(AK128,Verteil_rwgr,42,FALSE)</f>
        <v>2055.924</v>
      </c>
      <c r="AL136" s="90">
        <f t="shared" ref="AL136" si="542">IF(AK134&lt;&gt;0,AK136/AK134,0)</f>
        <v>0.14898</v>
      </c>
      <c r="AM136" s="571" t="s">
        <v>170</v>
      </c>
      <c r="AQ136" s="205"/>
      <c r="AR136" s="381"/>
      <c r="AV136" s="89">
        <f>SUMIF($D$5:$D$125,"=zuz",AV5:AV125)*HLOOKUP(AX128,Verteil_rwgr,42,FALSE)</f>
        <v>59452.000000000007</v>
      </c>
      <c r="AW136" s="90">
        <f t="shared" ref="AW136" si="543">IF(AV134&lt;&gt;0,AV136/AV134,0)</f>
        <v>0.14863000000000001</v>
      </c>
      <c r="AX136" s="89">
        <f>SUMIF($D$5:$D$125,"=zuz",AX5:AX125)*HLOOKUP(AX128,Verteil_rwgr,42,FALSE)</f>
        <v>2051.0940000000001</v>
      </c>
      <c r="AY136" s="90">
        <f t="shared" ref="AY136" si="544">IF(AX134&lt;&gt;0,AX136/AX134,0)</f>
        <v>0.14863000000000001</v>
      </c>
      <c r="AZ136" s="571" t="s">
        <v>170</v>
      </c>
      <c r="BD136" s="205"/>
      <c r="BE136" s="381"/>
      <c r="BI136" s="89">
        <f>SUMIF($D$5:$D$125,"=zuz",BI5:BI125)*HLOOKUP(BK128,Verteil_rwgr,42,FALSE)</f>
        <v>59296.000000000007</v>
      </c>
      <c r="BJ136" s="90">
        <f t="shared" ref="BJ136" si="545">IF(BI134&lt;&gt;0,BI136/BI134,0)</f>
        <v>0.14824000000000001</v>
      </c>
      <c r="BK136" s="89">
        <f>SUMIF($D$5:$D$125,"=zuz",BK5:BK125)*HLOOKUP(BK128,Verteil_rwgr,42,FALSE)</f>
        <v>2045.7120000000002</v>
      </c>
      <c r="BL136" s="90">
        <f t="shared" ref="BL136" si="546">IF(BK134&lt;&gt;0,BK136/BK134,0)</f>
        <v>0.14824000000000001</v>
      </c>
      <c r="BM136" s="571" t="s">
        <v>170</v>
      </c>
      <c r="BQ136" s="205"/>
      <c r="BR136" s="381"/>
      <c r="BV136" s="89">
        <f>SUMIF($D$5:$D$125,"=zuz",BV5:BV125)*HLOOKUP(BX128,Verteil_rwgr,42,FALSE)</f>
        <v>59824</v>
      </c>
      <c r="BW136" s="90">
        <f t="shared" ref="BW136" si="547">IF(BV134&lt;&gt;0,BV136/BV134,0)</f>
        <v>0.14956</v>
      </c>
      <c r="BX136" s="89">
        <f>SUMIF($D$5:$D$125,"=zuz",BX5:BX125)*HLOOKUP(BX128,Verteil_rwgr,42,FALSE)</f>
        <v>2063.9279999999999</v>
      </c>
      <c r="BY136" s="90">
        <f t="shared" ref="BY136" si="548">IF(BX134&lt;&gt;0,BX136/BX134,0)</f>
        <v>0.14956</v>
      </c>
      <c r="BZ136" s="571" t="s">
        <v>170</v>
      </c>
      <c r="CD136" s="205"/>
      <c r="CE136" s="381"/>
      <c r="CI136" s="89">
        <f>SUMIF($D$5:$D$125,"=zuz",CI5:CI125)*HLOOKUP(CK128,Verteil_rwgr,42,FALSE)</f>
        <v>60240.000000000007</v>
      </c>
      <c r="CJ136" s="90">
        <f t="shared" ref="CJ136" si="549">IF(CI134&lt;&gt;0,CI136/CI134,0)</f>
        <v>0.15060000000000001</v>
      </c>
      <c r="CK136" s="89">
        <f>SUMIF($D$5:$D$125,"=zuz",CK5:CK125)*HLOOKUP(CK128,Verteil_rwgr,42,FALSE)</f>
        <v>2078.2800000000002</v>
      </c>
      <c r="CL136" s="90">
        <f t="shared" ref="CL136" si="550">IF(CK134&lt;&gt;0,CK136/CK134,0)</f>
        <v>0.15060000000000001</v>
      </c>
      <c r="CM136" s="571" t="s">
        <v>170</v>
      </c>
      <c r="CQ136" s="205"/>
      <c r="CR136" s="381"/>
      <c r="CV136" s="89">
        <f>SUMIF($D$5:$D$125,"=zuz",CV5:CV125)*HLOOKUP(CX128,Verteil_rwgr,42,FALSE)</f>
        <v>59972</v>
      </c>
      <c r="CW136" s="90">
        <f t="shared" ref="CW136" si="551">IF(CV134&lt;&gt;0,CV136/CV134,0)</f>
        <v>0.14993000000000001</v>
      </c>
      <c r="CX136" s="89">
        <f>SUMIF($D$5:$D$125,"=zuz",CX5:CX125)*HLOOKUP(CX128,Verteil_rwgr,42,FALSE)</f>
        <v>2069.0340000000001</v>
      </c>
      <c r="CY136" s="90">
        <f t="shared" ref="CY136" si="552">IF(CX134&lt;&gt;0,CX136/CX134,0)</f>
        <v>0.14993000000000001</v>
      </c>
      <c r="CZ136" s="571" t="s">
        <v>170</v>
      </c>
      <c r="DD136" s="205"/>
      <c r="DE136" s="381"/>
      <c r="DI136" s="89">
        <f>SUMIF($D$5:$D$125,"=zuz",DI5:DI125)*HLOOKUP(DK128,Verteil_rwgr,42,FALSE)</f>
        <v>81420</v>
      </c>
      <c r="DJ136" s="90">
        <f t="shared" ref="DJ136" si="553">IF(DI134&lt;&gt;0,DI136/DI134,0)</f>
        <v>0.20355000000000001</v>
      </c>
      <c r="DK136" s="89">
        <f>SUMIF($D$5:$D$125,"=zuz",DK5:DK125)*HLOOKUP(DK128,Verteil_rwgr,42,FALSE)</f>
        <v>2808.9900000000002</v>
      </c>
      <c r="DL136" s="90">
        <f t="shared" ref="DL136" si="554">IF(DK134&lt;&gt;0,DK136/DK134,0)</f>
        <v>0.20355000000000001</v>
      </c>
      <c r="DM136" s="571" t="s">
        <v>170</v>
      </c>
      <c r="DQ136" s="205"/>
      <c r="DR136" s="381"/>
      <c r="DV136" s="89">
        <f>SUMIF($D$5:$D$125,"=zuz",DV5:DV125)*HLOOKUP(DX128,Verteil_rwgr,42,FALSE)</f>
        <v>83240</v>
      </c>
      <c r="DW136" s="90">
        <f t="shared" ref="DW136" si="555">IF(DV134&lt;&gt;0,DV136/DV134,0)</f>
        <v>0.20810000000000001</v>
      </c>
      <c r="DX136" s="89">
        <f>SUMIF($D$5:$D$125,"=zuz",DX5:DX125)*HLOOKUP(DX128,Verteil_rwgr,42,FALSE)</f>
        <v>2871.78</v>
      </c>
      <c r="DY136" s="90">
        <f t="shared" ref="DY136" si="556">IF(DX134&lt;&gt;0,DX136/DX134,0)</f>
        <v>0.20810000000000001</v>
      </c>
      <c r="DZ136" s="571" t="s">
        <v>170</v>
      </c>
      <c r="ED136" s="205"/>
    </row>
    <row r="137" spans="1:134" x14ac:dyDescent="0.35">
      <c r="A137" s="560" t="s">
        <v>175</v>
      </c>
      <c r="Q137" s="225">
        <v>10</v>
      </c>
      <c r="R137" s="381"/>
      <c r="V137" s="89"/>
      <c r="W137" s="90"/>
      <c r="X137" s="89"/>
      <c r="Y137" s="90"/>
      <c r="Z137" s="73" t="s">
        <v>175</v>
      </c>
      <c r="AD137" s="205"/>
      <c r="AE137" s="381"/>
      <c r="AI137" s="89"/>
      <c r="AJ137" s="90"/>
      <c r="AK137" s="89"/>
      <c r="AL137" s="90"/>
      <c r="AM137" s="571" t="s">
        <v>175</v>
      </c>
      <c r="AQ137" s="205"/>
      <c r="AR137" s="381"/>
      <c r="AV137" s="89"/>
      <c r="AW137" s="90"/>
      <c r="AX137" s="89"/>
      <c r="AY137" s="90"/>
      <c r="AZ137" s="571" t="s">
        <v>175</v>
      </c>
      <c r="BD137" s="205"/>
      <c r="BE137" s="381"/>
      <c r="BI137" s="89"/>
      <c r="BJ137" s="90"/>
      <c r="BK137" s="89"/>
      <c r="BL137" s="90"/>
      <c r="BM137" s="571" t="s">
        <v>175</v>
      </c>
      <c r="BQ137" s="205"/>
      <c r="BR137" s="381"/>
      <c r="BV137" s="89"/>
      <c r="BW137" s="90"/>
      <c r="BX137" s="89"/>
      <c r="BY137" s="90"/>
      <c r="BZ137" s="571" t="s">
        <v>175</v>
      </c>
      <c r="CD137" s="205"/>
      <c r="CE137" s="381"/>
      <c r="CI137" s="89"/>
      <c r="CJ137" s="90"/>
      <c r="CK137" s="89"/>
      <c r="CL137" s="90"/>
      <c r="CM137" s="571" t="s">
        <v>175</v>
      </c>
      <c r="CQ137" s="205"/>
      <c r="CR137" s="381"/>
      <c r="CV137" s="89"/>
      <c r="CW137" s="90"/>
      <c r="CX137" s="89"/>
      <c r="CY137" s="90"/>
      <c r="CZ137" s="571" t="s">
        <v>175</v>
      </c>
      <c r="DD137" s="205"/>
      <c r="DE137" s="381"/>
      <c r="DI137" s="89"/>
      <c r="DJ137" s="90"/>
      <c r="DK137" s="89"/>
      <c r="DL137" s="90"/>
      <c r="DM137" s="571" t="s">
        <v>175</v>
      </c>
      <c r="DQ137" s="205"/>
      <c r="DR137" s="381"/>
      <c r="DV137" s="89"/>
      <c r="DW137" s="90"/>
      <c r="DX137" s="89"/>
      <c r="DY137" s="90"/>
      <c r="DZ137" s="571" t="s">
        <v>175</v>
      </c>
      <c r="ED137" s="205"/>
    </row>
    <row r="138" spans="1:134" x14ac:dyDescent="0.35">
      <c r="A138" s="561" t="s">
        <v>591</v>
      </c>
      <c r="Q138" s="225">
        <v>11</v>
      </c>
      <c r="R138" s="381"/>
      <c r="V138" s="166">
        <f>SUM(V130,V134)</f>
        <v>6751000</v>
      </c>
      <c r="W138" s="90">
        <f>SUM(W139:W141)</f>
        <v>1</v>
      </c>
      <c r="X138" s="54">
        <f>ROUND(SUM(X130,X134),2)</f>
        <v>199080</v>
      </c>
      <c r="Y138" s="90">
        <f>SUM(Y139:Y141)</f>
        <v>1</v>
      </c>
      <c r="Z138" s="207" t="s">
        <v>591</v>
      </c>
      <c r="AD138" s="205"/>
      <c r="AE138" s="381"/>
      <c r="AI138" s="166">
        <f t="shared" ref="AI138:BI140" si="557">SUM(AI130,AI134)</f>
        <v>6751000</v>
      </c>
      <c r="AJ138" s="90">
        <f t="shared" ref="AJ138" si="558">SUM(AJ139:AJ141)</f>
        <v>1</v>
      </c>
      <c r="AK138" s="54">
        <f t="shared" ref="AK138:BK141" si="559">ROUND(SUM(AK130,AK134),2)</f>
        <v>197080</v>
      </c>
      <c r="AL138" s="90">
        <f t="shared" ref="AL138" si="560">SUM(AL139:AL141)</f>
        <v>1</v>
      </c>
      <c r="AM138" s="289" t="s">
        <v>591</v>
      </c>
      <c r="AQ138" s="205"/>
      <c r="AR138" s="381"/>
      <c r="AV138" s="166">
        <f t="shared" ref="AV138" si="561">SUM(AV130,AV134)</f>
        <v>6751000</v>
      </c>
      <c r="AW138" s="90">
        <f t="shared" ref="AW138" si="562">SUM(AW139:AW141)</f>
        <v>1</v>
      </c>
      <c r="AX138" s="54">
        <f t="shared" ref="AX138" si="563">ROUND(SUM(AX130,AX134),2)</f>
        <v>195080</v>
      </c>
      <c r="AY138" s="90">
        <f t="shared" ref="AY138" si="564">SUM(AY139:AY141)</f>
        <v>1</v>
      </c>
      <c r="AZ138" s="289" t="s">
        <v>591</v>
      </c>
      <c r="BD138" s="205"/>
      <c r="BE138" s="381"/>
      <c r="BI138" s="166">
        <f t="shared" ref="BI138" si="565">SUM(BI130,BI134)</f>
        <v>6751000</v>
      </c>
      <c r="BJ138" s="90">
        <f t="shared" ref="BJ138" si="566">SUM(BJ139:BJ141)</f>
        <v>1</v>
      </c>
      <c r="BK138" s="54">
        <f t="shared" ref="BK138" si="567">ROUND(SUM(BK130,BK134),2)</f>
        <v>195080</v>
      </c>
      <c r="BL138" s="90">
        <f t="shared" ref="BL138" si="568">SUM(BL139:BL141)</f>
        <v>1</v>
      </c>
      <c r="BM138" s="289" t="s">
        <v>591</v>
      </c>
      <c r="BQ138" s="205"/>
      <c r="BR138" s="381"/>
      <c r="BV138" s="166">
        <f t="shared" ref="BV138:CV140" si="569">SUM(BV130,BV134)</f>
        <v>6751000</v>
      </c>
      <c r="BW138" s="90">
        <f t="shared" ref="BW138" si="570">SUM(BW139:BW141)</f>
        <v>1</v>
      </c>
      <c r="BX138" s="54">
        <f t="shared" ref="BX138:CX141" si="571">ROUND(SUM(BX130,BX134),2)</f>
        <v>167062.5</v>
      </c>
      <c r="BY138" s="90">
        <f t="shared" ref="BY138" si="572">SUM(BY139:BY141)</f>
        <v>1</v>
      </c>
      <c r="BZ138" s="289" t="s">
        <v>591</v>
      </c>
      <c r="CD138" s="205"/>
      <c r="CE138" s="381"/>
      <c r="CI138" s="166">
        <f t="shared" ref="CI138" si="573">SUM(CI130,CI134)</f>
        <v>6751000</v>
      </c>
      <c r="CJ138" s="90">
        <f t="shared" ref="CJ138" si="574">SUM(CJ139:CJ141)</f>
        <v>1</v>
      </c>
      <c r="CK138" s="54">
        <f t="shared" ref="CK138" si="575">ROUND(SUM(CK130,CK134),2)</f>
        <v>112970</v>
      </c>
      <c r="CL138" s="90">
        <f t="shared" ref="CL138" si="576">SUM(CL139:CL141)</f>
        <v>1</v>
      </c>
      <c r="CM138" s="289" t="s">
        <v>591</v>
      </c>
      <c r="CQ138" s="205"/>
      <c r="CR138" s="381"/>
      <c r="CV138" s="166">
        <f t="shared" ref="CV138" si="577">SUM(CV130,CV134)</f>
        <v>6751000</v>
      </c>
      <c r="CW138" s="90">
        <f t="shared" ref="CW138" si="578">SUM(CW139:CW141)</f>
        <v>1</v>
      </c>
      <c r="CX138" s="54">
        <f t="shared" ref="CX138" si="579">ROUND(SUM(CX130,CX134),2)</f>
        <v>112970</v>
      </c>
      <c r="CY138" s="90">
        <f t="shared" ref="CY138" si="580">SUM(CY139:CY141)</f>
        <v>1</v>
      </c>
      <c r="CZ138" s="289" t="s">
        <v>591</v>
      </c>
      <c r="DD138" s="205"/>
      <c r="DE138" s="381"/>
      <c r="DI138" s="166">
        <f t="shared" ref="DI138:DV140" si="581">SUM(DI130,DI134)</f>
        <v>6751000</v>
      </c>
      <c r="DJ138" s="90">
        <f t="shared" ref="DJ138" si="582">SUM(DJ139:DJ141)</f>
        <v>1</v>
      </c>
      <c r="DK138" s="54">
        <f t="shared" ref="DK138:DX141" si="583">ROUND(SUM(DK130,DK134),2)</f>
        <v>112970</v>
      </c>
      <c r="DL138" s="90">
        <f t="shared" ref="DL138" si="584">SUM(DL139:DL141)</f>
        <v>1</v>
      </c>
      <c r="DM138" s="289" t="s">
        <v>591</v>
      </c>
      <c r="DQ138" s="205"/>
      <c r="DR138" s="381"/>
      <c r="DV138" s="166">
        <f t="shared" ref="DV138" si="585">SUM(DV130,DV134)</f>
        <v>6751000</v>
      </c>
      <c r="DW138" s="90">
        <f t="shared" ref="DW138" si="586">SUM(DW139:DW141)</f>
        <v>1</v>
      </c>
      <c r="DX138" s="54">
        <f t="shared" ref="DX138" si="587">ROUND(SUM(DX130,DX134),2)</f>
        <v>112970</v>
      </c>
      <c r="DY138" s="90">
        <f t="shared" ref="DY138" si="588">SUM(DY139:DY141)</f>
        <v>1</v>
      </c>
      <c r="DZ138" s="289" t="s">
        <v>591</v>
      </c>
      <c r="ED138" s="205"/>
    </row>
    <row r="139" spans="1:134" x14ac:dyDescent="0.35">
      <c r="A139" s="560" t="s">
        <v>169</v>
      </c>
      <c r="Q139" s="225">
        <v>12</v>
      </c>
      <c r="R139" s="381"/>
      <c r="V139" s="166">
        <f t="shared" ref="V139:V140" si="589">SUM(V131,V135)</f>
        <v>4506754.5</v>
      </c>
      <c r="W139" s="90">
        <f>IF(X138&lt;&gt;0,X139/X138,0)</f>
        <v>0.72145157725537468</v>
      </c>
      <c r="X139" s="54">
        <f t="shared" ref="X139:X141" si="590">ROUND(SUM(X131,X135),2)</f>
        <v>143626.57999999999</v>
      </c>
      <c r="Y139" s="90">
        <f>IF(X138&lt;&gt;0,X139/X138,0)</f>
        <v>0.72145157725537468</v>
      </c>
      <c r="Z139" s="73" t="s">
        <v>169</v>
      </c>
      <c r="AD139" s="205"/>
      <c r="AE139" s="381"/>
      <c r="AI139" s="166">
        <f t="shared" si="557"/>
        <v>4506670.5</v>
      </c>
      <c r="AJ139" s="90">
        <f t="shared" ref="AJ139" si="591">IF(AK138&lt;&gt;0,AK139/AK138,0)</f>
        <v>0.72368418916176169</v>
      </c>
      <c r="AK139" s="54">
        <f t="shared" si="559"/>
        <v>142623.67999999999</v>
      </c>
      <c r="AL139" s="90">
        <f t="shared" ref="AL139" si="592">IF(AK138&lt;&gt;0,AK139/AK138,0)</f>
        <v>0.72368418916176169</v>
      </c>
      <c r="AM139" s="571" t="s">
        <v>169</v>
      </c>
      <c r="AQ139" s="205"/>
      <c r="AR139" s="381"/>
      <c r="AV139" s="166">
        <f t="shared" si="557"/>
        <v>4506810.5</v>
      </c>
      <c r="AW139" s="90">
        <f t="shared" ref="AW139" si="593">IF(AX138&lt;&gt;0,AX139/AX138,0)</f>
        <v>0.72600220422390815</v>
      </c>
      <c r="AX139" s="54">
        <f t="shared" si="559"/>
        <v>141628.51</v>
      </c>
      <c r="AY139" s="90">
        <f t="shared" ref="AY139" si="594">IF(AX138&lt;&gt;0,AX139/AX138,0)</f>
        <v>0.72600220422390815</v>
      </c>
      <c r="AZ139" s="571" t="s">
        <v>169</v>
      </c>
      <c r="BD139" s="205"/>
      <c r="BE139" s="381"/>
      <c r="BI139" s="166">
        <f t="shared" si="557"/>
        <v>4506966.5</v>
      </c>
      <c r="BJ139" s="90">
        <f t="shared" ref="BJ139" si="595">IF(BK138&lt;&gt;0,BK139/BK138,0)</f>
        <v>0.72602978265327056</v>
      </c>
      <c r="BK139" s="54">
        <f t="shared" si="559"/>
        <v>141633.89000000001</v>
      </c>
      <c r="BL139" s="90">
        <f t="shared" ref="BL139" si="596">IF(BK138&lt;&gt;0,BK139/BK138,0)</f>
        <v>0.72602978265327056</v>
      </c>
      <c r="BM139" s="571" t="s">
        <v>169</v>
      </c>
      <c r="BQ139" s="205"/>
      <c r="BR139" s="381"/>
      <c r="BV139" s="166">
        <f t="shared" si="569"/>
        <v>4506438.5</v>
      </c>
      <c r="BW139" s="90">
        <f t="shared" ref="BW139" si="597">IF(BX138&lt;&gt;0,BX139/BX138,0)</f>
        <v>0.69245988776655443</v>
      </c>
      <c r="BX139" s="54">
        <f t="shared" si="571"/>
        <v>115684.08</v>
      </c>
      <c r="BY139" s="90">
        <f t="shared" ref="BY139" si="598">IF(BX138&lt;&gt;0,BX139/BX138,0)</f>
        <v>0.69245988776655443</v>
      </c>
      <c r="BZ139" s="571" t="s">
        <v>169</v>
      </c>
      <c r="CD139" s="205"/>
      <c r="CE139" s="381"/>
      <c r="CI139" s="166">
        <f t="shared" si="569"/>
        <v>4506022.5</v>
      </c>
      <c r="CJ139" s="90">
        <f t="shared" ref="CJ139" si="599">IF(CK138&lt;&gt;0,CK139/CK138,0)</f>
        <v>0.58072417455961767</v>
      </c>
      <c r="CK139" s="54">
        <f t="shared" si="571"/>
        <v>65604.41</v>
      </c>
      <c r="CL139" s="90">
        <f t="shared" ref="CL139" si="600">IF(CK138&lt;&gt;0,CK139/CK138,0)</f>
        <v>0.58072417455961767</v>
      </c>
      <c r="CM139" s="571" t="s">
        <v>169</v>
      </c>
      <c r="CQ139" s="205"/>
      <c r="CR139" s="381"/>
      <c r="CV139" s="166">
        <f t="shared" si="569"/>
        <v>4506290.5</v>
      </c>
      <c r="CW139" s="90">
        <f t="shared" ref="CW139" si="601">IF(CX138&lt;&gt;0,CX139/CX138,0)</f>
        <v>0.58080605470478897</v>
      </c>
      <c r="CX139" s="54">
        <f t="shared" si="571"/>
        <v>65613.66</v>
      </c>
      <c r="CY139" s="90">
        <f t="shared" ref="CY139" si="602">IF(CX138&lt;&gt;0,CX139/CX138,0)</f>
        <v>0.58080605470478897</v>
      </c>
      <c r="CZ139" s="571" t="s">
        <v>169</v>
      </c>
      <c r="DD139" s="205"/>
      <c r="DE139" s="381"/>
      <c r="DI139" s="166">
        <f t="shared" si="581"/>
        <v>4484842.5</v>
      </c>
      <c r="DJ139" s="90">
        <f t="shared" ref="DJ139" si="603">IF(DK138&lt;&gt;0,DK139/DK138,0)</f>
        <v>0.57425599716738951</v>
      </c>
      <c r="DK139" s="54">
        <f t="shared" si="583"/>
        <v>64873.7</v>
      </c>
      <c r="DL139" s="90">
        <f t="shared" ref="DL139" si="604">IF(DK138&lt;&gt;0,DK139/DK138,0)</f>
        <v>0.57425599716738951</v>
      </c>
      <c r="DM139" s="571" t="s">
        <v>169</v>
      </c>
      <c r="DQ139" s="205"/>
      <c r="DR139" s="381"/>
      <c r="DV139" s="166">
        <f t="shared" si="581"/>
        <v>4483022.5</v>
      </c>
      <c r="DW139" s="90">
        <f t="shared" ref="DW139" si="605">IF(DX138&lt;&gt;0,DX139/DX138,0)</f>
        <v>0.57370018589005933</v>
      </c>
      <c r="DX139" s="54">
        <f t="shared" si="583"/>
        <v>64810.91</v>
      </c>
      <c r="DY139" s="90">
        <f t="shared" ref="DY139" si="606">IF(DX138&lt;&gt;0,DX139/DX138,0)</f>
        <v>0.57370018589005933</v>
      </c>
      <c r="DZ139" s="571" t="s">
        <v>169</v>
      </c>
      <c r="ED139" s="205"/>
    </row>
    <row r="140" spans="1:134" x14ac:dyDescent="0.35">
      <c r="A140" s="560" t="s">
        <v>170</v>
      </c>
      <c r="Q140" s="225">
        <v>13</v>
      </c>
      <c r="R140" s="381"/>
      <c r="V140" s="166">
        <f t="shared" si="589"/>
        <v>2244245.5</v>
      </c>
      <c r="W140" s="90">
        <f>IF(X138&lt;&gt;0,X140/X138,0)</f>
        <v>0.27854842274462527</v>
      </c>
      <c r="X140" s="54">
        <f t="shared" si="590"/>
        <v>55453.42</v>
      </c>
      <c r="Y140" s="90">
        <f>IF(X138&lt;&gt;0,X140/X138,0)</f>
        <v>0.27854842274462527</v>
      </c>
      <c r="Z140" s="73" t="s">
        <v>170</v>
      </c>
      <c r="AD140" s="205"/>
      <c r="AE140" s="381"/>
      <c r="AI140" s="166">
        <f t="shared" si="557"/>
        <v>2244329.5</v>
      </c>
      <c r="AJ140" s="90">
        <f t="shared" ref="AJ140" si="607">IF(AK138&lt;&gt;0,AK140/AK138,0)</f>
        <v>0.27631581083823825</v>
      </c>
      <c r="AK140" s="54">
        <f t="shared" si="559"/>
        <v>54456.32</v>
      </c>
      <c r="AL140" s="90">
        <f t="shared" ref="AL140" si="608">IF(AK138&lt;&gt;0,AK140/AK138,0)</f>
        <v>0.27631581083823825</v>
      </c>
      <c r="AM140" s="571" t="s">
        <v>170</v>
      </c>
      <c r="AQ140" s="205"/>
      <c r="AR140" s="381"/>
      <c r="AV140" s="166">
        <f t="shared" si="557"/>
        <v>2244189.5</v>
      </c>
      <c r="AW140" s="90">
        <f t="shared" ref="AW140" si="609">IF(AX138&lt;&gt;0,AX140/AX138,0)</f>
        <v>0.27399779577609185</v>
      </c>
      <c r="AX140" s="54">
        <f t="shared" si="559"/>
        <v>53451.49</v>
      </c>
      <c r="AY140" s="90">
        <f t="shared" ref="AY140" si="610">IF(AX138&lt;&gt;0,AX140/AX138,0)</f>
        <v>0.27399779577609185</v>
      </c>
      <c r="AZ140" s="571" t="s">
        <v>170</v>
      </c>
      <c r="BD140" s="205"/>
      <c r="BE140" s="381"/>
      <c r="BI140" s="166">
        <f t="shared" si="557"/>
        <v>2244033.5</v>
      </c>
      <c r="BJ140" s="90">
        <f t="shared" ref="BJ140" si="611">IF(BK138&lt;&gt;0,BK140/BK138,0)</f>
        <v>0.27397021734672955</v>
      </c>
      <c r="BK140" s="54">
        <f t="shared" si="559"/>
        <v>53446.11</v>
      </c>
      <c r="BL140" s="90">
        <f t="shared" ref="BL140" si="612">IF(BK138&lt;&gt;0,BK140/BK138,0)</f>
        <v>0.27397021734672955</v>
      </c>
      <c r="BM140" s="571" t="s">
        <v>170</v>
      </c>
      <c r="BQ140" s="205"/>
      <c r="BR140" s="381"/>
      <c r="BV140" s="166">
        <f t="shared" si="569"/>
        <v>2244561.5</v>
      </c>
      <c r="BW140" s="90">
        <f t="shared" ref="BW140" si="613">IF(BX138&lt;&gt;0,BX140/BX138,0)</f>
        <v>0.30754011223344557</v>
      </c>
      <c r="BX140" s="54">
        <f t="shared" si="571"/>
        <v>51378.42</v>
      </c>
      <c r="BY140" s="90">
        <f t="shared" ref="BY140" si="614">IF(BX138&lt;&gt;0,BX140/BX138,0)</f>
        <v>0.30754011223344557</v>
      </c>
      <c r="BZ140" s="571" t="s">
        <v>170</v>
      </c>
      <c r="CD140" s="205"/>
      <c r="CE140" s="381"/>
      <c r="CI140" s="166">
        <f t="shared" si="569"/>
        <v>2244977.5</v>
      </c>
      <c r="CJ140" s="90">
        <f t="shared" ref="CJ140" si="615">IF(CK138&lt;&gt;0,CK140/CK138,0)</f>
        <v>0.41927582544038239</v>
      </c>
      <c r="CK140" s="54">
        <f t="shared" si="571"/>
        <v>47365.59</v>
      </c>
      <c r="CL140" s="90">
        <f t="shared" ref="CL140" si="616">IF(CK138&lt;&gt;0,CK140/CK138,0)</f>
        <v>0.41927582544038239</v>
      </c>
      <c r="CM140" s="571" t="s">
        <v>170</v>
      </c>
      <c r="CQ140" s="205"/>
      <c r="CR140" s="381"/>
      <c r="CV140" s="166">
        <f t="shared" si="569"/>
        <v>2244709.5</v>
      </c>
      <c r="CW140" s="90">
        <f t="shared" ref="CW140" si="617">IF(CX138&lt;&gt;0,CX140/CX138,0)</f>
        <v>0.41919394529521109</v>
      </c>
      <c r="CX140" s="54">
        <f t="shared" si="571"/>
        <v>47356.34</v>
      </c>
      <c r="CY140" s="90">
        <f t="shared" ref="CY140" si="618">IF(CX138&lt;&gt;0,CX140/CX138,0)</f>
        <v>0.41919394529521109</v>
      </c>
      <c r="CZ140" s="571" t="s">
        <v>170</v>
      </c>
      <c r="DD140" s="205"/>
      <c r="DE140" s="381"/>
      <c r="DI140" s="166">
        <f t="shared" si="581"/>
        <v>2266157.5</v>
      </c>
      <c r="DJ140" s="90">
        <f t="shared" ref="DJ140" si="619">IF(DK138&lt;&gt;0,DK140/DK138,0)</f>
        <v>0.42574400283261044</v>
      </c>
      <c r="DK140" s="54">
        <f t="shared" si="583"/>
        <v>48096.3</v>
      </c>
      <c r="DL140" s="90">
        <f t="shared" ref="DL140" si="620">IF(DK138&lt;&gt;0,DK140/DK138,0)</f>
        <v>0.42574400283261044</v>
      </c>
      <c r="DM140" s="571" t="s">
        <v>170</v>
      </c>
      <c r="DQ140" s="205"/>
      <c r="DR140" s="381"/>
      <c r="DV140" s="166">
        <f t="shared" si="581"/>
        <v>2267977.5</v>
      </c>
      <c r="DW140" s="90">
        <f t="shared" ref="DW140" si="621">IF(DX138&lt;&gt;0,DX140/DX138,0)</f>
        <v>0.42629981410994067</v>
      </c>
      <c r="DX140" s="54">
        <f t="shared" si="583"/>
        <v>48159.09</v>
      </c>
      <c r="DY140" s="90">
        <f t="shared" ref="DY140" si="622">IF(DX138&lt;&gt;0,DX140/DX138,0)</f>
        <v>0.42629981410994067</v>
      </c>
      <c r="DZ140" s="571" t="s">
        <v>170</v>
      </c>
      <c r="ED140" s="205"/>
    </row>
    <row r="141" spans="1:134" x14ac:dyDescent="0.35">
      <c r="A141" s="560" t="s">
        <v>171</v>
      </c>
      <c r="Q141" s="225">
        <v>14</v>
      </c>
      <c r="R141" s="381"/>
      <c r="V141" s="166"/>
      <c r="W141" s="90">
        <f>IF(X138&lt;&gt;0,X141/X138,0)</f>
        <v>0</v>
      </c>
      <c r="X141" s="54">
        <f t="shared" si="590"/>
        <v>0</v>
      </c>
      <c r="Y141" s="90">
        <f>IF(X138&lt;&gt;0,X141/X138,0)</f>
        <v>0</v>
      </c>
      <c r="Z141" s="73" t="s">
        <v>171</v>
      </c>
      <c r="AD141" s="205"/>
      <c r="AE141" s="381"/>
      <c r="AI141" s="166"/>
      <c r="AJ141" s="90">
        <f t="shared" ref="AJ141" si="623">IF(AK138&lt;&gt;0,AK141/AK138,0)</f>
        <v>0</v>
      </c>
      <c r="AK141" s="54">
        <f t="shared" si="559"/>
        <v>0</v>
      </c>
      <c r="AL141" s="90">
        <f t="shared" ref="AL141" si="624">IF(AK138&lt;&gt;0,AK141/AK138,0)</f>
        <v>0</v>
      </c>
      <c r="AM141" s="571" t="s">
        <v>171</v>
      </c>
      <c r="AQ141" s="205"/>
      <c r="AR141" s="381"/>
      <c r="AV141" s="166"/>
      <c r="AW141" s="90">
        <f t="shared" ref="AW141" si="625">IF(AX138&lt;&gt;0,AX141/AX138,0)</f>
        <v>0</v>
      </c>
      <c r="AX141" s="54">
        <f t="shared" si="559"/>
        <v>0</v>
      </c>
      <c r="AY141" s="90">
        <f t="shared" ref="AY141" si="626">IF(AX138&lt;&gt;0,AX141/AX138,0)</f>
        <v>0</v>
      </c>
      <c r="AZ141" s="571" t="s">
        <v>171</v>
      </c>
      <c r="BD141" s="205"/>
      <c r="BE141" s="381"/>
      <c r="BI141" s="166"/>
      <c r="BJ141" s="90">
        <f t="shared" ref="BJ141" si="627">IF(BK138&lt;&gt;0,BK141/BK138,0)</f>
        <v>0</v>
      </c>
      <c r="BK141" s="54">
        <f t="shared" si="559"/>
        <v>0</v>
      </c>
      <c r="BL141" s="90">
        <f t="shared" ref="BL141" si="628">IF(BK138&lt;&gt;0,BK141/BK138,0)</f>
        <v>0</v>
      </c>
      <c r="BM141" s="571" t="s">
        <v>171</v>
      </c>
      <c r="BQ141" s="205"/>
      <c r="BR141" s="381"/>
      <c r="BV141" s="166"/>
      <c r="BW141" s="90">
        <f t="shared" ref="BW141" si="629">IF(BX138&lt;&gt;0,BX141/BX138,0)</f>
        <v>0</v>
      </c>
      <c r="BX141" s="54">
        <f t="shared" si="571"/>
        <v>0</v>
      </c>
      <c r="BY141" s="90">
        <f t="shared" ref="BY141" si="630">IF(BX138&lt;&gt;0,BX141/BX138,0)</f>
        <v>0</v>
      </c>
      <c r="BZ141" s="571" t="s">
        <v>171</v>
      </c>
      <c r="CD141" s="205"/>
      <c r="CE141" s="381"/>
      <c r="CI141" s="166"/>
      <c r="CJ141" s="90">
        <f t="shared" ref="CJ141" si="631">IF(CK138&lt;&gt;0,CK141/CK138,0)</f>
        <v>0</v>
      </c>
      <c r="CK141" s="54">
        <f t="shared" si="571"/>
        <v>0</v>
      </c>
      <c r="CL141" s="90">
        <f t="shared" ref="CL141" si="632">IF(CK138&lt;&gt;0,CK141/CK138,0)</f>
        <v>0</v>
      </c>
      <c r="CM141" s="571" t="s">
        <v>171</v>
      </c>
      <c r="CQ141" s="205"/>
      <c r="CR141" s="381"/>
      <c r="CV141" s="166"/>
      <c r="CW141" s="90">
        <f t="shared" ref="CW141" si="633">IF(CX138&lt;&gt;0,CX141/CX138,0)</f>
        <v>0</v>
      </c>
      <c r="CX141" s="54">
        <f t="shared" si="571"/>
        <v>0</v>
      </c>
      <c r="CY141" s="90">
        <f t="shared" ref="CY141" si="634">IF(CX138&lt;&gt;0,CX141/CX138,0)</f>
        <v>0</v>
      </c>
      <c r="CZ141" s="571" t="s">
        <v>171</v>
      </c>
      <c r="DD141" s="205"/>
      <c r="DE141" s="381"/>
      <c r="DI141" s="166"/>
      <c r="DJ141" s="90">
        <f t="shared" ref="DJ141" si="635">IF(DK138&lt;&gt;0,DK141/DK138,0)</f>
        <v>0</v>
      </c>
      <c r="DK141" s="54">
        <f t="shared" si="583"/>
        <v>0</v>
      </c>
      <c r="DL141" s="90">
        <f t="shared" ref="DL141" si="636">IF(DK138&lt;&gt;0,DK141/DK138,0)</f>
        <v>0</v>
      </c>
      <c r="DM141" s="571" t="s">
        <v>171</v>
      </c>
      <c r="DQ141" s="205"/>
      <c r="DR141" s="381"/>
      <c r="DV141" s="166"/>
      <c r="DW141" s="90">
        <f t="shared" ref="DW141" si="637">IF(DX138&lt;&gt;0,DX141/DX138,0)</f>
        <v>0</v>
      </c>
      <c r="DX141" s="54">
        <f t="shared" si="583"/>
        <v>0</v>
      </c>
      <c r="DY141" s="90">
        <f t="shared" ref="DY141" si="638">IF(DX138&lt;&gt;0,DX141/DX138,0)</f>
        <v>0</v>
      </c>
      <c r="DZ141" s="571" t="s">
        <v>171</v>
      </c>
      <c r="ED141" s="205"/>
    </row>
    <row r="142" spans="1:134" ht="18.5" x14ac:dyDescent="0.45">
      <c r="A142" s="171" t="s">
        <v>565</v>
      </c>
      <c r="Q142" s="225">
        <v>15</v>
      </c>
      <c r="R142" s="382" t="s">
        <v>867</v>
      </c>
      <c r="S142" s="74" t="s">
        <v>562</v>
      </c>
      <c r="T142" s="74"/>
      <c r="U142" s="203" t="s">
        <v>563</v>
      </c>
      <c r="V142" s="203"/>
      <c r="W142" s="203"/>
      <c r="X142" s="203" t="s">
        <v>385</v>
      </c>
      <c r="Y142" s="203" t="s">
        <v>566</v>
      </c>
      <c r="Z142" s="203" t="s">
        <v>387</v>
      </c>
      <c r="AA142" s="203" t="s">
        <v>564</v>
      </c>
      <c r="AB142" s="202" t="s">
        <v>565</v>
      </c>
      <c r="AD142" s="205"/>
      <c r="AE142" s="382" t="s">
        <v>867</v>
      </c>
      <c r="AF142" s="74" t="s">
        <v>562</v>
      </c>
      <c r="AG142" s="74"/>
      <c r="AH142" s="203" t="s">
        <v>563</v>
      </c>
      <c r="AI142" s="203"/>
      <c r="AJ142" s="203"/>
      <c r="AK142" s="203" t="s">
        <v>385</v>
      </c>
      <c r="AL142" s="203" t="s">
        <v>566</v>
      </c>
      <c r="AM142" s="203" t="s">
        <v>387</v>
      </c>
      <c r="AN142" s="203" t="s">
        <v>564</v>
      </c>
      <c r="AO142" s="202" t="s">
        <v>565</v>
      </c>
      <c r="AQ142" s="205"/>
      <c r="AR142" s="382" t="s">
        <v>867</v>
      </c>
      <c r="AS142" s="74" t="s">
        <v>562</v>
      </c>
      <c r="AT142" s="74"/>
      <c r="AU142" s="203" t="s">
        <v>563</v>
      </c>
      <c r="AV142" s="203"/>
      <c r="AW142" s="203"/>
      <c r="AX142" s="203" t="s">
        <v>385</v>
      </c>
      <c r="AY142" s="203" t="s">
        <v>566</v>
      </c>
      <c r="AZ142" s="203" t="s">
        <v>387</v>
      </c>
      <c r="BA142" s="203" t="s">
        <v>564</v>
      </c>
      <c r="BB142" s="202" t="s">
        <v>565</v>
      </c>
      <c r="BD142" s="205"/>
      <c r="BE142" s="382" t="s">
        <v>867</v>
      </c>
      <c r="BF142" s="74" t="s">
        <v>562</v>
      </c>
      <c r="BG142" s="74"/>
      <c r="BH142" s="203" t="s">
        <v>563</v>
      </c>
      <c r="BI142" s="203"/>
      <c r="BJ142" s="203"/>
      <c r="BK142" s="203" t="s">
        <v>385</v>
      </c>
      <c r="BL142" s="203" t="s">
        <v>566</v>
      </c>
      <c r="BM142" s="203" t="s">
        <v>387</v>
      </c>
      <c r="BN142" s="203" t="s">
        <v>564</v>
      </c>
      <c r="BO142" s="202" t="s">
        <v>565</v>
      </c>
      <c r="BQ142" s="205"/>
      <c r="BR142" s="382" t="s">
        <v>867</v>
      </c>
      <c r="BS142" s="74" t="s">
        <v>562</v>
      </c>
      <c r="BT142" s="74"/>
      <c r="BU142" s="203" t="s">
        <v>563</v>
      </c>
      <c r="BV142" s="203"/>
      <c r="BW142" s="203"/>
      <c r="BX142" s="203" t="s">
        <v>385</v>
      </c>
      <c r="BY142" s="203" t="s">
        <v>566</v>
      </c>
      <c r="BZ142" s="203" t="s">
        <v>387</v>
      </c>
      <c r="CA142" s="203" t="s">
        <v>564</v>
      </c>
      <c r="CB142" s="202" t="s">
        <v>565</v>
      </c>
      <c r="CD142" s="205"/>
      <c r="CE142" s="382" t="s">
        <v>867</v>
      </c>
      <c r="CF142" s="74" t="s">
        <v>562</v>
      </c>
      <c r="CG142" s="74"/>
      <c r="CH142" s="203" t="s">
        <v>563</v>
      </c>
      <c r="CI142" s="203"/>
      <c r="CJ142" s="203"/>
      <c r="CK142" s="203" t="s">
        <v>385</v>
      </c>
      <c r="CL142" s="203" t="s">
        <v>566</v>
      </c>
      <c r="CM142" s="203" t="s">
        <v>387</v>
      </c>
      <c r="CN142" s="203" t="s">
        <v>564</v>
      </c>
      <c r="CO142" s="202" t="s">
        <v>565</v>
      </c>
      <c r="CQ142" s="205"/>
      <c r="CR142" s="382" t="s">
        <v>867</v>
      </c>
      <c r="CS142" s="74" t="s">
        <v>562</v>
      </c>
      <c r="CT142" s="74"/>
      <c r="CU142" s="203" t="s">
        <v>563</v>
      </c>
      <c r="CV142" s="203"/>
      <c r="CW142" s="203"/>
      <c r="CX142" s="203" t="s">
        <v>385</v>
      </c>
      <c r="CY142" s="203" t="s">
        <v>566</v>
      </c>
      <c r="CZ142" s="203" t="s">
        <v>387</v>
      </c>
      <c r="DA142" s="203" t="s">
        <v>564</v>
      </c>
      <c r="DB142" s="202" t="s">
        <v>565</v>
      </c>
      <c r="DD142" s="205"/>
      <c r="DE142" s="382" t="s">
        <v>867</v>
      </c>
      <c r="DF142" s="74" t="s">
        <v>562</v>
      </c>
      <c r="DG142" s="74"/>
      <c r="DH142" s="203" t="s">
        <v>563</v>
      </c>
      <c r="DI142" s="203"/>
      <c r="DJ142" s="203"/>
      <c r="DK142" s="203" t="s">
        <v>385</v>
      </c>
      <c r="DL142" s="203" t="s">
        <v>566</v>
      </c>
      <c r="DM142" s="203" t="s">
        <v>387</v>
      </c>
      <c r="DN142" s="203" t="s">
        <v>564</v>
      </c>
      <c r="DO142" s="202" t="s">
        <v>565</v>
      </c>
      <c r="DQ142" s="205"/>
      <c r="DR142" s="382" t="s">
        <v>867</v>
      </c>
      <c r="DS142" s="74" t="s">
        <v>562</v>
      </c>
      <c r="DT142" s="74"/>
      <c r="DU142" s="203" t="s">
        <v>563</v>
      </c>
      <c r="DV142" s="203"/>
      <c r="DW142" s="203"/>
      <c r="DX142" s="203" t="s">
        <v>385</v>
      </c>
      <c r="DY142" s="203" t="s">
        <v>566</v>
      </c>
      <c r="DZ142" s="203" t="s">
        <v>387</v>
      </c>
      <c r="EA142" s="203" t="s">
        <v>564</v>
      </c>
      <c r="EB142" s="202" t="s">
        <v>565</v>
      </c>
      <c r="ED142" s="205"/>
    </row>
    <row r="143" spans="1:134" x14ac:dyDescent="0.35">
      <c r="A143" s="561" t="s">
        <v>589</v>
      </c>
      <c r="Q143" s="225">
        <v>16</v>
      </c>
      <c r="R143" s="381"/>
      <c r="S143" s="89">
        <f>SUMIF($D$5:$D$125,"=zus",S5:S125)+SUMIF($D$5:$D$125,"=zum",S5:S125)+SUMIF($D$5:$D$125,"=zur",S5:S125)+SUMIF($D$5:$D$125,"=zuk",S5:S125)</f>
        <v>0</v>
      </c>
      <c r="U143" s="89">
        <f>SUMIF($D$5:$D$125,"=zus",U5:U125)+SUMIF($D$5:$D$125,"=zum",U5:U125)+SUMIF($D$5:$D$125,"=zur",U5:U125)+SUMIF($D$5:$D$125,"=zuk",U5:U125)</f>
        <v>0</v>
      </c>
      <c r="W143" s="90">
        <f>SUM(W144:W146)</f>
        <v>1.0000000000000002</v>
      </c>
      <c r="X143" s="89">
        <f>Z143*HLOOKUP(X128,Grund_zins,2,FALSE)</f>
        <v>82040.787500000006</v>
      </c>
      <c r="Y143" s="89">
        <f>SUMIF($D$5:$D$125,"=zus",Y5:Y125)+SUMIF($D$5:$D$125,"=zum",Y5:Y125)+SUMIF($D$5:$D$125,"=zur",Y5:Y125)+SUMIF($D$5:$D$125,"=zuk",Y5:Y125)</f>
        <v>185280</v>
      </c>
      <c r="Z143" s="89">
        <f>AA143-S143+U143+Y143/2</f>
        <v>2344022.5</v>
      </c>
      <c r="AA143" s="89">
        <f>SUMIF($D$5:$D$125,"=zus",AA5:AA125)+SUMIF($D$5:$D$125,"=zum",AA5:AA125)+SUMIF($D$5:$D$125,"=zur",AA5:AA125)+SUMIF($D$5:$D$125,"=zuk",AA5:AA125)</f>
        <v>2251382.5</v>
      </c>
      <c r="AB143" s="561" t="s">
        <v>897</v>
      </c>
      <c r="AD143" s="205"/>
      <c r="AE143" s="381"/>
      <c r="AF143" s="89">
        <f t="shared" ref="AF143" si="639">SUMIF($D$5:$D$125,"=zus",AF5:AF125)+SUMIF($D$5:$D$125,"=zum",AF5:AF125)+SUMIF($D$5:$D$125,"=zur",AF5:AF125)+SUMIF($D$5:$D$125,"=zuk",AF5:AF125)</f>
        <v>0</v>
      </c>
      <c r="AH143" s="89">
        <f t="shared" ref="AH143" si="640">SUMIF($D$5:$D$125,"=zus",AH5:AH125)+SUMIF($D$5:$D$125,"=zum",AH5:AH125)+SUMIF($D$5:$D$125,"=zur",AH5:AH125)+SUMIF($D$5:$D$125,"=zuk",AH5:AH125)</f>
        <v>0</v>
      </c>
      <c r="AJ143" s="90">
        <f t="shared" ref="AJ143" si="641">SUM(AJ144:AJ146)</f>
        <v>1</v>
      </c>
      <c r="AK143" s="89">
        <f>AM143*HLOOKUP(AK128,Grund_zins,2,FALSE)</f>
        <v>75590.987500000003</v>
      </c>
      <c r="AL143" s="89">
        <f t="shared" ref="AL143" si="642">SUMIF($D$5:$D$125,"=zus",AL5:AL125)+SUMIF($D$5:$D$125,"=zum",AL5:AL125)+SUMIF($D$5:$D$125,"=zur",AL5:AL125)+SUMIF($D$5:$D$125,"=zuk",AL5:AL125)</f>
        <v>183280</v>
      </c>
      <c r="AM143" s="89">
        <f t="shared" ref="AM143:AM149" si="643">AN143-AF143+AH143+AL143/2</f>
        <v>2159742.5</v>
      </c>
      <c r="AN143" s="89">
        <f t="shared" ref="AN143" si="644">SUMIF($D$5:$D$125,"=zus",AN5:AN125)+SUMIF($D$5:$D$125,"=zum",AN5:AN125)+SUMIF($D$5:$D$125,"=zur",AN5:AN125)+SUMIF($D$5:$D$125,"=zuk",AN5:AN125)</f>
        <v>2068102.5</v>
      </c>
      <c r="AO143" s="570" t="s">
        <v>897</v>
      </c>
      <c r="AQ143" s="205"/>
      <c r="AR143" s="381"/>
      <c r="AS143" s="89">
        <f t="shared" ref="AS143" si="645">SUMIF($D$5:$D$125,"=zus",AS5:AS125)+SUMIF($D$5:$D$125,"=zum",AS5:AS125)+SUMIF($D$5:$D$125,"=zur",AS5:AS125)+SUMIF($D$5:$D$125,"=zuk",AS5:AS125)</f>
        <v>0</v>
      </c>
      <c r="AU143" s="89">
        <f t="shared" ref="AU143" si="646">SUMIF($D$5:$D$125,"=zus",AU5:AU125)+SUMIF($D$5:$D$125,"=zum",AU5:AU125)+SUMIF($D$5:$D$125,"=zur",AU5:AU125)+SUMIF($D$5:$D$125,"=zuk",AU5:AU125)</f>
        <v>0</v>
      </c>
      <c r="AW143" s="90">
        <f t="shared" ref="AW143" si="647">SUM(AW144:AW146)</f>
        <v>1</v>
      </c>
      <c r="AX143" s="89">
        <f>AZ143*HLOOKUP(AX128,Grund_zins,2,FALSE)</f>
        <v>69211.1875</v>
      </c>
      <c r="AY143" s="89">
        <f t="shared" ref="AY143" si="648">SUMIF($D$5:$D$125,"=zus",AY5:AY125)+SUMIF($D$5:$D$125,"=zum",AY5:AY125)+SUMIF($D$5:$D$125,"=zur",AY5:AY125)+SUMIF($D$5:$D$125,"=zuk",AY5:AY125)</f>
        <v>181280</v>
      </c>
      <c r="AZ143" s="89">
        <f t="shared" ref="AZ143:AZ149" si="649">BA143-AS143+AU143+AY143/2</f>
        <v>1977462.5</v>
      </c>
      <c r="BA143" s="89">
        <f t="shared" ref="BA143" si="650">SUMIF($D$5:$D$125,"=zus",BA5:BA125)+SUMIF($D$5:$D$125,"=zum",BA5:BA125)+SUMIF($D$5:$D$125,"=zur",BA5:BA125)+SUMIF($D$5:$D$125,"=zuk",BA5:BA125)</f>
        <v>1886822.5</v>
      </c>
      <c r="BB143" s="570" t="s">
        <v>897</v>
      </c>
      <c r="BD143" s="205"/>
      <c r="BE143" s="381"/>
      <c r="BF143" s="89">
        <f t="shared" ref="BF143" si="651">SUMIF($D$5:$D$125,"=zus",BF5:BF125)+SUMIF($D$5:$D$125,"=zum",BF5:BF125)+SUMIF($D$5:$D$125,"=zur",BF5:BF125)+SUMIF($D$5:$D$125,"=zuk",BF5:BF125)</f>
        <v>0</v>
      </c>
      <c r="BH143" s="89">
        <f t="shared" ref="BH143" si="652">SUMIF($D$5:$D$125,"=zus",BH5:BH125)+SUMIF($D$5:$D$125,"=zum",BH5:BH125)+SUMIF($D$5:$D$125,"=zur",BH5:BH125)+SUMIF($D$5:$D$125,"=zuk",BH5:BH125)</f>
        <v>0</v>
      </c>
      <c r="BJ143" s="90">
        <f t="shared" ref="BJ143" si="653">SUM(BJ144:BJ146)</f>
        <v>1</v>
      </c>
      <c r="BK143" s="89">
        <f>BM143*HLOOKUP(BK128,Grund_zins,2,FALSE)</f>
        <v>62866.387500000004</v>
      </c>
      <c r="BL143" s="89">
        <f t="shared" ref="BL143" si="654">SUMIF($D$5:$D$125,"=zus",BL5:BL125)+SUMIF($D$5:$D$125,"=zum",BL5:BL125)+SUMIF($D$5:$D$125,"=zur",BL5:BL125)+SUMIF($D$5:$D$125,"=zuk",BL5:BL125)</f>
        <v>181280</v>
      </c>
      <c r="BM143" s="89">
        <f t="shared" ref="BM143:BM149" si="655">BN143-BF143+BH143+BL143/2</f>
        <v>1796182.5</v>
      </c>
      <c r="BN143" s="89">
        <f t="shared" ref="BN143" si="656">SUMIF($D$5:$D$125,"=zus",BN5:BN125)+SUMIF($D$5:$D$125,"=zum",BN5:BN125)+SUMIF($D$5:$D$125,"=zur",BN5:BN125)+SUMIF($D$5:$D$125,"=zuk",BN5:BN125)</f>
        <v>1705542.5</v>
      </c>
      <c r="BO143" s="570" t="s">
        <v>897</v>
      </c>
      <c r="BQ143" s="205"/>
      <c r="BR143" s="381"/>
      <c r="BS143" s="89">
        <f t="shared" ref="BS143" si="657">SUMIF($D$5:$D$125,"=zus",BS5:BS125)+SUMIF($D$5:$D$125,"=zum",BS5:BS125)+SUMIF($D$5:$D$125,"=zur",BS5:BS125)+SUMIF($D$5:$D$125,"=zuk",BS5:BS125)</f>
        <v>0</v>
      </c>
      <c r="BU143" s="89">
        <f t="shared" ref="BU143" si="658">SUMIF($D$5:$D$125,"=zus",BU5:BU125)+SUMIF($D$5:$D$125,"=zum",BU5:BU125)+SUMIF($D$5:$D$125,"=zur",BU5:BU125)+SUMIF($D$5:$D$125,"=zuk",BU5:BU125)</f>
        <v>0</v>
      </c>
      <c r="BW143" s="90">
        <f t="shared" ref="BW143" si="659">SUM(BW144:BW146)</f>
        <v>1</v>
      </c>
      <c r="BX143" s="89">
        <f>BZ143*HLOOKUP(BX128,Grund_zins,2,FALSE)</f>
        <v>57011.893750000003</v>
      </c>
      <c r="BY143" s="89">
        <f t="shared" ref="BY143" si="660">SUMIF($D$5:$D$125,"=zus",BY5:BY125)+SUMIF($D$5:$D$125,"=zum",BY5:BY125)+SUMIF($D$5:$D$125,"=zur",BY5:BY125)+SUMIF($D$5:$D$125,"=zuk",BY5:BY125)</f>
        <v>153262.5</v>
      </c>
      <c r="BZ143" s="89">
        <f t="shared" ref="BZ143:BZ149" si="661">CA143-BS143+BU143+BY143/2</f>
        <v>1628911.25</v>
      </c>
      <c r="CA143" s="89">
        <f t="shared" ref="CA143" si="662">SUMIF($D$5:$D$125,"=zus",CA5:CA125)+SUMIF($D$5:$D$125,"=zum",CA5:CA125)+SUMIF($D$5:$D$125,"=zur",CA5:CA125)+SUMIF($D$5:$D$125,"=zuk",CA5:CA125)</f>
        <v>1552280</v>
      </c>
      <c r="CB143" s="570" t="s">
        <v>897</v>
      </c>
      <c r="CD143" s="205"/>
      <c r="CE143" s="381"/>
      <c r="CF143" s="89">
        <f t="shared" ref="CF143" si="663">SUMIF($D$5:$D$125,"=zus",CF5:CF125)+SUMIF($D$5:$D$125,"=zum",CF5:CF125)+SUMIF($D$5:$D$125,"=zur",CF5:CF125)+SUMIF($D$5:$D$125,"=zuk",CF5:CF125)</f>
        <v>0</v>
      </c>
      <c r="CH143" s="89">
        <f t="shared" ref="CH143" si="664">SUMIF($D$5:$D$125,"=zus",CH5:CH125)+SUMIF($D$5:$D$125,"=zum",CH5:CH125)+SUMIF($D$5:$D$125,"=zur",CH5:CH125)+SUMIF($D$5:$D$125,"=zuk",CH5:CH125)</f>
        <v>0</v>
      </c>
      <c r="CJ143" s="90">
        <f t="shared" ref="CJ143" si="665">SUM(CJ144:CJ146)</f>
        <v>1</v>
      </c>
      <c r="CK143" s="89">
        <f>CM143*HLOOKUP(CK128,Grund_zins,2,FALSE)</f>
        <v>45080.85</v>
      </c>
      <c r="CL143" s="89">
        <f t="shared" ref="CL143" si="666">SUMIF($D$5:$D$125,"=zus",CL5:CL125)+SUMIF($D$5:$D$125,"=zum",CL5:CL125)+SUMIF($D$5:$D$125,"=zur",CL5:CL125)+SUMIF($D$5:$D$125,"=zuk",CL5:CL125)</f>
        <v>99170</v>
      </c>
      <c r="CM143" s="89">
        <f t="shared" ref="CM143:CM149" si="667">CN143-CF143+CH143+CL143/2</f>
        <v>1502695</v>
      </c>
      <c r="CN143" s="89">
        <f t="shared" ref="CN143" si="668">SUMIF($D$5:$D$125,"=zus",CN5:CN125)+SUMIF($D$5:$D$125,"=zum",CN5:CN125)+SUMIF($D$5:$D$125,"=zur",CN5:CN125)+SUMIF($D$5:$D$125,"=zuk",CN5:CN125)</f>
        <v>1453110</v>
      </c>
      <c r="CO143" s="570" t="s">
        <v>897</v>
      </c>
      <c r="CQ143" s="205"/>
      <c r="CR143" s="381"/>
      <c r="CS143" s="89">
        <f t="shared" ref="CS143" si="669">SUMIF($D$5:$D$125,"=zus",CS5:CS125)+SUMIF($D$5:$D$125,"=zum",CS5:CS125)+SUMIF($D$5:$D$125,"=zur",CS5:CS125)+SUMIF($D$5:$D$125,"=zuk",CS5:CS125)</f>
        <v>0</v>
      </c>
      <c r="CU143" s="89">
        <f t="shared" ref="CU143" si="670">SUMIF($D$5:$D$125,"=zus",CU5:CU125)+SUMIF($D$5:$D$125,"=zum",CU5:CU125)+SUMIF($D$5:$D$125,"=zur",CU5:CU125)+SUMIF($D$5:$D$125,"=zuk",CU5:CU125)</f>
        <v>0</v>
      </c>
      <c r="CW143" s="90">
        <f t="shared" ref="CW143" si="671">SUM(CW144:CW146)</f>
        <v>1</v>
      </c>
      <c r="CX143" s="89">
        <f>CZ143*HLOOKUP(CX128,Grund_zins,2,FALSE)</f>
        <v>42105.75</v>
      </c>
      <c r="CY143" s="89">
        <f t="shared" ref="CY143" si="672">SUMIF($D$5:$D$125,"=zus",CY5:CY125)+SUMIF($D$5:$D$125,"=zum",CY5:CY125)+SUMIF($D$5:$D$125,"=zur",CY5:CY125)+SUMIF($D$5:$D$125,"=zuk",CY5:CY125)</f>
        <v>99170</v>
      </c>
      <c r="CZ143" s="89">
        <f t="shared" ref="CZ143:CZ149" si="673">DA143-CS143+CU143+CY143/2</f>
        <v>1403525</v>
      </c>
      <c r="DA143" s="89">
        <f t="shared" ref="DA143" si="674">SUMIF($D$5:$D$125,"=zus",DA5:DA125)+SUMIF($D$5:$D$125,"=zum",DA5:DA125)+SUMIF($D$5:$D$125,"=zur",DA5:DA125)+SUMIF($D$5:$D$125,"=zuk",DA5:DA125)</f>
        <v>1353940</v>
      </c>
      <c r="DB143" s="570" t="s">
        <v>897</v>
      </c>
      <c r="DD143" s="205"/>
      <c r="DE143" s="381"/>
      <c r="DF143" s="89">
        <f t="shared" ref="DF143" si="675">SUMIF($D$5:$D$125,"=zus",DF5:DF125)+SUMIF($D$5:$D$125,"=zum",DF5:DF125)+SUMIF($D$5:$D$125,"=zur",DF5:DF125)+SUMIF($D$5:$D$125,"=zuk",DF5:DF125)</f>
        <v>0</v>
      </c>
      <c r="DH143" s="89">
        <f t="shared" ref="DH143" si="676">SUMIF($D$5:$D$125,"=zus",DH5:DH125)+SUMIF($D$5:$D$125,"=zum",DH5:DH125)+SUMIF($D$5:$D$125,"=zur",DH5:DH125)+SUMIF($D$5:$D$125,"=zuk",DH5:DH125)</f>
        <v>0</v>
      </c>
      <c r="DJ143" s="90">
        <f t="shared" ref="DJ143" si="677">SUM(DJ144:DJ146)</f>
        <v>1</v>
      </c>
      <c r="DK143" s="89">
        <f>DM143*HLOOKUP(DK128,Grund_zins,2,FALSE)</f>
        <v>39130.65</v>
      </c>
      <c r="DL143" s="89">
        <f t="shared" ref="DL143" si="678">SUMIF($D$5:$D$125,"=zus",DL5:DL125)+SUMIF($D$5:$D$125,"=zum",DL5:DL125)+SUMIF($D$5:$D$125,"=zur",DL5:DL125)+SUMIF($D$5:$D$125,"=zuk",DL5:DL125)</f>
        <v>99170</v>
      </c>
      <c r="DM143" s="89">
        <f t="shared" ref="DM143:DM149" si="679">DN143-DF143+DH143+DL143/2</f>
        <v>1304355</v>
      </c>
      <c r="DN143" s="89">
        <f t="shared" ref="DN143" si="680">SUMIF($D$5:$D$125,"=zus",DN5:DN125)+SUMIF($D$5:$D$125,"=zum",DN5:DN125)+SUMIF($D$5:$D$125,"=zur",DN5:DN125)+SUMIF($D$5:$D$125,"=zuk",DN5:DN125)</f>
        <v>1254770</v>
      </c>
      <c r="DO143" s="570" t="s">
        <v>897</v>
      </c>
      <c r="DQ143" s="205"/>
      <c r="DR143" s="381"/>
      <c r="DS143" s="89">
        <f t="shared" ref="DS143" si="681">SUMIF($D$5:$D$125,"=zus",DS5:DS125)+SUMIF($D$5:$D$125,"=zum",DS5:DS125)+SUMIF($D$5:$D$125,"=zur",DS5:DS125)+SUMIF($D$5:$D$125,"=zuk",DS5:DS125)</f>
        <v>0</v>
      </c>
      <c r="DU143" s="89">
        <f t="shared" ref="DU143" si="682">SUMIF($D$5:$D$125,"=zus",DU5:DU125)+SUMIF($D$5:$D$125,"=zum",DU5:DU125)+SUMIF($D$5:$D$125,"=zur",DU5:DU125)+SUMIF($D$5:$D$125,"=zuk",DU5:DU125)</f>
        <v>0</v>
      </c>
      <c r="DW143" s="90">
        <f t="shared" ref="DW143" si="683">SUM(DW144:DW146)</f>
        <v>1</v>
      </c>
      <c r="DX143" s="89">
        <f>DZ143*HLOOKUP(DX128,Grund_zins,2,FALSE)</f>
        <v>36155.549999999996</v>
      </c>
      <c r="DY143" s="89">
        <f t="shared" ref="DY143" si="684">SUMIF($D$5:$D$125,"=zus",DY5:DY125)+SUMIF($D$5:$D$125,"=zum",DY5:DY125)+SUMIF($D$5:$D$125,"=zur",DY5:DY125)+SUMIF($D$5:$D$125,"=zuk",DY5:DY125)</f>
        <v>99170</v>
      </c>
      <c r="DZ143" s="89">
        <f t="shared" ref="DZ143:DZ149" si="685">EA143-DS143+DU143+DY143/2</f>
        <v>1205185</v>
      </c>
      <c r="EA143" s="89">
        <f t="shared" ref="EA143" si="686">SUMIF($D$5:$D$125,"=zus",EA5:EA125)+SUMIF($D$5:$D$125,"=zum",EA5:EA125)+SUMIF($D$5:$D$125,"=zur",EA5:EA125)+SUMIF($D$5:$D$125,"=zuk",EA5:EA125)</f>
        <v>1155600</v>
      </c>
      <c r="EB143" s="570" t="s">
        <v>897</v>
      </c>
      <c r="ED143" s="205"/>
    </row>
    <row r="144" spans="1:134" x14ac:dyDescent="0.35">
      <c r="A144" s="560" t="s">
        <v>169</v>
      </c>
      <c r="Q144" s="225">
        <v>17</v>
      </c>
      <c r="R144" s="381"/>
      <c r="S144" s="89">
        <f>SUMIF($D$5:$D$125,"=zus",S5:S125)*HLOOKUP(X128,Verteil_sw,39,FALSE)+SUMIF($D$5:$D$125,"=zum",S5:S125)*HLOOKUP(X128,Verteil_sw,40,FALSE)+SUMIF($D$5:$D$125,"=zur",S5:S125)*HLOOKUP(X128,Verteil_sw,41,FALSE)+SUMIF($D$5:$D$125,"=zuk",S5:S125)*HLOOKUP(X128,Verteil_sw,42,FALSE)</f>
        <v>0</v>
      </c>
      <c r="U144" s="89">
        <f>SUMIF($D$5:$D$125,"=zus",U5:U125)*HLOOKUP(X128,Verteil_sw,39,FALSE)+SUMIF($D$5:$D$125,"=zum",U5:U125)*HLOOKUP(X128,Verteil_sw,40,FALSE)+SUMIF($D$5:$D$125,"=zur",U5:U125)*HLOOKUP(X128,Verteil_sw,41,FALSE)+SUMIF($D$5:$D$125,"=zuk",U5:U125)*HLOOKUP(X128,Verteil_sw,42,FALSE)</f>
        <v>0</v>
      </c>
      <c r="W144" s="90">
        <f>IF(X143&lt;&gt;0,X144/X143,0)</f>
        <v>0.59137236902589474</v>
      </c>
      <c r="X144" s="89">
        <f>Z144*HLOOKUP(X128,Grund_zins,2,FALSE)</f>
        <v>48516.654860625014</v>
      </c>
      <c r="Y144" s="89">
        <f>SUMIF($D$5:$D$125,"=zus",Y5:Y125)*HLOOKUP(X128,Verteil_sw,39,FALSE)+SUMIF($D$5:$D$125,"=zum",Y5:Y125)*HLOOKUP(X128,Verteil_sw,40,FALSE)+SUMIF($D$5:$D$125,"=zur",Y5:Y125)*HLOOKUP(X128,Verteil_sw,41,FALSE)+SUMIF($D$5:$D$125,"=zuk",Y5:Y125)*HLOOKUP(X128,Verteil_sw,42,FALSE)</f>
        <v>131879.603</v>
      </c>
      <c r="Z144" s="89">
        <f t="shared" ref="Z144:Z149" si="687">AA144-S144+U144+Y144/2</f>
        <v>1386190.1388750002</v>
      </c>
      <c r="AA144" s="89">
        <f>SUMIF($D$5:$D$125,"=zus",AA5:AA125)*HLOOKUP(X128,Verteil_sw,39,FALSE)+SUMIF($D$5:$D$125,"=zum",AA5:AA125)*HLOOKUP(X128,Verteil_sw,40,FALSE)+SUMIF($D$5:$D$125,"=zur",AA5:AA125)*HLOOKUP(X128,Verteil_sw,41,FALSE)+SUMIF($D$5:$D$125,"=zuk",AA5:AA125)*HLOOKUP(X128,Verteil_sw,42,FALSE)</f>
        <v>1320250.3373750001</v>
      </c>
      <c r="AB144" s="560" t="s">
        <v>169</v>
      </c>
      <c r="AD144" s="205"/>
      <c r="AE144" s="381"/>
      <c r="AF144" s="89">
        <f>SUMIF($D$5:$D$125,"=zus",AF5:AF125)*HLOOKUP(AK128,Verteil_sw,39,FALSE)+SUMIF($D$5:$D$125,"=zum",AF5:AF125)*HLOOKUP(AK128,Verteil_sw,40,FALSE)+SUMIF($D$5:$D$125,"=zur",AF5:AF125)*HLOOKUP(AK128,Verteil_sw,41,FALSE)+SUMIF($D$5:$D$125,"=zuk",AF5:AF125)*HLOOKUP(AK128,Verteil_sw,42,FALSE)</f>
        <v>0</v>
      </c>
      <c r="AH144" s="89">
        <f>SUMIF($D$5:$D$125,"=zus",AH5:AH125)*HLOOKUP(AK128,Verteil_sw,39,FALSE)+SUMIF($D$5:$D$125,"=zum",AH5:AH125)*HLOOKUP(AK128,Verteil_sw,40,FALSE)+SUMIF($D$5:$D$125,"=zur",AH5:AH125)*HLOOKUP(AK128,Verteil_sw,41,FALSE)+SUMIF($D$5:$D$125,"=zuk",AH5:AH125)*HLOOKUP(AK128,Verteil_sw,42,FALSE)</f>
        <v>0</v>
      </c>
      <c r="AJ144" s="90">
        <f t="shared" ref="AJ144" si="688">IF(AK143&lt;&gt;0,AK144/AK143,0)</f>
        <v>0.58100006638522883</v>
      </c>
      <c r="AK144" s="89">
        <f>AM144*HLOOKUP(AK128,Grund_zins,2,FALSE)</f>
        <v>43918.368755625008</v>
      </c>
      <c r="AL144" s="89">
        <f>SUMIF($D$5:$D$125,"=zus",AL5:AL125)*HLOOKUP(AK128,Verteil_sw,39,FALSE)+SUMIF($D$5:$D$125,"=zum",AL5:AL125)*HLOOKUP(AK128,Verteil_sw,40,FALSE)+SUMIF($D$5:$D$125,"=zur",AL5:AL125)*HLOOKUP(AK128,Verteil_sw,41,FALSE)+SUMIF($D$5:$D$125,"=zuk",AL5:AL125)*HLOOKUP(AK128,Verteil_sw,42,FALSE)</f>
        <v>130879.603</v>
      </c>
      <c r="AM144" s="89">
        <f t="shared" si="643"/>
        <v>1254810.5358750001</v>
      </c>
      <c r="AN144" s="89">
        <f>SUMIF($D$5:$D$125,"=zus",AN5:AN125)*HLOOKUP(AK128,Verteil_sw,39,FALSE)+SUMIF($D$5:$D$125,"=zum",AN5:AN125)*HLOOKUP(AK128,Verteil_sw,40,FALSE)+SUMIF($D$5:$D$125,"=zur",AN5:AN125)*HLOOKUP(AK128,Verteil_sw,41,FALSE)+SUMIF($D$5:$D$125,"=zuk",AN5:AN125)*HLOOKUP(AK128,Verteil_sw,42,FALSE)</f>
        <v>1189370.734375</v>
      </c>
      <c r="AO144" s="571" t="s">
        <v>169</v>
      </c>
      <c r="AQ144" s="205"/>
      <c r="AR144" s="381"/>
      <c r="AS144" s="89">
        <f>SUMIF($D$5:$D$125,"=zus",AS5:AS125)*HLOOKUP(AX128,Verteil_sw,39,FALSE)+SUMIF($D$5:$D$125,"=zum",AS5:AS125)*HLOOKUP(AX128,Verteil_sw,40,FALSE)+SUMIF($D$5:$D$125,"=zur",AS5:AS125)*HLOOKUP(AX128,Verteil_sw,41,FALSE)+SUMIF($D$5:$D$125,"=zuk",AS5:AS125)*HLOOKUP(AX128,Verteil_sw,42,FALSE)</f>
        <v>0</v>
      </c>
      <c r="AU144" s="89">
        <f>SUMIF($D$5:$D$125,"=zus",AU5:AU125)*HLOOKUP(AX128,Verteil_sw,39,FALSE)+SUMIF($D$5:$D$125,"=zum",AU5:AU125)*HLOOKUP(AX128,Verteil_sw,40,FALSE)+SUMIF($D$5:$D$125,"=zur",AU5:AU125)*HLOOKUP(AX128,Verteil_sw,41,FALSE)+SUMIF($D$5:$D$125,"=zuk",AU5:AU125)*HLOOKUP(AX128,Verteil_sw,42,FALSE)</f>
        <v>0</v>
      </c>
      <c r="AW144" s="90">
        <f t="shared" ref="AW144" si="689">IF(AX143&lt;&gt;0,AX144/AX143,0)</f>
        <v>0.56862313842866807</v>
      </c>
      <c r="AX144" s="89">
        <f>AZ144*HLOOKUP(AX128,Grund_zins,2,FALSE)</f>
        <v>39355.082650625001</v>
      </c>
      <c r="AY144" s="89">
        <f>SUMIF($D$5:$D$125,"=zus",AY5:AY125)*HLOOKUP(AX128,Verteil_sw,39,FALSE)+SUMIF($D$5:$D$125,"=zum",AY5:AY125)*HLOOKUP(AX128,Verteil_sw,40,FALSE)+SUMIF($D$5:$D$125,"=zur",AY5:AY125)*HLOOKUP(AX128,Verteil_sw,41,FALSE)+SUMIF($D$5:$D$125,"=zuk",AY5:AY125)*HLOOKUP(AX128,Verteil_sw,42,FALSE)</f>
        <v>129879.603</v>
      </c>
      <c r="AZ144" s="89">
        <f t="shared" si="649"/>
        <v>1124430.9328749999</v>
      </c>
      <c r="BA144" s="89">
        <f>SUMIF($D$5:$D$125,"=zus",BA5:BA125)*HLOOKUP(AX128,Verteil_sw,39,FALSE)+SUMIF($D$5:$D$125,"=zum",BA5:BA125)*HLOOKUP(AX128,Verteil_sw,40,FALSE)+SUMIF($D$5:$D$125,"=zur",BA5:BA125)*HLOOKUP(AX128,Verteil_sw,41,FALSE)+SUMIF($D$5:$D$125,"=zuk",BA5:BA125)*HLOOKUP(AX128,Verteil_sw,42,FALSE)</f>
        <v>1059491.1313749999</v>
      </c>
      <c r="BB144" s="571" t="s">
        <v>169</v>
      </c>
      <c r="BD144" s="205"/>
      <c r="BE144" s="381"/>
      <c r="BF144" s="89">
        <f>SUMIF($D$5:$D$125,"=zus",BF5:BF125)*HLOOKUP(BK128,Verteil_sw,39,FALSE)+SUMIF($D$5:$D$125,"=zum",BF5:BF125)*HLOOKUP(BK128,Verteil_sw,40,FALSE)+SUMIF($D$5:$D$125,"=zur",BF5:BF125)*HLOOKUP(BK128,Verteil_sw,41,FALSE)+SUMIF($D$5:$D$125,"=zuk",BF5:BF125)*HLOOKUP(BK128,Verteil_sw,42,FALSE)</f>
        <v>0</v>
      </c>
      <c r="BH144" s="89">
        <f>SUMIF($D$5:$D$125,"=zus",BH5:BH125)*HLOOKUP(BK128,Verteil_sw,39,FALSE)+SUMIF($D$5:$D$125,"=zum",BH5:BH125)*HLOOKUP(BK128,Verteil_sw,40,FALSE)+SUMIF($D$5:$D$125,"=zur",BH5:BH125)*HLOOKUP(BK128,Verteil_sw,41,FALSE)+SUMIF($D$5:$D$125,"=zuk",BH5:BH125)*HLOOKUP(BK128,Verteil_sw,42,FALSE)</f>
        <v>0</v>
      </c>
      <c r="BJ144" s="90">
        <f t="shared" ref="BJ144" si="690">IF(BK143&lt;&gt;0,BK144/BK143,0)</f>
        <v>0.55370282801163018</v>
      </c>
      <c r="BK144" s="89">
        <f>BM144*HLOOKUP(BK128,Grund_zins,2,FALSE)</f>
        <v>34809.296545625002</v>
      </c>
      <c r="BL144" s="89">
        <f>SUMIF($D$5:$D$125,"=zus",BL5:BL125)*HLOOKUP(BK128,Verteil_sw,39,FALSE)+SUMIF($D$5:$D$125,"=zum",BL5:BL125)*HLOOKUP(BK128,Verteil_sw,40,FALSE)+SUMIF($D$5:$D$125,"=zur",BL5:BL125)*HLOOKUP(BK128,Verteil_sw,41,FALSE)+SUMIF($D$5:$D$125,"=zuk",BL5:BL125)*HLOOKUP(BK128,Verteil_sw,42,FALSE)</f>
        <v>129879.603</v>
      </c>
      <c r="BM144" s="89">
        <f t="shared" si="655"/>
        <v>994551.32987500005</v>
      </c>
      <c r="BN144" s="89">
        <f>SUMIF($D$5:$D$125,"=zus",BN5:BN125)*HLOOKUP(BK128,Verteil_sw,39,FALSE)+SUMIF($D$5:$D$125,"=zum",BN5:BN125)*HLOOKUP(BK128,Verteil_sw,40,FALSE)+SUMIF($D$5:$D$125,"=zur",BN5:BN125)*HLOOKUP(BK128,Verteil_sw,41,FALSE)+SUMIF($D$5:$D$125,"=zuk",BN5:BN125)*HLOOKUP(BK128,Verteil_sw,42,FALSE)</f>
        <v>929611.52837499999</v>
      </c>
      <c r="BO144" s="571" t="s">
        <v>169</v>
      </c>
      <c r="BQ144" s="205"/>
      <c r="BR144" s="381"/>
      <c r="BS144" s="89">
        <f>SUMIF($D$5:$D$125,"=zus",BS5:BS125)*HLOOKUP(BX128,Verteil_sw,39,FALSE)+SUMIF($D$5:$D$125,"=zum",BS5:BS125)*HLOOKUP(BX128,Verteil_sw,40,FALSE)+SUMIF($D$5:$D$125,"=zur",BS5:BS125)*HLOOKUP(BX128,Verteil_sw,41,FALSE)+SUMIF($D$5:$D$125,"=zuk",BS5:BS125)*HLOOKUP(BX128,Verteil_sw,42,FALSE)</f>
        <v>0</v>
      </c>
      <c r="BU144" s="89">
        <f>SUMIF($D$5:$D$125,"=zus",BU5:BU125)*HLOOKUP(BX128,Verteil_sw,39,FALSE)+SUMIF($D$5:$D$125,"=zum",BU5:BU125)*HLOOKUP(BX128,Verteil_sw,40,FALSE)+SUMIF($D$5:$D$125,"=zur",BU5:BU125)*HLOOKUP(BX128,Verteil_sw,41,FALSE)+SUMIF($D$5:$D$125,"=zuk",BU5:BU125)*HLOOKUP(BX128,Verteil_sw,42,FALSE)</f>
        <v>0</v>
      </c>
      <c r="BW144" s="90">
        <f t="shared" ref="BW144" si="691">IF(BX143&lt;&gt;0,BX144/BX143,0)</f>
        <v>0.53878781022446742</v>
      </c>
      <c r="BX144" s="89">
        <f>BZ144*HLOOKUP(BX128,Grund_zins,2,FALSE)</f>
        <v>30717.313390312502</v>
      </c>
      <c r="BY144" s="89">
        <f>SUMIF($D$5:$D$125,"=zus",BY5:BY125)*HLOOKUP(BX128,Verteil_sw,39,FALSE)+SUMIF($D$5:$D$125,"=zum",BY5:BY125)*HLOOKUP(BX128,Verteil_sw,40,FALSE)+SUMIF($D$5:$D$125,"=zur",BY5:BY125)*HLOOKUP(BX128,Verteil_sw,41,FALSE)+SUMIF($D$5:$D$125,"=zuk",BY5:BY125)*HLOOKUP(BX128,Verteil_sw,42,FALSE)</f>
        <v>103948.005875</v>
      </c>
      <c r="BZ144" s="89">
        <f t="shared" si="661"/>
        <v>877637.52543749998</v>
      </c>
      <c r="CA144" s="89">
        <f>SUMIF($D$5:$D$125,"=zus",CA5:CA125)*HLOOKUP(BX128,Verteil_sw,39,FALSE)+SUMIF($D$5:$D$125,"=zum",CA5:CA125)*HLOOKUP(BX128,Verteil_sw,40,FALSE)+SUMIF($D$5:$D$125,"=zur",CA5:CA125)*HLOOKUP(BX128,Verteil_sw,41,FALSE)+SUMIF($D$5:$D$125,"=zuk",CA5:CA125)*HLOOKUP(BX128,Verteil_sw,42,FALSE)</f>
        <v>825663.52249999996</v>
      </c>
      <c r="CB144" s="571" t="s">
        <v>169</v>
      </c>
      <c r="CD144" s="205"/>
      <c r="CE144" s="381"/>
      <c r="CF144" s="89">
        <f>SUMIF($D$5:$D$125,"=zus",CF5:CF125)*HLOOKUP(CK128,Verteil_sw,39,FALSE)+SUMIF($D$5:$D$125,"=zum",CF5:CF125)*HLOOKUP(CK128,Verteil_sw,40,FALSE)+SUMIF($D$5:$D$125,"=zur",CF5:CF125)*HLOOKUP(CK128,Verteil_sw,41,FALSE)+SUMIF($D$5:$D$125,"=zuk",CF5:CF125)*HLOOKUP(CK128,Verteil_sw,42,FALSE)</f>
        <v>0</v>
      </c>
      <c r="CH144" s="89">
        <f>SUMIF($D$5:$D$125,"=zus",CH5:CH125)*HLOOKUP(CK128,Verteil_sw,39,FALSE)+SUMIF($D$5:$D$125,"=zum",CH5:CH125)*HLOOKUP(CK128,Verteil_sw,40,FALSE)+SUMIF($D$5:$D$125,"=zur",CH5:CH125)*HLOOKUP(CK128,Verteil_sw,41,FALSE)+SUMIF($D$5:$D$125,"=zuk",CH5:CH125)*HLOOKUP(CK128,Verteil_sw,42,FALSE)</f>
        <v>0</v>
      </c>
      <c r="CJ144" s="90">
        <f t="shared" ref="CJ144" si="692">IF(CK143&lt;&gt;0,CK144/CK143,0)</f>
        <v>0.53152647493336969</v>
      </c>
      <c r="CK144" s="89">
        <f>CM144*HLOOKUP(CK128,Grund_zins,2,FALSE)</f>
        <v>23961.6652875</v>
      </c>
      <c r="CL144" s="89">
        <f>SUMIF($D$5:$D$125,"=zus",CL5:CL125)*HLOOKUP(CK128,Verteil_sw,39,FALSE)+SUMIF($D$5:$D$125,"=zum",CL5:CL125)*HLOOKUP(CK128,Verteil_sw,40,FALSE)+SUMIF($D$5:$D$125,"=zur",CL5:CL125)*HLOOKUP(CK128,Verteil_sw,41,FALSE)+SUMIF($D$5:$D$125,"=zuk",CL5:CL125)*HLOOKUP(CK128,Verteil_sw,42,FALSE)</f>
        <v>53882.692500000005</v>
      </c>
      <c r="CM144" s="89">
        <f t="shared" si="667"/>
        <v>798722.17625000002</v>
      </c>
      <c r="CN144" s="89">
        <f>SUMIF($D$5:$D$125,"=zus",CN5:CN125)*HLOOKUP(CK128,Verteil_sw,39,FALSE)+SUMIF($D$5:$D$125,"=zum",CN5:CN125)*HLOOKUP(CK128,Verteil_sw,40,FALSE)+SUMIF($D$5:$D$125,"=zur",CN5:CN125)*HLOOKUP(CK128,Verteil_sw,41,FALSE)+SUMIF($D$5:$D$125,"=zuk",CN5:CN125)*HLOOKUP(CK128,Verteil_sw,42,FALSE)</f>
        <v>771780.83</v>
      </c>
      <c r="CO144" s="571" t="s">
        <v>169</v>
      </c>
      <c r="CQ144" s="205"/>
      <c r="CR144" s="381"/>
      <c r="CS144" s="89">
        <f>SUMIF($D$5:$D$125,"=zus",CS5:CS125)*HLOOKUP(CX128,Verteil_sw,39,FALSE)+SUMIF($D$5:$D$125,"=zum",CS5:CS125)*HLOOKUP(CX128,Verteil_sw,40,FALSE)+SUMIF($D$5:$D$125,"=zur",CS5:CS125)*HLOOKUP(CX128,Verteil_sw,41,FALSE)+SUMIF($D$5:$D$125,"=zuk",CS5:CS125)*HLOOKUP(CX128,Verteil_sw,42,FALSE)</f>
        <v>0</v>
      </c>
      <c r="CU144" s="89">
        <f>SUMIF($D$5:$D$125,"=zus",CU5:CU125)*HLOOKUP(CX128,Verteil_sw,39,FALSE)+SUMIF($D$5:$D$125,"=zum",CU5:CU125)*HLOOKUP(CX128,Verteil_sw,40,FALSE)+SUMIF($D$5:$D$125,"=zur",CU5:CU125)*HLOOKUP(CX128,Verteil_sw,41,FALSE)+SUMIF($D$5:$D$125,"=zuk",CU5:CU125)*HLOOKUP(CX128,Verteil_sw,42,FALSE)</f>
        <v>0</v>
      </c>
      <c r="CW144" s="90">
        <f t="shared" ref="CW144" si="693">IF(CX143&lt;&gt;0,CX144/CX143,0)</f>
        <v>0.53069199604567063</v>
      </c>
      <c r="CX144" s="89">
        <f>CZ144*HLOOKUP(CX128,Grund_zins,2,FALSE)</f>
        <v>22345.184512499996</v>
      </c>
      <c r="CY144" s="89">
        <f>SUMIF($D$5:$D$125,"=zus",CY5:CY125)*HLOOKUP(CX128,Verteil_sw,39,FALSE)+SUMIF($D$5:$D$125,"=zum",CY5:CY125)*HLOOKUP(CX128,Verteil_sw,40,FALSE)+SUMIF($D$5:$D$125,"=zur",CY5:CY125)*HLOOKUP(CX128,Verteil_sw,41,FALSE)+SUMIF($D$5:$D$125,"=zuk",CY5:CY125)*HLOOKUP(CX128,Verteil_sw,42,FALSE)</f>
        <v>53882.692500000005</v>
      </c>
      <c r="CZ144" s="89">
        <f t="shared" si="673"/>
        <v>744839.4837499999</v>
      </c>
      <c r="DA144" s="89">
        <f>SUMIF($D$5:$D$125,"=zus",DA5:DA125)*HLOOKUP(CX128,Verteil_sw,39,FALSE)+SUMIF($D$5:$D$125,"=zum",DA5:DA125)*HLOOKUP(CX128,Verteil_sw,40,FALSE)+SUMIF($D$5:$D$125,"=zur",DA5:DA125)*HLOOKUP(CX128,Verteil_sw,41,FALSE)+SUMIF($D$5:$D$125,"=zuk",DA5:DA125)*HLOOKUP(CX128,Verteil_sw,42,FALSE)</f>
        <v>717898.13749999995</v>
      </c>
      <c r="DB144" s="571" t="s">
        <v>169</v>
      </c>
      <c r="DD144" s="205"/>
      <c r="DE144" s="381"/>
      <c r="DF144" s="89">
        <f>SUMIF($D$5:$D$125,"=zus",DF5:DF125)*HLOOKUP(DK128,Verteil_sw,39,FALSE)+SUMIF($D$5:$D$125,"=zum",DF5:DF125)*HLOOKUP(DK128,Verteil_sw,40,FALSE)+SUMIF($D$5:$D$125,"=zur",DF5:DF125)*HLOOKUP(DK128,Verteil_sw,41,FALSE)+SUMIF($D$5:$D$125,"=zuk",DF5:DF125)*HLOOKUP(DK128,Verteil_sw,42,FALSE)</f>
        <v>0</v>
      </c>
      <c r="DH144" s="89">
        <f>SUMIF($D$5:$D$125,"=zus",DH5:DH125)*HLOOKUP(DK128,Verteil_sw,39,FALSE)+SUMIF($D$5:$D$125,"=zum",DH5:DH125)*HLOOKUP(DK128,Verteil_sw,40,FALSE)+SUMIF($D$5:$D$125,"=zur",DH5:DH125)*HLOOKUP(DK128,Verteil_sw,41,FALSE)+SUMIF($D$5:$D$125,"=zuk",DH5:DH125)*HLOOKUP(DK128,Verteil_sw,42,FALSE)</f>
        <v>0</v>
      </c>
      <c r="DJ144" s="90">
        <f t="shared" ref="DJ144" si="694">IF(DK143&lt;&gt;0,DK144/DK143,0)</f>
        <v>0.52973062643988789</v>
      </c>
      <c r="DK144" s="89">
        <f>DM144*HLOOKUP(DK128,Grund_zins,2,FALSE)</f>
        <v>20728.7037375</v>
      </c>
      <c r="DL144" s="89">
        <f>SUMIF($D$5:$D$125,"=zus",DL5:DL125)*HLOOKUP(DK128,Verteil_sw,39,FALSE)+SUMIF($D$5:$D$125,"=zum",DL5:DL125)*HLOOKUP(DK128,Verteil_sw,40,FALSE)+SUMIF($D$5:$D$125,"=zur",DL5:DL125)*HLOOKUP(DK128,Verteil_sw,41,FALSE)+SUMIF($D$5:$D$125,"=zuk",DL5:DL125)*HLOOKUP(DK128,Verteil_sw,42,FALSE)</f>
        <v>53882.692500000005</v>
      </c>
      <c r="DM144" s="89">
        <f t="shared" si="679"/>
        <v>690956.79125000001</v>
      </c>
      <c r="DN144" s="89">
        <f>SUMIF($D$5:$D$125,"=zus",DN5:DN125)*HLOOKUP(DK128,Verteil_sw,39,FALSE)+SUMIF($D$5:$D$125,"=zum",DN5:DN125)*HLOOKUP(DK128,Verteil_sw,40,FALSE)+SUMIF($D$5:$D$125,"=zur",DN5:DN125)*HLOOKUP(DK128,Verteil_sw,41,FALSE)+SUMIF($D$5:$D$125,"=zuk",DN5:DN125)*HLOOKUP(DK128,Verteil_sw,42,FALSE)</f>
        <v>664015.44500000007</v>
      </c>
      <c r="DO144" s="571" t="s">
        <v>169</v>
      </c>
      <c r="DQ144" s="205"/>
      <c r="DR144" s="381"/>
      <c r="DS144" s="89">
        <f>SUMIF($D$5:$D$125,"=zus",DS5:DS125)*HLOOKUP(DX128,Verteil_sw,39,FALSE)+SUMIF($D$5:$D$125,"=zum",DS5:DS125)*HLOOKUP(DX128,Verteil_sw,40,FALSE)+SUMIF($D$5:$D$125,"=zur",DS5:DS125)*HLOOKUP(DX128,Verteil_sw,41,FALSE)+SUMIF($D$5:$D$125,"=zuk",DS5:DS125)*HLOOKUP(DX128,Verteil_sw,42,FALSE)</f>
        <v>0</v>
      </c>
      <c r="DU144" s="89">
        <f>SUMIF($D$5:$D$125,"=zus",DU5:DU125)*HLOOKUP(DX128,Verteil_sw,39,FALSE)+SUMIF($D$5:$D$125,"=zum",DU5:DU125)*HLOOKUP(DX128,Verteil_sw,40,FALSE)+SUMIF($D$5:$D$125,"=zur",DU5:DU125)*HLOOKUP(DX128,Verteil_sw,41,FALSE)+SUMIF($D$5:$D$125,"=zuk",DU5:DU125)*HLOOKUP(DX128,Verteil_sw,42,FALSE)</f>
        <v>0</v>
      </c>
      <c r="DW144" s="90">
        <f t="shared" ref="DW144" si="695">IF(DX143&lt;&gt;0,DX144/DX143,0)</f>
        <v>0.52861104208067633</v>
      </c>
      <c r="DX144" s="89">
        <f>DZ144*HLOOKUP(DX128,Grund_zins,2,FALSE)</f>
        <v>19112.222962499996</v>
      </c>
      <c r="DY144" s="89">
        <f>SUMIF($D$5:$D$125,"=zus",DY5:DY125)*HLOOKUP(DX128,Verteil_sw,39,FALSE)+SUMIF($D$5:$D$125,"=zum",DY5:DY125)*HLOOKUP(DX128,Verteil_sw,40,FALSE)+SUMIF($D$5:$D$125,"=zur",DY5:DY125)*HLOOKUP(DX128,Verteil_sw,41,FALSE)+SUMIF($D$5:$D$125,"=zuk",DY5:DY125)*HLOOKUP(DX128,Verteil_sw,42,FALSE)</f>
        <v>53882.692500000005</v>
      </c>
      <c r="DZ144" s="89">
        <f t="shared" si="685"/>
        <v>637074.09874999989</v>
      </c>
      <c r="EA144" s="89">
        <f>SUMIF($D$5:$D$125,"=zus",EA5:EA125)*HLOOKUP(DX128,Verteil_sw,39,FALSE)+SUMIF($D$5:$D$125,"=zum",EA5:EA125)*HLOOKUP(DX128,Verteil_sw,40,FALSE)+SUMIF($D$5:$D$125,"=zur",EA5:EA125)*HLOOKUP(DX128,Verteil_sw,41,FALSE)+SUMIF($D$5:$D$125,"=zuk",EA5:EA125)*HLOOKUP(DX128,Verteil_sw,42,FALSE)</f>
        <v>610132.75249999994</v>
      </c>
      <c r="EB144" s="571" t="s">
        <v>169</v>
      </c>
      <c r="ED144" s="205"/>
    </row>
    <row r="145" spans="1:134" x14ac:dyDescent="0.35">
      <c r="A145" s="560" t="s">
        <v>170</v>
      </c>
      <c r="Q145" s="225">
        <v>18</v>
      </c>
      <c r="R145" s="381"/>
      <c r="S145" s="89">
        <f>SUMIF($D$5:$D$125,"=zus",S5:S125)*HLOOKUP(X128,Verteil_rwgr,38,FALSE)+SUMIF($D$5:$D$125,"=zum",S5:S125)*HLOOKUP(X128,Verteil_rwgr,39,FALSE)+SUMIF($D$5:$D$125,"=zur",S5:S125)*HLOOKUP(X128,Verteil_rwgr,40,FALSE)+SUMIF($D$5:$D$125,"=zuk",S5:S125)*HLOOKUP(X128,Verteil_rwgr,41,FALSE)</f>
        <v>0</v>
      </c>
      <c r="U145" s="89">
        <f>SUMIF($D$5:$D$125,"=zus",U5:U125)*HLOOKUP(X128,Verteil_rwgr,38,FALSE)+SUMIF($D$5:$D$125,"=zum",U5:U125)*HLOOKUP(X128,Verteil_rwgr,39,FALSE)+SUMIF($D$5:$D$125,"=zur",U5:U125)*HLOOKUP(X128,Verteil_rwgr,40,FALSE)+SUMIF($D$5:$D$125,"=zuk",U5:U125)*HLOOKUP(X128,Verteil_rwgr,41,FALSE)</f>
        <v>0</v>
      </c>
      <c r="W145" s="90">
        <f>IF(X143&lt;&gt;0,X145/X143,0)</f>
        <v>0.40862763097410543</v>
      </c>
      <c r="X145" s="89">
        <f>Z145*HLOOKUP(X128,Grund_zins,2,FALSE)</f>
        <v>33524.132639375006</v>
      </c>
      <c r="Y145" s="89">
        <f>SUMIF($D$5:$D$125,"=zus",Y5:Y125)*HLOOKUP(X128,Verteil_rwgr,38,FALSE)+SUMIF($D$5:$D$125,"=zum",Y5:Y125)*HLOOKUP(X128,Verteil_rwgr,39,FALSE)+SUMIF($D$5:$D$125,"=zur",Y5:Y125)*HLOOKUP(X128,Verteil_rwgr,40,FALSE)+SUMIF($D$5:$D$125,"=zuk",Y5:Y125)*HLOOKUP(X128,Verteil_rwgr,41,FALSE)</f>
        <v>53400.396999999997</v>
      </c>
      <c r="Z145" s="89">
        <f t="shared" si="687"/>
        <v>957832.36112500005</v>
      </c>
      <c r="AA145" s="89">
        <f>SUMIF($D$5:$D$125,"=zus",AA5:AA125)*HLOOKUP(X128,Verteil_rwgr,38,FALSE)+SUMIF($D$5:$D$125,"=zum",AA5:AA125)*HLOOKUP(X128,Verteil_rwgr,39,FALSE)+SUMIF($D$5:$D$125,"=zur",AA5:AA125)*HLOOKUP(X128,Verteil_rwgr,40,FALSE)+SUMIF($D$5:$D$125,"=zuk",AA5:AA125)*HLOOKUP(X128,Verteil_rwgr,41,FALSE)</f>
        <v>931132.162625</v>
      </c>
      <c r="AB145" s="560" t="s">
        <v>170</v>
      </c>
      <c r="AD145" s="205"/>
      <c r="AE145" s="381"/>
      <c r="AF145" s="89">
        <f>SUMIF($D$5:$D$125,"=zus",AF5:AF125)*HLOOKUP(AK128,Verteil_rwgr,38,FALSE)+SUMIF($D$5:$D$125,"=zum",AF5:AF125)*HLOOKUP(AK128,Verteil_rwgr,39,FALSE)+SUMIF($D$5:$D$125,"=zur",AF5:AF125)*HLOOKUP(AK128,Verteil_rwgr,40,FALSE)+SUMIF($D$5:$D$125,"=zuk",AF5:AF125)*HLOOKUP(AK128,Verteil_rwgr,41,FALSE)</f>
        <v>0</v>
      </c>
      <c r="AH145" s="89">
        <f>SUMIF($D$5:$D$125,"=zus",AH5:AH125)*HLOOKUP(AK128,Verteil_rwgr,38,FALSE)+SUMIF($D$5:$D$125,"=zum",AH5:AH125)*HLOOKUP(AK128,Verteil_rwgr,39,FALSE)+SUMIF($D$5:$D$125,"=zur",AH5:AH125)*HLOOKUP(AK128,Verteil_rwgr,40,FALSE)+SUMIF($D$5:$D$125,"=zuk",AH5:AH125)*HLOOKUP(AK128,Verteil_rwgr,41,FALSE)</f>
        <v>0</v>
      </c>
      <c r="AJ145" s="90">
        <f t="shared" ref="AJ145" si="696">IF(AK143&lt;&gt;0,AK145/AK143,0)</f>
        <v>0.41899993361477122</v>
      </c>
      <c r="AK145" s="89">
        <f>AM145*HLOOKUP(AK128,Grund_zins,2,FALSE)</f>
        <v>31672.618744375002</v>
      </c>
      <c r="AL145" s="89">
        <f>SUMIF($D$5:$D$125,"=zus",AL5:AL125)*HLOOKUP(AK128,Verteil_rwgr,38,FALSE)+SUMIF($D$5:$D$125,"=zum",AL5:AL125)*HLOOKUP(AK128,Verteil_rwgr,39,FALSE)+SUMIF($D$5:$D$125,"=zur",AL5:AL125)*HLOOKUP(AK128,Verteil_rwgr,40,FALSE)+SUMIF($D$5:$D$125,"=zuk",AL5:AL125)*HLOOKUP(AK128,Verteil_rwgr,41,FALSE)</f>
        <v>52400.396999999997</v>
      </c>
      <c r="AM145" s="89">
        <f t="shared" si="643"/>
        <v>904931.96412499994</v>
      </c>
      <c r="AN145" s="89">
        <f>SUMIF($D$5:$D$125,"=zus",AN5:AN125)*HLOOKUP(AK128,Verteil_rwgr,38,FALSE)+SUMIF($D$5:$D$125,"=zum",AN5:AN125)*HLOOKUP(AK128,Verteil_rwgr,39,FALSE)+SUMIF($D$5:$D$125,"=zur",AN5:AN125)*HLOOKUP(AK128,Verteil_rwgr,40,FALSE)+SUMIF($D$5:$D$125,"=zuk",AN5:AN125)*HLOOKUP(AK128,Verteil_rwgr,41,FALSE)</f>
        <v>878731.765625</v>
      </c>
      <c r="AO145" s="571" t="s">
        <v>170</v>
      </c>
      <c r="AQ145" s="205"/>
      <c r="AR145" s="381"/>
      <c r="AS145" s="89">
        <f>SUMIF($D$5:$D$125,"=zus",AS5:AS125)*HLOOKUP(AX128,Verteil_rwgr,38,FALSE)+SUMIF($D$5:$D$125,"=zum",AS5:AS125)*HLOOKUP(AX128,Verteil_rwgr,39,FALSE)+SUMIF($D$5:$D$125,"=zur",AS5:AS125)*HLOOKUP(AX128,Verteil_rwgr,40,FALSE)+SUMIF($D$5:$D$125,"=zuk",AS5:AS125)*HLOOKUP(AX128,Verteil_rwgr,41,FALSE)</f>
        <v>0</v>
      </c>
      <c r="AU145" s="89">
        <f>SUMIF($D$5:$D$125,"=zus",AU5:AU125)*HLOOKUP(AX128,Verteil_rwgr,38,FALSE)+SUMIF($D$5:$D$125,"=zum",AU5:AU125)*HLOOKUP(AX128,Verteil_rwgr,39,FALSE)+SUMIF($D$5:$D$125,"=zur",AU5:AU125)*HLOOKUP(AX128,Verteil_rwgr,40,FALSE)+SUMIF($D$5:$D$125,"=zuk",AU5:AU125)*HLOOKUP(AX128,Verteil_rwgr,41,FALSE)</f>
        <v>0</v>
      </c>
      <c r="AW145" s="90">
        <f t="shared" ref="AW145" si="697">IF(AX143&lt;&gt;0,AX145/AX143,0)</f>
        <v>0.43137686157133204</v>
      </c>
      <c r="AX145" s="89">
        <f>AZ145*HLOOKUP(AX128,Grund_zins,2,FALSE)</f>
        <v>29856.104849375006</v>
      </c>
      <c r="AY145" s="89">
        <f>SUMIF($D$5:$D$125,"=zus",AY5:AY125)*HLOOKUP(AX128,Verteil_rwgr,38,FALSE)+SUMIF($D$5:$D$125,"=zum",AY5:AY125)*HLOOKUP(AX128,Verteil_rwgr,39,FALSE)+SUMIF($D$5:$D$125,"=zur",AY5:AY125)*HLOOKUP(AX128,Verteil_rwgr,40,FALSE)+SUMIF($D$5:$D$125,"=zuk",AY5:AY125)*HLOOKUP(AX128,Verteil_rwgr,41,FALSE)</f>
        <v>51400.396999999997</v>
      </c>
      <c r="AZ145" s="89">
        <f t="shared" si="649"/>
        <v>853031.56712500006</v>
      </c>
      <c r="BA145" s="89">
        <f>SUMIF($D$5:$D$125,"=zus",BA5:BA125)*HLOOKUP(AX128,Verteil_rwgr,38,FALSE)+SUMIF($D$5:$D$125,"=zum",BA5:BA125)*HLOOKUP(AX128,Verteil_rwgr,39,FALSE)+SUMIF($D$5:$D$125,"=zur",BA5:BA125)*HLOOKUP(AX128,Verteil_rwgr,40,FALSE)+SUMIF($D$5:$D$125,"=zuk",BA5:BA125)*HLOOKUP(AX128,Verteil_rwgr,41,FALSE)</f>
        <v>827331.368625</v>
      </c>
      <c r="BB145" s="571" t="s">
        <v>170</v>
      </c>
      <c r="BD145" s="205"/>
      <c r="BE145" s="381"/>
      <c r="BF145" s="89">
        <f>SUMIF($D$5:$D$125,"=zus",BF5:BF125)*HLOOKUP(BK128,Verteil_rwgr,38,FALSE)+SUMIF($D$5:$D$125,"=zum",BF5:BF125)*HLOOKUP(BK128,Verteil_rwgr,39,FALSE)+SUMIF($D$5:$D$125,"=zur",BF5:BF125)*HLOOKUP(BK128,Verteil_rwgr,40,FALSE)+SUMIF($D$5:$D$125,"=zuk",BF5:BF125)*HLOOKUP(BK128,Verteil_rwgr,41,FALSE)</f>
        <v>0</v>
      </c>
      <c r="BH145" s="89">
        <f>SUMIF($D$5:$D$125,"=zus",BH5:BH125)*HLOOKUP(BK128,Verteil_rwgr,38,FALSE)+SUMIF($D$5:$D$125,"=zum",BH5:BH125)*HLOOKUP(BK128,Verteil_rwgr,39,FALSE)+SUMIF($D$5:$D$125,"=zur",BH5:BH125)*HLOOKUP(BK128,Verteil_rwgr,40,FALSE)+SUMIF($D$5:$D$125,"=zuk",BH5:BH125)*HLOOKUP(BK128,Verteil_rwgr,41,FALSE)</f>
        <v>0</v>
      </c>
      <c r="BJ145" s="90">
        <f t="shared" ref="BJ145" si="698">IF(BK143&lt;&gt;0,BK145/BK143,0)</f>
        <v>0.44629717198836977</v>
      </c>
      <c r="BK145" s="89">
        <f>BM145*HLOOKUP(BK128,Grund_zins,2,FALSE)</f>
        <v>28057.090954375002</v>
      </c>
      <c r="BL145" s="89">
        <f>SUMIF($D$5:$D$125,"=zus",BL5:BL125)*HLOOKUP(BK128,Verteil_rwgr,38,FALSE)+SUMIF($D$5:$D$125,"=zum",BL5:BL125)*HLOOKUP(BK128,Verteil_rwgr,39,FALSE)+SUMIF($D$5:$D$125,"=zur",BL5:BL125)*HLOOKUP(BK128,Verteil_rwgr,40,FALSE)+SUMIF($D$5:$D$125,"=zuk",BL5:BL125)*HLOOKUP(BK128,Verteil_rwgr,41,FALSE)</f>
        <v>51400.396999999997</v>
      </c>
      <c r="BM145" s="89">
        <f t="shared" si="655"/>
        <v>801631.17012499995</v>
      </c>
      <c r="BN145" s="89">
        <f>SUMIF($D$5:$D$125,"=zus",BN5:BN125)*HLOOKUP(BK128,Verteil_rwgr,38,FALSE)+SUMIF($D$5:$D$125,"=zum",BN5:BN125)*HLOOKUP(BK128,Verteil_rwgr,39,FALSE)+SUMIF($D$5:$D$125,"=zur",BN5:BN125)*HLOOKUP(BK128,Verteil_rwgr,40,FALSE)+SUMIF($D$5:$D$125,"=zuk",BN5:BN125)*HLOOKUP(BK128,Verteil_rwgr,41,FALSE)</f>
        <v>775930.97162500001</v>
      </c>
      <c r="BO145" s="571" t="s">
        <v>170</v>
      </c>
      <c r="BQ145" s="205"/>
      <c r="BR145" s="381"/>
      <c r="BS145" s="89">
        <f>SUMIF($D$5:$D$125,"=zus",BS5:BS125)*HLOOKUP(BX128,Verteil_rwgr,38,FALSE)+SUMIF($D$5:$D$125,"=zum",BS5:BS125)*HLOOKUP(BX128,Verteil_rwgr,39,FALSE)+SUMIF($D$5:$D$125,"=zur",BS5:BS125)*HLOOKUP(BX128,Verteil_rwgr,40,FALSE)+SUMIF($D$5:$D$125,"=zuk",BS5:BS125)*HLOOKUP(BX128,Verteil_rwgr,41,FALSE)</f>
        <v>0</v>
      </c>
      <c r="BU145" s="89">
        <f>SUMIF($D$5:$D$125,"=zus",BU5:BU125)*HLOOKUP(BX128,Verteil_rwgr,38,FALSE)+SUMIF($D$5:$D$125,"=zum",BU5:BU125)*HLOOKUP(BX128,Verteil_rwgr,39,FALSE)+SUMIF($D$5:$D$125,"=zur",BU5:BU125)*HLOOKUP(BX128,Verteil_rwgr,40,FALSE)+SUMIF($D$5:$D$125,"=zuk",BU5:BU125)*HLOOKUP(BX128,Verteil_rwgr,41,FALSE)</f>
        <v>0</v>
      </c>
      <c r="BW145" s="90">
        <f t="shared" ref="BW145" si="699">IF(BX143&lt;&gt;0,BX145/BX143,0)</f>
        <v>0.46121218977553263</v>
      </c>
      <c r="BX145" s="89">
        <f>BZ145*HLOOKUP(BX128,Grund_zins,2,FALSE)</f>
        <v>26294.580359687505</v>
      </c>
      <c r="BY145" s="89">
        <f>SUMIF($D$5:$D$125,"=zus",BY5:BY125)*HLOOKUP(BX128,Verteil_rwgr,38,FALSE)+SUMIF($D$5:$D$125,"=zum",BY5:BY125)*HLOOKUP(BX128,Verteil_rwgr,39,FALSE)+SUMIF($D$5:$D$125,"=zur",BY5:BY125)*HLOOKUP(BX128,Verteil_rwgr,40,FALSE)+SUMIF($D$5:$D$125,"=zuk",BY5:BY125)*HLOOKUP(BX128,Verteil_rwgr,41,FALSE)</f>
        <v>49314.494124999997</v>
      </c>
      <c r="BZ145" s="89">
        <f t="shared" si="661"/>
        <v>751273.72456250002</v>
      </c>
      <c r="CA145" s="89">
        <f>SUMIF($D$5:$D$125,"=zus",CA5:CA125)*HLOOKUP(BX128,Verteil_rwgr,38,FALSE)+SUMIF($D$5:$D$125,"=zum",CA5:CA125)*HLOOKUP(BX128,Verteil_rwgr,39,FALSE)+SUMIF($D$5:$D$125,"=zur",CA5:CA125)*HLOOKUP(BX128,Verteil_rwgr,40,FALSE)+SUMIF($D$5:$D$125,"=zuk",CA5:CA125)*HLOOKUP(BX128,Verteil_rwgr,41,FALSE)</f>
        <v>726616.47750000004</v>
      </c>
      <c r="CB145" s="571" t="s">
        <v>170</v>
      </c>
      <c r="CD145" s="205"/>
      <c r="CE145" s="381"/>
      <c r="CF145" s="89">
        <f>SUMIF($D$5:$D$125,"=zus",CF5:CF125)*HLOOKUP(CK128,Verteil_rwgr,38,FALSE)+SUMIF($D$5:$D$125,"=zum",CF5:CF125)*HLOOKUP(CK128,Verteil_rwgr,39,FALSE)+SUMIF($D$5:$D$125,"=zur",CF5:CF125)*HLOOKUP(CK128,Verteil_rwgr,40,FALSE)+SUMIF($D$5:$D$125,"=zuk",CF5:CF125)*HLOOKUP(CK128,Verteil_rwgr,41,FALSE)</f>
        <v>0</v>
      </c>
      <c r="CH145" s="89">
        <f>SUMIF($D$5:$D$125,"=zus",CH5:CH125)*HLOOKUP(CK128,Verteil_rwgr,38,FALSE)+SUMIF($D$5:$D$125,"=zum",CH5:CH125)*HLOOKUP(CK128,Verteil_rwgr,39,FALSE)+SUMIF($D$5:$D$125,"=zur",CH5:CH125)*HLOOKUP(CK128,Verteil_rwgr,40,FALSE)+SUMIF($D$5:$D$125,"=zuk",CH5:CH125)*HLOOKUP(CK128,Verteil_rwgr,41,FALSE)</f>
        <v>0</v>
      </c>
      <c r="CJ145" s="90">
        <f t="shared" ref="CJ145" si="700">IF(CK143&lt;&gt;0,CK145/CK143,0)</f>
        <v>0.46847352506663037</v>
      </c>
      <c r="CK145" s="89">
        <f>CM145*HLOOKUP(CK128,Grund_zins,2,FALSE)</f>
        <v>21119.184712500002</v>
      </c>
      <c r="CL145" s="89">
        <f>SUMIF($D$5:$D$125,"=zus",CL5:CL125)*HLOOKUP(CK128,Verteil_rwgr,38,FALSE)+SUMIF($D$5:$D$125,"=zum",CL5:CL125)*HLOOKUP(CK128,Verteil_rwgr,39,FALSE)+SUMIF($D$5:$D$125,"=zur",CL5:CL125)*HLOOKUP(CK128,Verteil_rwgr,40,FALSE)+SUMIF($D$5:$D$125,"=zuk",CL5:CL125)*HLOOKUP(CK128,Verteil_rwgr,41,FALSE)</f>
        <v>45287.307500000003</v>
      </c>
      <c r="CM145" s="89">
        <f t="shared" si="667"/>
        <v>703972.8237500001</v>
      </c>
      <c r="CN145" s="89">
        <f>SUMIF($D$5:$D$125,"=zus",CN5:CN125)*HLOOKUP(CK128,Verteil_rwgr,38,FALSE)+SUMIF($D$5:$D$125,"=zum",CN5:CN125)*HLOOKUP(CK128,Verteil_rwgr,39,FALSE)+SUMIF($D$5:$D$125,"=zur",CN5:CN125)*HLOOKUP(CK128,Verteil_rwgr,40,FALSE)+SUMIF($D$5:$D$125,"=zuk",CN5:CN125)*HLOOKUP(CK128,Verteil_rwgr,41,FALSE)</f>
        <v>681329.17</v>
      </c>
      <c r="CO145" s="571" t="s">
        <v>170</v>
      </c>
      <c r="CQ145" s="205"/>
      <c r="CR145" s="381"/>
      <c r="CS145" s="89">
        <f>SUMIF($D$5:$D$125,"=zus",CS5:CS125)*HLOOKUP(CX128,Verteil_rwgr,38,FALSE)+SUMIF($D$5:$D$125,"=zum",CS5:CS125)*HLOOKUP(CX128,Verteil_rwgr,39,FALSE)+SUMIF($D$5:$D$125,"=zur",CS5:CS125)*HLOOKUP(CX128,Verteil_rwgr,40,FALSE)+SUMIF($D$5:$D$125,"=zuk",CS5:CS125)*HLOOKUP(CX128,Verteil_rwgr,41,FALSE)</f>
        <v>0</v>
      </c>
      <c r="CU145" s="89">
        <f>SUMIF($D$5:$D$125,"=zus",CU5:CU125)*HLOOKUP(CX128,Verteil_rwgr,38,FALSE)+SUMIF($D$5:$D$125,"=zum",CU5:CU125)*HLOOKUP(CX128,Verteil_rwgr,39,FALSE)+SUMIF($D$5:$D$125,"=zur",CU5:CU125)*HLOOKUP(CX128,Verteil_rwgr,40,FALSE)+SUMIF($D$5:$D$125,"=zuk",CU5:CU125)*HLOOKUP(CX128,Verteil_rwgr,41,FALSE)</f>
        <v>0</v>
      </c>
      <c r="CW145" s="90">
        <f t="shared" ref="CW145" si="701">IF(CX143&lt;&gt;0,CX145/CX143,0)</f>
        <v>0.46930800395432937</v>
      </c>
      <c r="CX145" s="89">
        <f>CZ145*HLOOKUP(CX128,Grund_zins,2,FALSE)</f>
        <v>19760.565487500004</v>
      </c>
      <c r="CY145" s="89">
        <f>SUMIF($D$5:$D$125,"=zus",CY5:CY125)*HLOOKUP(CX128,Verteil_rwgr,38,FALSE)+SUMIF($D$5:$D$125,"=zum",CY5:CY125)*HLOOKUP(CX128,Verteil_rwgr,39,FALSE)+SUMIF($D$5:$D$125,"=zur",CY5:CY125)*HLOOKUP(CX128,Verteil_rwgr,40,FALSE)+SUMIF($D$5:$D$125,"=zuk",CY5:CY125)*HLOOKUP(CX128,Verteil_rwgr,41,FALSE)</f>
        <v>45287.307500000003</v>
      </c>
      <c r="CZ145" s="89">
        <f t="shared" si="673"/>
        <v>658685.5162500001</v>
      </c>
      <c r="DA145" s="89">
        <f>SUMIF($D$5:$D$125,"=zus",DA5:DA125)*HLOOKUP(CX128,Verteil_rwgr,38,FALSE)+SUMIF($D$5:$D$125,"=zum",DA5:DA125)*HLOOKUP(CX128,Verteil_rwgr,39,FALSE)+SUMIF($D$5:$D$125,"=zur",DA5:DA125)*HLOOKUP(CX128,Verteil_rwgr,40,FALSE)+SUMIF($D$5:$D$125,"=zuk",DA5:DA125)*HLOOKUP(CX128,Verteil_rwgr,41,FALSE)</f>
        <v>636041.86250000005</v>
      </c>
      <c r="DB145" s="571" t="s">
        <v>170</v>
      </c>
      <c r="DD145" s="205"/>
      <c r="DE145" s="381"/>
      <c r="DF145" s="89">
        <f>SUMIF($D$5:$D$125,"=zus",DF5:DF125)*HLOOKUP(DK128,Verteil_rwgr,38,FALSE)+SUMIF($D$5:$D$125,"=zum",DF5:DF125)*HLOOKUP(DK128,Verteil_rwgr,39,FALSE)+SUMIF($D$5:$D$125,"=zur",DF5:DF125)*HLOOKUP(DK128,Verteil_rwgr,40,FALSE)+SUMIF($D$5:$D$125,"=zuk",DF5:DF125)*HLOOKUP(DK128,Verteil_rwgr,41,FALSE)</f>
        <v>0</v>
      </c>
      <c r="DH145" s="89">
        <f>SUMIF($D$5:$D$125,"=zus",DH5:DH125)*HLOOKUP(DK128,Verteil_rwgr,38,FALSE)+SUMIF($D$5:$D$125,"=zum",DH5:DH125)*HLOOKUP(DK128,Verteil_rwgr,39,FALSE)+SUMIF($D$5:$D$125,"=zur",DH5:DH125)*HLOOKUP(DK128,Verteil_rwgr,40,FALSE)+SUMIF($D$5:$D$125,"=zuk",DH5:DH125)*HLOOKUP(DK128,Verteil_rwgr,41,FALSE)</f>
        <v>0</v>
      </c>
      <c r="DJ145" s="90">
        <f t="shared" ref="DJ145" si="702">IF(DK143&lt;&gt;0,DK145/DK143,0)</f>
        <v>0.47026937356011211</v>
      </c>
      <c r="DK145" s="89">
        <f>DM145*HLOOKUP(DK128,Grund_zins,2,FALSE)</f>
        <v>18401.946262500001</v>
      </c>
      <c r="DL145" s="89">
        <f>SUMIF($D$5:$D$125,"=zus",DL5:DL125)*HLOOKUP(DK128,Verteil_rwgr,38,FALSE)+SUMIF($D$5:$D$125,"=zum",DL5:DL125)*HLOOKUP(DK128,Verteil_rwgr,39,FALSE)+SUMIF($D$5:$D$125,"=zur",DL5:DL125)*HLOOKUP(DK128,Verteil_rwgr,40,FALSE)+SUMIF($D$5:$D$125,"=zuk",DL5:DL125)*HLOOKUP(DK128,Verteil_rwgr,41,FALSE)</f>
        <v>45287.307500000003</v>
      </c>
      <c r="DM145" s="89">
        <f t="shared" si="679"/>
        <v>613398.20875000011</v>
      </c>
      <c r="DN145" s="89">
        <f>SUMIF($D$5:$D$125,"=zus",DN5:DN125)*HLOOKUP(DK128,Verteil_rwgr,38,FALSE)+SUMIF($D$5:$D$125,"=zum",DN5:DN125)*HLOOKUP(DK128,Verteil_rwgr,39,FALSE)+SUMIF($D$5:$D$125,"=zur",DN5:DN125)*HLOOKUP(DK128,Verteil_rwgr,40,FALSE)+SUMIF($D$5:$D$125,"=zuk",DN5:DN125)*HLOOKUP(DK128,Verteil_rwgr,41,FALSE)</f>
        <v>590754.55500000005</v>
      </c>
      <c r="DO145" s="571" t="s">
        <v>170</v>
      </c>
      <c r="DQ145" s="205"/>
      <c r="DR145" s="381"/>
      <c r="DS145" s="89">
        <f>SUMIF($D$5:$D$125,"=zus",DS5:DS125)*HLOOKUP(DX128,Verteil_rwgr,38,FALSE)+SUMIF($D$5:$D$125,"=zum",DS5:DS125)*HLOOKUP(DX128,Verteil_rwgr,39,FALSE)+SUMIF($D$5:$D$125,"=zur",DS5:DS125)*HLOOKUP(DX128,Verteil_rwgr,40,FALSE)+SUMIF($D$5:$D$125,"=zuk",DS5:DS125)*HLOOKUP(DX128,Verteil_rwgr,41,FALSE)</f>
        <v>0</v>
      </c>
      <c r="DU145" s="89">
        <f>SUMIF($D$5:$D$125,"=zus",DU5:DU125)*HLOOKUP(DX128,Verteil_rwgr,38,FALSE)+SUMIF($D$5:$D$125,"=zum",DU5:DU125)*HLOOKUP(DX128,Verteil_rwgr,39,FALSE)+SUMIF($D$5:$D$125,"=zur",DU5:DU125)*HLOOKUP(DX128,Verteil_rwgr,40,FALSE)+SUMIF($D$5:$D$125,"=zuk",DU5:DU125)*HLOOKUP(DX128,Verteil_rwgr,41,FALSE)</f>
        <v>0</v>
      </c>
      <c r="DW145" s="90">
        <f t="shared" ref="DW145" si="703">IF(DX143&lt;&gt;0,DX145/DX143,0)</f>
        <v>0.47138895791932373</v>
      </c>
      <c r="DX145" s="89">
        <f>DZ145*HLOOKUP(DX128,Grund_zins,2,FALSE)</f>
        <v>17043.327037500003</v>
      </c>
      <c r="DY145" s="89">
        <f>SUMIF($D$5:$D$125,"=zus",DY5:DY125)*HLOOKUP(DX128,Verteil_rwgr,38,FALSE)+SUMIF($D$5:$D$125,"=zum",DY5:DY125)*HLOOKUP(DX128,Verteil_rwgr,39,FALSE)+SUMIF($D$5:$D$125,"=zur",DY5:DY125)*HLOOKUP(DX128,Verteil_rwgr,40,FALSE)+SUMIF($D$5:$D$125,"=zuk",DY5:DY125)*HLOOKUP(DX128,Verteil_rwgr,41,FALSE)</f>
        <v>45287.307500000003</v>
      </c>
      <c r="DZ145" s="89">
        <f t="shared" si="685"/>
        <v>568110.90125000011</v>
      </c>
      <c r="EA145" s="89">
        <f>SUMIF($D$5:$D$125,"=zus",EA5:EA125)*HLOOKUP(DX128,Verteil_rwgr,38,FALSE)+SUMIF($D$5:$D$125,"=zum",EA5:EA125)*HLOOKUP(DX128,Verteil_rwgr,39,FALSE)+SUMIF($D$5:$D$125,"=zur",EA5:EA125)*HLOOKUP(DX128,Verteil_rwgr,40,FALSE)+SUMIF($D$5:$D$125,"=zuk",EA5:EA125)*HLOOKUP(DX128,Verteil_rwgr,41,FALSE)</f>
        <v>545467.24750000006</v>
      </c>
      <c r="EB145" s="571" t="s">
        <v>170</v>
      </c>
      <c r="ED145" s="205"/>
    </row>
    <row r="146" spans="1:134" x14ac:dyDescent="0.35">
      <c r="A146" s="560" t="s">
        <v>171</v>
      </c>
      <c r="Q146" s="225">
        <v>19</v>
      </c>
      <c r="R146" s="381"/>
      <c r="S146" s="89">
        <f>SUMIF($D$5:$D$125,"=zus",S5:S125)*HLOOKUP(X128,Verteil_rwst,37,FALSE)+SUMIF($D$5:$D$125,"=zum",S5:S125)*HLOOKUP(X128,Verteil_rwst,38,FALSE)+SUMIF($D$5:$D$125,"=zur",S5:S125)*HLOOKUP(X128,Verteil_rwst,39,FALSE)</f>
        <v>0</v>
      </c>
      <c r="U146" s="89">
        <f>SUMIF($D$5:$D$125,"=zus",U5:U125)*HLOOKUP(X128,Verteil_rwst,37,FALSE)+SUMIF($D$5:$D$125,"=zum",U5:U125)*HLOOKUP(X128,Verteil_rwst,38,FALSE)+SUMIF($D$5:$D$125,"=zur",U5:U125)*HLOOKUP(X128,Verteil_rwst,39,FALSE)</f>
        <v>0</v>
      </c>
      <c r="W146" s="90">
        <f>IF(X143&lt;&gt;0,X146/X143,0)</f>
        <v>0</v>
      </c>
      <c r="X146" s="89">
        <f>Z146*HLOOKUP(X128,Grund_zins,2,FALSE)</f>
        <v>0</v>
      </c>
      <c r="Y146" s="89">
        <f>SUMIF($D$5:$D$125,"=zus",Y5:Y125)*HLOOKUP(X128,Verteil_rwst,37,FALSE)+SUMIF($D$5:$D$125,"=zum",Y5:Y125)*HLOOKUP(X128,Verteil_rwst,38,FALSE)+SUMIF($D$5:$D$125,"=zur",Y5:Y125)*HLOOKUP(X128,Verteil_rwst,39,FALSE)</f>
        <v>0</v>
      </c>
      <c r="Z146" s="89">
        <f t="shared" si="687"/>
        <v>0</v>
      </c>
      <c r="AA146" s="89">
        <f>SUMIF($D$5:$D$125,"=zus",AA5:AA125)*HLOOKUP(X128,Verteil_rwst,37,FALSE)+SUMIF($D$5:$D$125,"=zum",AA5:AA125)*HLOOKUP(X128,Verteil_rwst,38,FALSE)+SUMIF($D$5:$D$125,"=zur",AA5:AA125)*HLOOKUP(X128,Verteil_rwst,39,FALSE)</f>
        <v>0</v>
      </c>
      <c r="AB146" s="560" t="s">
        <v>171</v>
      </c>
      <c r="AD146" s="205"/>
      <c r="AE146" s="381"/>
      <c r="AF146" s="89">
        <f>SUMIF($D$5:$D$125,"=zus",AF5:AF125)*HLOOKUP(AK128,Verteil_rwst,37,FALSE)+SUMIF($D$5:$D$125,"=zum",AF5:AF125)*HLOOKUP(AK128,Verteil_rwst,38,FALSE)+SUMIF($D$5:$D$125,"=zur",AF5:AF125)*HLOOKUP(AK128,Verteil_rwst,39,FALSE)</f>
        <v>0</v>
      </c>
      <c r="AH146" s="89">
        <f>SUMIF($D$5:$D$125,"=zus",AH5:AH125)*HLOOKUP(AK128,Verteil_rwst,37,FALSE)+SUMIF($D$5:$D$125,"=zum",AH5:AH125)*HLOOKUP(AK128,Verteil_rwst,38,FALSE)+SUMIF($D$5:$D$125,"=zur",AH5:AH125)*HLOOKUP(AK128,Verteil_rwst,39,FALSE)</f>
        <v>0</v>
      </c>
      <c r="AJ146" s="90">
        <f t="shared" ref="AJ146" si="704">IF(AK143&lt;&gt;0,AK146/AK143,0)</f>
        <v>0</v>
      </c>
      <c r="AK146" s="89">
        <f>AM146*HLOOKUP(AK128,Grund_zins,2,FALSE)</f>
        <v>0</v>
      </c>
      <c r="AL146" s="89">
        <f>SUMIF($D$5:$D$125,"=zus",AL5:AL125)*HLOOKUP(AK128,Verteil_rwst,37,FALSE)+SUMIF($D$5:$D$125,"=zum",AL5:AL125)*HLOOKUP(AK128,Verteil_rwst,38,FALSE)+SUMIF($D$5:$D$125,"=zur",AL5:AL125)*HLOOKUP(AK128,Verteil_rwst,39,FALSE)</f>
        <v>0</v>
      </c>
      <c r="AM146" s="89">
        <f t="shared" si="643"/>
        <v>0</v>
      </c>
      <c r="AN146" s="89">
        <f>SUMIF($D$5:$D$125,"=zus",AN5:AN125)*HLOOKUP(AK128,Verteil_rwst,37,FALSE)+SUMIF($D$5:$D$125,"=zum",AN5:AN125)*HLOOKUP(AK128,Verteil_rwst,38,FALSE)+SUMIF($D$5:$D$125,"=zur",AN5:AN125)*HLOOKUP(AK128,Verteil_rwst,39,FALSE)</f>
        <v>0</v>
      </c>
      <c r="AO146" s="571" t="s">
        <v>171</v>
      </c>
      <c r="AQ146" s="205"/>
      <c r="AR146" s="381"/>
      <c r="AS146" s="89">
        <f>SUMIF($D$5:$D$125,"=zus",AS5:AS125)*HLOOKUP(AX128,Verteil_rwst,37,FALSE)+SUMIF($D$5:$D$125,"=zum",AS5:AS125)*HLOOKUP(AX128,Verteil_rwst,38,FALSE)+SUMIF($D$5:$D$125,"=zur",AS5:AS125)*HLOOKUP(AX128,Verteil_rwst,39,FALSE)</f>
        <v>0</v>
      </c>
      <c r="AU146" s="89">
        <f>SUMIF($D$5:$D$125,"=zus",AU5:AU125)*HLOOKUP(AX128,Verteil_rwst,37,FALSE)+SUMIF($D$5:$D$125,"=zum",AU5:AU125)*HLOOKUP(AX128,Verteil_rwst,38,FALSE)+SUMIF($D$5:$D$125,"=zur",AU5:AU125)*HLOOKUP(AX128,Verteil_rwst,39,FALSE)</f>
        <v>0</v>
      </c>
      <c r="AW146" s="90">
        <f t="shared" ref="AW146" si="705">IF(AX143&lt;&gt;0,AX146/AX143,0)</f>
        <v>0</v>
      </c>
      <c r="AX146" s="89">
        <f>AZ146*HLOOKUP(AX128,Grund_zins,2,FALSE)</f>
        <v>0</v>
      </c>
      <c r="AY146" s="89">
        <f>SUMIF($D$5:$D$125,"=zus",AY5:AY125)*HLOOKUP(AX128,Verteil_rwst,37,FALSE)+SUMIF($D$5:$D$125,"=zum",AY5:AY125)*HLOOKUP(AX128,Verteil_rwst,38,FALSE)+SUMIF($D$5:$D$125,"=zur",AY5:AY125)*HLOOKUP(AX128,Verteil_rwst,39,FALSE)</f>
        <v>0</v>
      </c>
      <c r="AZ146" s="89">
        <f t="shared" si="649"/>
        <v>0</v>
      </c>
      <c r="BA146" s="89">
        <f>SUMIF($D$5:$D$125,"=zus",BA5:BA125)*HLOOKUP(AX128,Verteil_rwst,37,FALSE)+SUMIF($D$5:$D$125,"=zum",BA5:BA125)*HLOOKUP(AX128,Verteil_rwst,38,FALSE)+SUMIF($D$5:$D$125,"=zur",BA5:BA125)*HLOOKUP(AX128,Verteil_rwst,39,FALSE)</f>
        <v>0</v>
      </c>
      <c r="BB146" s="571" t="s">
        <v>171</v>
      </c>
      <c r="BD146" s="205"/>
      <c r="BE146" s="381"/>
      <c r="BF146" s="89">
        <f>SUMIF($D$5:$D$125,"=zus",BF5:BF125)*HLOOKUP(BK128,Verteil_rwst,37,FALSE)+SUMIF($D$5:$D$125,"=zum",BF5:BF125)*HLOOKUP(BK128,Verteil_rwst,38,FALSE)+SUMIF($D$5:$D$125,"=zur",BF5:BF125)*HLOOKUP(BK128,Verteil_rwst,39,FALSE)</f>
        <v>0</v>
      </c>
      <c r="BH146" s="89">
        <f>SUMIF($D$5:$D$125,"=zus",BH5:BH125)*HLOOKUP(BK128,Verteil_rwst,37,FALSE)+SUMIF($D$5:$D$125,"=zum",BH5:BH125)*HLOOKUP(BK128,Verteil_rwst,38,FALSE)+SUMIF($D$5:$D$125,"=zur",BH5:BH125)*HLOOKUP(BK128,Verteil_rwst,39,FALSE)</f>
        <v>0</v>
      </c>
      <c r="BJ146" s="90">
        <f t="shared" ref="BJ146" si="706">IF(BK143&lt;&gt;0,BK146/BK143,0)</f>
        <v>0</v>
      </c>
      <c r="BK146" s="89">
        <f>BM146*HLOOKUP(BK128,Grund_zins,2,FALSE)</f>
        <v>0</v>
      </c>
      <c r="BL146" s="89">
        <f>SUMIF($D$5:$D$125,"=zus",BL5:BL125)*HLOOKUP(BK128,Verteil_rwst,37,FALSE)+SUMIF($D$5:$D$125,"=zum",BL5:BL125)*HLOOKUP(BK128,Verteil_rwst,38,FALSE)+SUMIF($D$5:$D$125,"=zur",BL5:BL125)*HLOOKUP(BK128,Verteil_rwst,39,FALSE)</f>
        <v>0</v>
      </c>
      <c r="BM146" s="89">
        <f t="shared" si="655"/>
        <v>0</v>
      </c>
      <c r="BN146" s="89">
        <f>SUMIF($D$5:$D$125,"=zus",BN5:BN125)*HLOOKUP(BK128,Verteil_rwst,37,FALSE)+SUMIF($D$5:$D$125,"=zum",BN5:BN125)*HLOOKUP(BK128,Verteil_rwst,38,FALSE)+SUMIF($D$5:$D$125,"=zur",BN5:BN125)*HLOOKUP(BK128,Verteil_rwst,39,FALSE)</f>
        <v>0</v>
      </c>
      <c r="BO146" s="571" t="s">
        <v>171</v>
      </c>
      <c r="BQ146" s="205"/>
      <c r="BR146" s="381"/>
      <c r="BS146" s="89">
        <f>SUMIF($D$5:$D$125,"=zus",BS5:BS125)*HLOOKUP(BX128,Verteil_rwst,37,FALSE)+SUMIF($D$5:$D$125,"=zum",BS5:BS125)*HLOOKUP(BX128,Verteil_rwst,38,FALSE)+SUMIF($D$5:$D$125,"=zur",BS5:BS125)*HLOOKUP(BX128,Verteil_rwst,39,FALSE)</f>
        <v>0</v>
      </c>
      <c r="BU146" s="89">
        <f>SUMIF($D$5:$D$125,"=zus",BU5:BU125)*HLOOKUP(BX128,Verteil_rwst,37,FALSE)+SUMIF($D$5:$D$125,"=zum",BU5:BU125)*HLOOKUP(BX128,Verteil_rwst,38,FALSE)+SUMIF($D$5:$D$125,"=zur",BU5:BU125)*HLOOKUP(BX128,Verteil_rwst,39,FALSE)</f>
        <v>0</v>
      </c>
      <c r="BW146" s="90">
        <f t="shared" ref="BW146" si="707">IF(BX143&lt;&gt;0,BX146/BX143,0)</f>
        <v>0</v>
      </c>
      <c r="BX146" s="89">
        <f>BZ146*HLOOKUP(BX128,Grund_zins,2,FALSE)</f>
        <v>0</v>
      </c>
      <c r="BY146" s="89">
        <f>SUMIF($D$5:$D$125,"=zus",BY5:BY125)*HLOOKUP(BX128,Verteil_rwst,37,FALSE)+SUMIF($D$5:$D$125,"=zum",BY5:BY125)*HLOOKUP(BX128,Verteil_rwst,38,FALSE)+SUMIF($D$5:$D$125,"=zur",BY5:BY125)*HLOOKUP(BX128,Verteil_rwst,39,FALSE)</f>
        <v>0</v>
      </c>
      <c r="BZ146" s="89">
        <f t="shared" si="661"/>
        <v>0</v>
      </c>
      <c r="CA146" s="89">
        <f>SUMIF($D$5:$D$125,"=zus",CA5:CA125)*HLOOKUP(BX128,Verteil_rwst,37,FALSE)+SUMIF($D$5:$D$125,"=zum",CA5:CA125)*HLOOKUP(BX128,Verteil_rwst,38,FALSE)+SUMIF($D$5:$D$125,"=zur",CA5:CA125)*HLOOKUP(BX128,Verteil_rwst,39,FALSE)</f>
        <v>0</v>
      </c>
      <c r="CB146" s="571" t="s">
        <v>171</v>
      </c>
      <c r="CD146" s="205"/>
      <c r="CE146" s="381"/>
      <c r="CF146" s="89">
        <f>SUMIF($D$5:$D$125,"=zus",CF5:CF125)*HLOOKUP(CK128,Verteil_rwst,37,FALSE)+SUMIF($D$5:$D$125,"=zum",CF5:CF125)*HLOOKUP(CK128,Verteil_rwst,38,FALSE)+SUMIF($D$5:$D$125,"=zur",CF5:CF125)*HLOOKUP(CK128,Verteil_rwst,39,FALSE)</f>
        <v>0</v>
      </c>
      <c r="CH146" s="89">
        <f>SUMIF($D$5:$D$125,"=zus",CH5:CH125)*HLOOKUP(CK128,Verteil_rwst,37,FALSE)+SUMIF($D$5:$D$125,"=zum",CH5:CH125)*HLOOKUP(CK128,Verteil_rwst,38,FALSE)+SUMIF($D$5:$D$125,"=zur",CH5:CH125)*HLOOKUP(CK128,Verteil_rwst,39,FALSE)</f>
        <v>0</v>
      </c>
      <c r="CJ146" s="90">
        <f t="shared" ref="CJ146" si="708">IF(CK143&lt;&gt;0,CK146/CK143,0)</f>
        <v>0</v>
      </c>
      <c r="CK146" s="89">
        <f>CM146*HLOOKUP(CK128,Grund_zins,2,FALSE)</f>
        <v>0</v>
      </c>
      <c r="CL146" s="89">
        <f>SUMIF($D$5:$D$125,"=zus",CL5:CL125)*HLOOKUP(CK128,Verteil_rwst,37,FALSE)+SUMIF($D$5:$D$125,"=zum",CL5:CL125)*HLOOKUP(CK128,Verteil_rwst,38,FALSE)+SUMIF($D$5:$D$125,"=zur",CL5:CL125)*HLOOKUP(CK128,Verteil_rwst,39,FALSE)</f>
        <v>0</v>
      </c>
      <c r="CM146" s="89">
        <f t="shared" si="667"/>
        <v>0</v>
      </c>
      <c r="CN146" s="89">
        <f>SUMIF($D$5:$D$125,"=zus",CN5:CN125)*HLOOKUP(CK128,Verteil_rwst,37,FALSE)+SUMIF($D$5:$D$125,"=zum",CN5:CN125)*HLOOKUP(CK128,Verteil_rwst,38,FALSE)+SUMIF($D$5:$D$125,"=zur",CN5:CN125)*HLOOKUP(CK128,Verteil_rwst,39,FALSE)</f>
        <v>0</v>
      </c>
      <c r="CO146" s="571" t="s">
        <v>171</v>
      </c>
      <c r="CQ146" s="205"/>
      <c r="CR146" s="381"/>
      <c r="CS146" s="89">
        <f>SUMIF($D$5:$D$125,"=zus",CS5:CS125)*HLOOKUP(CX128,Verteil_rwst,37,FALSE)+SUMIF($D$5:$D$125,"=zum",CS5:CS125)*HLOOKUP(CX128,Verteil_rwst,38,FALSE)+SUMIF($D$5:$D$125,"=zur",CS5:CS125)*HLOOKUP(CX128,Verteil_rwst,39,FALSE)</f>
        <v>0</v>
      </c>
      <c r="CU146" s="89">
        <f>SUMIF($D$5:$D$125,"=zus",CU5:CU125)*HLOOKUP(CX128,Verteil_rwst,37,FALSE)+SUMIF($D$5:$D$125,"=zum",CU5:CU125)*HLOOKUP(CX128,Verteil_rwst,38,FALSE)+SUMIF($D$5:$D$125,"=zur",CU5:CU125)*HLOOKUP(CX128,Verteil_rwst,39,FALSE)</f>
        <v>0</v>
      </c>
      <c r="CW146" s="90">
        <f t="shared" ref="CW146" si="709">IF(CX143&lt;&gt;0,CX146/CX143,0)</f>
        <v>0</v>
      </c>
      <c r="CX146" s="89">
        <f>CZ146*HLOOKUP(CX128,Grund_zins,2,FALSE)</f>
        <v>0</v>
      </c>
      <c r="CY146" s="89">
        <f>SUMIF($D$5:$D$125,"=zus",CY5:CY125)*HLOOKUP(CX128,Verteil_rwst,37,FALSE)+SUMIF($D$5:$D$125,"=zum",CY5:CY125)*HLOOKUP(CX128,Verteil_rwst,38,FALSE)+SUMIF($D$5:$D$125,"=zur",CY5:CY125)*HLOOKUP(CX128,Verteil_rwst,39,FALSE)</f>
        <v>0</v>
      </c>
      <c r="CZ146" s="89">
        <f t="shared" si="673"/>
        <v>0</v>
      </c>
      <c r="DA146" s="89">
        <f>SUMIF($D$5:$D$125,"=zus",DA5:DA125)*HLOOKUP(CX128,Verteil_rwst,37,FALSE)+SUMIF($D$5:$D$125,"=zum",DA5:DA125)*HLOOKUP(CX128,Verteil_rwst,38,FALSE)+SUMIF($D$5:$D$125,"=zur",DA5:DA125)*HLOOKUP(CX128,Verteil_rwst,39,FALSE)</f>
        <v>0</v>
      </c>
      <c r="DB146" s="571" t="s">
        <v>171</v>
      </c>
      <c r="DD146" s="205"/>
      <c r="DE146" s="381"/>
      <c r="DF146" s="89">
        <f>SUMIF($D$5:$D$125,"=zus",DF5:DF125)*HLOOKUP(DK128,Verteil_rwst,37,FALSE)+SUMIF($D$5:$D$125,"=zum",DF5:DF125)*HLOOKUP(DK128,Verteil_rwst,38,FALSE)+SUMIF($D$5:$D$125,"=zur",DF5:DF125)*HLOOKUP(DK128,Verteil_rwst,39,FALSE)</f>
        <v>0</v>
      </c>
      <c r="DH146" s="89">
        <f>SUMIF($D$5:$D$125,"=zus",DH5:DH125)*HLOOKUP(DK128,Verteil_rwst,37,FALSE)+SUMIF($D$5:$D$125,"=zum",DH5:DH125)*HLOOKUP(DK128,Verteil_rwst,38,FALSE)+SUMIF($D$5:$D$125,"=zur",DH5:DH125)*HLOOKUP(DK128,Verteil_rwst,39,FALSE)</f>
        <v>0</v>
      </c>
      <c r="DJ146" s="90">
        <f t="shared" ref="DJ146" si="710">IF(DK143&lt;&gt;0,DK146/DK143,0)</f>
        <v>0</v>
      </c>
      <c r="DK146" s="89">
        <f>DM146*HLOOKUP(DK128,Grund_zins,2,FALSE)</f>
        <v>0</v>
      </c>
      <c r="DL146" s="89">
        <f>SUMIF($D$5:$D$125,"=zus",DL5:DL125)*HLOOKUP(DK128,Verteil_rwst,37,FALSE)+SUMIF($D$5:$D$125,"=zum",DL5:DL125)*HLOOKUP(DK128,Verteil_rwst,38,FALSE)+SUMIF($D$5:$D$125,"=zur",DL5:DL125)*HLOOKUP(DK128,Verteil_rwst,39,FALSE)</f>
        <v>0</v>
      </c>
      <c r="DM146" s="89">
        <f t="shared" si="679"/>
        <v>0</v>
      </c>
      <c r="DN146" s="89">
        <f>SUMIF($D$5:$D$125,"=zus",DN5:DN125)*HLOOKUP(DK128,Verteil_rwst,37,FALSE)+SUMIF($D$5:$D$125,"=zum",DN5:DN125)*HLOOKUP(DK128,Verteil_rwst,38,FALSE)+SUMIF($D$5:$D$125,"=zur",DN5:DN125)*HLOOKUP(DK128,Verteil_rwst,39,FALSE)</f>
        <v>0</v>
      </c>
      <c r="DO146" s="571" t="s">
        <v>171</v>
      </c>
      <c r="DQ146" s="205"/>
      <c r="DR146" s="381"/>
      <c r="DS146" s="89">
        <f>SUMIF($D$5:$D$125,"=zus",DS5:DS125)*HLOOKUP(DX128,Verteil_rwst,37,FALSE)+SUMIF($D$5:$D$125,"=zum",DS5:DS125)*HLOOKUP(DX128,Verteil_rwst,38,FALSE)+SUMIF($D$5:$D$125,"=zur",DS5:DS125)*HLOOKUP(DX128,Verteil_rwst,39,FALSE)</f>
        <v>0</v>
      </c>
      <c r="DU146" s="89">
        <f>SUMIF($D$5:$D$125,"=zus",DU5:DU125)*HLOOKUP(DX128,Verteil_rwst,37,FALSE)+SUMIF($D$5:$D$125,"=zum",DU5:DU125)*HLOOKUP(DX128,Verteil_rwst,38,FALSE)+SUMIF($D$5:$D$125,"=zur",DU5:DU125)*HLOOKUP(DX128,Verteil_rwst,39,FALSE)</f>
        <v>0</v>
      </c>
      <c r="DW146" s="90">
        <f t="shared" ref="DW146" si="711">IF(DX143&lt;&gt;0,DX146/DX143,0)</f>
        <v>0</v>
      </c>
      <c r="DX146" s="89">
        <f>DZ146*HLOOKUP(DX128,Grund_zins,2,FALSE)</f>
        <v>0</v>
      </c>
      <c r="DY146" s="89">
        <f>SUMIF($D$5:$D$125,"=zus",DY5:DY125)*HLOOKUP(DX128,Verteil_rwst,37,FALSE)+SUMIF($D$5:$D$125,"=zum",DY5:DY125)*HLOOKUP(DX128,Verteil_rwst,38,FALSE)+SUMIF($D$5:$D$125,"=zur",DY5:DY125)*HLOOKUP(DX128,Verteil_rwst,39,FALSE)</f>
        <v>0</v>
      </c>
      <c r="DZ146" s="89">
        <f t="shared" si="685"/>
        <v>0</v>
      </c>
      <c r="EA146" s="89">
        <f>SUMIF($D$5:$D$125,"=zus",EA5:EA125)*HLOOKUP(DX128,Verteil_rwst,37,FALSE)+SUMIF($D$5:$D$125,"=zum",EA5:EA125)*HLOOKUP(DX128,Verteil_rwst,38,FALSE)+SUMIF($D$5:$D$125,"=zur",EA5:EA125)*HLOOKUP(DX128,Verteil_rwst,39,FALSE)</f>
        <v>0</v>
      </c>
      <c r="EB146" s="571" t="s">
        <v>171</v>
      </c>
      <c r="ED146" s="205"/>
    </row>
    <row r="147" spans="1:134" x14ac:dyDescent="0.35">
      <c r="A147" s="561" t="s">
        <v>590</v>
      </c>
      <c r="Q147" s="225">
        <v>20</v>
      </c>
      <c r="R147" s="381"/>
      <c r="S147" s="89">
        <f>SUMIF($D$5:$D$125,"=zuz",S5:S125)</f>
        <v>0</v>
      </c>
      <c r="U147" s="89">
        <f>SUMIF($D$5:$D$125,"=zuz",U5:U125)</f>
        <v>0</v>
      </c>
      <c r="W147" s="90">
        <f>SUM(W148:W150)</f>
        <v>0.99999999999999989</v>
      </c>
      <c r="X147" s="89">
        <f>Z147*HLOOKUP(X128,Grund_zins,2,FALSE)</f>
        <v>13517.000000000002</v>
      </c>
      <c r="Y147" s="89">
        <f>SUMIF($D$5:$D$125,"=zuz",Y5:Y125)</f>
        <v>13800</v>
      </c>
      <c r="Z147" s="89">
        <f t="shared" si="687"/>
        <v>386200</v>
      </c>
      <c r="AA147" s="89">
        <f>SUMIF($D$5:$D$125,"=zuz",AA5:AA125)</f>
        <v>379300</v>
      </c>
      <c r="AB147" s="561" t="s">
        <v>898</v>
      </c>
      <c r="AD147" s="205"/>
      <c r="AE147" s="381"/>
      <c r="AF147" s="89">
        <f t="shared" ref="AF147" si="712">SUMIF($D$5:$D$125,"=zuz",AF5:AF125)</f>
        <v>0</v>
      </c>
      <c r="AH147" s="89">
        <f t="shared" ref="AH147" si="713">SUMIF($D$5:$D$125,"=zuz",AH5:AH125)</f>
        <v>0</v>
      </c>
      <c r="AJ147" s="90">
        <f t="shared" ref="AJ147" si="714">SUM(AJ148:AJ150)</f>
        <v>1</v>
      </c>
      <c r="AK147" s="89">
        <f>AM147*HLOOKUP(AK128,Grund_zins,2,FALSE)</f>
        <v>13034.000000000002</v>
      </c>
      <c r="AL147" s="89">
        <f t="shared" ref="AL147" si="715">SUMIF($D$5:$D$125,"=zuz",AL5:AL125)</f>
        <v>13800</v>
      </c>
      <c r="AM147" s="89">
        <f t="shared" si="643"/>
        <v>372400</v>
      </c>
      <c r="AN147" s="89">
        <f t="shared" ref="AN147" si="716">SUMIF($D$5:$D$125,"=zuz",AN5:AN125)</f>
        <v>365500</v>
      </c>
      <c r="AO147" s="570" t="s">
        <v>898</v>
      </c>
      <c r="AQ147" s="205"/>
      <c r="AR147" s="381"/>
      <c r="AS147" s="89">
        <f t="shared" ref="AS147" si="717">SUMIF($D$5:$D$125,"=zuz",AS5:AS125)</f>
        <v>0</v>
      </c>
      <c r="AU147" s="89">
        <f t="shared" ref="AU147" si="718">SUMIF($D$5:$D$125,"=zuz",AU5:AU125)</f>
        <v>0</v>
      </c>
      <c r="AW147" s="90">
        <f t="shared" ref="AW147" si="719">SUM(AW148:AW150)</f>
        <v>1</v>
      </c>
      <c r="AX147" s="89">
        <f>AZ147*HLOOKUP(AX128,Grund_zins,2,FALSE)</f>
        <v>12551.000000000002</v>
      </c>
      <c r="AY147" s="89">
        <f t="shared" ref="AY147" si="720">SUMIF($D$5:$D$125,"=zuz",AY5:AY125)</f>
        <v>13800</v>
      </c>
      <c r="AZ147" s="89">
        <f t="shared" si="649"/>
        <v>358600</v>
      </c>
      <c r="BA147" s="89">
        <f t="shared" ref="BA147" si="721">SUMIF($D$5:$D$125,"=zuz",BA5:BA125)</f>
        <v>351700</v>
      </c>
      <c r="BB147" s="570" t="s">
        <v>898</v>
      </c>
      <c r="BD147" s="205"/>
      <c r="BE147" s="381"/>
      <c r="BF147" s="89">
        <f t="shared" ref="BF147" si="722">SUMIF($D$5:$D$125,"=zuz",BF5:BF125)</f>
        <v>0</v>
      </c>
      <c r="BH147" s="89">
        <f t="shared" ref="BH147" si="723">SUMIF($D$5:$D$125,"=zuz",BH5:BH125)</f>
        <v>0</v>
      </c>
      <c r="BJ147" s="90">
        <f t="shared" ref="BJ147" si="724">SUM(BJ148:BJ150)</f>
        <v>1</v>
      </c>
      <c r="BK147" s="89">
        <f>BM147*HLOOKUP(BK128,Grund_zins,2,FALSE)</f>
        <v>12068.000000000002</v>
      </c>
      <c r="BL147" s="89">
        <f t="shared" ref="BL147" si="725">SUMIF($D$5:$D$125,"=zuz",BL5:BL125)</f>
        <v>13800</v>
      </c>
      <c r="BM147" s="89">
        <f t="shared" si="655"/>
        <v>344800</v>
      </c>
      <c r="BN147" s="89">
        <f t="shared" ref="BN147" si="726">SUMIF($D$5:$D$125,"=zuz",BN5:BN125)</f>
        <v>337900</v>
      </c>
      <c r="BO147" s="570" t="s">
        <v>898</v>
      </c>
      <c r="BQ147" s="205"/>
      <c r="BR147" s="381"/>
      <c r="BS147" s="89">
        <f t="shared" ref="BS147" si="727">SUMIF($D$5:$D$125,"=zuz",BS5:BS125)</f>
        <v>0</v>
      </c>
      <c r="BU147" s="89">
        <f t="shared" ref="BU147" si="728">SUMIF($D$5:$D$125,"=zuz",BU5:BU125)</f>
        <v>0</v>
      </c>
      <c r="BW147" s="90">
        <f t="shared" ref="BW147" si="729">SUM(BW148:BW150)</f>
        <v>1</v>
      </c>
      <c r="BX147" s="89">
        <f>BZ147*HLOOKUP(BX128,Grund_zins,2,FALSE)</f>
        <v>11585.000000000002</v>
      </c>
      <c r="BY147" s="89">
        <f t="shared" ref="BY147" si="730">SUMIF($D$5:$D$125,"=zuz",BY5:BY125)</f>
        <v>13800</v>
      </c>
      <c r="BZ147" s="89">
        <f t="shared" si="661"/>
        <v>331000</v>
      </c>
      <c r="CA147" s="89">
        <f t="shared" ref="CA147" si="731">SUMIF($D$5:$D$125,"=zuz",CA5:CA125)</f>
        <v>324100</v>
      </c>
      <c r="CB147" s="570" t="s">
        <v>898</v>
      </c>
      <c r="CD147" s="205"/>
      <c r="CE147" s="381"/>
      <c r="CF147" s="89">
        <f t="shared" ref="CF147" si="732">SUMIF($D$5:$D$125,"=zuz",CF5:CF125)</f>
        <v>0</v>
      </c>
      <c r="CH147" s="89">
        <f t="shared" ref="CH147" si="733">SUMIF($D$5:$D$125,"=zuz",CH5:CH125)</f>
        <v>0</v>
      </c>
      <c r="CJ147" s="90">
        <f t="shared" ref="CJ147" si="734">SUM(CJ148:CJ150)</f>
        <v>1</v>
      </c>
      <c r="CK147" s="89">
        <f>CM147*HLOOKUP(CK128,Grund_zins,2,FALSE)</f>
        <v>9516</v>
      </c>
      <c r="CL147" s="89">
        <f t="shared" ref="CL147" si="735">SUMIF($D$5:$D$125,"=zuz",CL5:CL125)</f>
        <v>13800</v>
      </c>
      <c r="CM147" s="89">
        <f t="shared" si="667"/>
        <v>317200</v>
      </c>
      <c r="CN147" s="89">
        <f t="shared" ref="CN147" si="736">SUMIF($D$5:$D$125,"=zuz",CN5:CN125)</f>
        <v>310300</v>
      </c>
      <c r="CO147" s="570" t="s">
        <v>898</v>
      </c>
      <c r="CQ147" s="205"/>
      <c r="CR147" s="381"/>
      <c r="CS147" s="89">
        <f t="shared" ref="CS147" si="737">SUMIF($D$5:$D$125,"=zuz",CS5:CS125)</f>
        <v>0</v>
      </c>
      <c r="CU147" s="89">
        <f t="shared" ref="CU147" si="738">SUMIF($D$5:$D$125,"=zuz",CU5:CU125)</f>
        <v>0</v>
      </c>
      <c r="CW147" s="90">
        <f t="shared" ref="CW147" si="739">SUM(CW148:CW150)</f>
        <v>1</v>
      </c>
      <c r="CX147" s="89">
        <f>CZ147*HLOOKUP(CX128,Grund_zins,2,FALSE)</f>
        <v>9102</v>
      </c>
      <c r="CY147" s="89">
        <f t="shared" ref="CY147" si="740">SUMIF($D$5:$D$125,"=zuz",CY5:CY125)</f>
        <v>13800</v>
      </c>
      <c r="CZ147" s="89">
        <f t="shared" si="673"/>
        <v>303400</v>
      </c>
      <c r="DA147" s="89">
        <f t="shared" ref="DA147" si="741">SUMIF($D$5:$D$125,"=zuz",DA5:DA125)</f>
        <v>296500</v>
      </c>
      <c r="DB147" s="570" t="s">
        <v>898</v>
      </c>
      <c r="DD147" s="205"/>
      <c r="DE147" s="381"/>
      <c r="DF147" s="89">
        <f t="shared" ref="DF147" si="742">SUMIF($D$5:$D$125,"=zuz",DF5:DF125)</f>
        <v>0</v>
      </c>
      <c r="DH147" s="89">
        <f t="shared" ref="DH147" si="743">SUMIF($D$5:$D$125,"=zuz",DH5:DH125)</f>
        <v>0</v>
      </c>
      <c r="DJ147" s="90">
        <f t="shared" ref="DJ147" si="744">SUM(DJ148:DJ150)</f>
        <v>1</v>
      </c>
      <c r="DK147" s="89">
        <f>DM147*HLOOKUP(DK128,Grund_zins,2,FALSE)</f>
        <v>8688</v>
      </c>
      <c r="DL147" s="89">
        <f t="shared" ref="DL147" si="745">SUMIF($D$5:$D$125,"=zuz",DL5:DL125)</f>
        <v>13800</v>
      </c>
      <c r="DM147" s="89">
        <f t="shared" si="679"/>
        <v>289600</v>
      </c>
      <c r="DN147" s="89">
        <f t="shared" ref="DN147" si="746">SUMIF($D$5:$D$125,"=zuz",DN5:DN125)</f>
        <v>282700</v>
      </c>
      <c r="DO147" s="570" t="s">
        <v>898</v>
      </c>
      <c r="DQ147" s="205"/>
      <c r="DR147" s="381"/>
      <c r="DS147" s="89">
        <f t="shared" ref="DS147" si="747">SUMIF($D$5:$D$125,"=zuz",DS5:DS125)</f>
        <v>0</v>
      </c>
      <c r="DU147" s="89">
        <f t="shared" ref="DU147" si="748">SUMIF($D$5:$D$125,"=zuz",DU5:DU125)</f>
        <v>0</v>
      </c>
      <c r="DW147" s="90">
        <f t="shared" ref="DW147" si="749">SUM(DW148:DW150)</f>
        <v>0.99999999999999978</v>
      </c>
      <c r="DX147" s="89">
        <f>DZ147*HLOOKUP(DX128,Grund_zins,2,FALSE)</f>
        <v>8274</v>
      </c>
      <c r="DY147" s="89">
        <f t="shared" ref="DY147" si="750">SUMIF($D$5:$D$125,"=zuz",DY5:DY125)</f>
        <v>13800</v>
      </c>
      <c r="DZ147" s="89">
        <f t="shared" si="685"/>
        <v>275800</v>
      </c>
      <c r="EA147" s="89">
        <f t="shared" ref="EA147" si="751">SUMIF($D$5:$D$125,"=zuz",EA5:EA125)</f>
        <v>268900</v>
      </c>
      <c r="EB147" s="570" t="s">
        <v>898</v>
      </c>
      <c r="ED147" s="205"/>
    </row>
    <row r="148" spans="1:134" x14ac:dyDescent="0.35">
      <c r="A148" s="560" t="s">
        <v>169</v>
      </c>
      <c r="Q148" s="225">
        <v>21</v>
      </c>
      <c r="R148" s="381"/>
      <c r="S148" s="89">
        <f>SUMIF($D$5:$D$125,"=zuz",S5:S125)*HLOOKUP(X128,Verteil_sw,44,FALSE)</f>
        <v>0</v>
      </c>
      <c r="U148" s="89">
        <f>SUMIF($D$5:$D$125,"=zuz",U5:U125)*HLOOKUP(X128,Verteil_sw,44,FALSE)</f>
        <v>0</v>
      </c>
      <c r="W148" s="90">
        <f>IF(X147&lt;&gt;0,X148/X147,0)</f>
        <v>0.83121999999999985</v>
      </c>
      <c r="X148" s="89">
        <f>Z148*HLOOKUP(X128,Grund_zins,2,FALSE)</f>
        <v>11235.60074</v>
      </c>
      <c r="Y148" s="89">
        <f>SUMIF($D$5:$D$125,"=zuz",Y5:Y125)*HLOOKUP(X128,Verteil_sw,44,FALSE)</f>
        <v>11470.835999999999</v>
      </c>
      <c r="Z148" s="89">
        <f t="shared" si="687"/>
        <v>321017.16399999999</v>
      </c>
      <c r="AA148" s="89">
        <f>SUMIF($D$5:$D$125,"=zuz",AA5:AA125)*HLOOKUP(X128,Verteil_sw,44,FALSE)</f>
        <v>315281.74599999998</v>
      </c>
      <c r="AB148" s="560" t="s">
        <v>169</v>
      </c>
      <c r="AD148" s="205"/>
      <c r="AE148" s="381"/>
      <c r="AF148" s="89">
        <f>SUMIF($D$5:$D$125,"=zuz",AF5:AF125)*HLOOKUP(AK128,Verteil_sw,44,FALSE)</f>
        <v>0</v>
      </c>
      <c r="AH148" s="89">
        <f>SUMIF($D$5:$D$125,"=zuz",AH5:AH125)*HLOOKUP(AK128,Verteil_sw,44,FALSE)</f>
        <v>0</v>
      </c>
      <c r="AJ148" s="90">
        <f t="shared" ref="AJ148" si="752">IF(AK147&lt;&gt;0,AK148/AK147,0)</f>
        <v>0.83030000000000004</v>
      </c>
      <c r="AK148" s="89">
        <f>AM148*HLOOKUP(AK128,Grund_zins,2,FALSE)</f>
        <v>10822.130200000001</v>
      </c>
      <c r="AL148" s="89">
        <f>SUMIF($D$5:$D$125,"=zuz",AL5:AL125)*HLOOKUP(AK128,Verteil_sw,44,FALSE)</f>
        <v>11458.140000000001</v>
      </c>
      <c r="AM148" s="89">
        <f t="shared" si="643"/>
        <v>309203.72000000003</v>
      </c>
      <c r="AN148" s="89">
        <f>SUMIF($D$5:$D$125,"=zuz",AN5:AN125)*HLOOKUP(AK128,Verteil_sw,44,FALSE)</f>
        <v>303474.65000000002</v>
      </c>
      <c r="AO148" s="571" t="s">
        <v>169</v>
      </c>
      <c r="AQ148" s="205"/>
      <c r="AR148" s="381"/>
      <c r="AS148" s="89">
        <f>SUMIF($D$5:$D$125,"=zuz",AS5:AS125)*HLOOKUP(AX128,Verteil_sw,44,FALSE)</f>
        <v>0</v>
      </c>
      <c r="AU148" s="89">
        <f>SUMIF($D$5:$D$125,"=zuz",AU5:AU125)*HLOOKUP(AX128,Verteil_sw,44,FALSE)</f>
        <v>0</v>
      </c>
      <c r="AW148" s="90">
        <f t="shared" ref="AW148" si="753">IF(AX147&lt;&gt;0,AX148/AX147,0)</f>
        <v>0.82928000000000002</v>
      </c>
      <c r="AX148" s="89">
        <f>AZ148*HLOOKUP(AX128,Grund_zins,2,FALSE)</f>
        <v>10408.293280000002</v>
      </c>
      <c r="AY148" s="89">
        <f>SUMIF($D$5:$D$125,"=zuz",AY5:AY125)*HLOOKUP(AX128,Verteil_sw,44,FALSE)</f>
        <v>11444.064</v>
      </c>
      <c r="AZ148" s="89">
        <f t="shared" si="649"/>
        <v>297379.80800000002</v>
      </c>
      <c r="BA148" s="89">
        <f>SUMIF($D$5:$D$125,"=zuz",BA5:BA125)*HLOOKUP(AX128,Verteil_sw,44,FALSE)</f>
        <v>291657.77600000001</v>
      </c>
      <c r="BB148" s="571" t="s">
        <v>169</v>
      </c>
      <c r="BD148" s="205"/>
      <c r="BE148" s="381"/>
      <c r="BF148" s="89">
        <f>SUMIF($D$5:$D$125,"=zuz",BF5:BF125)*HLOOKUP(BK128,Verteil_sw,44,FALSE)</f>
        <v>0</v>
      </c>
      <c r="BH148" s="89">
        <f>SUMIF($D$5:$D$125,"=zuz",BH5:BH125)*HLOOKUP(BK128,Verteil_sw,44,FALSE)</f>
        <v>0</v>
      </c>
      <c r="BJ148" s="90">
        <f t="shared" ref="BJ148" si="754">IF(BK147&lt;&gt;0,BK148/BK147,0)</f>
        <v>0.82816000000000001</v>
      </c>
      <c r="BK148" s="89">
        <f>BM148*HLOOKUP(BK128,Grund_zins,2,FALSE)</f>
        <v>9994.2348800000018</v>
      </c>
      <c r="BL148" s="89">
        <f>SUMIF($D$5:$D$125,"=zuz",BL5:BL125)*HLOOKUP(BK128,Verteil_sw,44,FALSE)</f>
        <v>11428.608</v>
      </c>
      <c r="BM148" s="89">
        <f t="shared" si="655"/>
        <v>285549.56800000003</v>
      </c>
      <c r="BN148" s="89">
        <f>SUMIF($D$5:$D$125,"=zuz",BN5:BN125)*HLOOKUP(BK128,Verteil_sw,44,FALSE)</f>
        <v>279835.26400000002</v>
      </c>
      <c r="BO148" s="571" t="s">
        <v>169</v>
      </c>
      <c r="BQ148" s="205"/>
      <c r="BR148" s="381"/>
      <c r="BS148" s="89">
        <f>SUMIF($D$5:$D$125,"=zuz",BS5:BS125)*HLOOKUP(BX128,Verteil_sw,44,FALSE)</f>
        <v>0</v>
      </c>
      <c r="BU148" s="89">
        <f>SUMIF($D$5:$D$125,"=zuz",BU5:BU125)*HLOOKUP(BX128,Verteil_sw,44,FALSE)</f>
        <v>0</v>
      </c>
      <c r="BW148" s="90">
        <f t="shared" ref="BW148" si="755">IF(BX147&lt;&gt;0,BX148/BX147,0)</f>
        <v>0.82694999999999996</v>
      </c>
      <c r="BX148" s="89">
        <f>BZ148*HLOOKUP(BX128,Grund_zins,2,FALSE)</f>
        <v>9580.2157500000012</v>
      </c>
      <c r="BY148" s="89">
        <f>SUMIF($D$5:$D$125,"=zuz",BY5:BY125)*HLOOKUP(BX128,Verteil_sw,44,FALSE)</f>
        <v>11411.91</v>
      </c>
      <c r="BZ148" s="89">
        <f t="shared" si="661"/>
        <v>273720.45</v>
      </c>
      <c r="CA148" s="89">
        <f>SUMIF($D$5:$D$125,"=zuz",CA5:CA125)*HLOOKUP(BX128,Verteil_sw,44,FALSE)</f>
        <v>268014.495</v>
      </c>
      <c r="CB148" s="571" t="s">
        <v>169</v>
      </c>
      <c r="CD148" s="205"/>
      <c r="CE148" s="381"/>
      <c r="CF148" s="89">
        <f>SUMIF($D$5:$D$125,"=zuz",CF5:CF125)*HLOOKUP(CK128,Verteil_sw,44,FALSE)</f>
        <v>0</v>
      </c>
      <c r="CH148" s="89">
        <f>SUMIF($D$5:$D$125,"=zuz",CH5:CH125)*HLOOKUP(CK128,Verteil_sw,44,FALSE)</f>
        <v>0</v>
      </c>
      <c r="CJ148" s="90">
        <f t="shared" ref="CJ148" si="756">IF(CK147&lt;&gt;0,CK148/CK147,0)</f>
        <v>0.82569000000000004</v>
      </c>
      <c r="CK148" s="89">
        <f>CM148*HLOOKUP(CK128,Grund_zins,2,FALSE)</f>
        <v>7857.2660400000004</v>
      </c>
      <c r="CL148" s="89">
        <f>SUMIF($D$5:$D$125,"=zuz",CL5:CL125)*HLOOKUP(CK128,Verteil_sw,44,FALSE)</f>
        <v>11394.522000000001</v>
      </c>
      <c r="CM148" s="89">
        <f t="shared" si="667"/>
        <v>261908.86800000002</v>
      </c>
      <c r="CN148" s="89">
        <f>SUMIF($D$5:$D$125,"=zuz",CN5:CN125)*HLOOKUP(CK128,Verteil_sw,44,FALSE)</f>
        <v>256211.60700000002</v>
      </c>
      <c r="CO148" s="571" t="s">
        <v>169</v>
      </c>
      <c r="CQ148" s="205"/>
      <c r="CR148" s="381"/>
      <c r="CS148" s="89">
        <f>SUMIF($D$5:$D$125,"=zuz",CS5:CS125)*HLOOKUP(CX128,Verteil_sw,44,FALSE)</f>
        <v>0</v>
      </c>
      <c r="CU148" s="89">
        <f>SUMIF($D$5:$D$125,"=zuz",CU5:CU125)*HLOOKUP(CX128,Verteil_sw,44,FALSE)</f>
        <v>0</v>
      </c>
      <c r="CW148" s="90">
        <f t="shared" ref="CW148" si="757">IF(CX147&lt;&gt;0,CX148/CX147,0)</f>
        <v>0.82431999999999994</v>
      </c>
      <c r="CX148" s="89">
        <f>CZ148*HLOOKUP(CX128,Grund_zins,2,FALSE)</f>
        <v>7502.9606399999993</v>
      </c>
      <c r="CY148" s="89">
        <f>SUMIF($D$5:$D$125,"=zuz",CY5:CY125)*HLOOKUP(CX128,Verteil_sw,44,FALSE)</f>
        <v>11375.616</v>
      </c>
      <c r="CZ148" s="89">
        <f t="shared" si="673"/>
        <v>250098.68799999999</v>
      </c>
      <c r="DA148" s="89">
        <f>SUMIF($D$5:$D$125,"=zuz",DA5:DA125)*HLOOKUP(CX128,Verteil_sw,44,FALSE)</f>
        <v>244410.88</v>
      </c>
      <c r="DB148" s="571" t="s">
        <v>169</v>
      </c>
      <c r="DD148" s="205"/>
      <c r="DE148" s="381"/>
      <c r="DF148" s="89">
        <f>SUMIF($D$5:$D$125,"=zuz",DF5:DF125)*HLOOKUP(DK128,Verteil_sw,44,FALSE)</f>
        <v>0</v>
      </c>
      <c r="DH148" s="89">
        <f>SUMIF($D$5:$D$125,"=zuz",DH5:DH125)*HLOOKUP(DK128,Verteil_sw,44,FALSE)</f>
        <v>0</v>
      </c>
      <c r="DJ148" s="90">
        <f t="shared" ref="DJ148" si="758">IF(DK147&lt;&gt;0,DK148/DK147,0)</f>
        <v>0.82413999999999998</v>
      </c>
      <c r="DK148" s="89">
        <f>DM148*HLOOKUP(DK128,Grund_zins,2,FALSE)</f>
        <v>7160.1283199999998</v>
      </c>
      <c r="DL148" s="89">
        <f>SUMIF($D$5:$D$125,"=zuz",DL5:DL125)*HLOOKUP(DK128,Verteil_sw,44,FALSE)</f>
        <v>11373.132</v>
      </c>
      <c r="DM148" s="89">
        <f t="shared" si="679"/>
        <v>238670.94399999999</v>
      </c>
      <c r="DN148" s="89">
        <f>SUMIF($D$5:$D$125,"=zuz",DN5:DN125)*HLOOKUP(DK128,Verteil_sw,44,FALSE)</f>
        <v>232984.378</v>
      </c>
      <c r="DO148" s="571" t="s">
        <v>169</v>
      </c>
      <c r="DQ148" s="205"/>
      <c r="DR148" s="381"/>
      <c r="DS148" s="89">
        <f>SUMIF($D$5:$D$125,"=zuz",DS5:DS125)*HLOOKUP(DX128,Verteil_sw,44,FALSE)</f>
        <v>0</v>
      </c>
      <c r="DU148" s="89">
        <f>SUMIF($D$5:$D$125,"=zuz",DU5:DU125)*HLOOKUP(DX128,Verteil_sw,44,FALSE)</f>
        <v>0</v>
      </c>
      <c r="DW148" s="90">
        <f t="shared" ref="DW148" si="759">IF(DX147&lt;&gt;0,DX148/DX147,0)</f>
        <v>0.82543999999999984</v>
      </c>
      <c r="DX148" s="89">
        <f>DZ148*HLOOKUP(DX128,Grund_zins,2,FALSE)</f>
        <v>6829.6905599999991</v>
      </c>
      <c r="DY148" s="89">
        <f>SUMIF($D$5:$D$125,"=zuz",DY5:DY125)*HLOOKUP(DX128,Verteil_sw,44,FALSE)</f>
        <v>11391.072</v>
      </c>
      <c r="DZ148" s="89">
        <f t="shared" si="685"/>
        <v>227656.35199999998</v>
      </c>
      <c r="EA148" s="89">
        <f>SUMIF($D$5:$D$125,"=zuz",EA5:EA125)*HLOOKUP(DX128,Verteil_sw,44,FALSE)</f>
        <v>221960.81599999999</v>
      </c>
      <c r="EB148" s="571" t="s">
        <v>169</v>
      </c>
      <c r="ED148" s="205"/>
    </row>
    <row r="149" spans="1:134" x14ac:dyDescent="0.35">
      <c r="A149" s="560" t="s">
        <v>170</v>
      </c>
      <c r="Q149" s="225">
        <v>22</v>
      </c>
      <c r="R149" s="381"/>
      <c r="S149" s="89">
        <f>SUMIF($D$5:$D$125,"=zuz",S5:S125)*HLOOKUP(X128,Verteil_rwgr,43,FALSE)</f>
        <v>0</v>
      </c>
      <c r="U149" s="89">
        <f>SUMIF($D$5:$D$125,"=zuz",U5:U125)*HLOOKUP(X128,Verteil_rwgr,43,FALSE)</f>
        <v>0</v>
      </c>
      <c r="W149" s="90">
        <f>IF(X147&lt;&gt;0,X149/X147,0)</f>
        <v>0.16878000000000001</v>
      </c>
      <c r="X149" s="89">
        <f>Z149*HLOOKUP(X128,Grund_zins,2,FALSE)</f>
        <v>2281.3992600000006</v>
      </c>
      <c r="Y149" s="89">
        <f>SUMIF($D$5:$D$125,"=zuz",Y5:Y125)*HLOOKUP(X128,Verteil_rwgr,43,FALSE)</f>
        <v>2329.1640000000002</v>
      </c>
      <c r="Z149" s="89">
        <f t="shared" si="687"/>
        <v>65182.83600000001</v>
      </c>
      <c r="AA149" s="89">
        <f>SUMIF($D$5:$D$125,"=zuz",AA5:AA125)*HLOOKUP(X128,Verteil_rwgr,43,FALSE)</f>
        <v>64018.254000000008</v>
      </c>
      <c r="AB149" s="560" t="s">
        <v>170</v>
      </c>
      <c r="AD149" s="205"/>
      <c r="AE149" s="381"/>
      <c r="AF149" s="89">
        <f>SUMIF($D$5:$D$125,"=zuz",AF5:AF125)*HLOOKUP(AK128,Verteil_rwgr,43,FALSE)</f>
        <v>0</v>
      </c>
      <c r="AH149" s="89">
        <f>SUMIF($D$5:$D$125,"=zuz",AH5:AH125)*HLOOKUP(AK128,Verteil_rwgr,43,FALSE)</f>
        <v>0</v>
      </c>
      <c r="AJ149" s="90">
        <f t="shared" ref="AJ149" si="760">IF(AK147&lt;&gt;0,AK149/AK147,0)</f>
        <v>0.16970000000000002</v>
      </c>
      <c r="AK149" s="89">
        <f>AM149*HLOOKUP(AK128,Grund_zins,2,FALSE)</f>
        <v>2211.8698000000004</v>
      </c>
      <c r="AL149" s="89">
        <f>SUMIF($D$5:$D$125,"=zuz",AL5:AL125)*HLOOKUP(AK128,Verteil_rwgr,43,FALSE)</f>
        <v>2341.8599999999997</v>
      </c>
      <c r="AM149" s="89">
        <f t="shared" si="643"/>
        <v>63196.28</v>
      </c>
      <c r="AN149" s="89">
        <f>SUMIF($D$5:$D$125,"=zuz",AN5:AN125)*HLOOKUP(AK128,Verteil_rwgr,43,FALSE)</f>
        <v>62025.35</v>
      </c>
      <c r="AO149" s="571" t="s">
        <v>170</v>
      </c>
      <c r="AQ149" s="205"/>
      <c r="AR149" s="381"/>
      <c r="AS149" s="89">
        <f>SUMIF($D$5:$D$125,"=zuz",AS5:AS125)*HLOOKUP(AX128,Verteil_rwgr,43,FALSE)</f>
        <v>0</v>
      </c>
      <c r="AU149" s="89">
        <f>SUMIF($D$5:$D$125,"=zuz",AU5:AU125)*HLOOKUP(AX128,Verteil_rwgr,43,FALSE)</f>
        <v>0</v>
      </c>
      <c r="AW149" s="90">
        <f t="shared" ref="AW149" si="761">IF(AX147&lt;&gt;0,AX149/AX147,0)</f>
        <v>0.17071999999999998</v>
      </c>
      <c r="AX149" s="89">
        <f>AZ149*HLOOKUP(AX128,Grund_zins,2,FALSE)</f>
        <v>2142.7067200000001</v>
      </c>
      <c r="AY149" s="89">
        <f>SUMIF($D$5:$D$125,"=zuz",AY5:AY125)*HLOOKUP(AX128,Verteil_rwgr,43,FALSE)</f>
        <v>2355.9360000000001</v>
      </c>
      <c r="AZ149" s="89">
        <f t="shared" si="649"/>
        <v>61220.192000000003</v>
      </c>
      <c r="BA149" s="89">
        <f>SUMIF($D$5:$D$125,"=zuz",BA5:BA125)*HLOOKUP(AX128,Verteil_rwgr,43,FALSE)</f>
        <v>60042.224000000002</v>
      </c>
      <c r="BB149" s="571" t="s">
        <v>170</v>
      </c>
      <c r="BD149" s="205"/>
      <c r="BE149" s="381"/>
      <c r="BF149" s="89">
        <f>SUMIF($D$5:$D$125,"=zuz",BF5:BF125)*HLOOKUP(BK128,Verteil_rwgr,43,FALSE)</f>
        <v>0</v>
      </c>
      <c r="BH149" s="89">
        <f>SUMIF($D$5:$D$125,"=zuz",BH5:BH125)*HLOOKUP(BK128,Verteil_rwgr,43,FALSE)</f>
        <v>0</v>
      </c>
      <c r="BJ149" s="90">
        <f t="shared" ref="BJ149" si="762">IF(BK147&lt;&gt;0,BK149/BK147,0)</f>
        <v>0.17183999999999996</v>
      </c>
      <c r="BK149" s="89">
        <f>BM149*HLOOKUP(BK128,Grund_zins,2,FALSE)</f>
        <v>2073.76512</v>
      </c>
      <c r="BL149" s="89">
        <f>SUMIF($D$5:$D$125,"=zuz",BL5:BL125)*HLOOKUP(BK128,Verteil_rwgr,43,FALSE)</f>
        <v>2371.3919999999998</v>
      </c>
      <c r="BM149" s="89">
        <f t="shared" si="655"/>
        <v>59250.432000000001</v>
      </c>
      <c r="BN149" s="89">
        <f>SUMIF($D$5:$D$125,"=zuz",BN5:BN125)*HLOOKUP(BK128,Verteil_rwgr,43,FALSE)</f>
        <v>58064.735999999997</v>
      </c>
      <c r="BO149" s="571" t="s">
        <v>170</v>
      </c>
      <c r="BQ149" s="205"/>
      <c r="BR149" s="381"/>
      <c r="BS149" s="89">
        <f>SUMIF($D$5:$D$125,"=zuz",BS5:BS125)*HLOOKUP(BX128,Verteil_rwgr,43,FALSE)</f>
        <v>0</v>
      </c>
      <c r="BU149" s="89">
        <f>SUMIF($D$5:$D$125,"=zuz",BU5:BU125)*HLOOKUP(BX128,Verteil_rwgr,43,FALSE)</f>
        <v>0</v>
      </c>
      <c r="BW149" s="90">
        <f t="shared" ref="BW149" si="763">IF(BX147&lt;&gt;0,BX149/BX147,0)</f>
        <v>0.17305000000000001</v>
      </c>
      <c r="BX149" s="89">
        <f>BZ149*HLOOKUP(BX128,Grund_zins,2,FALSE)</f>
        <v>2004.7842500000004</v>
      </c>
      <c r="BY149" s="89">
        <f>SUMIF($D$5:$D$125,"=zuz",BY5:BY125)*HLOOKUP(BX128,Verteil_rwgr,43,FALSE)</f>
        <v>2388.09</v>
      </c>
      <c r="BZ149" s="89">
        <f t="shared" si="661"/>
        <v>57279.55</v>
      </c>
      <c r="CA149" s="89">
        <f>SUMIF($D$5:$D$125,"=zuz",CA5:CA125)*HLOOKUP(BX128,Verteil_rwgr,43,FALSE)</f>
        <v>56085.505000000005</v>
      </c>
      <c r="CB149" s="571" t="s">
        <v>170</v>
      </c>
      <c r="CD149" s="205"/>
      <c r="CE149" s="381"/>
      <c r="CF149" s="89">
        <f>SUMIF($D$5:$D$125,"=zuz",CF5:CF125)*HLOOKUP(CK128,Verteil_rwgr,43,FALSE)</f>
        <v>0</v>
      </c>
      <c r="CH149" s="89">
        <f>SUMIF($D$5:$D$125,"=zuz",CH5:CH125)*HLOOKUP(CK128,Verteil_rwgr,43,FALSE)</f>
        <v>0</v>
      </c>
      <c r="CJ149" s="90">
        <f t="shared" ref="CJ149" si="764">IF(CK147&lt;&gt;0,CK149/CK147,0)</f>
        <v>0.17430999999999996</v>
      </c>
      <c r="CK149" s="89">
        <f>CM149*HLOOKUP(CK128,Grund_zins,2,FALSE)</f>
        <v>1658.7339599999998</v>
      </c>
      <c r="CL149" s="89">
        <f>SUMIF($D$5:$D$125,"=zuz",CL5:CL125)*HLOOKUP(CK128,Verteil_rwgr,43,FALSE)</f>
        <v>2405.4780000000001</v>
      </c>
      <c r="CM149" s="89">
        <f t="shared" si="667"/>
        <v>55291.131999999998</v>
      </c>
      <c r="CN149" s="89">
        <f>SUMIF($D$5:$D$125,"=zuz",CN5:CN125)*HLOOKUP(CK128,Verteil_rwgr,43,FALSE)</f>
        <v>54088.392999999996</v>
      </c>
      <c r="CO149" s="571" t="s">
        <v>170</v>
      </c>
      <c r="CQ149" s="205"/>
      <c r="CR149" s="381"/>
      <c r="CS149" s="89">
        <f>SUMIF($D$5:$D$125,"=zuz",CS5:CS125)*HLOOKUP(CX128,Verteil_rwgr,43,FALSE)</f>
        <v>0</v>
      </c>
      <c r="CU149" s="89">
        <f>SUMIF($D$5:$D$125,"=zuz",CU5:CU125)*HLOOKUP(CX128,Verteil_rwgr,43,FALSE)</f>
        <v>0</v>
      </c>
      <c r="CW149" s="90">
        <f t="shared" ref="CW149" si="765">IF(CX147&lt;&gt;0,CX149/CX147,0)</f>
        <v>0.17568</v>
      </c>
      <c r="CX149" s="89">
        <f>CZ149*HLOOKUP(CX128,Grund_zins,2,FALSE)</f>
        <v>1599.03936</v>
      </c>
      <c r="CY149" s="89">
        <f>SUMIF($D$5:$D$125,"=zuz",CY5:CY125)*HLOOKUP(CX128,Verteil_rwgr,43,FALSE)</f>
        <v>2424.384</v>
      </c>
      <c r="CZ149" s="89">
        <f t="shared" si="673"/>
        <v>53301.312000000005</v>
      </c>
      <c r="DA149" s="89">
        <f>SUMIF($D$5:$D$125,"=zuz",DA5:DA125)*HLOOKUP(CX128,Verteil_rwgr,43,FALSE)</f>
        <v>52089.120000000003</v>
      </c>
      <c r="DB149" s="571" t="s">
        <v>170</v>
      </c>
      <c r="DD149" s="205"/>
      <c r="DE149" s="381"/>
      <c r="DF149" s="89">
        <f>SUMIF($D$5:$D$125,"=zuz",DF5:DF125)*HLOOKUP(DK128,Verteil_rwgr,43,FALSE)</f>
        <v>0</v>
      </c>
      <c r="DH149" s="89">
        <f>SUMIF($D$5:$D$125,"=zuz",DH5:DH125)*HLOOKUP(DK128,Verteil_rwgr,43,FALSE)</f>
        <v>0</v>
      </c>
      <c r="DJ149" s="90">
        <f t="shared" ref="DJ149" si="766">IF(DK147&lt;&gt;0,DK149/DK147,0)</f>
        <v>0.17585999999999996</v>
      </c>
      <c r="DK149" s="89">
        <f>DM149*HLOOKUP(DK128,Grund_zins,2,FALSE)</f>
        <v>1527.8716799999997</v>
      </c>
      <c r="DL149" s="89">
        <f>SUMIF($D$5:$D$125,"=zuz",DL5:DL125)*HLOOKUP(DK128,Verteil_rwgr,43,FALSE)</f>
        <v>2426.8679999999999</v>
      </c>
      <c r="DM149" s="89">
        <f t="shared" si="679"/>
        <v>50929.055999999997</v>
      </c>
      <c r="DN149" s="89">
        <f>SUMIF($D$5:$D$125,"=zuz",DN5:DN125)*HLOOKUP(DK128,Verteil_rwgr,43,FALSE)</f>
        <v>49715.621999999996</v>
      </c>
      <c r="DO149" s="571" t="s">
        <v>170</v>
      </c>
      <c r="DQ149" s="205"/>
      <c r="DR149" s="381"/>
      <c r="DS149" s="89">
        <f>SUMIF($D$5:$D$125,"=zuz",DS5:DS125)*HLOOKUP(DX128,Verteil_rwgr,43,FALSE)</f>
        <v>0</v>
      </c>
      <c r="DU149" s="89">
        <f>SUMIF($D$5:$D$125,"=zuz",DU5:DU125)*HLOOKUP(DX128,Verteil_rwgr,43,FALSE)</f>
        <v>0</v>
      </c>
      <c r="DW149" s="90">
        <f t="shared" ref="DW149" si="767">IF(DX147&lt;&gt;0,DX149/DX147,0)</f>
        <v>0.17455999999999999</v>
      </c>
      <c r="DX149" s="89">
        <f>DZ149*HLOOKUP(DX128,Grund_zins,2,FALSE)</f>
        <v>1444.30944</v>
      </c>
      <c r="DY149" s="89">
        <f>SUMIF($D$5:$D$125,"=zuz",DY5:DY125)*HLOOKUP(DX128,Verteil_rwgr,43,FALSE)</f>
        <v>2408.9279999999999</v>
      </c>
      <c r="DZ149" s="89">
        <f t="shared" si="685"/>
        <v>48143.648000000001</v>
      </c>
      <c r="EA149" s="89">
        <f>SUMIF($D$5:$D$125,"=zuz",EA5:EA125)*HLOOKUP(DX128,Verteil_rwgr,43,FALSE)</f>
        <v>46939.184000000001</v>
      </c>
      <c r="EB149" s="571" t="s">
        <v>170</v>
      </c>
      <c r="ED149" s="205"/>
    </row>
    <row r="150" spans="1:134" x14ac:dyDescent="0.35">
      <c r="A150" s="560" t="s">
        <v>175</v>
      </c>
      <c r="Q150" s="225">
        <v>23</v>
      </c>
      <c r="R150" s="381"/>
      <c r="W150" s="90"/>
      <c r="X150" s="89"/>
      <c r="AB150" s="560" t="s">
        <v>175</v>
      </c>
      <c r="AD150" s="205"/>
      <c r="AE150" s="381"/>
      <c r="AJ150" s="90"/>
      <c r="AK150" s="89"/>
      <c r="AO150" s="571" t="s">
        <v>175</v>
      </c>
      <c r="AQ150" s="205"/>
      <c r="AR150" s="381"/>
      <c r="AW150" s="90"/>
      <c r="AX150" s="89"/>
      <c r="BB150" s="571" t="s">
        <v>175</v>
      </c>
      <c r="BD150" s="205"/>
      <c r="BE150" s="381"/>
      <c r="BJ150" s="90"/>
      <c r="BK150" s="89"/>
      <c r="BO150" s="571" t="s">
        <v>175</v>
      </c>
      <c r="BQ150" s="205"/>
      <c r="BR150" s="381"/>
      <c r="BW150" s="90"/>
      <c r="BX150" s="89"/>
      <c r="CB150" s="571" t="s">
        <v>175</v>
      </c>
      <c r="CD150" s="205"/>
      <c r="CE150" s="381"/>
      <c r="CJ150" s="90"/>
      <c r="CK150" s="89"/>
      <c r="CO150" s="571" t="s">
        <v>175</v>
      </c>
      <c r="CQ150" s="205"/>
      <c r="CR150" s="381"/>
      <c r="CW150" s="90"/>
      <c r="CX150" s="89"/>
      <c r="DB150" s="571" t="s">
        <v>175</v>
      </c>
      <c r="DD150" s="205"/>
      <c r="DE150" s="381"/>
      <c r="DJ150" s="90"/>
      <c r="DK150" s="89"/>
      <c r="DO150" s="571" t="s">
        <v>175</v>
      </c>
      <c r="DQ150" s="205"/>
      <c r="DR150" s="381"/>
      <c r="DW150" s="90"/>
      <c r="DX150" s="89"/>
      <c r="EB150" s="571" t="s">
        <v>175</v>
      </c>
      <c r="ED150" s="205"/>
    </row>
    <row r="151" spans="1:134" x14ac:dyDescent="0.35">
      <c r="A151" s="561" t="s">
        <v>1073</v>
      </c>
      <c r="Q151" s="225">
        <v>24</v>
      </c>
      <c r="R151" s="381"/>
      <c r="S151" s="166">
        <f t="shared" ref="S151:U153" si="768">SUM(S143,S147)</f>
        <v>0</v>
      </c>
      <c r="U151" s="166">
        <f t="shared" si="768"/>
        <v>0</v>
      </c>
      <c r="W151" s="90">
        <f>SUM(W152:W154)</f>
        <v>1</v>
      </c>
      <c r="X151" s="54">
        <f>ROUND(SUM(X143,X147),2)</f>
        <v>95557.79</v>
      </c>
      <c r="Y151" s="166">
        <f t="shared" ref="Y151:AA154" si="769">SUM(Y143,Y147)</f>
        <v>199080</v>
      </c>
      <c r="Z151" s="166">
        <f t="shared" si="769"/>
        <v>2730222.5</v>
      </c>
      <c r="AA151" s="166">
        <f t="shared" si="769"/>
        <v>2630682.5</v>
      </c>
      <c r="AB151" s="561" t="s">
        <v>1071</v>
      </c>
      <c r="AD151" s="205"/>
      <c r="AE151" s="381"/>
      <c r="AF151" s="166">
        <f t="shared" ref="AF151" si="770">SUM(AF143,AF147)</f>
        <v>0</v>
      </c>
      <c r="AH151" s="166">
        <f t="shared" ref="AH151" si="771">SUM(AH143,AH147)</f>
        <v>0</v>
      </c>
      <c r="AJ151" s="90">
        <f t="shared" ref="AJ151" si="772">SUM(AJ152:AJ154)</f>
        <v>0.99999999999999989</v>
      </c>
      <c r="AK151" s="54">
        <f t="shared" ref="AK151:BK154" si="773">ROUND(SUM(AK143,AK147),2)</f>
        <v>88624.99</v>
      </c>
      <c r="AL151" s="166">
        <f t="shared" ref="AL151:AN151" si="774">SUM(AL143,AL147)</f>
        <v>197080</v>
      </c>
      <c r="AM151" s="166">
        <f t="shared" si="774"/>
        <v>2532142.5</v>
      </c>
      <c r="AN151" s="166">
        <f t="shared" si="774"/>
        <v>2433602.5</v>
      </c>
      <c r="AO151" s="570" t="s">
        <v>1071</v>
      </c>
      <c r="AQ151" s="205"/>
      <c r="AR151" s="381"/>
      <c r="AS151" s="166">
        <f t="shared" ref="AS151" si="775">SUM(AS143,AS147)</f>
        <v>0</v>
      </c>
      <c r="AU151" s="166">
        <f t="shared" ref="AU151" si="776">SUM(AU143,AU147)</f>
        <v>0</v>
      </c>
      <c r="AW151" s="90">
        <f t="shared" ref="AW151" si="777">SUM(AW152:AW154)</f>
        <v>0.99999999999999989</v>
      </c>
      <c r="AX151" s="54">
        <f t="shared" ref="AX151" si="778">ROUND(SUM(AX143,AX147),2)</f>
        <v>81762.19</v>
      </c>
      <c r="AY151" s="166">
        <f t="shared" ref="AY151:BA151" si="779">SUM(AY143,AY147)</f>
        <v>195080</v>
      </c>
      <c r="AZ151" s="166">
        <f t="shared" si="779"/>
        <v>2336062.5</v>
      </c>
      <c r="BA151" s="166">
        <f t="shared" si="779"/>
        <v>2238522.5</v>
      </c>
      <c r="BB151" s="570" t="s">
        <v>1071</v>
      </c>
      <c r="BD151" s="205"/>
      <c r="BE151" s="381"/>
      <c r="BF151" s="166">
        <f t="shared" ref="BF151" si="780">SUM(BF143,BF147)</f>
        <v>0</v>
      </c>
      <c r="BH151" s="166">
        <f t="shared" ref="BH151" si="781">SUM(BH143,BH147)</f>
        <v>0</v>
      </c>
      <c r="BJ151" s="90">
        <f t="shared" ref="BJ151" si="782">SUM(BJ152:BJ154)</f>
        <v>1</v>
      </c>
      <c r="BK151" s="54">
        <f t="shared" ref="BK151" si="783">ROUND(SUM(BK143,BK147),2)</f>
        <v>74934.39</v>
      </c>
      <c r="BL151" s="166">
        <f t="shared" ref="BL151:BN151" si="784">SUM(BL143,BL147)</f>
        <v>195080</v>
      </c>
      <c r="BM151" s="166">
        <f t="shared" si="784"/>
        <v>2140982.5</v>
      </c>
      <c r="BN151" s="166">
        <f t="shared" si="784"/>
        <v>2043442.5</v>
      </c>
      <c r="BO151" s="570" t="s">
        <v>1071</v>
      </c>
      <c r="BQ151" s="205"/>
      <c r="BR151" s="381"/>
      <c r="BS151" s="166">
        <f t="shared" ref="BS151" si="785">SUM(BS143,BS147)</f>
        <v>0</v>
      </c>
      <c r="BU151" s="166">
        <f t="shared" ref="BU151" si="786">SUM(BU143,BU147)</f>
        <v>0</v>
      </c>
      <c r="BW151" s="90">
        <f t="shared" ref="BW151" si="787">SUM(BW152:BW154)</f>
        <v>1</v>
      </c>
      <c r="BX151" s="54">
        <f t="shared" ref="BX151:CX154" si="788">ROUND(SUM(BX143,BX147),2)</f>
        <v>68596.89</v>
      </c>
      <c r="BY151" s="166">
        <f t="shared" ref="BY151:CA151" si="789">SUM(BY143,BY147)</f>
        <v>167062.5</v>
      </c>
      <c r="BZ151" s="166">
        <f t="shared" si="789"/>
        <v>1959911.25</v>
      </c>
      <c r="CA151" s="166">
        <f t="shared" si="789"/>
        <v>1876380</v>
      </c>
      <c r="CB151" s="570" t="s">
        <v>1071</v>
      </c>
      <c r="CD151" s="205"/>
      <c r="CE151" s="381"/>
      <c r="CF151" s="166">
        <f t="shared" ref="CF151" si="790">SUM(CF143,CF147)</f>
        <v>0</v>
      </c>
      <c r="CH151" s="166">
        <f t="shared" ref="CH151" si="791">SUM(CH143,CH147)</f>
        <v>0</v>
      </c>
      <c r="CJ151" s="90">
        <f t="shared" ref="CJ151" si="792">SUM(CJ152:CJ154)</f>
        <v>1</v>
      </c>
      <c r="CK151" s="54">
        <f t="shared" ref="CK151" si="793">ROUND(SUM(CK143,CK147),2)</f>
        <v>54596.85</v>
      </c>
      <c r="CL151" s="166">
        <f t="shared" ref="CL151:CN151" si="794">SUM(CL143,CL147)</f>
        <v>112970</v>
      </c>
      <c r="CM151" s="166">
        <f t="shared" si="794"/>
        <v>1819895</v>
      </c>
      <c r="CN151" s="166">
        <f t="shared" si="794"/>
        <v>1763410</v>
      </c>
      <c r="CO151" s="570" t="s">
        <v>1071</v>
      </c>
      <c r="CQ151" s="205"/>
      <c r="CR151" s="381"/>
      <c r="CS151" s="166">
        <f t="shared" ref="CS151" si="795">SUM(CS143,CS147)</f>
        <v>0</v>
      </c>
      <c r="CU151" s="166">
        <f t="shared" ref="CU151" si="796">SUM(CU143,CU147)</f>
        <v>0</v>
      </c>
      <c r="CW151" s="90">
        <f t="shared" ref="CW151" si="797">SUM(CW152:CW154)</f>
        <v>1</v>
      </c>
      <c r="CX151" s="54">
        <f t="shared" ref="CX151" si="798">ROUND(SUM(CX143,CX147),2)</f>
        <v>51207.75</v>
      </c>
      <c r="CY151" s="166">
        <f t="shared" ref="CY151:DA151" si="799">SUM(CY143,CY147)</f>
        <v>112970</v>
      </c>
      <c r="CZ151" s="166">
        <f t="shared" si="799"/>
        <v>1706925</v>
      </c>
      <c r="DA151" s="166">
        <f t="shared" si="799"/>
        <v>1650440</v>
      </c>
      <c r="DB151" s="570" t="s">
        <v>1071</v>
      </c>
      <c r="DD151" s="205"/>
      <c r="DE151" s="381"/>
      <c r="DF151" s="166">
        <f t="shared" ref="DF151" si="800">SUM(DF143,DF147)</f>
        <v>0</v>
      </c>
      <c r="DH151" s="166">
        <f t="shared" ref="DH151" si="801">SUM(DH143,DH147)</f>
        <v>0</v>
      </c>
      <c r="DJ151" s="90">
        <f t="shared" ref="DJ151" si="802">SUM(DJ152:DJ154)</f>
        <v>1</v>
      </c>
      <c r="DK151" s="54">
        <f t="shared" ref="DK151:DX154" si="803">ROUND(SUM(DK143,DK147),2)</f>
        <v>47818.65</v>
      </c>
      <c r="DL151" s="166">
        <f t="shared" ref="DL151:DN151" si="804">SUM(DL143,DL147)</f>
        <v>112970</v>
      </c>
      <c r="DM151" s="166">
        <f t="shared" si="804"/>
        <v>1593955</v>
      </c>
      <c r="DN151" s="166">
        <f t="shared" si="804"/>
        <v>1537470</v>
      </c>
      <c r="DO151" s="570" t="s">
        <v>1071</v>
      </c>
      <c r="DQ151" s="205"/>
      <c r="DR151" s="381"/>
      <c r="DS151" s="166">
        <f t="shared" ref="DS151" si="805">SUM(DS143,DS147)</f>
        <v>0</v>
      </c>
      <c r="DU151" s="166">
        <f t="shared" ref="DU151" si="806">SUM(DU143,DU147)</f>
        <v>0</v>
      </c>
      <c r="DW151" s="90">
        <f t="shared" ref="DW151" si="807">SUM(DW152:DW154)</f>
        <v>1</v>
      </c>
      <c r="DX151" s="54">
        <f t="shared" ref="DX151" si="808">ROUND(SUM(DX143,DX147),2)</f>
        <v>44429.55</v>
      </c>
      <c r="DY151" s="166">
        <f t="shared" ref="DY151:EA151" si="809">SUM(DY143,DY147)</f>
        <v>112970</v>
      </c>
      <c r="DZ151" s="166">
        <f t="shared" si="809"/>
        <v>1480985</v>
      </c>
      <c r="EA151" s="166">
        <f t="shared" si="809"/>
        <v>1424500</v>
      </c>
      <c r="EB151" s="570" t="s">
        <v>1071</v>
      </c>
      <c r="ED151" s="205"/>
    </row>
    <row r="152" spans="1:134" x14ac:dyDescent="0.35">
      <c r="A152" s="560" t="s">
        <v>169</v>
      </c>
      <c r="Q152" s="225">
        <v>25</v>
      </c>
      <c r="R152" s="381"/>
      <c r="S152" s="166">
        <f t="shared" si="768"/>
        <v>0</v>
      </c>
      <c r="U152" s="166">
        <f t="shared" si="768"/>
        <v>0</v>
      </c>
      <c r="W152" s="90">
        <f>IF(X151&lt;&gt;0,X152/X151,0)</f>
        <v>0.62529972700289538</v>
      </c>
      <c r="X152" s="54">
        <f t="shared" ref="X152:X154" si="810">ROUND(SUM(X144,X148),2)</f>
        <v>59752.26</v>
      </c>
      <c r="Y152" s="166">
        <f t="shared" si="769"/>
        <v>143350.43900000001</v>
      </c>
      <c r="Z152" s="166">
        <f t="shared" si="769"/>
        <v>1707207.3028750001</v>
      </c>
      <c r="AA152" s="166">
        <f t="shared" si="769"/>
        <v>1635532.0833750002</v>
      </c>
      <c r="AB152" s="560" t="s">
        <v>169</v>
      </c>
      <c r="AD152" s="205"/>
      <c r="AE152" s="381"/>
      <c r="AF152" s="166">
        <f t="shared" ref="AF152" si="811">SUM(AF144,AF148)</f>
        <v>0</v>
      </c>
      <c r="AH152" s="166">
        <f t="shared" ref="AH152" si="812">SUM(AH144,AH148)</f>
        <v>0</v>
      </c>
      <c r="AJ152" s="90">
        <f t="shared" ref="AJ152" si="813">IF(AK151&lt;&gt;0,AK152/AK151,0)</f>
        <v>0.61766438563208859</v>
      </c>
      <c r="AK152" s="54">
        <f t="shared" si="773"/>
        <v>54740.5</v>
      </c>
      <c r="AL152" s="166">
        <f t="shared" ref="AL152:AN152" si="814">SUM(AL144,AL148)</f>
        <v>142337.74300000002</v>
      </c>
      <c r="AM152" s="166">
        <f t="shared" si="814"/>
        <v>1564014.255875</v>
      </c>
      <c r="AN152" s="166">
        <f t="shared" si="814"/>
        <v>1492845.3843749999</v>
      </c>
      <c r="AO152" s="571" t="s">
        <v>169</v>
      </c>
      <c r="AQ152" s="205"/>
      <c r="AR152" s="381"/>
      <c r="AS152" s="166">
        <f t="shared" ref="AS152" si="815">SUM(AS144,AS148)</f>
        <v>0</v>
      </c>
      <c r="AU152" s="166">
        <f t="shared" ref="AU152" si="816">SUM(AU144,AU148)</f>
        <v>0</v>
      </c>
      <c r="AW152" s="90">
        <f t="shared" ref="AW152" si="817">IF(AX151&lt;&gt;0,AX152/AX151,0)</f>
        <v>0.60863560528405602</v>
      </c>
      <c r="AX152" s="54">
        <f t="shared" si="773"/>
        <v>49763.38</v>
      </c>
      <c r="AY152" s="166">
        <f t="shared" ref="AY152:BA152" si="818">SUM(AY144,AY148)</f>
        <v>141323.66700000002</v>
      </c>
      <c r="AZ152" s="166">
        <f t="shared" si="818"/>
        <v>1421810.7408749999</v>
      </c>
      <c r="BA152" s="166">
        <f t="shared" si="818"/>
        <v>1351148.907375</v>
      </c>
      <c r="BB152" s="571" t="s">
        <v>169</v>
      </c>
      <c r="BD152" s="205"/>
      <c r="BE152" s="381"/>
      <c r="BF152" s="166">
        <f t="shared" ref="BF152" si="819">SUM(BF144,BF148)</f>
        <v>0</v>
      </c>
      <c r="BH152" s="166">
        <f t="shared" ref="BH152" si="820">SUM(BH144,BH148)</f>
        <v>0</v>
      </c>
      <c r="BJ152" s="90">
        <f t="shared" ref="BJ152" si="821">IF(BK151&lt;&gt;0,BK152/BK151,0)</f>
        <v>0.59790344593450351</v>
      </c>
      <c r="BK152" s="54">
        <f t="shared" si="773"/>
        <v>44803.53</v>
      </c>
      <c r="BL152" s="166">
        <f t="shared" ref="BL152:BN152" si="822">SUM(BL144,BL148)</f>
        <v>141308.21100000001</v>
      </c>
      <c r="BM152" s="166">
        <f t="shared" si="822"/>
        <v>1280100.897875</v>
      </c>
      <c r="BN152" s="166">
        <f t="shared" si="822"/>
        <v>1209446.792375</v>
      </c>
      <c r="BO152" s="571" t="s">
        <v>169</v>
      </c>
      <c r="BQ152" s="205"/>
      <c r="BR152" s="381"/>
      <c r="BS152" s="166">
        <f t="shared" ref="BS152" si="823">SUM(BS144,BS148)</f>
        <v>0</v>
      </c>
      <c r="BU152" s="166">
        <f t="shared" ref="BU152" si="824">SUM(BU144,BU148)</f>
        <v>0</v>
      </c>
      <c r="BW152" s="90">
        <f t="shared" ref="BW152" si="825">IF(BX151&lt;&gt;0,BX152/BX151,0)</f>
        <v>0.5874541834185194</v>
      </c>
      <c r="BX152" s="54">
        <f t="shared" si="788"/>
        <v>40297.53</v>
      </c>
      <c r="BY152" s="166">
        <f t="shared" ref="BY152:CA152" si="826">SUM(BY144,BY148)</f>
        <v>115359.91587500001</v>
      </c>
      <c r="BZ152" s="166">
        <f t="shared" si="826"/>
        <v>1151357.9754375</v>
      </c>
      <c r="CA152" s="166">
        <f t="shared" si="826"/>
        <v>1093678.0175000001</v>
      </c>
      <c r="CB152" s="571" t="s">
        <v>169</v>
      </c>
      <c r="CD152" s="205"/>
      <c r="CE152" s="381"/>
      <c r="CF152" s="166">
        <f t="shared" ref="CF152" si="827">SUM(CF144,CF148)</f>
        <v>0</v>
      </c>
      <c r="CH152" s="166">
        <f t="shared" ref="CH152" si="828">SUM(CH144,CH148)</f>
        <v>0</v>
      </c>
      <c r="CJ152" s="90">
        <f t="shared" ref="CJ152" si="829">IF(CK151&lt;&gt;0,CK152/CK151,0)</f>
        <v>0.58279790867055514</v>
      </c>
      <c r="CK152" s="54">
        <f t="shared" si="788"/>
        <v>31818.93</v>
      </c>
      <c r="CL152" s="166">
        <f t="shared" ref="CL152:CN152" si="830">SUM(CL144,CL148)</f>
        <v>65277.214500000002</v>
      </c>
      <c r="CM152" s="166">
        <f t="shared" si="830"/>
        <v>1060631.04425</v>
      </c>
      <c r="CN152" s="166">
        <f t="shared" si="830"/>
        <v>1027992.4369999999</v>
      </c>
      <c r="CO152" s="571" t="s">
        <v>169</v>
      </c>
      <c r="CQ152" s="205"/>
      <c r="CR152" s="381"/>
      <c r="CS152" s="166">
        <f t="shared" ref="CS152" si="831">SUM(CS144,CS148)</f>
        <v>0</v>
      </c>
      <c r="CU152" s="166">
        <f t="shared" ref="CU152" si="832">SUM(CU144,CU148)</f>
        <v>0</v>
      </c>
      <c r="CW152" s="90">
        <f t="shared" ref="CW152" si="833">IF(CX151&lt;&gt;0,CX152/CX151,0)</f>
        <v>0.58288345025899402</v>
      </c>
      <c r="CX152" s="54">
        <f t="shared" si="788"/>
        <v>29848.15</v>
      </c>
      <c r="CY152" s="166">
        <f t="shared" ref="CY152:DA152" si="834">SUM(CY144,CY148)</f>
        <v>65258.308500000006</v>
      </c>
      <c r="CZ152" s="166">
        <f t="shared" si="834"/>
        <v>994938.17174999986</v>
      </c>
      <c r="DA152" s="166">
        <f t="shared" si="834"/>
        <v>962309.01749999996</v>
      </c>
      <c r="DB152" s="571" t="s">
        <v>169</v>
      </c>
      <c r="DD152" s="205"/>
      <c r="DE152" s="381"/>
      <c r="DF152" s="166">
        <f t="shared" ref="DF152" si="835">SUM(DF144,DF148)</f>
        <v>0</v>
      </c>
      <c r="DH152" s="166">
        <f t="shared" ref="DH152" si="836">SUM(DH144,DH148)</f>
        <v>0</v>
      </c>
      <c r="DJ152" s="90">
        <f t="shared" ref="DJ152" si="837">IF(DK151&lt;&gt;0,DK152/DK151,0)</f>
        <v>0.58322077264832861</v>
      </c>
      <c r="DK152" s="54">
        <f t="shared" si="803"/>
        <v>27888.83</v>
      </c>
      <c r="DL152" s="166">
        <f t="shared" ref="DL152:DN152" si="838">SUM(DL144,DL148)</f>
        <v>65255.824500000002</v>
      </c>
      <c r="DM152" s="166">
        <f t="shared" si="838"/>
        <v>929627.73525000003</v>
      </c>
      <c r="DN152" s="166">
        <f t="shared" si="838"/>
        <v>896999.82300000009</v>
      </c>
      <c r="DO152" s="571" t="s">
        <v>169</v>
      </c>
      <c r="DQ152" s="205"/>
      <c r="DR152" s="381"/>
      <c r="DS152" s="166">
        <f t="shared" ref="DS152" si="839">SUM(DS144,DS148)</f>
        <v>0</v>
      </c>
      <c r="DU152" s="166">
        <f t="shared" ref="DU152" si="840">SUM(DU144,DU148)</f>
        <v>0</v>
      </c>
      <c r="DW152" s="90">
        <f t="shared" ref="DW152" si="841">IF(DX151&lt;&gt;0,DX152/DX151,0)</f>
        <v>0.58388865068406048</v>
      </c>
      <c r="DX152" s="54">
        <f t="shared" si="803"/>
        <v>25941.91</v>
      </c>
      <c r="DY152" s="166">
        <f t="shared" ref="DY152:EA152" si="842">SUM(DY144,DY148)</f>
        <v>65273.764500000005</v>
      </c>
      <c r="DZ152" s="166">
        <f t="shared" si="842"/>
        <v>864730.45074999984</v>
      </c>
      <c r="EA152" s="166">
        <f t="shared" si="842"/>
        <v>832093.56849999994</v>
      </c>
      <c r="EB152" s="571" t="s">
        <v>169</v>
      </c>
      <c r="ED152" s="205"/>
    </row>
    <row r="153" spans="1:134" x14ac:dyDescent="0.35">
      <c r="A153" s="560" t="s">
        <v>170</v>
      </c>
      <c r="Q153" s="225">
        <v>26</v>
      </c>
      <c r="R153" s="381"/>
      <c r="S153" s="166">
        <f t="shared" si="768"/>
        <v>0</v>
      </c>
      <c r="U153" s="166">
        <f t="shared" si="768"/>
        <v>0</v>
      </c>
      <c r="W153" s="90">
        <f>IF(X151&lt;&gt;0,X153/X151,0)</f>
        <v>0.37470027299710468</v>
      </c>
      <c r="X153" s="54">
        <f t="shared" si="810"/>
        <v>35805.53</v>
      </c>
      <c r="Y153" s="166">
        <f t="shared" si="769"/>
        <v>55729.560999999994</v>
      </c>
      <c r="Z153" s="166">
        <f t="shared" si="769"/>
        <v>1023015.1971250001</v>
      </c>
      <c r="AA153" s="166">
        <f t="shared" si="769"/>
        <v>995150.41662499995</v>
      </c>
      <c r="AB153" s="560" t="s">
        <v>170</v>
      </c>
      <c r="AD153" s="205"/>
      <c r="AE153" s="381"/>
      <c r="AF153" s="166">
        <f t="shared" ref="AF153" si="843">SUM(AF145,AF149)</f>
        <v>0</v>
      </c>
      <c r="AH153" s="166">
        <f t="shared" ref="AH153" si="844">SUM(AH145,AH149)</f>
        <v>0</v>
      </c>
      <c r="AJ153" s="90">
        <f t="shared" ref="AJ153" si="845">IF(AK151&lt;&gt;0,AK153/AK151,0)</f>
        <v>0.3823356143679113</v>
      </c>
      <c r="AK153" s="54">
        <f t="shared" si="773"/>
        <v>33884.49</v>
      </c>
      <c r="AL153" s="166">
        <f t="shared" ref="AL153:AN153" si="846">SUM(AL145,AL149)</f>
        <v>54742.256999999998</v>
      </c>
      <c r="AM153" s="166">
        <f t="shared" si="846"/>
        <v>968128.24412499997</v>
      </c>
      <c r="AN153" s="166">
        <f t="shared" si="846"/>
        <v>940757.11562499998</v>
      </c>
      <c r="AO153" s="571" t="s">
        <v>170</v>
      </c>
      <c r="AQ153" s="205"/>
      <c r="AR153" s="381"/>
      <c r="AS153" s="166">
        <f t="shared" ref="AS153" si="847">SUM(AS145,AS149)</f>
        <v>0</v>
      </c>
      <c r="AU153" s="166">
        <f t="shared" ref="AU153" si="848">SUM(AU145,AU149)</f>
        <v>0</v>
      </c>
      <c r="AW153" s="90">
        <f t="shared" ref="AW153" si="849">IF(AX151&lt;&gt;0,AX153/AX151,0)</f>
        <v>0.39136439471594386</v>
      </c>
      <c r="AX153" s="54">
        <f t="shared" si="773"/>
        <v>31998.81</v>
      </c>
      <c r="AY153" s="166">
        <f t="shared" ref="AY153:BA153" si="850">SUM(AY145,AY149)</f>
        <v>53756.332999999999</v>
      </c>
      <c r="AZ153" s="166">
        <f t="shared" si="850"/>
        <v>914251.7591250001</v>
      </c>
      <c r="BA153" s="166">
        <f t="shared" si="850"/>
        <v>887373.59262500005</v>
      </c>
      <c r="BB153" s="571" t="s">
        <v>170</v>
      </c>
      <c r="BD153" s="205"/>
      <c r="BE153" s="381"/>
      <c r="BF153" s="166">
        <f t="shared" ref="BF153" si="851">SUM(BF145,BF149)</f>
        <v>0</v>
      </c>
      <c r="BH153" s="166">
        <f t="shared" ref="BH153" si="852">SUM(BH145,BH149)</f>
        <v>0</v>
      </c>
      <c r="BJ153" s="90">
        <f t="shared" ref="BJ153" si="853">IF(BK151&lt;&gt;0,BK153/BK151,0)</f>
        <v>0.40209655406549649</v>
      </c>
      <c r="BK153" s="54">
        <f t="shared" si="773"/>
        <v>30130.86</v>
      </c>
      <c r="BL153" s="166">
        <f t="shared" ref="BL153:BN153" si="854">SUM(BL145,BL149)</f>
        <v>53771.788999999997</v>
      </c>
      <c r="BM153" s="166">
        <f t="shared" si="854"/>
        <v>860881.60212499998</v>
      </c>
      <c r="BN153" s="166">
        <f t="shared" si="854"/>
        <v>833995.70762500004</v>
      </c>
      <c r="BO153" s="571" t="s">
        <v>170</v>
      </c>
      <c r="BQ153" s="205"/>
      <c r="BR153" s="381"/>
      <c r="BS153" s="166">
        <f t="shared" ref="BS153" si="855">SUM(BS145,BS149)</f>
        <v>0</v>
      </c>
      <c r="BU153" s="166">
        <f t="shared" ref="BU153" si="856">SUM(BU145,BU149)</f>
        <v>0</v>
      </c>
      <c r="BW153" s="90">
        <f t="shared" ref="BW153" si="857">IF(BX151&lt;&gt;0,BX153/BX151,0)</f>
        <v>0.4125458165814806</v>
      </c>
      <c r="BX153" s="54">
        <f t="shared" si="788"/>
        <v>28299.360000000001</v>
      </c>
      <c r="BY153" s="166">
        <f t="shared" ref="BY153:CA153" si="858">SUM(BY145,BY149)</f>
        <v>51702.584124999994</v>
      </c>
      <c r="BZ153" s="166">
        <f t="shared" si="858"/>
        <v>808553.27456250007</v>
      </c>
      <c r="CA153" s="166">
        <f t="shared" si="858"/>
        <v>782701.98250000004</v>
      </c>
      <c r="CB153" s="571" t="s">
        <v>170</v>
      </c>
      <c r="CD153" s="205"/>
      <c r="CE153" s="381"/>
      <c r="CF153" s="166">
        <f t="shared" ref="CF153" si="859">SUM(CF145,CF149)</f>
        <v>0</v>
      </c>
      <c r="CH153" s="166">
        <f t="shared" ref="CH153" si="860">SUM(CH145,CH149)</f>
        <v>0</v>
      </c>
      <c r="CJ153" s="90">
        <f t="shared" ref="CJ153" si="861">IF(CK151&lt;&gt;0,CK153/CK151,0)</f>
        <v>0.4172020913294448</v>
      </c>
      <c r="CK153" s="54">
        <f t="shared" si="788"/>
        <v>22777.919999999998</v>
      </c>
      <c r="CL153" s="166">
        <f t="shared" ref="CL153:CN153" si="862">SUM(CL145,CL149)</f>
        <v>47692.785500000005</v>
      </c>
      <c r="CM153" s="166">
        <f t="shared" si="862"/>
        <v>759263.95575000008</v>
      </c>
      <c r="CN153" s="166">
        <f t="shared" si="862"/>
        <v>735417.56300000008</v>
      </c>
      <c r="CO153" s="571" t="s">
        <v>170</v>
      </c>
      <c r="CQ153" s="205"/>
      <c r="CR153" s="381"/>
      <c r="CS153" s="166">
        <f t="shared" ref="CS153" si="863">SUM(CS145,CS149)</f>
        <v>0</v>
      </c>
      <c r="CU153" s="166">
        <f t="shared" ref="CU153" si="864">SUM(CU145,CU149)</f>
        <v>0</v>
      </c>
      <c r="CW153" s="90">
        <f t="shared" ref="CW153" si="865">IF(CX151&lt;&gt;0,CX153/CX151,0)</f>
        <v>0.41711654974100598</v>
      </c>
      <c r="CX153" s="54">
        <f t="shared" si="788"/>
        <v>21359.599999999999</v>
      </c>
      <c r="CY153" s="166">
        <f t="shared" ref="CY153:DA153" si="866">SUM(CY145,CY149)</f>
        <v>47711.691500000001</v>
      </c>
      <c r="CZ153" s="166">
        <f t="shared" si="866"/>
        <v>711986.82825000014</v>
      </c>
      <c r="DA153" s="166">
        <f t="shared" si="866"/>
        <v>688130.98250000004</v>
      </c>
      <c r="DB153" s="571" t="s">
        <v>170</v>
      </c>
      <c r="DD153" s="205"/>
      <c r="DE153" s="381"/>
      <c r="DF153" s="166">
        <f t="shared" ref="DF153" si="867">SUM(DF145,DF149)</f>
        <v>0</v>
      </c>
      <c r="DH153" s="166">
        <f t="shared" ref="DH153" si="868">SUM(DH145,DH149)</f>
        <v>0</v>
      </c>
      <c r="DJ153" s="90">
        <f t="shared" ref="DJ153" si="869">IF(DK151&lt;&gt;0,DK153/DK151,0)</f>
        <v>0.41677922735167133</v>
      </c>
      <c r="DK153" s="54">
        <f t="shared" si="803"/>
        <v>19929.82</v>
      </c>
      <c r="DL153" s="166">
        <f t="shared" ref="DL153:DN153" si="870">SUM(DL145,DL149)</f>
        <v>47714.175500000005</v>
      </c>
      <c r="DM153" s="166">
        <f t="shared" si="870"/>
        <v>664327.26475000009</v>
      </c>
      <c r="DN153" s="166">
        <f t="shared" si="870"/>
        <v>640470.17700000003</v>
      </c>
      <c r="DO153" s="571" t="s">
        <v>170</v>
      </c>
      <c r="DQ153" s="205"/>
      <c r="DR153" s="381"/>
      <c r="DS153" s="166">
        <f t="shared" ref="DS153" si="871">SUM(DS145,DS149)</f>
        <v>0</v>
      </c>
      <c r="DU153" s="166">
        <f t="shared" ref="DU153" si="872">SUM(DU145,DU149)</f>
        <v>0</v>
      </c>
      <c r="DW153" s="90">
        <f t="shared" ref="DW153" si="873">IF(DX151&lt;&gt;0,DX153/DX151,0)</f>
        <v>0.41611134931593946</v>
      </c>
      <c r="DX153" s="54">
        <f t="shared" si="803"/>
        <v>18487.64</v>
      </c>
      <c r="DY153" s="166">
        <f t="shared" ref="DY153:EA153" si="874">SUM(DY145,DY149)</f>
        <v>47696.235500000003</v>
      </c>
      <c r="DZ153" s="166">
        <f t="shared" si="874"/>
        <v>616254.54925000016</v>
      </c>
      <c r="EA153" s="166">
        <f t="shared" si="874"/>
        <v>592406.43150000006</v>
      </c>
      <c r="EB153" s="571" t="s">
        <v>170</v>
      </c>
      <c r="ED153" s="205"/>
    </row>
    <row r="154" spans="1:134" x14ac:dyDescent="0.35">
      <c r="A154" s="560" t="s">
        <v>702</v>
      </c>
      <c r="Q154" s="225">
        <v>27</v>
      </c>
      <c r="R154" s="381"/>
      <c r="S154" s="166"/>
      <c r="U154" s="166"/>
      <c r="W154" s="90">
        <f>IF(X151&lt;&gt;0,X154/X151,0)</f>
        <v>0</v>
      </c>
      <c r="X154" s="54">
        <f t="shared" si="810"/>
        <v>0</v>
      </c>
      <c r="Y154" s="166">
        <f t="shared" si="769"/>
        <v>0</v>
      </c>
      <c r="Z154" s="166">
        <f t="shared" si="769"/>
        <v>0</v>
      </c>
      <c r="AA154" s="166">
        <f t="shared" si="769"/>
        <v>0</v>
      </c>
      <c r="AB154" s="560" t="s">
        <v>702</v>
      </c>
      <c r="AD154" s="205"/>
      <c r="AE154" s="381"/>
      <c r="AF154" s="166"/>
      <c r="AH154" s="166"/>
      <c r="AJ154" s="90">
        <f t="shared" ref="AJ154" si="875">IF(AK151&lt;&gt;0,AK154/AK151,0)</f>
        <v>0</v>
      </c>
      <c r="AK154" s="54">
        <f t="shared" si="773"/>
        <v>0</v>
      </c>
      <c r="AL154" s="166">
        <f t="shared" ref="AL154:AN154" si="876">SUM(AL146,AL150)</f>
        <v>0</v>
      </c>
      <c r="AM154" s="166">
        <f t="shared" si="876"/>
        <v>0</v>
      </c>
      <c r="AN154" s="166">
        <f t="shared" si="876"/>
        <v>0</v>
      </c>
      <c r="AO154" s="571" t="s">
        <v>702</v>
      </c>
      <c r="AQ154" s="205"/>
      <c r="AR154" s="381"/>
      <c r="AS154" s="166"/>
      <c r="AU154" s="166"/>
      <c r="AW154" s="90">
        <f t="shared" ref="AW154" si="877">IF(AX151&lt;&gt;0,AX154/AX151,0)</f>
        <v>0</v>
      </c>
      <c r="AX154" s="54">
        <f t="shared" si="773"/>
        <v>0</v>
      </c>
      <c r="AY154" s="166">
        <f t="shared" ref="AY154:BA154" si="878">SUM(AY146,AY150)</f>
        <v>0</v>
      </c>
      <c r="AZ154" s="166">
        <f t="shared" si="878"/>
        <v>0</v>
      </c>
      <c r="BA154" s="166">
        <f t="shared" si="878"/>
        <v>0</v>
      </c>
      <c r="BB154" s="571" t="s">
        <v>702</v>
      </c>
      <c r="BD154" s="205"/>
      <c r="BE154" s="381"/>
      <c r="BF154" s="166"/>
      <c r="BH154" s="166"/>
      <c r="BJ154" s="90">
        <f t="shared" ref="BJ154" si="879">IF(BK151&lt;&gt;0,BK154/BK151,0)</f>
        <v>0</v>
      </c>
      <c r="BK154" s="54">
        <f t="shared" si="773"/>
        <v>0</v>
      </c>
      <c r="BL154" s="166">
        <f t="shared" ref="BL154:BN154" si="880">SUM(BL146,BL150)</f>
        <v>0</v>
      </c>
      <c r="BM154" s="166">
        <f t="shared" si="880"/>
        <v>0</v>
      </c>
      <c r="BN154" s="166">
        <f t="shared" si="880"/>
        <v>0</v>
      </c>
      <c r="BO154" s="571" t="s">
        <v>702</v>
      </c>
      <c r="BQ154" s="205"/>
      <c r="BR154" s="381"/>
      <c r="BS154" s="166"/>
      <c r="BU154" s="166"/>
      <c r="BW154" s="90">
        <f t="shared" ref="BW154" si="881">IF(BX151&lt;&gt;0,BX154/BX151,0)</f>
        <v>0</v>
      </c>
      <c r="BX154" s="54">
        <f t="shared" si="788"/>
        <v>0</v>
      </c>
      <c r="BY154" s="166">
        <f t="shared" ref="BY154:CA154" si="882">SUM(BY146,BY150)</f>
        <v>0</v>
      </c>
      <c r="BZ154" s="166">
        <f t="shared" si="882"/>
        <v>0</v>
      </c>
      <c r="CA154" s="166">
        <f t="shared" si="882"/>
        <v>0</v>
      </c>
      <c r="CB154" s="571" t="s">
        <v>702</v>
      </c>
      <c r="CD154" s="205"/>
      <c r="CE154" s="381"/>
      <c r="CF154" s="166"/>
      <c r="CH154" s="166"/>
      <c r="CJ154" s="90">
        <f t="shared" ref="CJ154" si="883">IF(CK151&lt;&gt;0,CK154/CK151,0)</f>
        <v>0</v>
      </c>
      <c r="CK154" s="54">
        <f t="shared" si="788"/>
        <v>0</v>
      </c>
      <c r="CL154" s="166">
        <f t="shared" ref="CL154:CN154" si="884">SUM(CL146,CL150)</f>
        <v>0</v>
      </c>
      <c r="CM154" s="166">
        <f t="shared" si="884"/>
        <v>0</v>
      </c>
      <c r="CN154" s="166">
        <f t="shared" si="884"/>
        <v>0</v>
      </c>
      <c r="CO154" s="571" t="s">
        <v>702</v>
      </c>
      <c r="CQ154" s="205"/>
      <c r="CR154" s="381"/>
      <c r="CS154" s="166"/>
      <c r="CU154" s="166"/>
      <c r="CW154" s="90">
        <f t="shared" ref="CW154" si="885">IF(CX151&lt;&gt;0,CX154/CX151,0)</f>
        <v>0</v>
      </c>
      <c r="CX154" s="54">
        <f t="shared" si="788"/>
        <v>0</v>
      </c>
      <c r="CY154" s="166">
        <f t="shared" ref="CY154:DA154" si="886">SUM(CY146,CY150)</f>
        <v>0</v>
      </c>
      <c r="CZ154" s="166">
        <f t="shared" si="886"/>
        <v>0</v>
      </c>
      <c r="DA154" s="166">
        <f t="shared" si="886"/>
        <v>0</v>
      </c>
      <c r="DB154" s="571" t="s">
        <v>702</v>
      </c>
      <c r="DD154" s="205"/>
      <c r="DE154" s="381"/>
      <c r="DF154" s="166"/>
      <c r="DH154" s="166"/>
      <c r="DJ154" s="90">
        <f t="shared" ref="DJ154" si="887">IF(DK151&lt;&gt;0,DK154/DK151,0)</f>
        <v>0</v>
      </c>
      <c r="DK154" s="54">
        <f t="shared" si="803"/>
        <v>0</v>
      </c>
      <c r="DL154" s="166">
        <f t="shared" ref="DL154:DN154" si="888">SUM(DL146,DL150)</f>
        <v>0</v>
      </c>
      <c r="DM154" s="166">
        <f t="shared" si="888"/>
        <v>0</v>
      </c>
      <c r="DN154" s="166">
        <f t="shared" si="888"/>
        <v>0</v>
      </c>
      <c r="DO154" s="571" t="s">
        <v>702</v>
      </c>
      <c r="DQ154" s="205"/>
      <c r="DR154" s="381"/>
      <c r="DS154" s="166"/>
      <c r="DU154" s="166"/>
      <c r="DW154" s="90">
        <f t="shared" ref="DW154" si="889">IF(DX151&lt;&gt;0,DX154/DX151,0)</f>
        <v>0</v>
      </c>
      <c r="DX154" s="54">
        <f t="shared" si="803"/>
        <v>0</v>
      </c>
      <c r="DY154" s="166">
        <f t="shared" ref="DY154:EA154" si="890">SUM(DY146,DY150)</f>
        <v>0</v>
      </c>
      <c r="DZ154" s="166">
        <f t="shared" si="890"/>
        <v>0</v>
      </c>
      <c r="EA154" s="166">
        <f t="shared" si="890"/>
        <v>0</v>
      </c>
      <c r="EB154" s="571" t="s">
        <v>702</v>
      </c>
      <c r="ED154" s="205"/>
    </row>
    <row r="155" spans="1:134" ht="18.5" x14ac:dyDescent="0.45">
      <c r="A155" s="171" t="s">
        <v>592</v>
      </c>
      <c r="Q155" s="225">
        <v>28</v>
      </c>
      <c r="R155" s="382" t="s">
        <v>569</v>
      </c>
      <c r="Z155" s="202" t="s">
        <v>592</v>
      </c>
      <c r="AD155" s="205"/>
      <c r="AE155" s="382" t="s">
        <v>569</v>
      </c>
      <c r="AM155" s="202" t="s">
        <v>592</v>
      </c>
      <c r="AQ155" s="205"/>
      <c r="AR155" s="382" t="s">
        <v>569</v>
      </c>
      <c r="AZ155" s="202" t="s">
        <v>592</v>
      </c>
      <c r="BD155" s="205"/>
      <c r="BE155" s="382" t="s">
        <v>569</v>
      </c>
      <c r="BM155" s="202" t="s">
        <v>592</v>
      </c>
      <c r="BQ155" s="205"/>
      <c r="BR155" s="382" t="s">
        <v>569</v>
      </c>
      <c r="BZ155" s="202" t="s">
        <v>592</v>
      </c>
      <c r="CD155" s="205"/>
      <c r="CE155" s="382" t="s">
        <v>569</v>
      </c>
      <c r="CM155" s="202" t="s">
        <v>592</v>
      </c>
      <c r="CQ155" s="205"/>
      <c r="CR155" s="382" t="s">
        <v>569</v>
      </c>
      <c r="CZ155" s="202" t="s">
        <v>592</v>
      </c>
      <c r="DD155" s="205"/>
      <c r="DE155" s="382" t="s">
        <v>569</v>
      </c>
      <c r="DM155" s="202" t="s">
        <v>592</v>
      </c>
      <c r="DQ155" s="205"/>
      <c r="DR155" s="382" t="s">
        <v>569</v>
      </c>
      <c r="DZ155" s="202" t="s">
        <v>592</v>
      </c>
      <c r="ED155" s="205"/>
    </row>
    <row r="156" spans="1:134" x14ac:dyDescent="0.35">
      <c r="A156" s="91" t="s">
        <v>897</v>
      </c>
      <c r="Q156" s="225">
        <v>29</v>
      </c>
      <c r="R156" s="381"/>
      <c r="V156" s="89">
        <f>SUMIF($D$5:$D$125,"=zus",V5:V125)+SUMIF($D$5:$D$125,"=zum",V5:V125)+SUMIF($D$5:$D$125,"=zur",V5:V125)+SUMIF($D$5:$D$125,"=zuk",V5:V125)</f>
        <v>6351000</v>
      </c>
      <c r="W156" s="90">
        <f t="shared" ref="W156" si="891">SUM(W157:W159)</f>
        <v>0</v>
      </c>
      <c r="X156" s="166">
        <f>(AC156+AD156/2)*HLOOKUP(X128,Grund_zins,2,FALSE)</f>
        <v>0</v>
      </c>
      <c r="Z156" s="91" t="s">
        <v>897</v>
      </c>
      <c r="AC156" s="89">
        <f>SUMIF($D$5:$D$125,"=zus",AC5:AC125)+SUMIF($D$5:$D$125,"=zum",AC5:AC125)+SUMIF($D$5:$D$125,"=zur",AC5:AC125)+SUMIF($D$5:$D$125,"=zuk",AC5:AC125)</f>
        <v>0</v>
      </c>
      <c r="AD156" s="223">
        <f>SUMIF($D$5:$D$125,"=zus",AD5:AD125)+SUMIF($D$5:$D$125,"=zum",AD5:AD125)+SUMIF($D$5:$D$125,"=zur",AD5:AD125)+SUMIF($D$5:$D$125,"=zuk",AD5:AD125)</f>
        <v>0</v>
      </c>
      <c r="AE156" s="381"/>
      <c r="AI156" s="89">
        <f t="shared" ref="AI156" si="892">SUMIF($D$5:$D$125,"=zus",AI5:AI125)+SUMIF($D$5:$D$125,"=zum",AI5:AI125)+SUMIF($D$5:$D$125,"=zur",AI5:AI125)+SUMIF($D$5:$D$125,"=zuk",AI5:AI125)</f>
        <v>6351000</v>
      </c>
      <c r="AJ156" s="90">
        <f t="shared" ref="AJ156:CJ156" si="893">SUM(AJ157:AJ159)</f>
        <v>0</v>
      </c>
      <c r="AK156" s="166">
        <f>(AP156+AQ156/2)*HLOOKUP(AK128,Grund_zins,2,FALSE)</f>
        <v>0</v>
      </c>
      <c r="AM156" s="570" t="s">
        <v>897</v>
      </c>
      <c r="AP156" s="89">
        <f t="shared" ref="AP156:AQ156" si="894">SUMIF($D$5:$D$125,"=zus",AP5:AP125)+SUMIF($D$5:$D$125,"=zum",AP5:AP125)+SUMIF($D$5:$D$125,"=zur",AP5:AP125)+SUMIF($D$5:$D$125,"=zuk",AP5:AP125)</f>
        <v>0</v>
      </c>
      <c r="AQ156" s="223">
        <f t="shared" si="894"/>
        <v>0</v>
      </c>
      <c r="AR156" s="381"/>
      <c r="AV156" s="89">
        <f t="shared" ref="AV156" si="895">SUMIF($D$5:$D$125,"=zus",AV5:AV125)+SUMIF($D$5:$D$125,"=zum",AV5:AV125)+SUMIF($D$5:$D$125,"=zur",AV5:AV125)+SUMIF($D$5:$D$125,"=zuk",AV5:AV125)</f>
        <v>6351000</v>
      </c>
      <c r="AW156" s="90">
        <f t="shared" si="893"/>
        <v>0</v>
      </c>
      <c r="AX156" s="166">
        <f>(BC156+BD156/2)*HLOOKUP(AX128,Grund_zins,2,FALSE)</f>
        <v>0</v>
      </c>
      <c r="AZ156" s="570" t="s">
        <v>897</v>
      </c>
      <c r="BC156" s="89">
        <f t="shared" ref="BC156:BD156" si="896">SUMIF($D$5:$D$125,"=zus",BC5:BC125)+SUMIF($D$5:$D$125,"=zum",BC5:BC125)+SUMIF($D$5:$D$125,"=zur",BC5:BC125)+SUMIF($D$5:$D$125,"=zuk",BC5:BC125)</f>
        <v>0</v>
      </c>
      <c r="BD156" s="223">
        <f t="shared" si="896"/>
        <v>0</v>
      </c>
      <c r="BE156" s="381"/>
      <c r="BI156" s="89">
        <f t="shared" ref="BI156" si="897">SUMIF($D$5:$D$125,"=zus",BI5:BI125)+SUMIF($D$5:$D$125,"=zum",BI5:BI125)+SUMIF($D$5:$D$125,"=zur",BI5:BI125)+SUMIF($D$5:$D$125,"=zuk",BI5:BI125)</f>
        <v>6351000</v>
      </c>
      <c r="BJ156" s="90">
        <f t="shared" si="893"/>
        <v>0</v>
      </c>
      <c r="BK156" s="166">
        <f>(BP156+BQ156/2)*HLOOKUP(BK128,Grund_zins,2,FALSE)</f>
        <v>0</v>
      </c>
      <c r="BM156" s="570" t="s">
        <v>897</v>
      </c>
      <c r="BP156" s="89">
        <f t="shared" ref="BP156:BQ156" si="898">SUMIF($D$5:$D$125,"=zus",BP5:BP125)+SUMIF($D$5:$D$125,"=zum",BP5:BP125)+SUMIF($D$5:$D$125,"=zur",BP5:BP125)+SUMIF($D$5:$D$125,"=zuk",BP5:BP125)</f>
        <v>0</v>
      </c>
      <c r="BQ156" s="223">
        <f t="shared" si="898"/>
        <v>0</v>
      </c>
      <c r="BR156" s="381"/>
      <c r="BV156" s="89">
        <f t="shared" ref="BV156" si="899">SUMIF($D$5:$D$125,"=zus",BV5:BV125)+SUMIF($D$5:$D$125,"=zum",BV5:BV125)+SUMIF($D$5:$D$125,"=zur",BV5:BV125)+SUMIF($D$5:$D$125,"=zuk",BV5:BV125)</f>
        <v>6351000</v>
      </c>
      <c r="BW156" s="90">
        <f t="shared" si="893"/>
        <v>0</v>
      </c>
      <c r="BX156" s="166">
        <f>(CC156+CD156/2)*HLOOKUP(BX128,Grund_zins,2,FALSE)</f>
        <v>0</v>
      </c>
      <c r="BZ156" s="570" t="s">
        <v>897</v>
      </c>
      <c r="CC156" s="89">
        <f t="shared" ref="CC156:CD156" si="900">SUMIF($D$5:$D$125,"=zus",CC5:CC125)+SUMIF($D$5:$D$125,"=zum",CC5:CC125)+SUMIF($D$5:$D$125,"=zur",CC5:CC125)+SUMIF($D$5:$D$125,"=zuk",CC5:CC125)</f>
        <v>0</v>
      </c>
      <c r="CD156" s="223">
        <f t="shared" si="900"/>
        <v>0</v>
      </c>
      <c r="CE156" s="381"/>
      <c r="CI156" s="89">
        <f t="shared" ref="CI156" si="901">SUMIF($D$5:$D$125,"=zus",CI5:CI125)+SUMIF($D$5:$D$125,"=zum",CI5:CI125)+SUMIF($D$5:$D$125,"=zur",CI5:CI125)+SUMIF($D$5:$D$125,"=zuk",CI5:CI125)</f>
        <v>6351000</v>
      </c>
      <c r="CJ156" s="90">
        <f t="shared" si="893"/>
        <v>0</v>
      </c>
      <c r="CK156" s="166">
        <f>(CP156+CQ156/2)*HLOOKUP(CK128,Grund_zins,2,FALSE)</f>
        <v>0</v>
      </c>
      <c r="CM156" s="570" t="s">
        <v>897</v>
      </c>
      <c r="CP156" s="89">
        <f t="shared" ref="CP156:CQ156" si="902">SUMIF($D$5:$D$125,"=zus",CP5:CP125)+SUMIF($D$5:$D$125,"=zum",CP5:CP125)+SUMIF($D$5:$D$125,"=zur",CP5:CP125)+SUMIF($D$5:$D$125,"=zuk",CP5:CP125)</f>
        <v>0</v>
      </c>
      <c r="CQ156" s="223">
        <f t="shared" si="902"/>
        <v>0</v>
      </c>
      <c r="CR156" s="381"/>
      <c r="CV156" s="89">
        <f t="shared" ref="CV156" si="903">SUMIF($D$5:$D$125,"=zus",CV5:CV125)+SUMIF($D$5:$D$125,"=zum",CV5:CV125)+SUMIF($D$5:$D$125,"=zur",CV5:CV125)+SUMIF($D$5:$D$125,"=zuk",CV5:CV125)</f>
        <v>6351000</v>
      </c>
      <c r="CW156" s="90">
        <f t="shared" ref="CW156:DW156" si="904">SUM(CW157:CW159)</f>
        <v>0</v>
      </c>
      <c r="CX156" s="166">
        <f>(DC156+DD156/2)*HLOOKUP(CX128,Grund_zins,2,FALSE)</f>
        <v>0</v>
      </c>
      <c r="CZ156" s="570" t="s">
        <v>897</v>
      </c>
      <c r="DC156" s="89">
        <f t="shared" ref="DC156:DD156" si="905">SUMIF($D$5:$D$125,"=zus",DC5:DC125)+SUMIF($D$5:$D$125,"=zum",DC5:DC125)+SUMIF($D$5:$D$125,"=zur",DC5:DC125)+SUMIF($D$5:$D$125,"=zuk",DC5:DC125)</f>
        <v>0</v>
      </c>
      <c r="DD156" s="223">
        <f t="shared" si="905"/>
        <v>0</v>
      </c>
      <c r="DE156" s="381"/>
      <c r="DI156" s="89">
        <f t="shared" ref="DI156" si="906">SUMIF($D$5:$D$125,"=zus",DI5:DI125)+SUMIF($D$5:$D$125,"=zum",DI5:DI125)+SUMIF($D$5:$D$125,"=zur",DI5:DI125)+SUMIF($D$5:$D$125,"=zuk",DI5:DI125)</f>
        <v>6351000</v>
      </c>
      <c r="DJ156" s="90">
        <f t="shared" si="904"/>
        <v>0</v>
      </c>
      <c r="DK156" s="166">
        <f>(DP156+DQ156/2)*HLOOKUP(DK128,Grund_zins,2,FALSE)</f>
        <v>0</v>
      </c>
      <c r="DM156" s="570" t="s">
        <v>897</v>
      </c>
      <c r="DP156" s="89">
        <f t="shared" ref="DP156:DQ156" si="907">SUMIF($D$5:$D$125,"=zus",DP5:DP125)+SUMIF($D$5:$D$125,"=zum",DP5:DP125)+SUMIF($D$5:$D$125,"=zur",DP5:DP125)+SUMIF($D$5:$D$125,"=zuk",DP5:DP125)</f>
        <v>0</v>
      </c>
      <c r="DQ156" s="223">
        <f t="shared" si="907"/>
        <v>0</v>
      </c>
      <c r="DR156" s="381"/>
      <c r="DV156" s="89">
        <f t="shared" ref="DV156" si="908">SUMIF($D$5:$D$125,"=zus",DV5:DV125)+SUMIF($D$5:$D$125,"=zum",DV5:DV125)+SUMIF($D$5:$D$125,"=zur",DV5:DV125)+SUMIF($D$5:$D$125,"=zuk",DV5:DV125)</f>
        <v>6351000</v>
      </c>
      <c r="DW156" s="90">
        <f t="shared" si="904"/>
        <v>0</v>
      </c>
      <c r="DX156" s="166">
        <f>(EC156+ED156/2)*HLOOKUP(DX128,Grund_zins,2,FALSE)</f>
        <v>0</v>
      </c>
      <c r="DZ156" s="570" t="s">
        <v>897</v>
      </c>
      <c r="EC156" s="89">
        <f t="shared" ref="EC156:ED156" si="909">SUMIF($D$5:$D$125,"=zus",EC5:EC125)+SUMIF($D$5:$D$125,"=zum",EC5:EC125)+SUMIF($D$5:$D$125,"=zur",EC5:EC125)+SUMIF($D$5:$D$125,"=zuk",EC5:EC125)</f>
        <v>0</v>
      </c>
      <c r="ED156" s="223">
        <f t="shared" si="909"/>
        <v>0</v>
      </c>
    </row>
    <row r="157" spans="1:134" x14ac:dyDescent="0.35">
      <c r="A157" s="73" t="s">
        <v>169</v>
      </c>
      <c r="Q157" s="225">
        <v>30</v>
      </c>
      <c r="R157" s="381"/>
      <c r="V157" s="89">
        <f>SUMIF($D$5:$D$125,"=zus",V5:V125)*HLOOKUP(X128,Verteil_sw,39,FALSE)+SUMIF($D$5:$D$125,"=zum",V5:V125)*HLOOKUP(X128,Verteil_sw,40,FALSE)+SUMIF($D$5:$D$125,"=zur",V5:V125)*HLOOKUP(X128,Verteil_sw,41,FALSE)+SUMIF($D$5:$D$125,"=zuk",V5:V125)*HLOOKUP(X128,Verteil_sw,42,FALSE)</f>
        <v>4166262.5</v>
      </c>
      <c r="W157" s="90">
        <f t="shared" ref="W157" si="910">IF(X156&lt;&gt;0,X157/X156,0)</f>
        <v>0</v>
      </c>
      <c r="X157" s="166">
        <f>(AC157+AD157/2)*HLOOKUP(X128,Grund_zins,2,FALSE)</f>
        <v>0</v>
      </c>
      <c r="Z157" s="73" t="s">
        <v>169</v>
      </c>
      <c r="AC157" s="89">
        <f>SUMIF($D$5:$D$125,"=zus",AC5:AC125)*HLOOKUP(X128,Verteil_sw,39,FALSE)+SUMIF($D$5:$D$125,"=zum",AC5:AC125)*HLOOKUP(X128,Verteil_sw,40,FALSE)+SUMIF($D$5:$D$125,"=zur",AC5:AC125)*HLOOKUP(X128,Verteil_sw,41,FALSE)+SUMIF($D$5:$D$125,"=zuk",AC5:AC125)*HLOOKUP(X128,Verteil_sw,42,FALSE)</f>
        <v>0</v>
      </c>
      <c r="AD157" s="223">
        <f>SUMIF($D$5:$D$125,"=zus",AD5:AD125)*HLOOKUP(X128,Verteil_sw,39,FALSE)+SUMIF($D$5:$D$125,"=zum",AD5:AD125)*HLOOKUP(X128,Verteil_sw,40,FALSE)+SUMIF($D$5:$D$125,"=zur",AD5:AD125)*HLOOKUP(X128,Verteil_sw,41,FALSE)+SUMIF($D$5:$D$125,"=zuk",AD5:AD125)*HLOOKUP(X128,Verteil_sw,42,FALSE)</f>
        <v>0</v>
      </c>
      <c r="AE157" s="381"/>
      <c r="AI157" s="89">
        <f>SUMIF($D$5:$D$125,"=zus",AI5:AI125)*HLOOKUP(AK128,Verteil_sw,39,FALSE)+SUMIF($D$5:$D$125,"=zum",AI5:AI125)*HLOOKUP(AK128,Verteil_sw,40,FALSE)+SUMIF($D$5:$D$125,"=zur",AI5:AI125)*HLOOKUP(AK128,Verteil_sw,41,FALSE)+SUMIF($D$5:$D$125,"=zuk",AI5:AI125)*HLOOKUP(AK128,Verteil_sw,42,FALSE)</f>
        <v>4166262.5</v>
      </c>
      <c r="AJ157" s="90">
        <f t="shared" ref="AJ157" si="911">IF(AK156&lt;&gt;0,AK157/AK156,0)</f>
        <v>0</v>
      </c>
      <c r="AK157" s="166">
        <f>(AP157+AQ157/2)*HLOOKUP(AK128,Grund_zins,2,FALSE)</f>
        <v>0</v>
      </c>
      <c r="AM157" s="571" t="s">
        <v>169</v>
      </c>
      <c r="AP157" s="89">
        <f>SUMIF($D$5:$D$125,"=zus",AP5:AP125)*HLOOKUP(AK128,Verteil_sw,39,FALSE)+SUMIF($D$5:$D$125,"=zum",AP5:AP125)*HLOOKUP(AK128,Verteil_sw,40,FALSE)+SUMIF($D$5:$D$125,"=zur",AP5:AP125)*HLOOKUP(AK128,Verteil_sw,41,FALSE)+SUMIF($D$5:$D$125,"=zuk",AP5:AP125)*HLOOKUP(AK128,Verteil_sw,42,FALSE)</f>
        <v>0</v>
      </c>
      <c r="AQ157" s="223">
        <f>SUMIF($D$5:$D$125,"=zus",AQ5:AQ125)*HLOOKUP(AK128,Verteil_sw,39,FALSE)+SUMIF($D$5:$D$125,"=zum",AQ5:AQ125)*HLOOKUP(AK128,Verteil_sw,40,FALSE)+SUMIF($D$5:$D$125,"=zur",AQ5:AQ125)*HLOOKUP(AK128,Verteil_sw,41,FALSE)+SUMIF($D$5:$D$125,"=zuk",AQ5:AQ125)*HLOOKUP(AK128,Verteil_sw,42,FALSE)</f>
        <v>0</v>
      </c>
      <c r="AR157" s="381"/>
      <c r="AV157" s="89">
        <f>SUMIF($D$5:$D$125,"=zus",AV5:AV125)*HLOOKUP(AX128,Verteil_sw,39,FALSE)+SUMIF($D$5:$D$125,"=zum",AV5:AV125)*HLOOKUP(AX128,Verteil_sw,40,FALSE)+SUMIF($D$5:$D$125,"=zur",AV5:AV125)*HLOOKUP(AX128,Verteil_sw,41,FALSE)+SUMIF($D$5:$D$125,"=zuk",AV5:AV125)*HLOOKUP(AX128,Verteil_sw,42,FALSE)</f>
        <v>4166262.5</v>
      </c>
      <c r="AW157" s="90">
        <f t="shared" ref="AW157" si="912">IF(AX156&lt;&gt;0,AX157/AX156,0)</f>
        <v>0</v>
      </c>
      <c r="AX157" s="166">
        <f>(BC157+BD157/2)*HLOOKUP(AX128,Grund_zins,2,FALSE)</f>
        <v>0</v>
      </c>
      <c r="AZ157" s="571" t="s">
        <v>169</v>
      </c>
      <c r="BC157" s="89">
        <f>SUMIF($D$5:$D$125,"=zus",BC5:BC125)*HLOOKUP(AX128,Verteil_sw,39,FALSE)+SUMIF($D$5:$D$125,"=zum",BC5:BC125)*HLOOKUP(AX128,Verteil_sw,40,FALSE)+SUMIF($D$5:$D$125,"=zur",BC5:BC125)*HLOOKUP(AX128,Verteil_sw,41,FALSE)+SUMIF($D$5:$D$125,"=zuk",BC5:BC125)*HLOOKUP(AX128,Verteil_sw,42,FALSE)</f>
        <v>0</v>
      </c>
      <c r="BD157" s="223">
        <f>SUMIF($D$5:$D$125,"=zus",BD5:BD125)*HLOOKUP(AX128,Verteil_sw,39,FALSE)+SUMIF($D$5:$D$125,"=zum",BD5:BD125)*HLOOKUP(AX128,Verteil_sw,40,FALSE)+SUMIF($D$5:$D$125,"=zur",BD5:BD125)*HLOOKUP(AX128,Verteil_sw,41,FALSE)+SUMIF($D$5:$D$125,"=zuk",BD5:BD125)*HLOOKUP(AX128,Verteil_sw,42,FALSE)</f>
        <v>0</v>
      </c>
      <c r="BE157" s="381"/>
      <c r="BI157" s="89">
        <f>SUMIF($D$5:$D$125,"=zus",BI5:BI125)*HLOOKUP(BK128,Verteil_sw,39,FALSE)+SUMIF($D$5:$D$125,"=zum",BI5:BI125)*HLOOKUP(BK128,Verteil_sw,40,FALSE)+SUMIF($D$5:$D$125,"=zur",BI5:BI125)*HLOOKUP(BK128,Verteil_sw,41,FALSE)+SUMIF($D$5:$D$125,"=zuk",BI5:BI125)*HLOOKUP(BK128,Verteil_sw,42,FALSE)</f>
        <v>4166262.5</v>
      </c>
      <c r="BJ157" s="90">
        <f t="shared" ref="BJ157" si="913">IF(BK156&lt;&gt;0,BK157/BK156,0)</f>
        <v>0</v>
      </c>
      <c r="BK157" s="166">
        <f>(BP157+BQ157/2)*HLOOKUP(BK128,Grund_zins,2,FALSE)</f>
        <v>0</v>
      </c>
      <c r="BM157" s="571" t="s">
        <v>169</v>
      </c>
      <c r="BP157" s="89">
        <f>SUMIF($D$5:$D$125,"=zus",BP5:BP125)*HLOOKUP(BK128,Verteil_sw,39,FALSE)+SUMIF($D$5:$D$125,"=zum",BP5:BP125)*HLOOKUP(BK128,Verteil_sw,40,FALSE)+SUMIF($D$5:$D$125,"=zur",BP5:BP125)*HLOOKUP(BK128,Verteil_sw,41,FALSE)+SUMIF($D$5:$D$125,"=zuk",BP5:BP125)*HLOOKUP(BK128,Verteil_sw,42,FALSE)</f>
        <v>0</v>
      </c>
      <c r="BQ157" s="223">
        <f>SUMIF($D$5:$D$125,"=zus",BQ5:BQ125)*HLOOKUP(BK128,Verteil_sw,39,FALSE)+SUMIF($D$5:$D$125,"=zum",BQ5:BQ125)*HLOOKUP(BK128,Verteil_sw,40,FALSE)+SUMIF($D$5:$D$125,"=zur",BQ5:BQ125)*HLOOKUP(BK128,Verteil_sw,41,FALSE)+SUMIF($D$5:$D$125,"=zuk",BQ5:BQ125)*HLOOKUP(BK128,Verteil_sw,42,FALSE)</f>
        <v>0</v>
      </c>
      <c r="BR157" s="381"/>
      <c r="BV157" s="89">
        <f>SUMIF($D$5:$D$125,"=zus",BV5:BV125)*HLOOKUP(BX128,Verteil_sw,39,FALSE)+SUMIF($D$5:$D$125,"=zum",BV5:BV125)*HLOOKUP(BX128,Verteil_sw,40,FALSE)+SUMIF($D$5:$D$125,"=zur",BV5:BV125)*HLOOKUP(BX128,Verteil_sw,41,FALSE)+SUMIF($D$5:$D$125,"=zuk",BV5:BV125)*HLOOKUP(BX128,Verteil_sw,42,FALSE)</f>
        <v>4166262.5</v>
      </c>
      <c r="BW157" s="90">
        <f t="shared" ref="BW157" si="914">IF(BX156&lt;&gt;0,BX157/BX156,0)</f>
        <v>0</v>
      </c>
      <c r="BX157" s="166">
        <f>(CC157+CD157/2)*HLOOKUP(BX128,Grund_zins,2,FALSE)</f>
        <v>0</v>
      </c>
      <c r="BZ157" s="571" t="s">
        <v>169</v>
      </c>
      <c r="CC157" s="89">
        <f>SUMIF($D$5:$D$125,"=zus",CC5:CC125)*HLOOKUP(BX128,Verteil_sw,39,FALSE)+SUMIF($D$5:$D$125,"=zum",CC5:CC125)*HLOOKUP(BX128,Verteil_sw,40,FALSE)+SUMIF($D$5:$D$125,"=zur",CC5:CC125)*HLOOKUP(BX128,Verteil_sw,41,FALSE)+SUMIF($D$5:$D$125,"=zuk",CC5:CC125)*HLOOKUP(BX128,Verteil_sw,42,FALSE)</f>
        <v>0</v>
      </c>
      <c r="CD157" s="223">
        <f>SUMIF($D$5:$D$125,"=zus",CD5:CD125)*HLOOKUP(BX128,Verteil_sw,39,FALSE)+SUMIF($D$5:$D$125,"=zum",CD5:CD125)*HLOOKUP(BX128,Verteil_sw,40,FALSE)+SUMIF($D$5:$D$125,"=zur",CD5:CD125)*HLOOKUP(BX128,Verteil_sw,41,FALSE)+SUMIF($D$5:$D$125,"=zuk",CD5:CD125)*HLOOKUP(BX128,Verteil_sw,42,FALSE)</f>
        <v>0</v>
      </c>
      <c r="CE157" s="381"/>
      <c r="CI157" s="89">
        <f>SUMIF($D$5:$D$125,"=zus",CI5:CI125)*HLOOKUP(CK128,Verteil_sw,39,FALSE)+SUMIF($D$5:$D$125,"=zum",CI5:CI125)*HLOOKUP(CK128,Verteil_sw,40,FALSE)+SUMIF($D$5:$D$125,"=zur",CI5:CI125)*HLOOKUP(CK128,Verteil_sw,41,FALSE)+SUMIF($D$5:$D$125,"=zuk",CI5:CI125)*HLOOKUP(CK128,Verteil_sw,42,FALSE)</f>
        <v>4166262.5</v>
      </c>
      <c r="CJ157" s="90">
        <f t="shared" ref="CJ157" si="915">IF(CK156&lt;&gt;0,CK157/CK156,0)</f>
        <v>0</v>
      </c>
      <c r="CK157" s="166">
        <f>(CP157+CQ157/2)*HLOOKUP(CK128,Grund_zins,2,FALSE)</f>
        <v>0</v>
      </c>
      <c r="CM157" s="571" t="s">
        <v>169</v>
      </c>
      <c r="CP157" s="89">
        <f>SUMIF($D$5:$D$125,"=zus",CP5:CP125)*HLOOKUP(CK128,Verteil_sw,39,FALSE)+SUMIF($D$5:$D$125,"=zum",CP5:CP125)*HLOOKUP(CK128,Verteil_sw,40,FALSE)+SUMIF($D$5:$D$125,"=zur",CP5:CP125)*HLOOKUP(CK128,Verteil_sw,41,FALSE)+SUMIF($D$5:$D$125,"=zuk",CP5:CP125)*HLOOKUP(CK128,Verteil_sw,42,FALSE)</f>
        <v>0</v>
      </c>
      <c r="CQ157" s="223">
        <f>SUMIF($D$5:$D$125,"=zus",CQ5:CQ125)*HLOOKUP(CK128,Verteil_sw,39,FALSE)+SUMIF($D$5:$D$125,"=zum",CQ5:CQ125)*HLOOKUP(CK128,Verteil_sw,40,FALSE)+SUMIF($D$5:$D$125,"=zur",CQ5:CQ125)*HLOOKUP(CK128,Verteil_sw,41,FALSE)+SUMIF($D$5:$D$125,"=zuk",CQ5:CQ125)*HLOOKUP(CK128,Verteil_sw,42,FALSE)</f>
        <v>0</v>
      </c>
      <c r="CR157" s="381"/>
      <c r="CV157" s="89">
        <f>SUMIF($D$5:$D$125,"=zus",CV5:CV125)*HLOOKUP(CX128,Verteil_sw,39,FALSE)+SUMIF($D$5:$D$125,"=zum",CV5:CV125)*HLOOKUP(CX128,Verteil_sw,40,FALSE)+SUMIF($D$5:$D$125,"=zur",CV5:CV125)*HLOOKUP(CX128,Verteil_sw,41,FALSE)+SUMIF($D$5:$D$125,"=zuk",CV5:CV125)*HLOOKUP(CX128,Verteil_sw,42,FALSE)</f>
        <v>4166262.5</v>
      </c>
      <c r="CW157" s="90">
        <f t="shared" ref="CW157" si="916">IF(CX156&lt;&gt;0,CX157/CX156,0)</f>
        <v>0</v>
      </c>
      <c r="CX157" s="166">
        <f>(DC157+DD157/2)*HLOOKUP(CX128,Grund_zins,2,FALSE)</f>
        <v>0</v>
      </c>
      <c r="CZ157" s="571" t="s">
        <v>169</v>
      </c>
      <c r="DC157" s="89">
        <f>SUMIF($D$5:$D$125,"=zus",DC5:DC125)*HLOOKUP(CX128,Verteil_sw,39,FALSE)+SUMIF($D$5:$D$125,"=zum",DC5:DC125)*HLOOKUP(CX128,Verteil_sw,40,FALSE)+SUMIF($D$5:$D$125,"=zur",DC5:DC125)*HLOOKUP(CX128,Verteil_sw,41,FALSE)+SUMIF($D$5:$D$125,"=zuk",DC5:DC125)*HLOOKUP(CX128,Verteil_sw,42,FALSE)</f>
        <v>0</v>
      </c>
      <c r="DD157" s="223">
        <f>SUMIF($D$5:$D$125,"=zus",DD5:DD125)*HLOOKUP(CX128,Verteil_sw,39,FALSE)+SUMIF($D$5:$D$125,"=zum",DD5:DD125)*HLOOKUP(CX128,Verteil_sw,40,FALSE)+SUMIF($D$5:$D$125,"=zur",DD5:DD125)*HLOOKUP(CX128,Verteil_sw,41,FALSE)+SUMIF($D$5:$D$125,"=zuk",DD5:DD125)*HLOOKUP(CX128,Verteil_sw,42,FALSE)</f>
        <v>0</v>
      </c>
      <c r="DE157" s="381"/>
      <c r="DI157" s="89">
        <f>SUMIF($D$5:$D$125,"=zus",DI5:DI125)*HLOOKUP(DK128,Verteil_sw,39,FALSE)+SUMIF($D$5:$D$125,"=zum",DI5:DI125)*HLOOKUP(DK128,Verteil_sw,40,FALSE)+SUMIF($D$5:$D$125,"=zur",DI5:DI125)*HLOOKUP(DK128,Verteil_sw,41,FALSE)+SUMIF($D$5:$D$125,"=zuk",DI5:DI125)*HLOOKUP(DK128,Verteil_sw,42,FALSE)</f>
        <v>4166262.5</v>
      </c>
      <c r="DJ157" s="90">
        <f t="shared" ref="DJ157" si="917">IF(DK156&lt;&gt;0,DK157/DK156,0)</f>
        <v>0</v>
      </c>
      <c r="DK157" s="166">
        <f>(DP157+DQ157/2)*HLOOKUP(DK128,Grund_zins,2,FALSE)</f>
        <v>0</v>
      </c>
      <c r="DM157" s="571" t="s">
        <v>169</v>
      </c>
      <c r="DP157" s="89">
        <f>SUMIF($D$5:$D$125,"=zus",DP5:DP125)*HLOOKUP(DK128,Verteil_sw,39,FALSE)+SUMIF($D$5:$D$125,"=zum",DP5:DP125)*HLOOKUP(DK128,Verteil_sw,40,FALSE)+SUMIF($D$5:$D$125,"=zur",DP5:DP125)*HLOOKUP(DK128,Verteil_sw,41,FALSE)+SUMIF($D$5:$D$125,"=zuk",DP5:DP125)*HLOOKUP(DK128,Verteil_sw,42,FALSE)</f>
        <v>0</v>
      </c>
      <c r="DQ157" s="223">
        <f>SUMIF($D$5:$D$125,"=zus",DQ5:DQ125)*HLOOKUP(DK128,Verteil_sw,39,FALSE)+SUMIF($D$5:$D$125,"=zum",DQ5:DQ125)*HLOOKUP(DK128,Verteil_sw,40,FALSE)+SUMIF($D$5:$D$125,"=zur",DQ5:DQ125)*HLOOKUP(DK128,Verteil_sw,41,FALSE)+SUMIF($D$5:$D$125,"=zuk",DQ5:DQ125)*HLOOKUP(DK128,Verteil_sw,42,FALSE)</f>
        <v>0</v>
      </c>
      <c r="DR157" s="381"/>
      <c r="DV157" s="89">
        <f>SUMIF($D$5:$D$125,"=zus",DV5:DV125)*HLOOKUP(DX128,Verteil_sw,39,FALSE)+SUMIF($D$5:$D$125,"=zum",DV5:DV125)*HLOOKUP(DX128,Verteil_sw,40,FALSE)+SUMIF($D$5:$D$125,"=zur",DV5:DV125)*HLOOKUP(DX128,Verteil_sw,41,FALSE)+SUMIF($D$5:$D$125,"=zuk",DV5:DV125)*HLOOKUP(DX128,Verteil_sw,42,FALSE)</f>
        <v>4166262.5</v>
      </c>
      <c r="DW157" s="90">
        <f t="shared" ref="DW157" si="918">IF(DX156&lt;&gt;0,DX157/DX156,0)</f>
        <v>0</v>
      </c>
      <c r="DX157" s="166">
        <f>(EC157+ED157/2)*HLOOKUP(DX128,Grund_zins,2,FALSE)</f>
        <v>0</v>
      </c>
      <c r="DZ157" s="571" t="s">
        <v>169</v>
      </c>
      <c r="EC157" s="89">
        <f>SUMIF($D$5:$D$125,"=zus",EC5:EC125)*HLOOKUP(DX128,Verteil_sw,39,FALSE)+SUMIF($D$5:$D$125,"=zum",EC5:EC125)*HLOOKUP(DX128,Verteil_sw,40,FALSE)+SUMIF($D$5:$D$125,"=zur",EC5:EC125)*HLOOKUP(DX128,Verteil_sw,41,FALSE)+SUMIF($D$5:$D$125,"=zuk",EC5:EC125)*HLOOKUP(DX128,Verteil_sw,42,FALSE)</f>
        <v>0</v>
      </c>
      <c r="ED157" s="223">
        <f>SUMIF($D$5:$D$125,"=zus",ED5:ED125)*HLOOKUP(DX128,Verteil_sw,39,FALSE)+SUMIF($D$5:$D$125,"=zum",ED5:ED125)*HLOOKUP(DX128,Verteil_sw,40,FALSE)+SUMIF($D$5:$D$125,"=zur",ED5:ED125)*HLOOKUP(DX128,Verteil_sw,41,FALSE)+SUMIF($D$5:$D$125,"=zuk",ED5:ED125)*HLOOKUP(DX128,Verteil_sw,42,FALSE)</f>
        <v>0</v>
      </c>
    </row>
    <row r="158" spans="1:134" x14ac:dyDescent="0.35">
      <c r="A158" s="73" t="s">
        <v>170</v>
      </c>
      <c r="Q158" s="225">
        <v>31</v>
      </c>
      <c r="R158" s="381"/>
      <c r="V158" s="89">
        <f>SUMIF($D$5:$D$125,"=zus",V5:V125)*HLOOKUP(X128,Verteil_rwgr,38,FALSE)+SUMIF($D$5:$D$125,"=zum",V5:V125)*HLOOKUP(X128,Verteil_rwgr,39,FALSE)+SUMIF($D$5:$D$125,"=zur",V5:V125)*HLOOKUP(X128,Verteil_rwgr,40,FALSE)+SUMIF($D$5:$D$125,"=zuk",V5:V125)*HLOOKUP(X128,Verteil_rwgr,41,FALSE)</f>
        <v>2184737.5</v>
      </c>
      <c r="W158" s="90">
        <f t="shared" ref="W158" si="919">IF(X156&lt;&gt;0,X158/X156,0)</f>
        <v>0</v>
      </c>
      <c r="X158" s="166">
        <f>(AC158+AD158/2)*HLOOKUP(X128,Grund_zins,2,FALSE)</f>
        <v>0</v>
      </c>
      <c r="Z158" s="73" t="s">
        <v>170</v>
      </c>
      <c r="AC158" s="89">
        <f>SUMIF($D$5:$D$125,"=zus",AC5:AC125)*HLOOKUP(X128,Verteil_rwgr,38,FALSE)+SUMIF($D$5:$D$125,"=zum",AC5:AC125)*HLOOKUP(X128,Verteil_rwgr,39,FALSE)+SUMIF($D$5:$D$125,"=zur",AC5:AC125)*HLOOKUP(X128,Verteil_rwgr,40,FALSE)+SUMIF($D$5:$D$125,"=zuk",AC5:AC125)*HLOOKUP(X128,Verteil_rwgr,41,FALSE)</f>
        <v>0</v>
      </c>
      <c r="AD158" s="223">
        <f>SUMIF($D$5:$D$125,"=zus",AD5:AD125)*HLOOKUP(X128,Verteil_rwgr,38,FALSE)+SUMIF($D$5:$D$125,"=zum",AD5:AD125)*HLOOKUP(X128,Verteil_rwgr,39,FALSE)+SUMIF($D$5:$D$125,"=zur",AD5:AD125)*HLOOKUP(X128,Verteil_rwgr,40,FALSE)+SUMIF($D$5:$D$125,"=zuk",AD5:AD125)*HLOOKUP(X128,Verteil_rwgr,41,FALSE)</f>
        <v>0</v>
      </c>
      <c r="AE158" s="381"/>
      <c r="AI158" s="89">
        <f>SUMIF($D$5:$D$125,"=zus",AI5:AI125)*HLOOKUP(AK128,Verteil_rwgr,38,FALSE)+SUMIF($D$5:$D$125,"=zum",AI5:AI125)*HLOOKUP(AK128,Verteil_rwgr,39,FALSE)+SUMIF($D$5:$D$125,"=zur",AI5:AI125)*HLOOKUP(AK128,Verteil_rwgr,40,FALSE)+SUMIF($D$5:$D$125,"=zuk",AI5:AI125)*HLOOKUP(AK128,Verteil_rwgr,41,FALSE)</f>
        <v>2184737.5</v>
      </c>
      <c r="AJ158" s="90">
        <f t="shared" ref="AJ158" si="920">IF(AK156&lt;&gt;0,AK158/AK156,0)</f>
        <v>0</v>
      </c>
      <c r="AK158" s="166">
        <f>(AP158+AQ158/2)*HLOOKUP(AK128,Grund_zins,2,FALSE)</f>
        <v>0</v>
      </c>
      <c r="AM158" s="571" t="s">
        <v>170</v>
      </c>
      <c r="AP158" s="89">
        <f>SUMIF($D$5:$D$125,"=zus",AP5:AP125)*HLOOKUP(AK128,Verteil_rwgr,38,FALSE)+SUMIF($D$5:$D$125,"=zum",AP5:AP125)*HLOOKUP(AK128,Verteil_rwgr,39,FALSE)+SUMIF($D$5:$D$125,"=zur",AP5:AP125)*HLOOKUP(AK128,Verteil_rwgr,40,FALSE)+SUMIF($D$5:$D$125,"=zuk",AP5:AP125)*HLOOKUP(AK128,Verteil_rwgr,41,FALSE)</f>
        <v>0</v>
      </c>
      <c r="AQ158" s="223">
        <f>SUMIF($D$5:$D$125,"=zus",AQ5:AQ125)*HLOOKUP(AK128,Verteil_rwgr,38,FALSE)+SUMIF($D$5:$D$125,"=zum",AQ5:AQ125)*HLOOKUP(AK128,Verteil_rwgr,39,FALSE)+SUMIF($D$5:$D$125,"=zur",AQ5:AQ125)*HLOOKUP(AK128,Verteil_rwgr,40,FALSE)+SUMIF($D$5:$D$125,"=zuk",AQ5:AQ125)*HLOOKUP(AK128,Verteil_rwgr,41,FALSE)</f>
        <v>0</v>
      </c>
      <c r="AR158" s="381"/>
      <c r="AV158" s="89">
        <f>SUMIF($D$5:$D$125,"=zus",AV5:AV125)*HLOOKUP(AX128,Verteil_rwgr,38,FALSE)+SUMIF($D$5:$D$125,"=zum",AV5:AV125)*HLOOKUP(AX128,Verteil_rwgr,39,FALSE)+SUMIF($D$5:$D$125,"=zur",AV5:AV125)*HLOOKUP(AX128,Verteil_rwgr,40,FALSE)+SUMIF($D$5:$D$125,"=zuk",AV5:AV125)*HLOOKUP(AX128,Verteil_rwgr,41,FALSE)</f>
        <v>2184737.5</v>
      </c>
      <c r="AW158" s="90">
        <f t="shared" ref="AW158" si="921">IF(AX156&lt;&gt;0,AX158/AX156,0)</f>
        <v>0</v>
      </c>
      <c r="AX158" s="166">
        <f>(BC158+BD158/2)*HLOOKUP(AX128,Grund_zins,2,FALSE)</f>
        <v>0</v>
      </c>
      <c r="AZ158" s="571" t="s">
        <v>170</v>
      </c>
      <c r="BC158" s="89">
        <f>SUMIF($D$5:$D$125,"=zus",BC5:BC125)*HLOOKUP(AX128,Verteil_rwgr,38,FALSE)+SUMIF($D$5:$D$125,"=zum",BC5:BC125)*HLOOKUP(AX128,Verteil_rwgr,39,FALSE)+SUMIF($D$5:$D$125,"=zur",BC5:BC125)*HLOOKUP(AX128,Verteil_rwgr,40,FALSE)+SUMIF($D$5:$D$125,"=zuk",BC5:BC125)*HLOOKUP(AX128,Verteil_rwgr,41,FALSE)</f>
        <v>0</v>
      </c>
      <c r="BD158" s="223">
        <f>SUMIF($D$5:$D$125,"=zus",BD5:BD125)*HLOOKUP(AX128,Verteil_rwgr,38,FALSE)+SUMIF($D$5:$D$125,"=zum",BD5:BD125)*HLOOKUP(AX128,Verteil_rwgr,39,FALSE)+SUMIF($D$5:$D$125,"=zur",BD5:BD125)*HLOOKUP(AX128,Verteil_rwgr,40,FALSE)+SUMIF($D$5:$D$125,"=zuk",BD5:BD125)*HLOOKUP(AX128,Verteil_rwgr,41,FALSE)</f>
        <v>0</v>
      </c>
      <c r="BE158" s="381"/>
      <c r="BI158" s="89">
        <f>SUMIF($D$5:$D$125,"=zus",BI5:BI125)*HLOOKUP(BK128,Verteil_rwgr,38,FALSE)+SUMIF($D$5:$D$125,"=zum",BI5:BI125)*HLOOKUP(BK128,Verteil_rwgr,39,FALSE)+SUMIF($D$5:$D$125,"=zur",BI5:BI125)*HLOOKUP(BK128,Verteil_rwgr,40,FALSE)+SUMIF($D$5:$D$125,"=zuk",BI5:BI125)*HLOOKUP(BK128,Verteil_rwgr,41,FALSE)</f>
        <v>2184737.5</v>
      </c>
      <c r="BJ158" s="90">
        <f t="shared" ref="BJ158" si="922">IF(BK156&lt;&gt;0,BK158/BK156,0)</f>
        <v>0</v>
      </c>
      <c r="BK158" s="166">
        <f>(BP158+BQ158/2)*HLOOKUP(BK128,Grund_zins,2,FALSE)</f>
        <v>0</v>
      </c>
      <c r="BM158" s="571" t="s">
        <v>170</v>
      </c>
      <c r="BP158" s="89">
        <f>SUMIF($D$5:$D$125,"=zus",BP5:BP125)*HLOOKUP(BK128,Verteil_rwgr,38,FALSE)+SUMIF($D$5:$D$125,"=zum",BP5:BP125)*HLOOKUP(BK128,Verteil_rwgr,39,FALSE)+SUMIF($D$5:$D$125,"=zur",BP5:BP125)*HLOOKUP(BK128,Verteil_rwgr,40,FALSE)+SUMIF($D$5:$D$125,"=zuk",BP5:BP125)*HLOOKUP(BK128,Verteil_rwgr,41,FALSE)</f>
        <v>0</v>
      </c>
      <c r="BQ158" s="223">
        <f>SUMIF($D$5:$D$125,"=zus",BQ5:BQ125)*HLOOKUP(BK128,Verteil_rwgr,38,FALSE)+SUMIF($D$5:$D$125,"=zum",BQ5:BQ125)*HLOOKUP(BK128,Verteil_rwgr,39,FALSE)+SUMIF($D$5:$D$125,"=zur",BQ5:BQ125)*HLOOKUP(BK128,Verteil_rwgr,40,FALSE)+SUMIF($D$5:$D$125,"=zuk",BQ5:BQ125)*HLOOKUP(BK128,Verteil_rwgr,41,FALSE)</f>
        <v>0</v>
      </c>
      <c r="BR158" s="381"/>
      <c r="BV158" s="89">
        <f>SUMIF($D$5:$D$125,"=zus",BV5:BV125)*HLOOKUP(BX128,Verteil_rwgr,38,FALSE)+SUMIF($D$5:$D$125,"=zum",BV5:BV125)*HLOOKUP(BX128,Verteil_rwgr,39,FALSE)+SUMIF($D$5:$D$125,"=zur",BV5:BV125)*HLOOKUP(BX128,Verteil_rwgr,40,FALSE)+SUMIF($D$5:$D$125,"=zuk",BV5:BV125)*HLOOKUP(BX128,Verteil_rwgr,41,FALSE)</f>
        <v>2184737.5</v>
      </c>
      <c r="BW158" s="90">
        <f t="shared" ref="BW158" si="923">IF(BX156&lt;&gt;0,BX158/BX156,0)</f>
        <v>0</v>
      </c>
      <c r="BX158" s="166">
        <f>(CC158+CD158/2)*HLOOKUP(BX128,Grund_zins,2,FALSE)</f>
        <v>0</v>
      </c>
      <c r="BZ158" s="571" t="s">
        <v>170</v>
      </c>
      <c r="CC158" s="89">
        <f>SUMIF($D$5:$D$125,"=zus",CC5:CC125)*HLOOKUP(BX128,Verteil_rwgr,38,FALSE)+SUMIF($D$5:$D$125,"=zum",CC5:CC125)*HLOOKUP(BX128,Verteil_rwgr,39,FALSE)+SUMIF($D$5:$D$125,"=zur",CC5:CC125)*HLOOKUP(BX128,Verteil_rwgr,40,FALSE)+SUMIF($D$5:$D$125,"=zuk",CC5:CC125)*HLOOKUP(BX128,Verteil_rwgr,41,FALSE)</f>
        <v>0</v>
      </c>
      <c r="CD158" s="223">
        <f>SUMIF($D$5:$D$125,"=zus",CD5:CD125)*HLOOKUP(BX128,Verteil_rwgr,38,FALSE)+SUMIF($D$5:$D$125,"=zum",CD5:CD125)*HLOOKUP(BX128,Verteil_rwgr,39,FALSE)+SUMIF($D$5:$D$125,"=zur",CD5:CD125)*HLOOKUP(BX128,Verteil_rwgr,40,FALSE)+SUMIF($D$5:$D$125,"=zuk",CD5:CD125)*HLOOKUP(BX128,Verteil_rwgr,41,FALSE)</f>
        <v>0</v>
      </c>
      <c r="CE158" s="381"/>
      <c r="CI158" s="89">
        <f>SUMIF($D$5:$D$125,"=zus",CI5:CI125)*HLOOKUP(CK128,Verteil_rwgr,38,FALSE)+SUMIF($D$5:$D$125,"=zum",CI5:CI125)*HLOOKUP(CK128,Verteil_rwgr,39,FALSE)+SUMIF($D$5:$D$125,"=zur",CI5:CI125)*HLOOKUP(CK128,Verteil_rwgr,40,FALSE)+SUMIF($D$5:$D$125,"=zuk",CI5:CI125)*HLOOKUP(CK128,Verteil_rwgr,41,FALSE)</f>
        <v>2184737.5</v>
      </c>
      <c r="CJ158" s="90">
        <f t="shared" ref="CJ158" si="924">IF(CK156&lt;&gt;0,CK158/CK156,0)</f>
        <v>0</v>
      </c>
      <c r="CK158" s="166">
        <f>(CP158+CQ158/2)*HLOOKUP(CK128,Grund_zins,2,FALSE)</f>
        <v>0</v>
      </c>
      <c r="CM158" s="571" t="s">
        <v>170</v>
      </c>
      <c r="CP158" s="89">
        <f>SUMIF($D$5:$D$125,"=zus",CP5:CP125)*HLOOKUP(CK128,Verteil_rwgr,38,FALSE)+SUMIF($D$5:$D$125,"=zum",CP5:CP125)*HLOOKUP(CK128,Verteil_rwgr,39,FALSE)+SUMIF($D$5:$D$125,"=zur",CP5:CP125)*HLOOKUP(CK128,Verteil_rwgr,40,FALSE)+SUMIF($D$5:$D$125,"=zuk",CP5:CP125)*HLOOKUP(CK128,Verteil_rwgr,41,FALSE)</f>
        <v>0</v>
      </c>
      <c r="CQ158" s="223">
        <f>SUMIF($D$5:$D$125,"=zus",CQ5:CQ125)*HLOOKUP(CK128,Verteil_rwgr,38,FALSE)+SUMIF($D$5:$D$125,"=zum",CQ5:CQ125)*HLOOKUP(CK128,Verteil_rwgr,39,FALSE)+SUMIF($D$5:$D$125,"=zur",CQ5:CQ125)*HLOOKUP(CK128,Verteil_rwgr,40,FALSE)+SUMIF($D$5:$D$125,"=zuk",CQ5:CQ125)*HLOOKUP(CK128,Verteil_rwgr,41,FALSE)</f>
        <v>0</v>
      </c>
      <c r="CR158" s="381"/>
      <c r="CV158" s="89">
        <f>SUMIF($D$5:$D$125,"=zus",CV5:CV125)*HLOOKUP(CX128,Verteil_rwgr,38,FALSE)+SUMIF($D$5:$D$125,"=zum",CV5:CV125)*HLOOKUP(CX128,Verteil_rwgr,39,FALSE)+SUMIF($D$5:$D$125,"=zur",CV5:CV125)*HLOOKUP(CX128,Verteil_rwgr,40,FALSE)+SUMIF($D$5:$D$125,"=zuk",CV5:CV125)*HLOOKUP(CX128,Verteil_rwgr,41,FALSE)</f>
        <v>2184737.5</v>
      </c>
      <c r="CW158" s="90">
        <f t="shared" ref="CW158" si="925">IF(CX156&lt;&gt;0,CX158/CX156,0)</f>
        <v>0</v>
      </c>
      <c r="CX158" s="166">
        <f>(DC158+DD158/2)*HLOOKUP(CX128,Grund_zins,2,FALSE)</f>
        <v>0</v>
      </c>
      <c r="CZ158" s="571" t="s">
        <v>170</v>
      </c>
      <c r="DC158" s="89">
        <f>SUMIF($D$5:$D$125,"=zus",DC5:DC125)*HLOOKUP(CX128,Verteil_rwgr,38,FALSE)+SUMIF($D$5:$D$125,"=zum",DC5:DC125)*HLOOKUP(CX128,Verteil_rwgr,39,FALSE)+SUMIF($D$5:$D$125,"=zur",DC5:DC125)*HLOOKUP(CX128,Verteil_rwgr,40,FALSE)+SUMIF($D$5:$D$125,"=zuk",DC5:DC125)*HLOOKUP(CX128,Verteil_rwgr,41,FALSE)</f>
        <v>0</v>
      </c>
      <c r="DD158" s="223">
        <f>SUMIF($D$5:$D$125,"=zus",DD5:DD125)*HLOOKUP(CX128,Verteil_rwgr,38,FALSE)+SUMIF($D$5:$D$125,"=zum",DD5:DD125)*HLOOKUP(CX128,Verteil_rwgr,39,FALSE)+SUMIF($D$5:$D$125,"=zur",DD5:DD125)*HLOOKUP(CX128,Verteil_rwgr,40,FALSE)+SUMIF($D$5:$D$125,"=zuk",DD5:DD125)*HLOOKUP(CX128,Verteil_rwgr,41,FALSE)</f>
        <v>0</v>
      </c>
      <c r="DE158" s="381"/>
      <c r="DI158" s="89">
        <f>SUMIF($D$5:$D$125,"=zus",DI5:DI125)*HLOOKUP(DK128,Verteil_rwgr,38,FALSE)+SUMIF($D$5:$D$125,"=zum",DI5:DI125)*HLOOKUP(DK128,Verteil_rwgr,39,FALSE)+SUMIF($D$5:$D$125,"=zur",DI5:DI125)*HLOOKUP(DK128,Verteil_rwgr,40,FALSE)+SUMIF($D$5:$D$125,"=zuk",DI5:DI125)*HLOOKUP(DK128,Verteil_rwgr,41,FALSE)</f>
        <v>2184737.5</v>
      </c>
      <c r="DJ158" s="90">
        <f t="shared" ref="DJ158" si="926">IF(DK156&lt;&gt;0,DK158/DK156,0)</f>
        <v>0</v>
      </c>
      <c r="DK158" s="166">
        <f>(DP158+DQ158/2)*HLOOKUP(DK128,Grund_zins,2,FALSE)</f>
        <v>0</v>
      </c>
      <c r="DM158" s="571" t="s">
        <v>170</v>
      </c>
      <c r="DP158" s="89">
        <f>SUMIF($D$5:$D$125,"=zus",DP5:DP125)*HLOOKUP(DK128,Verteil_rwgr,38,FALSE)+SUMIF($D$5:$D$125,"=zum",DP5:DP125)*HLOOKUP(DK128,Verteil_rwgr,39,FALSE)+SUMIF($D$5:$D$125,"=zur",DP5:DP125)*HLOOKUP(DK128,Verteil_rwgr,40,FALSE)+SUMIF($D$5:$D$125,"=zuk",DP5:DP125)*HLOOKUP(DK128,Verteil_rwgr,41,FALSE)</f>
        <v>0</v>
      </c>
      <c r="DQ158" s="223">
        <f>SUMIF($D$5:$D$125,"=zus",DQ5:DQ125)*HLOOKUP(DK128,Verteil_rwgr,38,FALSE)+SUMIF($D$5:$D$125,"=zum",DQ5:DQ125)*HLOOKUP(DK128,Verteil_rwgr,39,FALSE)+SUMIF($D$5:$D$125,"=zur",DQ5:DQ125)*HLOOKUP(DK128,Verteil_rwgr,40,FALSE)+SUMIF($D$5:$D$125,"=zuk",DQ5:DQ125)*HLOOKUP(DK128,Verteil_rwgr,41,FALSE)</f>
        <v>0</v>
      </c>
      <c r="DR158" s="381"/>
      <c r="DV158" s="89">
        <f>SUMIF($D$5:$D$125,"=zus",DV5:DV125)*HLOOKUP(DX128,Verteil_rwgr,38,FALSE)+SUMIF($D$5:$D$125,"=zum",DV5:DV125)*HLOOKUP(DX128,Verteil_rwgr,39,FALSE)+SUMIF($D$5:$D$125,"=zur",DV5:DV125)*HLOOKUP(DX128,Verteil_rwgr,40,FALSE)+SUMIF($D$5:$D$125,"=zuk",DV5:DV125)*HLOOKUP(DX128,Verteil_rwgr,41,FALSE)</f>
        <v>2184737.5</v>
      </c>
      <c r="DW158" s="90">
        <f t="shared" ref="DW158" si="927">IF(DX156&lt;&gt;0,DX158/DX156,0)</f>
        <v>0</v>
      </c>
      <c r="DX158" s="166">
        <f>(EC158+ED158/2)*HLOOKUP(DX128,Grund_zins,2,FALSE)</f>
        <v>0</v>
      </c>
      <c r="DZ158" s="571" t="s">
        <v>170</v>
      </c>
      <c r="EC158" s="89">
        <f>SUMIF($D$5:$D$125,"=zus",EC5:EC125)*HLOOKUP(DX128,Verteil_rwgr,38,FALSE)+SUMIF($D$5:$D$125,"=zum",EC5:EC125)*HLOOKUP(DX128,Verteil_rwgr,39,FALSE)+SUMIF($D$5:$D$125,"=zur",EC5:EC125)*HLOOKUP(DX128,Verteil_rwgr,40,FALSE)+SUMIF($D$5:$D$125,"=zuk",EC5:EC125)*HLOOKUP(DX128,Verteil_rwgr,41,FALSE)</f>
        <v>0</v>
      </c>
      <c r="ED158" s="223">
        <f>SUMIF($D$5:$D$125,"=zus",ED5:ED125)*HLOOKUP(DX128,Verteil_rwgr,38,FALSE)+SUMIF($D$5:$D$125,"=zum",ED5:ED125)*HLOOKUP(DX128,Verteil_rwgr,39,FALSE)+SUMIF($D$5:$D$125,"=zur",ED5:ED125)*HLOOKUP(DX128,Verteil_rwgr,40,FALSE)+SUMIF($D$5:$D$125,"=zuk",ED5:ED125)*HLOOKUP(DX128,Verteil_rwgr,41,FALSE)</f>
        <v>0</v>
      </c>
    </row>
    <row r="159" spans="1:134" x14ac:dyDescent="0.35">
      <c r="A159" s="73" t="s">
        <v>702</v>
      </c>
      <c r="Q159" s="225">
        <v>32</v>
      </c>
      <c r="R159" s="381"/>
      <c r="V159" s="89">
        <f>SUMIF($D$5:$D$125,"=zus",V5:V125)*HLOOKUP(X128,Verteil_rwst,37,FALSE)+SUMIF($D$5:$D$125,"=zum",V5:V125)*HLOOKUP(X128,Verteil_rwst,38,FALSE)+SUMIF($D$5:$D$125,"=zur",V5:V125)*HLOOKUP(X128,Verteil_rwst,39,FALSE)</f>
        <v>0</v>
      </c>
      <c r="W159" s="90">
        <f t="shared" ref="W159" si="928">IF(X156&lt;&gt;0,X159/X156,0)</f>
        <v>0</v>
      </c>
      <c r="X159" s="166">
        <f>(AC159+AD159/2)*HLOOKUP(X128,Grund_zins,2,FALSE)</f>
        <v>0</v>
      </c>
      <c r="Z159" s="73" t="s">
        <v>702</v>
      </c>
      <c r="AC159" s="89">
        <f>SUMIF($D$5:$D$125,"=zus",AC5:AC125)*HLOOKUP(X128,Verteil_rwst,37,FALSE)+SUMIF($D$5:$D$125,"=zum",AC5:AC125)*HLOOKUP(X128,Verteil_rwst,38,FALSE)+SUMIF($D$5:$D$125,"=zur",AC5:AC125)*HLOOKUP(X128,Verteil_rwst,39,FALSE)</f>
        <v>0</v>
      </c>
      <c r="AD159" s="223">
        <f>SUMIF($D$5:$D$125,"=zus",AD5:AD125)*HLOOKUP(X128,Verteil_rwst,37,FALSE)+SUMIF($D$5:$D$125,"=zum",AD5:AD125)*HLOOKUP(X128,Verteil_rwst,38,FALSE)+SUMIF($D$5:$D$125,"=zur",AD5:AD125)*HLOOKUP(X128,Verteil_rwst,39,FALSE)</f>
        <v>0</v>
      </c>
      <c r="AE159" s="381"/>
      <c r="AI159" s="89">
        <f>SUMIF($D$5:$D$125,"=zus",AI5:AI125)*HLOOKUP(AK128,Verteil_rwst,37,FALSE)+SUMIF($D$5:$D$125,"=zum",AI5:AI125)*HLOOKUP(AK128,Verteil_rwst,38,FALSE)+SUMIF($D$5:$D$125,"=zur",AI5:AI125)*HLOOKUP(AK128,Verteil_rwst,39,FALSE)</f>
        <v>0</v>
      </c>
      <c r="AJ159" s="90">
        <f t="shared" ref="AJ159" si="929">IF(AK156&lt;&gt;0,AK159/AK156,0)</f>
        <v>0</v>
      </c>
      <c r="AK159" s="166">
        <f>(AP159+AQ159/2)*HLOOKUP(AK128,Grund_zins,2,FALSE)</f>
        <v>0</v>
      </c>
      <c r="AM159" s="571" t="s">
        <v>702</v>
      </c>
      <c r="AP159" s="89">
        <f>SUMIF($D$5:$D$125,"=zus",AP5:AP125)*HLOOKUP(AK128,Verteil_rwst,37,FALSE)+SUMIF($D$5:$D$125,"=zum",AP5:AP125)*HLOOKUP(AK128,Verteil_rwst,38,FALSE)+SUMIF($D$5:$D$125,"=zur",AP5:AP125)*HLOOKUP(AK128,Verteil_rwst,39,FALSE)</f>
        <v>0</v>
      </c>
      <c r="AQ159" s="223">
        <f>SUMIF($D$5:$D$125,"=zus",AQ5:AQ125)*HLOOKUP(AK128,Verteil_rwst,37,FALSE)+SUMIF($D$5:$D$125,"=zum",AQ5:AQ125)*HLOOKUP(AK128,Verteil_rwst,38,FALSE)+SUMIF($D$5:$D$125,"=zur",AQ5:AQ125)*HLOOKUP(AK128,Verteil_rwst,39,FALSE)</f>
        <v>0</v>
      </c>
      <c r="AR159" s="381"/>
      <c r="AV159" s="89">
        <f>SUMIF($D$5:$D$125,"=zus",AV5:AV125)*HLOOKUP(AX128,Verteil_rwst,37,FALSE)+SUMIF($D$5:$D$125,"=zum",AV5:AV125)*HLOOKUP(AX128,Verteil_rwst,38,FALSE)+SUMIF($D$5:$D$125,"=zur",AV5:AV125)*HLOOKUP(AX128,Verteil_rwst,39,FALSE)</f>
        <v>0</v>
      </c>
      <c r="AW159" s="90">
        <f t="shared" ref="AW159" si="930">IF(AX156&lt;&gt;0,AX159/AX156,0)</f>
        <v>0</v>
      </c>
      <c r="AX159" s="166">
        <f>(BC159+BD159/2)*HLOOKUP(AX128,Grund_zins,2,FALSE)</f>
        <v>0</v>
      </c>
      <c r="AZ159" s="571" t="s">
        <v>702</v>
      </c>
      <c r="BC159" s="89">
        <f>SUMIF($D$5:$D$125,"=zus",BC5:BC125)*HLOOKUP(AX128,Verteil_rwst,37,FALSE)+SUMIF($D$5:$D$125,"=zum",BC5:BC125)*HLOOKUP(AX128,Verteil_rwst,38,FALSE)+SUMIF($D$5:$D$125,"=zur",BC5:BC125)*HLOOKUP(AX128,Verteil_rwst,39,FALSE)</f>
        <v>0</v>
      </c>
      <c r="BD159" s="223">
        <f>SUMIF($D$5:$D$125,"=zus",BD5:BD125)*HLOOKUP(AX128,Verteil_rwst,37,FALSE)+SUMIF($D$5:$D$125,"=zum",BD5:BD125)*HLOOKUP(AX128,Verteil_rwst,38,FALSE)+SUMIF($D$5:$D$125,"=zur",BD5:BD125)*HLOOKUP(AX128,Verteil_rwst,39,FALSE)</f>
        <v>0</v>
      </c>
      <c r="BE159" s="381"/>
      <c r="BI159" s="89">
        <f>SUMIF($D$5:$D$125,"=zus",BI5:BI125)*HLOOKUP(BK128,Verteil_rwst,37,FALSE)+SUMIF($D$5:$D$125,"=zum",BI5:BI125)*HLOOKUP(BK128,Verteil_rwst,38,FALSE)+SUMIF($D$5:$D$125,"=zur",BI5:BI125)*HLOOKUP(BK128,Verteil_rwst,39,FALSE)</f>
        <v>0</v>
      </c>
      <c r="BJ159" s="90">
        <f t="shared" ref="BJ159" si="931">IF(BK156&lt;&gt;0,BK159/BK156,0)</f>
        <v>0</v>
      </c>
      <c r="BK159" s="166">
        <f>(BP159+BQ159/2)*HLOOKUP(BK128,Grund_zins,2,FALSE)</f>
        <v>0</v>
      </c>
      <c r="BM159" s="571" t="s">
        <v>702</v>
      </c>
      <c r="BP159" s="89">
        <f>SUMIF($D$5:$D$125,"=zus",BP5:BP125)*HLOOKUP(BK128,Verteil_rwst,37,FALSE)+SUMIF($D$5:$D$125,"=zum",BP5:BP125)*HLOOKUP(BK128,Verteil_rwst,38,FALSE)+SUMIF($D$5:$D$125,"=zur",BP5:BP125)*HLOOKUP(BK128,Verteil_rwst,39,FALSE)</f>
        <v>0</v>
      </c>
      <c r="BQ159" s="223">
        <f>SUMIF($D$5:$D$125,"=zus",BQ5:BQ125)*HLOOKUP(BK128,Verteil_rwst,37,FALSE)+SUMIF($D$5:$D$125,"=zum",BQ5:BQ125)*HLOOKUP(BK128,Verteil_rwst,38,FALSE)+SUMIF($D$5:$D$125,"=zur",BQ5:BQ125)*HLOOKUP(BK128,Verteil_rwst,39,FALSE)</f>
        <v>0</v>
      </c>
      <c r="BR159" s="381"/>
      <c r="BV159" s="89">
        <f>SUMIF($D$5:$D$125,"=zus",BV5:BV125)*HLOOKUP(BX128,Verteil_rwst,37,FALSE)+SUMIF($D$5:$D$125,"=zum",BV5:BV125)*HLOOKUP(BX128,Verteil_rwst,38,FALSE)+SUMIF($D$5:$D$125,"=zur",BV5:BV125)*HLOOKUP(BX128,Verteil_rwst,39,FALSE)</f>
        <v>0</v>
      </c>
      <c r="BW159" s="90">
        <f t="shared" ref="BW159" si="932">IF(BX156&lt;&gt;0,BX159/BX156,0)</f>
        <v>0</v>
      </c>
      <c r="BX159" s="166">
        <f>(CC159+CD159/2)*HLOOKUP(BX128,Grund_zins,2,FALSE)</f>
        <v>0</v>
      </c>
      <c r="BZ159" s="571" t="s">
        <v>702</v>
      </c>
      <c r="CC159" s="89">
        <f>SUMIF($D$5:$D$125,"=zus",CC5:CC125)*HLOOKUP(BX128,Verteil_rwst,37,FALSE)+SUMIF($D$5:$D$125,"=zum",CC5:CC125)*HLOOKUP(BX128,Verteil_rwst,38,FALSE)+SUMIF($D$5:$D$125,"=zur",CC5:CC125)*HLOOKUP(BX128,Verteil_rwst,39,FALSE)</f>
        <v>0</v>
      </c>
      <c r="CD159" s="223">
        <f>SUMIF($D$5:$D$125,"=zus",CD5:CD125)*HLOOKUP(BX128,Verteil_rwst,37,FALSE)+SUMIF($D$5:$D$125,"=zum",CD5:CD125)*HLOOKUP(BX128,Verteil_rwst,38,FALSE)+SUMIF($D$5:$D$125,"=zur",CD5:CD125)*HLOOKUP(BX128,Verteil_rwst,39,FALSE)</f>
        <v>0</v>
      </c>
      <c r="CE159" s="381"/>
      <c r="CI159" s="89">
        <f>SUMIF($D$5:$D$125,"=zus",CI5:CI125)*HLOOKUP(CK128,Verteil_rwst,37,FALSE)+SUMIF($D$5:$D$125,"=zum",CI5:CI125)*HLOOKUP(CK128,Verteil_rwst,38,FALSE)+SUMIF($D$5:$D$125,"=zur",CI5:CI125)*HLOOKUP(CK128,Verteil_rwst,39,FALSE)</f>
        <v>0</v>
      </c>
      <c r="CJ159" s="90">
        <f t="shared" ref="CJ159" si="933">IF(CK156&lt;&gt;0,CK159/CK156,0)</f>
        <v>0</v>
      </c>
      <c r="CK159" s="166">
        <f>(CP159+CQ159/2)*HLOOKUP(CK128,Grund_zins,2,FALSE)</f>
        <v>0</v>
      </c>
      <c r="CM159" s="571" t="s">
        <v>702</v>
      </c>
      <c r="CP159" s="89">
        <f>SUMIF($D$5:$D$125,"=zus",CP5:CP125)*HLOOKUP(CK128,Verteil_rwst,37,FALSE)+SUMIF($D$5:$D$125,"=zum",CP5:CP125)*HLOOKUP(CK128,Verteil_rwst,38,FALSE)+SUMIF($D$5:$D$125,"=zur",CP5:CP125)*HLOOKUP(CK128,Verteil_rwst,39,FALSE)</f>
        <v>0</v>
      </c>
      <c r="CQ159" s="223">
        <f>SUMIF($D$5:$D$125,"=zus",CQ5:CQ125)*HLOOKUP(CK128,Verteil_rwst,37,FALSE)+SUMIF($D$5:$D$125,"=zum",CQ5:CQ125)*HLOOKUP(CK128,Verteil_rwst,38,FALSE)+SUMIF($D$5:$D$125,"=zur",CQ5:CQ125)*HLOOKUP(CK128,Verteil_rwst,39,FALSE)</f>
        <v>0</v>
      </c>
      <c r="CR159" s="381"/>
      <c r="CV159" s="89">
        <f>SUMIF($D$5:$D$125,"=zus",CV5:CV125)*HLOOKUP(CX128,Verteil_rwst,37,FALSE)+SUMIF($D$5:$D$125,"=zum",CV5:CV125)*HLOOKUP(CX128,Verteil_rwst,38,FALSE)+SUMIF($D$5:$D$125,"=zur",CV5:CV125)*HLOOKUP(CX128,Verteil_rwst,39,FALSE)</f>
        <v>0</v>
      </c>
      <c r="CW159" s="90">
        <f t="shared" ref="CW159" si="934">IF(CX156&lt;&gt;0,CX159/CX156,0)</f>
        <v>0</v>
      </c>
      <c r="CX159" s="166">
        <f>(DC159+DD159/2)*HLOOKUP(CX128,Grund_zins,2,FALSE)</f>
        <v>0</v>
      </c>
      <c r="CZ159" s="571" t="s">
        <v>702</v>
      </c>
      <c r="DC159" s="89">
        <f>SUMIF($D$5:$D$125,"=zus",DC5:DC125)*HLOOKUP(CX128,Verteil_rwst,37,FALSE)+SUMIF($D$5:$D$125,"=zum",DC5:DC125)*HLOOKUP(CX128,Verteil_rwst,38,FALSE)+SUMIF($D$5:$D$125,"=zur",DC5:DC125)*HLOOKUP(CX128,Verteil_rwst,39,FALSE)</f>
        <v>0</v>
      </c>
      <c r="DD159" s="223">
        <f>SUMIF($D$5:$D$125,"=zus",DD5:DD125)*HLOOKUP(CX128,Verteil_rwst,37,FALSE)+SUMIF($D$5:$D$125,"=zum",DD5:DD125)*HLOOKUP(CX128,Verteil_rwst,38,FALSE)+SUMIF($D$5:$D$125,"=zur",DD5:DD125)*HLOOKUP(CX128,Verteil_rwst,39,FALSE)</f>
        <v>0</v>
      </c>
      <c r="DE159" s="381"/>
      <c r="DI159" s="89">
        <f>SUMIF($D$5:$D$125,"=zus",DI5:DI125)*HLOOKUP(DK128,Verteil_rwst,37,FALSE)+SUMIF($D$5:$D$125,"=zum",DI5:DI125)*HLOOKUP(DK128,Verteil_rwst,38,FALSE)+SUMIF($D$5:$D$125,"=zur",DI5:DI125)*HLOOKUP(DK128,Verteil_rwst,39,FALSE)</f>
        <v>0</v>
      </c>
      <c r="DJ159" s="90">
        <f t="shared" ref="DJ159" si="935">IF(DK156&lt;&gt;0,DK159/DK156,0)</f>
        <v>0</v>
      </c>
      <c r="DK159" s="166">
        <f>(DP159+DQ159/2)*HLOOKUP(DK128,Grund_zins,2,FALSE)</f>
        <v>0</v>
      </c>
      <c r="DM159" s="571" t="s">
        <v>702</v>
      </c>
      <c r="DP159" s="89">
        <f>SUMIF($D$5:$D$125,"=zus",DP5:DP125)*HLOOKUP(DK128,Verteil_rwst,37,FALSE)+SUMIF($D$5:$D$125,"=zum",DP5:DP125)*HLOOKUP(DK128,Verteil_rwst,38,FALSE)+SUMIF($D$5:$D$125,"=zur",DP5:DP125)*HLOOKUP(DK128,Verteil_rwst,39,FALSE)</f>
        <v>0</v>
      </c>
      <c r="DQ159" s="223">
        <f>SUMIF($D$5:$D$125,"=zus",DQ5:DQ125)*HLOOKUP(DK128,Verteil_rwst,37,FALSE)+SUMIF($D$5:$D$125,"=zum",DQ5:DQ125)*HLOOKUP(DK128,Verteil_rwst,38,FALSE)+SUMIF($D$5:$D$125,"=zur",DQ5:DQ125)*HLOOKUP(DK128,Verteil_rwst,39,FALSE)</f>
        <v>0</v>
      </c>
      <c r="DR159" s="381"/>
      <c r="DV159" s="89">
        <f>SUMIF($D$5:$D$125,"=zus",DV5:DV125)*HLOOKUP(DX128,Verteil_rwst,37,FALSE)+SUMIF($D$5:$D$125,"=zum",DV5:DV125)*HLOOKUP(DX128,Verteil_rwst,38,FALSE)+SUMIF($D$5:$D$125,"=zur",DV5:DV125)*HLOOKUP(DX128,Verteil_rwst,39,FALSE)</f>
        <v>0</v>
      </c>
      <c r="DW159" s="90">
        <f t="shared" ref="DW159" si="936">IF(DX156&lt;&gt;0,DX159/DX156,0)</f>
        <v>0</v>
      </c>
      <c r="DX159" s="166">
        <f>(EC159+ED159/2)*HLOOKUP(DX128,Grund_zins,2,FALSE)</f>
        <v>0</v>
      </c>
      <c r="DZ159" s="571" t="s">
        <v>702</v>
      </c>
      <c r="EC159" s="89">
        <f>SUMIF($D$5:$D$125,"=zus",EC5:EC125)*HLOOKUP(DX128,Verteil_rwst,37,FALSE)+SUMIF($D$5:$D$125,"=zum",EC5:EC125)*HLOOKUP(DX128,Verteil_rwst,38,FALSE)+SUMIF($D$5:$D$125,"=zur",EC5:EC125)*HLOOKUP(DX128,Verteil_rwst,39,FALSE)</f>
        <v>0</v>
      </c>
      <c r="ED159" s="223">
        <f>SUMIF($D$5:$D$125,"=zus",ED5:ED125)*HLOOKUP(DX128,Verteil_rwst,37,FALSE)+SUMIF($D$5:$D$125,"=zum",ED5:ED125)*HLOOKUP(DX128,Verteil_rwst,38,FALSE)+SUMIF($D$5:$D$125,"=zur",ED5:ED125)*HLOOKUP(DX128,Verteil_rwst,39,FALSE)</f>
        <v>0</v>
      </c>
    </row>
    <row r="160" spans="1:134" x14ac:dyDescent="0.35">
      <c r="A160" s="91" t="s">
        <v>898</v>
      </c>
      <c r="Q160" s="225">
        <v>33</v>
      </c>
      <c r="R160" s="381"/>
      <c r="V160" s="89">
        <f>SUMIF($D$5:$D$125,"=zuz",V5:V125)</f>
        <v>400000</v>
      </c>
      <c r="W160" s="90">
        <f t="shared" ref="W160" si="937">SUM(W161:W163)</f>
        <v>0</v>
      </c>
      <c r="X160" s="166">
        <f>(AC160+AD160/2)*HLOOKUP(X128,Grund_zins,2,FALSE)</f>
        <v>0</v>
      </c>
      <c r="Z160" s="91" t="s">
        <v>898</v>
      </c>
      <c r="AC160" s="89">
        <f>SUMIF($D$5:$D$125,"=zuz",AC5:AC125)</f>
        <v>0</v>
      </c>
      <c r="AD160" s="223">
        <f>SUMIF($D$5:$D$125,"=zuz",AD5:AD125)</f>
        <v>0</v>
      </c>
      <c r="AE160" s="381"/>
      <c r="AI160" s="89">
        <f t="shared" ref="AI160" si="938">SUMIF($D$5:$D$125,"=zuz",AI5:AI125)</f>
        <v>400000</v>
      </c>
      <c r="AJ160" s="90">
        <f t="shared" ref="AJ160:CJ160" si="939">SUM(AJ161:AJ163)</f>
        <v>0</v>
      </c>
      <c r="AK160" s="166">
        <f>(AP160+AQ160/2)*HLOOKUP(AK128,Grund_zins,2,FALSE)</f>
        <v>0</v>
      </c>
      <c r="AM160" s="570" t="s">
        <v>898</v>
      </c>
      <c r="AP160" s="89">
        <f t="shared" ref="AP160:AQ160" si="940">SUMIF($D$5:$D$125,"=zuz",AP5:AP125)</f>
        <v>0</v>
      </c>
      <c r="AQ160" s="223">
        <f t="shared" si="940"/>
        <v>0</v>
      </c>
      <c r="AR160" s="381"/>
      <c r="AV160" s="89">
        <f t="shared" ref="AV160" si="941">SUMIF($D$5:$D$125,"=zuz",AV5:AV125)</f>
        <v>400000</v>
      </c>
      <c r="AW160" s="90">
        <f t="shared" si="939"/>
        <v>0</v>
      </c>
      <c r="AX160" s="166">
        <f>(BC160+BD160/2)*HLOOKUP(AX128,Grund_zins,2,FALSE)</f>
        <v>0</v>
      </c>
      <c r="AZ160" s="570" t="s">
        <v>898</v>
      </c>
      <c r="BC160" s="89">
        <f t="shared" ref="BC160:BD160" si="942">SUMIF($D$5:$D$125,"=zuz",BC5:BC125)</f>
        <v>0</v>
      </c>
      <c r="BD160" s="223">
        <f t="shared" si="942"/>
        <v>0</v>
      </c>
      <c r="BE160" s="381"/>
      <c r="BI160" s="89">
        <f t="shared" ref="BI160" si="943">SUMIF($D$5:$D$125,"=zuz",BI5:BI125)</f>
        <v>400000</v>
      </c>
      <c r="BJ160" s="90">
        <f t="shared" si="939"/>
        <v>0</v>
      </c>
      <c r="BK160" s="166">
        <f>(BP160+BQ160/2)*HLOOKUP(BK128,Grund_zins,2,FALSE)</f>
        <v>0</v>
      </c>
      <c r="BM160" s="570" t="s">
        <v>898</v>
      </c>
      <c r="BP160" s="89">
        <f t="shared" ref="BP160:BQ160" si="944">SUMIF($D$5:$D$125,"=zuz",BP5:BP125)</f>
        <v>0</v>
      </c>
      <c r="BQ160" s="223">
        <f t="shared" si="944"/>
        <v>0</v>
      </c>
      <c r="BR160" s="381"/>
      <c r="BV160" s="89">
        <f t="shared" ref="BV160" si="945">SUMIF($D$5:$D$125,"=zuz",BV5:BV125)</f>
        <v>400000</v>
      </c>
      <c r="BW160" s="90">
        <f t="shared" si="939"/>
        <v>0</v>
      </c>
      <c r="BX160" s="166">
        <f>(CC160+CD160/2)*HLOOKUP(BX128,Grund_zins,2,FALSE)</f>
        <v>0</v>
      </c>
      <c r="BZ160" s="570" t="s">
        <v>898</v>
      </c>
      <c r="CC160" s="89">
        <f t="shared" ref="CC160:CD160" si="946">SUMIF($D$5:$D$125,"=zuz",CC5:CC125)</f>
        <v>0</v>
      </c>
      <c r="CD160" s="223">
        <f t="shared" si="946"/>
        <v>0</v>
      </c>
      <c r="CE160" s="381"/>
      <c r="CI160" s="89">
        <f t="shared" ref="CI160" si="947">SUMIF($D$5:$D$125,"=zuz",CI5:CI125)</f>
        <v>400000</v>
      </c>
      <c r="CJ160" s="90">
        <f t="shared" si="939"/>
        <v>0</v>
      </c>
      <c r="CK160" s="166">
        <f>(CP160+CQ160/2)*HLOOKUP(CK128,Grund_zins,2,FALSE)</f>
        <v>0</v>
      </c>
      <c r="CM160" s="570" t="s">
        <v>898</v>
      </c>
      <c r="CP160" s="89">
        <f t="shared" ref="CP160:CQ160" si="948">SUMIF($D$5:$D$125,"=zuz",CP5:CP125)</f>
        <v>0</v>
      </c>
      <c r="CQ160" s="223">
        <f t="shared" si="948"/>
        <v>0</v>
      </c>
      <c r="CR160" s="381"/>
      <c r="CV160" s="89">
        <f t="shared" ref="CV160" si="949">SUMIF($D$5:$D$125,"=zuz",CV5:CV125)</f>
        <v>400000</v>
      </c>
      <c r="CW160" s="90">
        <f t="shared" ref="CW160:DW160" si="950">SUM(CW161:CW163)</f>
        <v>0</v>
      </c>
      <c r="CX160" s="166">
        <f>(DC160+DD160/2)*HLOOKUP(CX128,Grund_zins,2,FALSE)</f>
        <v>0</v>
      </c>
      <c r="CZ160" s="570" t="s">
        <v>898</v>
      </c>
      <c r="DC160" s="89">
        <f t="shared" ref="DC160:DD160" si="951">SUMIF($D$5:$D$125,"=zuz",DC5:DC125)</f>
        <v>0</v>
      </c>
      <c r="DD160" s="223">
        <f t="shared" si="951"/>
        <v>0</v>
      </c>
      <c r="DE160" s="381"/>
      <c r="DI160" s="89">
        <f t="shared" ref="DI160" si="952">SUMIF($D$5:$D$125,"=zuz",DI5:DI125)</f>
        <v>400000</v>
      </c>
      <c r="DJ160" s="90">
        <f t="shared" si="950"/>
        <v>0</v>
      </c>
      <c r="DK160" s="166">
        <f>(DP160+DQ160/2)*HLOOKUP(DK128,Grund_zins,2,FALSE)</f>
        <v>0</v>
      </c>
      <c r="DM160" s="570" t="s">
        <v>898</v>
      </c>
      <c r="DP160" s="89">
        <f t="shared" ref="DP160:DQ160" si="953">SUMIF($D$5:$D$125,"=zuz",DP5:DP125)</f>
        <v>0</v>
      </c>
      <c r="DQ160" s="223">
        <f t="shared" si="953"/>
        <v>0</v>
      </c>
      <c r="DR160" s="381"/>
      <c r="DV160" s="89">
        <f t="shared" ref="DV160" si="954">SUMIF($D$5:$D$125,"=zuz",DV5:DV125)</f>
        <v>400000</v>
      </c>
      <c r="DW160" s="90">
        <f t="shared" si="950"/>
        <v>0</v>
      </c>
      <c r="DX160" s="166">
        <f>(EC160+ED160/2)*HLOOKUP(DX128,Grund_zins,2,FALSE)</f>
        <v>0</v>
      </c>
      <c r="DZ160" s="570" t="s">
        <v>898</v>
      </c>
      <c r="EC160" s="89">
        <f t="shared" ref="EC160:ED160" si="955">SUMIF($D$5:$D$125,"=zuz",EC5:EC125)</f>
        <v>0</v>
      </c>
      <c r="ED160" s="223">
        <f t="shared" si="955"/>
        <v>0</v>
      </c>
    </row>
    <row r="161" spans="1:134" x14ac:dyDescent="0.35">
      <c r="A161" s="73" t="s">
        <v>169</v>
      </c>
      <c r="Q161" s="225">
        <v>34</v>
      </c>
      <c r="R161" s="381"/>
      <c r="V161" s="89">
        <f>SUMIF($D$5:$D$125,"=zuz",V5:V125)*HLOOKUP($X$128,Verteil_sw,44,FALSE)</f>
        <v>332488</v>
      </c>
      <c r="W161" s="90">
        <f t="shared" ref="W161" si="956">IF(X160&lt;&gt;0,X161/X160,0)</f>
        <v>0</v>
      </c>
      <c r="X161" s="166">
        <f>(AC161+AD161/2)*HLOOKUP(X128,Grund_zins,2,FALSE)</f>
        <v>0</v>
      </c>
      <c r="Z161" s="73" t="s">
        <v>169</v>
      </c>
      <c r="AC161" s="89">
        <f>SUMIF($D$5:$D$125,"=zuz",AC5:AC125)*HLOOKUP(X128,Verteil_sw,44,FALSE)</f>
        <v>0</v>
      </c>
      <c r="AD161" s="223">
        <f>SUMIF($D$5:$D$125,"=zuz",AD5:AD125)*HLOOKUP(X128,Verteil_sw,44,FALSE)</f>
        <v>0</v>
      </c>
      <c r="AE161" s="381"/>
      <c r="AI161" s="89">
        <f>SUMIF($D$5:$D$125,"=zuz",AI5:AI125)*HLOOKUP($X$128,Verteil_sw,44,FALSE)</f>
        <v>332488</v>
      </c>
      <c r="AJ161" s="90">
        <f t="shared" ref="AJ161" si="957">IF(AK160&lt;&gt;0,AK161/AK160,0)</f>
        <v>0</v>
      </c>
      <c r="AK161" s="166">
        <f>(AP161+AQ161/2)*HLOOKUP(AK128,Grund_zins,2,FALSE)</f>
        <v>0</v>
      </c>
      <c r="AM161" s="571" t="s">
        <v>169</v>
      </c>
      <c r="AP161" s="89">
        <f>SUMIF($D$5:$D$125,"=zuz",AP5:AP125)*HLOOKUP(AK128,Verteil_sw,44,FALSE)</f>
        <v>0</v>
      </c>
      <c r="AQ161" s="223">
        <f>SUMIF($D$5:$D$125,"=zuz",AQ5:AQ125)*HLOOKUP(AK128,Verteil_sw,44,FALSE)</f>
        <v>0</v>
      </c>
      <c r="AR161" s="381"/>
      <c r="AV161" s="89">
        <f>SUMIF($D$5:$D$125,"=zuz",AV5:AV125)*HLOOKUP($X$128,Verteil_sw,44,FALSE)</f>
        <v>332488</v>
      </c>
      <c r="AW161" s="90">
        <f t="shared" ref="AW161" si="958">IF(AX160&lt;&gt;0,AX161/AX160,0)</f>
        <v>0</v>
      </c>
      <c r="AX161" s="166">
        <f>(BC161+BD161/2)*HLOOKUP(AX128,Grund_zins,2,FALSE)</f>
        <v>0</v>
      </c>
      <c r="AZ161" s="571" t="s">
        <v>169</v>
      </c>
      <c r="BC161" s="89">
        <f>SUMIF($D$5:$D$125,"=zuz",BC5:BC125)*HLOOKUP(AX128,Verteil_sw,44,FALSE)</f>
        <v>0</v>
      </c>
      <c r="BD161" s="223">
        <f>SUMIF($D$5:$D$125,"=zuz",BD5:BD125)*HLOOKUP(AX128,Verteil_sw,44,FALSE)</f>
        <v>0</v>
      </c>
      <c r="BE161" s="381"/>
      <c r="BI161" s="89">
        <f>SUMIF($D$5:$D$125,"=zuz",BI5:BI125)*HLOOKUP($X$128,Verteil_sw,44,FALSE)</f>
        <v>332488</v>
      </c>
      <c r="BJ161" s="90">
        <f t="shared" ref="BJ161" si="959">IF(BK160&lt;&gt;0,BK161/BK160,0)</f>
        <v>0</v>
      </c>
      <c r="BK161" s="166">
        <f>(BP161+BQ161/2)*HLOOKUP(BK128,Grund_zins,2,FALSE)</f>
        <v>0</v>
      </c>
      <c r="BM161" s="571" t="s">
        <v>169</v>
      </c>
      <c r="BP161" s="89">
        <f>SUMIF($D$5:$D$125,"=zuz",BP5:BP125)*HLOOKUP(BK128,Verteil_sw,44,FALSE)</f>
        <v>0</v>
      </c>
      <c r="BQ161" s="223">
        <f>SUMIF($D$5:$D$125,"=zuz",BQ5:BQ125)*HLOOKUP(BK128,Verteil_sw,44,FALSE)</f>
        <v>0</v>
      </c>
      <c r="BR161" s="381"/>
      <c r="BV161" s="89">
        <f>SUMIF($D$5:$D$125,"=zuz",BV5:BV125)*HLOOKUP($X$128,Verteil_sw,44,FALSE)</f>
        <v>332488</v>
      </c>
      <c r="BW161" s="90">
        <f t="shared" ref="BW161" si="960">IF(BX160&lt;&gt;0,BX161/BX160,0)</f>
        <v>0</v>
      </c>
      <c r="BX161" s="166">
        <f>(CC161+CD161/2)*HLOOKUP(BX128,Grund_zins,2,FALSE)</f>
        <v>0</v>
      </c>
      <c r="BZ161" s="571" t="s">
        <v>169</v>
      </c>
      <c r="CC161" s="89">
        <f>SUMIF($D$5:$D$125,"=zuz",CC5:CC125)*HLOOKUP(BX128,Verteil_sw,44,FALSE)</f>
        <v>0</v>
      </c>
      <c r="CD161" s="223">
        <f>SUMIF($D$5:$D$125,"=zuz",CD5:CD125)*HLOOKUP(BX128,Verteil_sw,44,FALSE)</f>
        <v>0</v>
      </c>
      <c r="CE161" s="381"/>
      <c r="CI161" s="89">
        <f>SUMIF($D$5:$D$125,"=zuz",CI5:CI125)*HLOOKUP($X$128,Verteil_sw,44,FALSE)</f>
        <v>332488</v>
      </c>
      <c r="CJ161" s="90">
        <f t="shared" ref="CJ161" si="961">IF(CK160&lt;&gt;0,CK161/CK160,0)</f>
        <v>0</v>
      </c>
      <c r="CK161" s="166">
        <f>(CP161+CQ161/2)*HLOOKUP(CK128,Grund_zins,2,FALSE)</f>
        <v>0</v>
      </c>
      <c r="CM161" s="571" t="s">
        <v>169</v>
      </c>
      <c r="CP161" s="89">
        <f>SUMIF($D$5:$D$125,"=zuz",CP5:CP125)*HLOOKUP(CK128,Verteil_sw,44,FALSE)</f>
        <v>0</v>
      </c>
      <c r="CQ161" s="223">
        <f>SUMIF($D$5:$D$125,"=zuz",CQ5:CQ125)*HLOOKUP(CK128,Verteil_sw,44,FALSE)</f>
        <v>0</v>
      </c>
      <c r="CR161" s="381"/>
      <c r="CV161" s="89">
        <f>SUMIF($D$5:$D$125,"=zuz",CV5:CV125)*HLOOKUP($X$128,Verteil_sw,44,FALSE)</f>
        <v>332488</v>
      </c>
      <c r="CW161" s="90">
        <f t="shared" ref="CW161" si="962">IF(CX160&lt;&gt;0,CX161/CX160,0)</f>
        <v>0</v>
      </c>
      <c r="CX161" s="166">
        <f>(DC161+DD161/2)*HLOOKUP(CX128,Grund_zins,2,FALSE)</f>
        <v>0</v>
      </c>
      <c r="CZ161" s="571" t="s">
        <v>169</v>
      </c>
      <c r="DC161" s="89">
        <f>SUMIF($D$5:$D$125,"=zuz",DC5:DC125)*HLOOKUP(CX128,Verteil_sw,44,FALSE)</f>
        <v>0</v>
      </c>
      <c r="DD161" s="223">
        <f>SUMIF($D$5:$D$125,"=zuz",DD5:DD125)*HLOOKUP(CX128,Verteil_sw,44,FALSE)</f>
        <v>0</v>
      </c>
      <c r="DE161" s="381"/>
      <c r="DI161" s="89">
        <f>SUMIF($D$5:$D$125,"=zuz",DI5:DI125)*HLOOKUP($X$128,Verteil_sw,44,FALSE)</f>
        <v>332488</v>
      </c>
      <c r="DJ161" s="90">
        <f t="shared" ref="DJ161" si="963">IF(DK160&lt;&gt;0,DK161/DK160,0)</f>
        <v>0</v>
      </c>
      <c r="DK161" s="166">
        <f>(DP161+DQ161/2)*HLOOKUP(DK128,Grund_zins,2,FALSE)</f>
        <v>0</v>
      </c>
      <c r="DM161" s="571" t="s">
        <v>169</v>
      </c>
      <c r="DP161" s="89">
        <f>SUMIF($D$5:$D$125,"=zuz",DP5:DP125)*HLOOKUP(DK128,Verteil_sw,44,FALSE)</f>
        <v>0</v>
      </c>
      <c r="DQ161" s="223">
        <f>SUMIF($D$5:$D$125,"=zuz",DQ5:DQ125)*HLOOKUP(DK128,Verteil_sw,44,FALSE)</f>
        <v>0</v>
      </c>
      <c r="DR161" s="381"/>
      <c r="DV161" s="89">
        <f>SUMIF($D$5:$D$125,"=zuz",DV5:DV125)*HLOOKUP($X$128,Verteil_sw,44,FALSE)</f>
        <v>332488</v>
      </c>
      <c r="DW161" s="90">
        <f t="shared" ref="DW161" si="964">IF(DX160&lt;&gt;0,DX161/DX160,0)</f>
        <v>0</v>
      </c>
      <c r="DX161" s="166">
        <f>(EC161+ED161/2)*HLOOKUP(DX128,Grund_zins,2,FALSE)</f>
        <v>0</v>
      </c>
      <c r="DZ161" s="571" t="s">
        <v>169</v>
      </c>
      <c r="EC161" s="89">
        <f>SUMIF($D$5:$D$125,"=zuz",EC5:EC125)*HLOOKUP(DX128,Verteil_sw,44,FALSE)</f>
        <v>0</v>
      </c>
      <c r="ED161" s="223">
        <f>SUMIF($D$5:$D$125,"=zuz",ED5:ED125)*HLOOKUP(DX128,Verteil_sw,44,FALSE)</f>
        <v>0</v>
      </c>
    </row>
    <row r="162" spans="1:134" x14ac:dyDescent="0.35">
      <c r="A162" s="73" t="s">
        <v>170</v>
      </c>
      <c r="Q162" s="225">
        <v>35</v>
      </c>
      <c r="R162" s="381"/>
      <c r="V162" s="89">
        <f>SUMIF($D$5:$D$125,"=zuz",V5:V125)*HLOOKUP($X$128,Verteil_rwgr,43,FALSE)</f>
        <v>67512</v>
      </c>
      <c r="W162" s="90">
        <f t="shared" ref="W162" si="965">IF(X160&lt;&gt;0,X162/X160,0)</f>
        <v>0</v>
      </c>
      <c r="X162" s="166">
        <f>(AC162+AD162/2)*HLOOKUP(X128,Grund_zins,2,FALSE)</f>
        <v>0</v>
      </c>
      <c r="Z162" s="73" t="s">
        <v>170</v>
      </c>
      <c r="AC162" s="89">
        <f>SUMIF($D$5:$D$125,"=zuz",AC5:AC125)*HLOOKUP(X128,Verteil_rwgr,43,FALSE)</f>
        <v>0</v>
      </c>
      <c r="AD162" s="223">
        <f>SUMIF($D$5:$D$125,"=zuz",AD5:AD125)*HLOOKUP(X128,Verteil_rwgr,43,FALSE)</f>
        <v>0</v>
      </c>
      <c r="AE162" s="381"/>
      <c r="AI162" s="89">
        <f>SUMIF($D$5:$D$125,"=zuz",AI5:AI125)*HLOOKUP($X$128,Verteil_rwgr,43,FALSE)</f>
        <v>67512</v>
      </c>
      <c r="AJ162" s="90">
        <f t="shared" ref="AJ162" si="966">IF(AK160&lt;&gt;0,AK162/AK160,0)</f>
        <v>0</v>
      </c>
      <c r="AK162" s="166">
        <f>(AP162+AQ162/2)*HLOOKUP(AK128,Grund_zins,2,FALSE)</f>
        <v>0</v>
      </c>
      <c r="AM162" s="571" t="s">
        <v>170</v>
      </c>
      <c r="AP162" s="89">
        <f>SUMIF($D$5:$D$125,"=zuz",AP5:AP125)*HLOOKUP(AK128,Verteil_rwgr,43,FALSE)</f>
        <v>0</v>
      </c>
      <c r="AQ162" s="223">
        <f>SUMIF($D$5:$D$125,"=zuz",AQ5:AQ125)*HLOOKUP(AK128,Verteil_rwgr,43,FALSE)</f>
        <v>0</v>
      </c>
      <c r="AR162" s="381"/>
      <c r="AV162" s="89">
        <f>SUMIF($D$5:$D$125,"=zuz",AV5:AV125)*HLOOKUP($X$128,Verteil_rwgr,43,FALSE)</f>
        <v>67512</v>
      </c>
      <c r="AW162" s="90">
        <f t="shared" ref="AW162" si="967">IF(AX160&lt;&gt;0,AX162/AX160,0)</f>
        <v>0</v>
      </c>
      <c r="AX162" s="166">
        <f>(BC162+BD162/2)*HLOOKUP(AX128,Grund_zins,2,FALSE)</f>
        <v>0</v>
      </c>
      <c r="AZ162" s="571" t="s">
        <v>170</v>
      </c>
      <c r="BC162" s="89">
        <f>SUMIF($D$5:$D$125,"=zuz",BC5:BC125)*HLOOKUP(AX128,Verteil_rwgr,43,FALSE)</f>
        <v>0</v>
      </c>
      <c r="BD162" s="223">
        <f>SUMIF($D$5:$D$125,"=zuz",BD5:BD125)*HLOOKUP(AX128,Verteil_rwgr,43,FALSE)</f>
        <v>0</v>
      </c>
      <c r="BE162" s="381"/>
      <c r="BI162" s="89">
        <f>SUMIF($D$5:$D$125,"=zuz",BI5:BI125)*HLOOKUP($X$128,Verteil_rwgr,43,FALSE)</f>
        <v>67512</v>
      </c>
      <c r="BJ162" s="90">
        <f t="shared" ref="BJ162" si="968">IF(BK160&lt;&gt;0,BK162/BK160,0)</f>
        <v>0</v>
      </c>
      <c r="BK162" s="166">
        <f>(BP162+BQ162/2)*HLOOKUP(BK128,Grund_zins,2,FALSE)</f>
        <v>0</v>
      </c>
      <c r="BM162" s="571" t="s">
        <v>170</v>
      </c>
      <c r="BP162" s="89">
        <f>SUMIF($D$5:$D$125,"=zuz",BP5:BP125)*HLOOKUP(BK128,Verteil_rwgr,43,FALSE)</f>
        <v>0</v>
      </c>
      <c r="BQ162" s="223">
        <f>SUMIF($D$5:$D$125,"=zuz",BQ5:BQ125)*HLOOKUP(BK128,Verteil_rwgr,43,FALSE)</f>
        <v>0</v>
      </c>
      <c r="BR162" s="381"/>
      <c r="BV162" s="89">
        <f>SUMIF($D$5:$D$125,"=zuz",BV5:BV125)*HLOOKUP($X$128,Verteil_rwgr,43,FALSE)</f>
        <v>67512</v>
      </c>
      <c r="BW162" s="90">
        <f t="shared" ref="BW162" si="969">IF(BX160&lt;&gt;0,BX162/BX160,0)</f>
        <v>0</v>
      </c>
      <c r="BX162" s="166">
        <f>(CC162+CD162/2)*HLOOKUP(BX128,Grund_zins,2,FALSE)</f>
        <v>0</v>
      </c>
      <c r="BZ162" s="571" t="s">
        <v>170</v>
      </c>
      <c r="CC162" s="89">
        <f>SUMIF($D$5:$D$125,"=zuz",CC5:CC125)*HLOOKUP(BX128,Verteil_rwgr,43,FALSE)</f>
        <v>0</v>
      </c>
      <c r="CD162" s="223">
        <f>SUMIF($D$5:$D$125,"=zuz",CD5:CD125)*HLOOKUP(BX128,Verteil_rwgr,43,FALSE)</f>
        <v>0</v>
      </c>
      <c r="CE162" s="381"/>
      <c r="CI162" s="89">
        <f>SUMIF($D$5:$D$125,"=zuz",CI5:CI125)*HLOOKUP($X$128,Verteil_rwgr,43,FALSE)</f>
        <v>67512</v>
      </c>
      <c r="CJ162" s="90">
        <f t="shared" ref="CJ162" si="970">IF(CK160&lt;&gt;0,CK162/CK160,0)</f>
        <v>0</v>
      </c>
      <c r="CK162" s="166">
        <f>(CP162+CQ162/2)*HLOOKUP(CK128,Grund_zins,2,FALSE)</f>
        <v>0</v>
      </c>
      <c r="CM162" s="571" t="s">
        <v>170</v>
      </c>
      <c r="CP162" s="89">
        <f>SUMIF($D$5:$D$125,"=zuz",CP5:CP125)*HLOOKUP(CK128,Verteil_rwgr,43,FALSE)</f>
        <v>0</v>
      </c>
      <c r="CQ162" s="223">
        <f>SUMIF($D$5:$D$125,"=zuz",CQ5:CQ125)*HLOOKUP(CK128,Verteil_rwgr,43,FALSE)</f>
        <v>0</v>
      </c>
      <c r="CR162" s="381"/>
      <c r="CV162" s="89">
        <f>SUMIF($D$5:$D$125,"=zuz",CV5:CV125)*HLOOKUP($X$128,Verteil_rwgr,43,FALSE)</f>
        <v>67512</v>
      </c>
      <c r="CW162" s="90">
        <f t="shared" ref="CW162" si="971">IF(CX160&lt;&gt;0,CX162/CX160,0)</f>
        <v>0</v>
      </c>
      <c r="CX162" s="166">
        <f>(DC162+DD162/2)*HLOOKUP(CX128,Grund_zins,2,FALSE)</f>
        <v>0</v>
      </c>
      <c r="CZ162" s="571" t="s">
        <v>170</v>
      </c>
      <c r="DC162" s="89">
        <f>SUMIF($D$5:$D$125,"=zuz",DC5:DC125)*HLOOKUP(CX128,Verteil_rwgr,43,FALSE)</f>
        <v>0</v>
      </c>
      <c r="DD162" s="223">
        <f>SUMIF($D$5:$D$125,"=zuz",DD5:DD125)*HLOOKUP(CX128,Verteil_rwgr,43,FALSE)</f>
        <v>0</v>
      </c>
      <c r="DE162" s="381"/>
      <c r="DI162" s="89">
        <f>SUMIF($D$5:$D$125,"=zuz",DI5:DI125)*HLOOKUP($X$128,Verteil_rwgr,43,FALSE)</f>
        <v>67512</v>
      </c>
      <c r="DJ162" s="90">
        <f t="shared" ref="DJ162" si="972">IF(DK160&lt;&gt;0,DK162/DK160,0)</f>
        <v>0</v>
      </c>
      <c r="DK162" s="166">
        <f>(DP162+DQ162/2)*HLOOKUP(DK128,Grund_zins,2,FALSE)</f>
        <v>0</v>
      </c>
      <c r="DM162" s="571" t="s">
        <v>170</v>
      </c>
      <c r="DP162" s="89">
        <f>SUMIF($D$5:$D$125,"=zuz",DP5:DP125)*HLOOKUP(DK128,Verteil_rwgr,43,FALSE)</f>
        <v>0</v>
      </c>
      <c r="DQ162" s="223">
        <f>SUMIF($D$5:$D$125,"=zuz",DQ5:DQ125)*HLOOKUP(DK128,Verteil_rwgr,43,FALSE)</f>
        <v>0</v>
      </c>
      <c r="DR162" s="381"/>
      <c r="DV162" s="89">
        <f>SUMIF($D$5:$D$125,"=zuz",DV5:DV125)*HLOOKUP($X$128,Verteil_rwgr,43,FALSE)</f>
        <v>67512</v>
      </c>
      <c r="DW162" s="90">
        <f t="shared" ref="DW162" si="973">IF(DX160&lt;&gt;0,DX162/DX160,0)</f>
        <v>0</v>
      </c>
      <c r="DX162" s="166">
        <f>(EC162+ED162/2)*HLOOKUP(DX128,Grund_zins,2,FALSE)</f>
        <v>0</v>
      </c>
      <c r="DZ162" s="571" t="s">
        <v>170</v>
      </c>
      <c r="EC162" s="89">
        <f>SUMIF($D$5:$D$125,"=zuz",EC5:EC125)*HLOOKUP(DX128,Verteil_rwgr,43,FALSE)</f>
        <v>0</v>
      </c>
      <c r="ED162" s="223">
        <f>SUMIF($D$5:$D$125,"=zuz",ED5:ED125)*HLOOKUP(DX128,Verteil_rwgr,43,FALSE)</f>
        <v>0</v>
      </c>
    </row>
    <row r="163" spans="1:134" x14ac:dyDescent="0.35">
      <c r="A163" s="73" t="s">
        <v>175</v>
      </c>
      <c r="Q163" s="225">
        <v>36</v>
      </c>
      <c r="R163" s="381"/>
      <c r="V163" s="89"/>
      <c r="W163" s="90">
        <f t="shared" ref="W163" si="974">IF(X160&lt;&gt;0,X163/X160,0)</f>
        <v>0</v>
      </c>
      <c r="X163" s="166"/>
      <c r="Z163" s="73" t="s">
        <v>175</v>
      </c>
      <c r="AC163" s="89"/>
      <c r="AD163" s="223"/>
      <c r="AE163" s="381"/>
      <c r="AI163" s="89"/>
      <c r="AJ163" s="90">
        <f t="shared" ref="AJ163" si="975">IF(AK160&lt;&gt;0,AK163/AK160,0)</f>
        <v>0</v>
      </c>
      <c r="AK163" s="166"/>
      <c r="AM163" s="571" t="s">
        <v>175</v>
      </c>
      <c r="AP163" s="89"/>
      <c r="AQ163" s="223"/>
      <c r="AR163" s="381"/>
      <c r="AV163" s="89"/>
      <c r="AW163" s="90">
        <f t="shared" ref="AW163" si="976">IF(AX160&lt;&gt;0,AX163/AX160,0)</f>
        <v>0</v>
      </c>
      <c r="AX163" s="166"/>
      <c r="AZ163" s="571" t="s">
        <v>175</v>
      </c>
      <c r="BC163" s="89"/>
      <c r="BD163" s="223"/>
      <c r="BE163" s="381"/>
      <c r="BI163" s="89"/>
      <c r="BJ163" s="90">
        <f t="shared" ref="BJ163" si="977">IF(BK160&lt;&gt;0,BK163/BK160,0)</f>
        <v>0</v>
      </c>
      <c r="BK163" s="166"/>
      <c r="BM163" s="571" t="s">
        <v>175</v>
      </c>
      <c r="BP163" s="89"/>
      <c r="BQ163" s="223"/>
      <c r="BR163" s="381"/>
      <c r="BV163" s="89"/>
      <c r="BW163" s="90">
        <f t="shared" ref="BW163" si="978">IF(BX160&lt;&gt;0,BX163/BX160,0)</f>
        <v>0</v>
      </c>
      <c r="BX163" s="166"/>
      <c r="BZ163" s="571" t="s">
        <v>175</v>
      </c>
      <c r="CC163" s="89"/>
      <c r="CD163" s="223"/>
      <c r="CE163" s="381"/>
      <c r="CI163" s="89"/>
      <c r="CJ163" s="90">
        <f t="shared" ref="CJ163" si="979">IF(CK160&lt;&gt;0,CK163/CK160,0)</f>
        <v>0</v>
      </c>
      <c r="CK163" s="166"/>
      <c r="CM163" s="571" t="s">
        <v>175</v>
      </c>
      <c r="CP163" s="89"/>
      <c r="CQ163" s="223"/>
      <c r="CR163" s="381"/>
      <c r="CV163" s="89"/>
      <c r="CW163" s="90">
        <f t="shared" ref="CW163" si="980">IF(CX160&lt;&gt;0,CX163/CX160,0)</f>
        <v>0</v>
      </c>
      <c r="CX163" s="166"/>
      <c r="CZ163" s="571" t="s">
        <v>175</v>
      </c>
      <c r="DC163" s="89"/>
      <c r="DD163" s="223"/>
      <c r="DE163" s="381"/>
      <c r="DI163" s="89"/>
      <c r="DJ163" s="90">
        <f t="shared" ref="DJ163" si="981">IF(DK160&lt;&gt;0,DK163/DK160,0)</f>
        <v>0</v>
      </c>
      <c r="DK163" s="166"/>
      <c r="DM163" s="571" t="s">
        <v>175</v>
      </c>
      <c r="DP163" s="89"/>
      <c r="DQ163" s="223"/>
      <c r="DR163" s="381"/>
      <c r="DV163" s="89"/>
      <c r="DW163" s="90">
        <f t="shared" ref="DW163" si="982">IF(DX160&lt;&gt;0,DX163/DX160,0)</f>
        <v>0</v>
      </c>
      <c r="DX163" s="166"/>
      <c r="DZ163" s="571" t="s">
        <v>175</v>
      </c>
      <c r="EC163" s="89"/>
      <c r="ED163" s="223"/>
    </row>
    <row r="164" spans="1:134" x14ac:dyDescent="0.35">
      <c r="A164" s="91" t="s">
        <v>1072</v>
      </c>
      <c r="Q164" s="225">
        <v>37</v>
      </c>
      <c r="R164" s="381"/>
      <c r="V164" s="166">
        <f>SUM(V156,V160)</f>
        <v>6751000</v>
      </c>
      <c r="W164" s="90">
        <f>SUM(W165:W167)</f>
        <v>0</v>
      </c>
      <c r="X164" s="54">
        <f>ROUND(SUM(X156,X160),2)</f>
        <v>0</v>
      </c>
      <c r="Z164" s="91" t="s">
        <v>1070</v>
      </c>
      <c r="AC164" s="166">
        <f>SUM(AC156,AC160)</f>
        <v>0</v>
      </c>
      <c r="AD164" s="224">
        <f>SUM(AD156,AD160)</f>
        <v>0</v>
      </c>
      <c r="AE164" s="381"/>
      <c r="AI164" s="166">
        <f t="shared" ref="AI164:BI167" si="983">SUM(AI156,AI160)</f>
        <v>6751000</v>
      </c>
      <c r="AJ164" s="90">
        <f t="shared" ref="AJ164" si="984">SUM(AJ165:AJ167)</f>
        <v>0</v>
      </c>
      <c r="AK164" s="54">
        <f t="shared" ref="AK164:BK167" si="985">ROUND(SUM(AK156,AK160),2)</f>
        <v>0</v>
      </c>
      <c r="AM164" s="570" t="s">
        <v>1070</v>
      </c>
      <c r="AP164" s="166">
        <f t="shared" ref="AP164:AQ164" si="986">SUM(AP156,AP160)</f>
        <v>0</v>
      </c>
      <c r="AQ164" s="224">
        <f t="shared" si="986"/>
        <v>0</v>
      </c>
      <c r="AR164" s="381"/>
      <c r="AV164" s="166">
        <f t="shared" ref="AV164" si="987">SUM(AV156,AV160)</f>
        <v>6751000</v>
      </c>
      <c r="AW164" s="90">
        <f t="shared" ref="AW164" si="988">SUM(AW165:AW167)</f>
        <v>0</v>
      </c>
      <c r="AX164" s="54">
        <f t="shared" ref="AX164" si="989">ROUND(SUM(AX156,AX160),2)</f>
        <v>0</v>
      </c>
      <c r="AZ164" s="570" t="s">
        <v>1070</v>
      </c>
      <c r="BC164" s="166">
        <f t="shared" ref="BC164:BD164" si="990">SUM(BC156,BC160)</f>
        <v>0</v>
      </c>
      <c r="BD164" s="224">
        <f t="shared" si="990"/>
        <v>0</v>
      </c>
      <c r="BE164" s="381"/>
      <c r="BI164" s="166">
        <f t="shared" ref="BI164" si="991">SUM(BI156,BI160)</f>
        <v>6751000</v>
      </c>
      <c r="BJ164" s="90">
        <f t="shared" ref="BJ164" si="992">SUM(BJ165:BJ167)</f>
        <v>0</v>
      </c>
      <c r="BK164" s="54">
        <f t="shared" ref="BK164" si="993">ROUND(SUM(BK156,BK160),2)</f>
        <v>0</v>
      </c>
      <c r="BM164" s="570" t="s">
        <v>1070</v>
      </c>
      <c r="BP164" s="166">
        <f t="shared" ref="BP164:BQ164" si="994">SUM(BP156,BP160)</f>
        <v>0</v>
      </c>
      <c r="BQ164" s="224">
        <f t="shared" si="994"/>
        <v>0</v>
      </c>
      <c r="BR164" s="381"/>
      <c r="BV164" s="166">
        <f t="shared" ref="BV164:CV167" si="995">SUM(BV156,BV160)</f>
        <v>6751000</v>
      </c>
      <c r="BW164" s="90">
        <f t="shared" ref="BW164" si="996">SUM(BW165:BW167)</f>
        <v>0</v>
      </c>
      <c r="BX164" s="54">
        <f t="shared" ref="BX164:CX167" si="997">ROUND(SUM(BX156,BX160),2)</f>
        <v>0</v>
      </c>
      <c r="BZ164" s="570" t="s">
        <v>1070</v>
      </c>
      <c r="CC164" s="166">
        <f t="shared" ref="CC164:CD164" si="998">SUM(CC156,CC160)</f>
        <v>0</v>
      </c>
      <c r="CD164" s="224">
        <f t="shared" si="998"/>
        <v>0</v>
      </c>
      <c r="CE164" s="381"/>
      <c r="CI164" s="166">
        <f t="shared" ref="CI164" si="999">SUM(CI156,CI160)</f>
        <v>6751000</v>
      </c>
      <c r="CJ164" s="90">
        <f t="shared" ref="CJ164" si="1000">SUM(CJ165:CJ167)</f>
        <v>0</v>
      </c>
      <c r="CK164" s="54">
        <f t="shared" ref="CK164" si="1001">ROUND(SUM(CK156,CK160),2)</f>
        <v>0</v>
      </c>
      <c r="CM164" s="570" t="s">
        <v>1070</v>
      </c>
      <c r="CP164" s="166">
        <f t="shared" ref="CP164:CQ164" si="1002">SUM(CP156,CP160)</f>
        <v>0</v>
      </c>
      <c r="CQ164" s="224">
        <f t="shared" si="1002"/>
        <v>0</v>
      </c>
      <c r="CR164" s="381"/>
      <c r="CV164" s="166">
        <f t="shared" ref="CV164" si="1003">SUM(CV156,CV160)</f>
        <v>6751000</v>
      </c>
      <c r="CW164" s="90">
        <f t="shared" ref="CW164" si="1004">SUM(CW165:CW167)</f>
        <v>0</v>
      </c>
      <c r="CX164" s="54">
        <f t="shared" ref="CX164" si="1005">ROUND(SUM(CX156,CX160),2)</f>
        <v>0</v>
      </c>
      <c r="CZ164" s="570" t="s">
        <v>1070</v>
      </c>
      <c r="DC164" s="166">
        <f t="shared" ref="DC164:DD164" si="1006">SUM(DC156,DC160)</f>
        <v>0</v>
      </c>
      <c r="DD164" s="224">
        <f t="shared" si="1006"/>
        <v>0</v>
      </c>
      <c r="DE164" s="381"/>
      <c r="DI164" s="166">
        <f t="shared" ref="DI164:DV167" si="1007">SUM(DI156,DI160)</f>
        <v>6751000</v>
      </c>
      <c r="DJ164" s="90">
        <f t="shared" ref="DJ164" si="1008">SUM(DJ165:DJ167)</f>
        <v>0</v>
      </c>
      <c r="DK164" s="54">
        <f t="shared" ref="DK164:DX167" si="1009">ROUND(SUM(DK156,DK160),2)</f>
        <v>0</v>
      </c>
      <c r="DM164" s="570" t="s">
        <v>1070</v>
      </c>
      <c r="DP164" s="166">
        <f t="shared" ref="DP164:DQ164" si="1010">SUM(DP156,DP160)</f>
        <v>0</v>
      </c>
      <c r="DQ164" s="224">
        <f t="shared" si="1010"/>
        <v>0</v>
      </c>
      <c r="DR164" s="381"/>
      <c r="DV164" s="166">
        <f t="shared" ref="DV164" si="1011">SUM(DV156,DV160)</f>
        <v>6751000</v>
      </c>
      <c r="DW164" s="90">
        <f t="shared" ref="DW164" si="1012">SUM(DW165:DW167)</f>
        <v>0</v>
      </c>
      <c r="DX164" s="54">
        <f t="shared" ref="DX164" si="1013">ROUND(SUM(DX156,DX160),2)</f>
        <v>0</v>
      </c>
      <c r="DZ164" s="570" t="s">
        <v>1070</v>
      </c>
      <c r="EC164" s="166">
        <f t="shared" ref="EC164:ED164" si="1014">SUM(EC156,EC160)</f>
        <v>0</v>
      </c>
      <c r="ED164" s="224">
        <f t="shared" si="1014"/>
        <v>0</v>
      </c>
    </row>
    <row r="165" spans="1:134" x14ac:dyDescent="0.35">
      <c r="A165" s="73" t="s">
        <v>169</v>
      </c>
      <c r="Q165" s="225">
        <v>38</v>
      </c>
      <c r="R165" s="381"/>
      <c r="V165" s="166">
        <f t="shared" ref="V165:V167" si="1015">SUM(V157,V161)</f>
        <v>4498750.5</v>
      </c>
      <c r="W165" s="90">
        <f>IF(X164&lt;&gt;0,X165/X164,0)</f>
        <v>0</v>
      </c>
      <c r="X165" s="54">
        <f t="shared" ref="X165:X167" si="1016">ROUND(SUM(X157,X161),2)</f>
        <v>0</v>
      </c>
      <c r="Z165" s="73" t="s">
        <v>169</v>
      </c>
      <c r="AC165" s="166">
        <f t="shared" ref="AC165:AD167" si="1017">SUM(AC157,AC161)</f>
        <v>0</v>
      </c>
      <c r="AD165" s="224">
        <f t="shared" si="1017"/>
        <v>0</v>
      </c>
      <c r="AE165" s="381"/>
      <c r="AI165" s="166">
        <f t="shared" si="983"/>
        <v>4498750.5</v>
      </c>
      <c r="AJ165" s="90">
        <f t="shared" ref="AJ165" si="1018">IF(AK164&lt;&gt;0,AK165/AK164,0)</f>
        <v>0</v>
      </c>
      <c r="AK165" s="54">
        <f t="shared" si="985"/>
        <v>0</v>
      </c>
      <c r="AM165" s="571" t="s">
        <v>169</v>
      </c>
      <c r="AP165" s="166">
        <f t="shared" ref="AP165:AQ165" si="1019">SUM(AP157,AP161)</f>
        <v>0</v>
      </c>
      <c r="AQ165" s="224">
        <f t="shared" si="1019"/>
        <v>0</v>
      </c>
      <c r="AR165" s="381"/>
      <c r="AV165" s="166">
        <f t="shared" si="983"/>
        <v>4498750.5</v>
      </c>
      <c r="AW165" s="90">
        <f t="shared" ref="AW165" si="1020">IF(AX164&lt;&gt;0,AX165/AX164,0)</f>
        <v>0</v>
      </c>
      <c r="AX165" s="54">
        <f t="shared" si="985"/>
        <v>0</v>
      </c>
      <c r="AZ165" s="571" t="s">
        <v>169</v>
      </c>
      <c r="BC165" s="166">
        <f t="shared" ref="BC165:BD165" si="1021">SUM(BC157,BC161)</f>
        <v>0</v>
      </c>
      <c r="BD165" s="224">
        <f t="shared" si="1021"/>
        <v>0</v>
      </c>
      <c r="BE165" s="381"/>
      <c r="BI165" s="166">
        <f t="shared" si="983"/>
        <v>4498750.5</v>
      </c>
      <c r="BJ165" s="90">
        <f t="shared" ref="BJ165" si="1022">IF(BK164&lt;&gt;0,BK165/BK164,0)</f>
        <v>0</v>
      </c>
      <c r="BK165" s="54">
        <f t="shared" si="985"/>
        <v>0</v>
      </c>
      <c r="BM165" s="571" t="s">
        <v>169</v>
      </c>
      <c r="BP165" s="166">
        <f t="shared" ref="BP165:BQ165" si="1023">SUM(BP157,BP161)</f>
        <v>0</v>
      </c>
      <c r="BQ165" s="224">
        <f t="shared" si="1023"/>
        <v>0</v>
      </c>
      <c r="BR165" s="381"/>
      <c r="BV165" s="166">
        <f t="shared" si="995"/>
        <v>4498750.5</v>
      </c>
      <c r="BW165" s="90">
        <f t="shared" ref="BW165" si="1024">IF(BX164&lt;&gt;0,BX165/BX164,0)</f>
        <v>0</v>
      </c>
      <c r="BX165" s="54">
        <f t="shared" si="997"/>
        <v>0</v>
      </c>
      <c r="BZ165" s="571" t="s">
        <v>169</v>
      </c>
      <c r="CC165" s="166">
        <f t="shared" ref="CC165:CD165" si="1025">SUM(CC157,CC161)</f>
        <v>0</v>
      </c>
      <c r="CD165" s="224">
        <f t="shared" si="1025"/>
        <v>0</v>
      </c>
      <c r="CE165" s="381"/>
      <c r="CI165" s="166">
        <f t="shared" si="995"/>
        <v>4498750.5</v>
      </c>
      <c r="CJ165" s="90">
        <f t="shared" ref="CJ165" si="1026">IF(CK164&lt;&gt;0,CK165/CK164,0)</f>
        <v>0</v>
      </c>
      <c r="CK165" s="54">
        <f t="shared" si="997"/>
        <v>0</v>
      </c>
      <c r="CM165" s="571" t="s">
        <v>169</v>
      </c>
      <c r="CP165" s="166">
        <f t="shared" ref="CP165:CQ165" si="1027">SUM(CP157,CP161)</f>
        <v>0</v>
      </c>
      <c r="CQ165" s="224">
        <f t="shared" si="1027"/>
        <v>0</v>
      </c>
      <c r="CR165" s="381"/>
      <c r="CV165" s="166">
        <f t="shared" si="995"/>
        <v>4498750.5</v>
      </c>
      <c r="CW165" s="90">
        <f t="shared" ref="CW165" si="1028">IF(CX164&lt;&gt;0,CX165/CX164,0)</f>
        <v>0</v>
      </c>
      <c r="CX165" s="54">
        <f t="shared" si="997"/>
        <v>0</v>
      </c>
      <c r="CZ165" s="571" t="s">
        <v>169</v>
      </c>
      <c r="DC165" s="166">
        <f t="shared" ref="DC165:DD165" si="1029">SUM(DC157,DC161)</f>
        <v>0</v>
      </c>
      <c r="DD165" s="224">
        <f t="shared" si="1029"/>
        <v>0</v>
      </c>
      <c r="DE165" s="381"/>
      <c r="DI165" s="166">
        <f t="shared" si="1007"/>
        <v>4498750.5</v>
      </c>
      <c r="DJ165" s="90">
        <f t="shared" ref="DJ165" si="1030">IF(DK164&lt;&gt;0,DK165/DK164,0)</f>
        <v>0</v>
      </c>
      <c r="DK165" s="54">
        <f t="shared" si="1009"/>
        <v>0</v>
      </c>
      <c r="DM165" s="571" t="s">
        <v>169</v>
      </c>
      <c r="DP165" s="166">
        <f t="shared" ref="DP165:DQ165" si="1031">SUM(DP157,DP161)</f>
        <v>0</v>
      </c>
      <c r="DQ165" s="224">
        <f t="shared" si="1031"/>
        <v>0</v>
      </c>
      <c r="DR165" s="381"/>
      <c r="DV165" s="166">
        <f t="shared" si="1007"/>
        <v>4498750.5</v>
      </c>
      <c r="DW165" s="90">
        <f t="shared" ref="DW165" si="1032">IF(DX164&lt;&gt;0,DX165/DX164,0)</f>
        <v>0</v>
      </c>
      <c r="DX165" s="54">
        <f t="shared" si="1009"/>
        <v>0</v>
      </c>
      <c r="DZ165" s="571" t="s">
        <v>169</v>
      </c>
      <c r="EC165" s="166">
        <f t="shared" ref="EC165:ED165" si="1033">SUM(EC157,EC161)</f>
        <v>0</v>
      </c>
      <c r="ED165" s="224">
        <f t="shared" si="1033"/>
        <v>0</v>
      </c>
    </row>
    <row r="166" spans="1:134" x14ac:dyDescent="0.35">
      <c r="A166" s="73" t="s">
        <v>170</v>
      </c>
      <c r="Q166" s="225">
        <v>39</v>
      </c>
      <c r="R166" s="381"/>
      <c r="V166" s="166">
        <f t="shared" si="1015"/>
        <v>2252249.5</v>
      </c>
      <c r="W166" s="90">
        <f>IF(X164&lt;&gt;0,X166/X164,0)</f>
        <v>0</v>
      </c>
      <c r="X166" s="54">
        <f t="shared" si="1016"/>
        <v>0</v>
      </c>
      <c r="Z166" s="73" t="s">
        <v>170</v>
      </c>
      <c r="AC166" s="166">
        <f t="shared" si="1017"/>
        <v>0</v>
      </c>
      <c r="AD166" s="224">
        <f t="shared" si="1017"/>
        <v>0</v>
      </c>
      <c r="AE166" s="381"/>
      <c r="AI166" s="166">
        <f t="shared" si="983"/>
        <v>2252249.5</v>
      </c>
      <c r="AJ166" s="90">
        <f t="shared" ref="AJ166" si="1034">IF(AK164&lt;&gt;0,AK166/AK164,0)</f>
        <v>0</v>
      </c>
      <c r="AK166" s="54">
        <f t="shared" si="985"/>
        <v>0</v>
      </c>
      <c r="AM166" s="571" t="s">
        <v>170</v>
      </c>
      <c r="AP166" s="166">
        <f t="shared" ref="AP166:AQ166" si="1035">SUM(AP158,AP162)</f>
        <v>0</v>
      </c>
      <c r="AQ166" s="224">
        <f t="shared" si="1035"/>
        <v>0</v>
      </c>
      <c r="AR166" s="381"/>
      <c r="AV166" s="166">
        <f t="shared" si="983"/>
        <v>2252249.5</v>
      </c>
      <c r="AW166" s="90">
        <f t="shared" ref="AW166" si="1036">IF(AX164&lt;&gt;0,AX166/AX164,0)</f>
        <v>0</v>
      </c>
      <c r="AX166" s="54">
        <f t="shared" si="985"/>
        <v>0</v>
      </c>
      <c r="AZ166" s="571" t="s">
        <v>170</v>
      </c>
      <c r="BC166" s="166">
        <f t="shared" ref="BC166:BD166" si="1037">SUM(BC158,BC162)</f>
        <v>0</v>
      </c>
      <c r="BD166" s="224">
        <f t="shared" si="1037"/>
        <v>0</v>
      </c>
      <c r="BE166" s="381"/>
      <c r="BI166" s="166">
        <f t="shared" si="983"/>
        <v>2252249.5</v>
      </c>
      <c r="BJ166" s="90">
        <f t="shared" ref="BJ166" si="1038">IF(BK164&lt;&gt;0,BK166/BK164,0)</f>
        <v>0</v>
      </c>
      <c r="BK166" s="54">
        <f t="shared" si="985"/>
        <v>0</v>
      </c>
      <c r="BM166" s="571" t="s">
        <v>170</v>
      </c>
      <c r="BP166" s="166">
        <f t="shared" ref="BP166:BQ166" si="1039">SUM(BP158,BP162)</f>
        <v>0</v>
      </c>
      <c r="BQ166" s="224">
        <f t="shared" si="1039"/>
        <v>0</v>
      </c>
      <c r="BR166" s="381"/>
      <c r="BV166" s="166">
        <f t="shared" si="995"/>
        <v>2252249.5</v>
      </c>
      <c r="BW166" s="90">
        <f t="shared" ref="BW166" si="1040">IF(BX164&lt;&gt;0,BX166/BX164,0)</f>
        <v>0</v>
      </c>
      <c r="BX166" s="54">
        <f t="shared" si="997"/>
        <v>0</v>
      </c>
      <c r="BZ166" s="571" t="s">
        <v>170</v>
      </c>
      <c r="CC166" s="166">
        <f t="shared" ref="CC166:CD166" si="1041">SUM(CC158,CC162)</f>
        <v>0</v>
      </c>
      <c r="CD166" s="224">
        <f t="shared" si="1041"/>
        <v>0</v>
      </c>
      <c r="CE166" s="381"/>
      <c r="CI166" s="166">
        <f t="shared" si="995"/>
        <v>2252249.5</v>
      </c>
      <c r="CJ166" s="90">
        <f t="shared" ref="CJ166" si="1042">IF(CK164&lt;&gt;0,CK166/CK164,0)</f>
        <v>0</v>
      </c>
      <c r="CK166" s="54">
        <f t="shared" si="997"/>
        <v>0</v>
      </c>
      <c r="CM166" s="571" t="s">
        <v>170</v>
      </c>
      <c r="CP166" s="166">
        <f t="shared" ref="CP166:CQ166" si="1043">SUM(CP158,CP162)</f>
        <v>0</v>
      </c>
      <c r="CQ166" s="224">
        <f t="shared" si="1043"/>
        <v>0</v>
      </c>
      <c r="CR166" s="381"/>
      <c r="CV166" s="166">
        <f t="shared" si="995"/>
        <v>2252249.5</v>
      </c>
      <c r="CW166" s="90">
        <f t="shared" ref="CW166" si="1044">IF(CX164&lt;&gt;0,CX166/CX164,0)</f>
        <v>0</v>
      </c>
      <c r="CX166" s="54">
        <f t="shared" si="997"/>
        <v>0</v>
      </c>
      <c r="CZ166" s="571" t="s">
        <v>170</v>
      </c>
      <c r="DC166" s="166">
        <f t="shared" ref="DC166:DD166" si="1045">SUM(DC158,DC162)</f>
        <v>0</v>
      </c>
      <c r="DD166" s="224">
        <f t="shared" si="1045"/>
        <v>0</v>
      </c>
      <c r="DE166" s="381"/>
      <c r="DI166" s="166">
        <f t="shared" si="1007"/>
        <v>2252249.5</v>
      </c>
      <c r="DJ166" s="90">
        <f t="shared" ref="DJ166" si="1046">IF(DK164&lt;&gt;0,DK166/DK164,0)</f>
        <v>0</v>
      </c>
      <c r="DK166" s="54">
        <f t="shared" si="1009"/>
        <v>0</v>
      </c>
      <c r="DM166" s="571" t="s">
        <v>170</v>
      </c>
      <c r="DP166" s="166">
        <f t="shared" ref="DP166:DQ166" si="1047">SUM(DP158,DP162)</f>
        <v>0</v>
      </c>
      <c r="DQ166" s="224">
        <f t="shared" si="1047"/>
        <v>0</v>
      </c>
      <c r="DR166" s="381"/>
      <c r="DV166" s="166">
        <f t="shared" si="1007"/>
        <v>2252249.5</v>
      </c>
      <c r="DW166" s="90">
        <f t="shared" ref="DW166" si="1048">IF(DX164&lt;&gt;0,DX166/DX164,0)</f>
        <v>0</v>
      </c>
      <c r="DX166" s="54">
        <f t="shared" si="1009"/>
        <v>0</v>
      </c>
      <c r="DZ166" s="571" t="s">
        <v>170</v>
      </c>
      <c r="EC166" s="166">
        <f t="shared" ref="EC166:ED166" si="1049">SUM(EC158,EC162)</f>
        <v>0</v>
      </c>
      <c r="ED166" s="224">
        <f t="shared" si="1049"/>
        <v>0</v>
      </c>
    </row>
    <row r="167" spans="1:134" x14ac:dyDescent="0.35">
      <c r="A167" s="73" t="s">
        <v>702</v>
      </c>
      <c r="Q167" s="225">
        <v>40</v>
      </c>
      <c r="R167" s="381"/>
      <c r="V167" s="166">
        <f t="shared" si="1015"/>
        <v>0</v>
      </c>
      <c r="W167" s="90">
        <f>IF(X164&lt;&gt;0,X167/X164,0)</f>
        <v>0</v>
      </c>
      <c r="X167" s="54">
        <f t="shared" si="1016"/>
        <v>0</v>
      </c>
      <c r="Z167" s="73" t="s">
        <v>702</v>
      </c>
      <c r="AC167" s="166">
        <f t="shared" si="1017"/>
        <v>0</v>
      </c>
      <c r="AD167" s="224">
        <f t="shared" si="1017"/>
        <v>0</v>
      </c>
      <c r="AE167" s="381"/>
      <c r="AI167" s="166">
        <f t="shared" si="983"/>
        <v>0</v>
      </c>
      <c r="AJ167" s="90">
        <f t="shared" ref="AJ167" si="1050">IF(AK164&lt;&gt;0,AK167/AK164,0)</f>
        <v>0</v>
      </c>
      <c r="AK167" s="54">
        <f t="shared" si="985"/>
        <v>0</v>
      </c>
      <c r="AM167" s="571" t="s">
        <v>702</v>
      </c>
      <c r="AP167" s="166">
        <f t="shared" ref="AP167:AQ167" si="1051">SUM(AP159,AP163)</f>
        <v>0</v>
      </c>
      <c r="AQ167" s="224">
        <f t="shared" si="1051"/>
        <v>0</v>
      </c>
      <c r="AR167" s="381"/>
      <c r="AV167" s="166">
        <f t="shared" si="983"/>
        <v>0</v>
      </c>
      <c r="AW167" s="90">
        <f t="shared" ref="AW167" si="1052">IF(AX164&lt;&gt;0,AX167/AX164,0)</f>
        <v>0</v>
      </c>
      <c r="AX167" s="54">
        <f t="shared" si="985"/>
        <v>0</v>
      </c>
      <c r="AZ167" s="571" t="s">
        <v>702</v>
      </c>
      <c r="BC167" s="166">
        <f t="shared" ref="BC167:BD167" si="1053">SUM(BC159,BC163)</f>
        <v>0</v>
      </c>
      <c r="BD167" s="224">
        <f t="shared" si="1053"/>
        <v>0</v>
      </c>
      <c r="BE167" s="381"/>
      <c r="BI167" s="166">
        <f t="shared" si="983"/>
        <v>0</v>
      </c>
      <c r="BJ167" s="90">
        <f t="shared" ref="BJ167" si="1054">IF(BK164&lt;&gt;0,BK167/BK164,0)</f>
        <v>0</v>
      </c>
      <c r="BK167" s="54">
        <f t="shared" si="985"/>
        <v>0</v>
      </c>
      <c r="BM167" s="571" t="s">
        <v>702</v>
      </c>
      <c r="BP167" s="166">
        <f t="shared" ref="BP167:BQ167" si="1055">SUM(BP159,BP163)</f>
        <v>0</v>
      </c>
      <c r="BQ167" s="224">
        <f t="shared" si="1055"/>
        <v>0</v>
      </c>
      <c r="BR167" s="381"/>
      <c r="BV167" s="166">
        <f t="shared" si="995"/>
        <v>0</v>
      </c>
      <c r="BW167" s="90">
        <f t="shared" ref="BW167" si="1056">IF(BX164&lt;&gt;0,BX167/BX164,0)</f>
        <v>0</v>
      </c>
      <c r="BX167" s="54">
        <f t="shared" si="997"/>
        <v>0</v>
      </c>
      <c r="BZ167" s="571" t="s">
        <v>702</v>
      </c>
      <c r="CC167" s="166">
        <f t="shared" ref="CC167:CD167" si="1057">SUM(CC159,CC163)</f>
        <v>0</v>
      </c>
      <c r="CD167" s="224">
        <f t="shared" si="1057"/>
        <v>0</v>
      </c>
      <c r="CE167" s="381"/>
      <c r="CI167" s="166">
        <f t="shared" si="995"/>
        <v>0</v>
      </c>
      <c r="CJ167" s="90">
        <f t="shared" ref="CJ167" si="1058">IF(CK164&lt;&gt;0,CK167/CK164,0)</f>
        <v>0</v>
      </c>
      <c r="CK167" s="54">
        <f t="shared" si="997"/>
        <v>0</v>
      </c>
      <c r="CM167" s="571" t="s">
        <v>702</v>
      </c>
      <c r="CP167" s="166">
        <f t="shared" ref="CP167:CQ167" si="1059">SUM(CP159,CP163)</f>
        <v>0</v>
      </c>
      <c r="CQ167" s="224">
        <f t="shared" si="1059"/>
        <v>0</v>
      </c>
      <c r="CR167" s="381"/>
      <c r="CV167" s="166">
        <f t="shared" si="995"/>
        <v>0</v>
      </c>
      <c r="CW167" s="90">
        <f t="shared" ref="CW167" si="1060">IF(CX164&lt;&gt;0,CX167/CX164,0)</f>
        <v>0</v>
      </c>
      <c r="CX167" s="54">
        <f t="shared" si="997"/>
        <v>0</v>
      </c>
      <c r="CZ167" s="571" t="s">
        <v>702</v>
      </c>
      <c r="DC167" s="166">
        <f t="shared" ref="DC167:DD167" si="1061">SUM(DC159,DC163)</f>
        <v>0</v>
      </c>
      <c r="DD167" s="224">
        <f t="shared" si="1061"/>
        <v>0</v>
      </c>
      <c r="DE167" s="381"/>
      <c r="DI167" s="166">
        <f t="shared" si="1007"/>
        <v>0</v>
      </c>
      <c r="DJ167" s="90">
        <f t="shared" ref="DJ167" si="1062">IF(DK164&lt;&gt;0,DK167/DK164,0)</f>
        <v>0</v>
      </c>
      <c r="DK167" s="54">
        <f t="shared" si="1009"/>
        <v>0</v>
      </c>
      <c r="DM167" s="571" t="s">
        <v>702</v>
      </c>
      <c r="DP167" s="166">
        <f t="shared" ref="DP167:DQ167" si="1063">SUM(DP159,DP163)</f>
        <v>0</v>
      </c>
      <c r="DQ167" s="224">
        <f t="shared" si="1063"/>
        <v>0</v>
      </c>
      <c r="DR167" s="381"/>
      <c r="DV167" s="166">
        <f t="shared" si="1007"/>
        <v>0</v>
      </c>
      <c r="DW167" s="90">
        <f t="shared" ref="DW167" si="1064">IF(DX164&lt;&gt;0,DX167/DX164,0)</f>
        <v>0</v>
      </c>
      <c r="DX167" s="54">
        <f t="shared" si="1009"/>
        <v>0</v>
      </c>
      <c r="DZ167" s="571" t="s">
        <v>702</v>
      </c>
      <c r="EC167" s="166">
        <f t="shared" ref="EC167:ED167" si="1065">SUM(EC159,EC163)</f>
        <v>0</v>
      </c>
      <c r="ED167" s="224">
        <f t="shared" si="1065"/>
        <v>0</v>
      </c>
    </row>
    <row r="168" spans="1:134" ht="18.5" x14ac:dyDescent="0.45">
      <c r="Q168" s="225">
        <v>41</v>
      </c>
      <c r="R168" s="382" t="s">
        <v>866</v>
      </c>
      <c r="AD168" s="205"/>
      <c r="AE168" s="382" t="s">
        <v>866</v>
      </c>
      <c r="AQ168" s="205"/>
      <c r="AR168" s="382" t="s">
        <v>866</v>
      </c>
      <c r="BD168" s="205"/>
      <c r="BE168" s="382" t="s">
        <v>866</v>
      </c>
      <c r="BQ168" s="205"/>
      <c r="BR168" s="382" t="s">
        <v>866</v>
      </c>
      <c r="CD168" s="205"/>
      <c r="CE168" s="382" t="s">
        <v>866</v>
      </c>
      <c r="CQ168" s="205"/>
      <c r="CR168" s="382" t="s">
        <v>866</v>
      </c>
      <c r="DD168" s="205"/>
      <c r="DE168" s="382" t="s">
        <v>866</v>
      </c>
      <c r="DQ168" s="205"/>
      <c r="DR168" s="382" t="s">
        <v>866</v>
      </c>
      <c r="ED168" s="205"/>
    </row>
    <row r="169" spans="1:134" ht="18.5" x14ac:dyDescent="0.45">
      <c r="A169" s="171" t="s">
        <v>866</v>
      </c>
      <c r="Q169" s="225">
        <v>42</v>
      </c>
      <c r="R169" s="381"/>
      <c r="W169" s="90">
        <f>SUM(W170:W172)</f>
        <v>1</v>
      </c>
      <c r="X169" s="54">
        <f>X151+X164</f>
        <v>95557.79</v>
      </c>
      <c r="Z169" s="204" t="s">
        <v>899</v>
      </c>
      <c r="AD169" s="205"/>
      <c r="AE169" s="381"/>
      <c r="AJ169" s="90">
        <f t="shared" ref="AJ169" si="1066">SUM(AJ170:AJ172)</f>
        <v>0.99999999999999989</v>
      </c>
      <c r="AK169" s="54">
        <f t="shared" ref="AK169:BK172" si="1067">AK151+AK164</f>
        <v>88624.99</v>
      </c>
      <c r="AM169" s="204" t="s">
        <v>899</v>
      </c>
      <c r="AQ169" s="205"/>
      <c r="AR169" s="381"/>
      <c r="AW169" s="90">
        <f t="shared" ref="AW169" si="1068">SUM(AW170:AW172)</f>
        <v>0.99999999999999989</v>
      </c>
      <c r="AX169" s="54">
        <f t="shared" ref="AX169" si="1069">AX151+AX164</f>
        <v>81762.19</v>
      </c>
      <c r="AZ169" s="204" t="s">
        <v>899</v>
      </c>
      <c r="BD169" s="205"/>
      <c r="BE169" s="381"/>
      <c r="BJ169" s="90">
        <f t="shared" ref="BJ169" si="1070">SUM(BJ170:BJ172)</f>
        <v>1</v>
      </c>
      <c r="BK169" s="54">
        <f t="shared" ref="BK169" si="1071">BK151+BK164</f>
        <v>74934.39</v>
      </c>
      <c r="BM169" s="204" t="s">
        <v>899</v>
      </c>
      <c r="BQ169" s="205"/>
      <c r="BR169" s="381"/>
      <c r="BW169" s="90">
        <f t="shared" ref="BW169" si="1072">SUM(BW170:BW172)</f>
        <v>1</v>
      </c>
      <c r="BX169" s="54">
        <f t="shared" ref="BX169:CX172" si="1073">BX151+BX164</f>
        <v>68596.89</v>
      </c>
      <c r="BZ169" s="204" t="s">
        <v>899</v>
      </c>
      <c r="CD169" s="205"/>
      <c r="CE169" s="381"/>
      <c r="CJ169" s="90">
        <f t="shared" ref="CJ169" si="1074">SUM(CJ170:CJ172)</f>
        <v>1</v>
      </c>
      <c r="CK169" s="54">
        <f t="shared" ref="CK169" si="1075">CK151+CK164</f>
        <v>54596.85</v>
      </c>
      <c r="CM169" s="204" t="s">
        <v>899</v>
      </c>
      <c r="CQ169" s="205"/>
      <c r="CR169" s="381"/>
      <c r="CW169" s="90">
        <f t="shared" ref="CW169" si="1076">SUM(CW170:CW172)</f>
        <v>1</v>
      </c>
      <c r="CX169" s="54">
        <f t="shared" ref="CX169" si="1077">CX151+CX164</f>
        <v>51207.75</v>
      </c>
      <c r="CZ169" s="204" t="s">
        <v>899</v>
      </c>
      <c r="DD169" s="205"/>
      <c r="DE169" s="381"/>
      <c r="DJ169" s="90">
        <f t="shared" ref="DJ169" si="1078">SUM(DJ170:DJ172)</f>
        <v>1</v>
      </c>
      <c r="DK169" s="54">
        <f t="shared" ref="DK169:DX172" si="1079">DK151+DK164</f>
        <v>47818.65</v>
      </c>
      <c r="DM169" s="204" t="s">
        <v>899</v>
      </c>
      <c r="DQ169" s="205"/>
      <c r="DR169" s="381"/>
      <c r="DW169" s="90">
        <f t="shared" ref="DW169" si="1080">SUM(DW170:DW172)</f>
        <v>1</v>
      </c>
      <c r="DX169" s="54">
        <f t="shared" ref="DX169" si="1081">DX151+DX164</f>
        <v>44429.55</v>
      </c>
      <c r="DZ169" s="204" t="s">
        <v>899</v>
      </c>
      <c r="ED169" s="205"/>
    </row>
    <row r="170" spans="1:134" x14ac:dyDescent="0.35">
      <c r="A170" s="73" t="s">
        <v>169</v>
      </c>
      <c r="Q170" s="225">
        <v>43</v>
      </c>
      <c r="R170" s="381"/>
      <c r="W170" s="90">
        <f>IF(X169&lt;&gt;0,X170/X169,0)</f>
        <v>0.62529972700289538</v>
      </c>
      <c r="X170" s="54">
        <f t="shared" ref="X170:X172" si="1082">X152+X165</f>
        <v>59752.26</v>
      </c>
      <c r="Z170" s="73" t="s">
        <v>169</v>
      </c>
      <c r="AD170" s="205"/>
      <c r="AE170" s="381"/>
      <c r="AJ170" s="90">
        <f t="shared" ref="AJ170" si="1083">IF(AK169&lt;&gt;0,AK170/AK169,0)</f>
        <v>0.61766438563208859</v>
      </c>
      <c r="AK170" s="54">
        <f t="shared" si="1067"/>
        <v>54740.5</v>
      </c>
      <c r="AM170" s="571" t="s">
        <v>169</v>
      </c>
      <c r="AQ170" s="205"/>
      <c r="AR170" s="381"/>
      <c r="AW170" s="90">
        <f t="shared" ref="AW170" si="1084">IF(AX169&lt;&gt;0,AX170/AX169,0)</f>
        <v>0.60863560528405602</v>
      </c>
      <c r="AX170" s="54">
        <f t="shared" si="1067"/>
        <v>49763.38</v>
      </c>
      <c r="AZ170" s="571" t="s">
        <v>169</v>
      </c>
      <c r="BD170" s="205"/>
      <c r="BE170" s="381"/>
      <c r="BJ170" s="90">
        <f t="shared" ref="BJ170" si="1085">IF(BK169&lt;&gt;0,BK170/BK169,0)</f>
        <v>0.59790344593450351</v>
      </c>
      <c r="BK170" s="54">
        <f t="shared" si="1067"/>
        <v>44803.53</v>
      </c>
      <c r="BM170" s="571" t="s">
        <v>169</v>
      </c>
      <c r="BQ170" s="205"/>
      <c r="BR170" s="381"/>
      <c r="BW170" s="90">
        <f t="shared" ref="BW170" si="1086">IF(BX169&lt;&gt;0,BX170/BX169,0)</f>
        <v>0.5874541834185194</v>
      </c>
      <c r="BX170" s="54">
        <f t="shared" si="1073"/>
        <v>40297.53</v>
      </c>
      <c r="BZ170" s="571" t="s">
        <v>169</v>
      </c>
      <c r="CD170" s="205"/>
      <c r="CE170" s="381"/>
      <c r="CJ170" s="90">
        <f t="shared" ref="CJ170" si="1087">IF(CK169&lt;&gt;0,CK170/CK169,0)</f>
        <v>0.58279790867055514</v>
      </c>
      <c r="CK170" s="54">
        <f t="shared" si="1073"/>
        <v>31818.93</v>
      </c>
      <c r="CM170" s="571" t="s">
        <v>169</v>
      </c>
      <c r="CQ170" s="205"/>
      <c r="CR170" s="381"/>
      <c r="CW170" s="90">
        <f t="shared" ref="CW170" si="1088">IF(CX169&lt;&gt;0,CX170/CX169,0)</f>
        <v>0.58288345025899402</v>
      </c>
      <c r="CX170" s="54">
        <f t="shared" si="1073"/>
        <v>29848.15</v>
      </c>
      <c r="CZ170" s="571" t="s">
        <v>169</v>
      </c>
      <c r="DD170" s="205"/>
      <c r="DE170" s="381"/>
      <c r="DJ170" s="90">
        <f t="shared" ref="DJ170" si="1089">IF(DK169&lt;&gt;0,DK170/DK169,0)</f>
        <v>0.58322077264832861</v>
      </c>
      <c r="DK170" s="54">
        <f t="shared" si="1079"/>
        <v>27888.83</v>
      </c>
      <c r="DM170" s="571" t="s">
        <v>169</v>
      </c>
      <c r="DQ170" s="205"/>
      <c r="DR170" s="381"/>
      <c r="DW170" s="90">
        <f t="shared" ref="DW170" si="1090">IF(DX169&lt;&gt;0,DX170/DX169,0)</f>
        <v>0.58388865068406048</v>
      </c>
      <c r="DX170" s="54">
        <f t="shared" si="1079"/>
        <v>25941.91</v>
      </c>
      <c r="DZ170" s="571" t="s">
        <v>169</v>
      </c>
      <c r="ED170" s="205"/>
    </row>
    <row r="171" spans="1:134" x14ac:dyDescent="0.35">
      <c r="A171" s="73" t="s">
        <v>170</v>
      </c>
      <c r="Q171" s="225">
        <v>44</v>
      </c>
      <c r="R171" s="381"/>
      <c r="W171" s="90">
        <f>IF(X169&lt;&gt;0,X171/X169,0)</f>
        <v>0.37470027299710468</v>
      </c>
      <c r="X171" s="54">
        <f t="shared" si="1082"/>
        <v>35805.53</v>
      </c>
      <c r="Z171" s="73" t="s">
        <v>170</v>
      </c>
      <c r="AD171" s="205"/>
      <c r="AE171" s="381"/>
      <c r="AJ171" s="90">
        <f t="shared" ref="AJ171" si="1091">IF(AK169&lt;&gt;0,AK171/AK169,0)</f>
        <v>0.3823356143679113</v>
      </c>
      <c r="AK171" s="54">
        <f t="shared" si="1067"/>
        <v>33884.49</v>
      </c>
      <c r="AM171" s="571" t="s">
        <v>170</v>
      </c>
      <c r="AQ171" s="205"/>
      <c r="AR171" s="381"/>
      <c r="AW171" s="90">
        <f t="shared" ref="AW171" si="1092">IF(AX169&lt;&gt;0,AX171/AX169,0)</f>
        <v>0.39136439471594386</v>
      </c>
      <c r="AX171" s="54">
        <f t="shared" si="1067"/>
        <v>31998.81</v>
      </c>
      <c r="AZ171" s="571" t="s">
        <v>170</v>
      </c>
      <c r="BD171" s="205"/>
      <c r="BE171" s="381"/>
      <c r="BJ171" s="90">
        <f t="shared" ref="BJ171" si="1093">IF(BK169&lt;&gt;0,BK171/BK169,0)</f>
        <v>0.40209655406549649</v>
      </c>
      <c r="BK171" s="54">
        <f t="shared" si="1067"/>
        <v>30130.86</v>
      </c>
      <c r="BM171" s="571" t="s">
        <v>170</v>
      </c>
      <c r="BQ171" s="205"/>
      <c r="BR171" s="381"/>
      <c r="BW171" s="90">
        <f t="shared" ref="BW171" si="1094">IF(BX169&lt;&gt;0,BX171/BX169,0)</f>
        <v>0.4125458165814806</v>
      </c>
      <c r="BX171" s="54">
        <f t="shared" si="1073"/>
        <v>28299.360000000001</v>
      </c>
      <c r="BZ171" s="571" t="s">
        <v>170</v>
      </c>
      <c r="CD171" s="205"/>
      <c r="CE171" s="381"/>
      <c r="CJ171" s="90">
        <f t="shared" ref="CJ171" si="1095">IF(CK169&lt;&gt;0,CK171/CK169,0)</f>
        <v>0.4172020913294448</v>
      </c>
      <c r="CK171" s="54">
        <f t="shared" si="1073"/>
        <v>22777.919999999998</v>
      </c>
      <c r="CM171" s="571" t="s">
        <v>170</v>
      </c>
      <c r="CQ171" s="205"/>
      <c r="CR171" s="381"/>
      <c r="CW171" s="90">
        <f t="shared" ref="CW171" si="1096">IF(CX169&lt;&gt;0,CX171/CX169,0)</f>
        <v>0.41711654974100598</v>
      </c>
      <c r="CX171" s="54">
        <f t="shared" si="1073"/>
        <v>21359.599999999999</v>
      </c>
      <c r="CZ171" s="571" t="s">
        <v>170</v>
      </c>
      <c r="DD171" s="205"/>
      <c r="DE171" s="381"/>
      <c r="DJ171" s="90">
        <f t="shared" ref="DJ171" si="1097">IF(DK169&lt;&gt;0,DK171/DK169,0)</f>
        <v>0.41677922735167133</v>
      </c>
      <c r="DK171" s="54">
        <f t="shared" si="1079"/>
        <v>19929.82</v>
      </c>
      <c r="DM171" s="571" t="s">
        <v>170</v>
      </c>
      <c r="DQ171" s="205"/>
      <c r="DR171" s="381"/>
      <c r="DW171" s="90">
        <f t="shared" ref="DW171" si="1098">IF(DX169&lt;&gt;0,DX171/DX169,0)</f>
        <v>0.41611134931593946</v>
      </c>
      <c r="DX171" s="54">
        <f t="shared" si="1079"/>
        <v>18487.64</v>
      </c>
      <c r="DZ171" s="571" t="s">
        <v>170</v>
      </c>
      <c r="ED171" s="205"/>
    </row>
    <row r="172" spans="1:134" x14ac:dyDescent="0.35">
      <c r="A172" s="73" t="s">
        <v>702</v>
      </c>
      <c r="Q172" s="225">
        <v>45</v>
      </c>
      <c r="R172" s="381"/>
      <c r="W172" s="90">
        <f>IF(X169&lt;&gt;0,X172/X169,0)</f>
        <v>0</v>
      </c>
      <c r="X172" s="54">
        <f t="shared" si="1082"/>
        <v>0</v>
      </c>
      <c r="Z172" s="73" t="s">
        <v>702</v>
      </c>
      <c r="AD172" s="205"/>
      <c r="AE172" s="381"/>
      <c r="AJ172" s="90">
        <f t="shared" ref="AJ172" si="1099">IF(AK169&lt;&gt;0,AK172/AK169,0)</f>
        <v>0</v>
      </c>
      <c r="AK172" s="54">
        <f t="shared" si="1067"/>
        <v>0</v>
      </c>
      <c r="AM172" s="571" t="s">
        <v>702</v>
      </c>
      <c r="AQ172" s="205"/>
      <c r="AR172" s="381"/>
      <c r="AW172" s="90">
        <f t="shared" ref="AW172" si="1100">IF(AX169&lt;&gt;0,AX172/AX169,0)</f>
        <v>0</v>
      </c>
      <c r="AX172" s="54">
        <f t="shared" si="1067"/>
        <v>0</v>
      </c>
      <c r="AZ172" s="571" t="s">
        <v>702</v>
      </c>
      <c r="BD172" s="205"/>
      <c r="BE172" s="381"/>
      <c r="BJ172" s="90">
        <f t="shared" ref="BJ172" si="1101">IF(BK169&lt;&gt;0,BK172/BK169,0)</f>
        <v>0</v>
      </c>
      <c r="BK172" s="54">
        <f t="shared" si="1067"/>
        <v>0</v>
      </c>
      <c r="BM172" s="571" t="s">
        <v>702</v>
      </c>
      <c r="BQ172" s="205"/>
      <c r="BR172" s="381"/>
      <c r="BW172" s="90">
        <f t="shared" ref="BW172" si="1102">IF(BX169&lt;&gt;0,BX172/BX169,0)</f>
        <v>0</v>
      </c>
      <c r="BX172" s="54">
        <f t="shared" si="1073"/>
        <v>0</v>
      </c>
      <c r="BZ172" s="571" t="s">
        <v>702</v>
      </c>
      <c r="CD172" s="205"/>
      <c r="CE172" s="381"/>
      <c r="CJ172" s="90">
        <f t="shared" ref="CJ172" si="1103">IF(CK169&lt;&gt;0,CK172/CK169,0)</f>
        <v>0</v>
      </c>
      <c r="CK172" s="54">
        <f t="shared" si="1073"/>
        <v>0</v>
      </c>
      <c r="CM172" s="571" t="s">
        <v>702</v>
      </c>
      <c r="CQ172" s="205"/>
      <c r="CR172" s="381"/>
      <c r="CW172" s="90">
        <f t="shared" ref="CW172" si="1104">IF(CX169&lt;&gt;0,CX172/CX169,0)</f>
        <v>0</v>
      </c>
      <c r="CX172" s="54">
        <f t="shared" si="1073"/>
        <v>0</v>
      </c>
      <c r="CZ172" s="571" t="s">
        <v>702</v>
      </c>
      <c r="DD172" s="205"/>
      <c r="DE172" s="381"/>
      <c r="DJ172" s="90">
        <f t="shared" ref="DJ172" si="1105">IF(DK169&lt;&gt;0,DK172/DK169,0)</f>
        <v>0</v>
      </c>
      <c r="DK172" s="54">
        <f t="shared" si="1079"/>
        <v>0</v>
      </c>
      <c r="DM172" s="571" t="s">
        <v>702</v>
      </c>
      <c r="DQ172" s="205"/>
      <c r="DR172" s="381"/>
      <c r="DW172" s="90">
        <f t="shared" ref="DW172" si="1106">IF(DX169&lt;&gt;0,DX172/DX169,0)</f>
        <v>0</v>
      </c>
      <c r="DX172" s="54">
        <f t="shared" si="1079"/>
        <v>0</v>
      </c>
      <c r="DZ172" s="571" t="s">
        <v>702</v>
      </c>
      <c r="ED172" s="205"/>
    </row>
    <row r="173" spans="1:134" ht="18.5" x14ac:dyDescent="0.45">
      <c r="A173" s="171" t="s">
        <v>570</v>
      </c>
      <c r="Q173" s="225">
        <v>46</v>
      </c>
      <c r="R173" s="382" t="s">
        <v>570</v>
      </c>
      <c r="S173" s="206"/>
      <c r="Z173" s="379" t="s">
        <v>895</v>
      </c>
      <c r="AD173" s="205"/>
      <c r="AE173" s="382" t="s">
        <v>570</v>
      </c>
      <c r="AF173" s="206"/>
      <c r="AM173" s="379" t="s">
        <v>895</v>
      </c>
      <c r="AQ173" s="205"/>
      <c r="AR173" s="382" t="s">
        <v>570</v>
      </c>
      <c r="AS173" s="206"/>
      <c r="AZ173" s="379" t="s">
        <v>895</v>
      </c>
      <c r="BD173" s="205"/>
      <c r="BE173" s="382" t="s">
        <v>570</v>
      </c>
      <c r="BF173" s="206"/>
      <c r="BM173" s="379" t="s">
        <v>895</v>
      </c>
      <c r="BQ173" s="205"/>
      <c r="BR173" s="382" t="s">
        <v>570</v>
      </c>
      <c r="BS173" s="206"/>
      <c r="BZ173" s="379" t="s">
        <v>895</v>
      </c>
      <c r="CD173" s="205"/>
      <c r="CE173" s="382" t="s">
        <v>570</v>
      </c>
      <c r="CF173" s="206"/>
      <c r="CM173" s="379" t="s">
        <v>895</v>
      </c>
      <c r="CQ173" s="205"/>
      <c r="CR173" s="382" t="s">
        <v>570</v>
      </c>
      <c r="CS173" s="206"/>
      <c r="CZ173" s="379" t="s">
        <v>895</v>
      </c>
      <c r="DD173" s="205"/>
      <c r="DE173" s="382" t="s">
        <v>570</v>
      </c>
      <c r="DF173" s="206"/>
      <c r="DM173" s="379" t="s">
        <v>895</v>
      </c>
      <c r="DQ173" s="205"/>
      <c r="DR173" s="382" t="s">
        <v>570</v>
      </c>
      <c r="DS173" s="206"/>
      <c r="DZ173" s="379" t="s">
        <v>895</v>
      </c>
      <c r="ED173" s="205"/>
    </row>
    <row r="174" spans="1:134" x14ac:dyDescent="0.35">
      <c r="A174" s="99" t="s">
        <v>707</v>
      </c>
      <c r="Q174" s="225">
        <v>47</v>
      </c>
      <c r="R174" s="381"/>
      <c r="X174" s="166">
        <f>SUMIF(X5:X125,"&lt;&gt;0",V5:V125)</f>
        <v>6751000</v>
      </c>
      <c r="Z174" s="99" t="str">
        <f>"Eingegangene Zuwendungen, von denen im Jahr "&amp;X4 &amp;" noch abgeschrieben wird"</f>
        <v>Eingegangene Zuwendungen, von denen im Jahr 2012 noch abgeschrieben wird</v>
      </c>
      <c r="AD174" s="205"/>
      <c r="AE174" s="381"/>
      <c r="AK174" s="166">
        <f t="shared" ref="AK174" si="1107">SUMIF(AK5:AK125,"&lt;&gt;0",AI5:AI125)</f>
        <v>6751000</v>
      </c>
      <c r="AM174" s="99" t="str">
        <f t="shared" ref="AM174" si="1108">"Eingegangene Zuwendungen, von denen im Jahr "&amp;AK4 &amp;" noch abgeschrieben wird"</f>
        <v>Eingegangene Zuwendungen, von denen im Jahr 2013 noch abgeschrieben wird</v>
      </c>
      <c r="AQ174" s="205"/>
      <c r="AR174" s="381"/>
      <c r="AX174" s="166">
        <f t="shared" ref="AX174" si="1109">SUMIF(AX5:AX125,"&lt;&gt;0",AV5:AV125)</f>
        <v>6551000</v>
      </c>
      <c r="AZ174" s="99" t="str">
        <f t="shared" ref="AZ174" si="1110">"Eingegangene Zuwendungen, von denen im Jahr "&amp;AX4 &amp;" noch abgeschrieben wird"</f>
        <v>Eingegangene Zuwendungen, von denen im Jahr 2014 noch abgeschrieben wird</v>
      </c>
      <c r="BD174" s="205"/>
      <c r="BE174" s="381"/>
      <c r="BK174" s="166">
        <f t="shared" ref="BK174" si="1111">SUMIF(BK5:BK125,"&lt;&gt;0",BI5:BI125)</f>
        <v>6551000</v>
      </c>
      <c r="BM174" s="99" t="str">
        <f t="shared" ref="BM174" si="1112">"Eingegangene Zuwendungen, von denen im Jahr "&amp;BK4 &amp;" noch abgeschrieben wird"</f>
        <v>Eingegangene Zuwendungen, von denen im Jahr 2015 noch abgeschrieben wird</v>
      </c>
      <c r="BQ174" s="205"/>
      <c r="BR174" s="381"/>
      <c r="BX174" s="166">
        <f t="shared" ref="BX174" si="1113">SUMIF(BX5:BX125,"&lt;&gt;0",BV5:BV125)</f>
        <v>6551000</v>
      </c>
      <c r="BZ174" s="99" t="str">
        <f t="shared" ref="BZ174" si="1114">"Eingegangene Zuwendungen, von denen im Jahr "&amp;BX4 &amp;" noch abgeschrieben wird"</f>
        <v>Eingegangene Zuwendungen, von denen im Jahr 2016 noch abgeschrieben wird</v>
      </c>
      <c r="CD174" s="205"/>
      <c r="CE174" s="381"/>
      <c r="CK174" s="166">
        <f t="shared" ref="CK174" si="1115">SUMIF(CK5:CK125,"&lt;&gt;0",CI5:CI125)</f>
        <v>4451000</v>
      </c>
      <c r="CM174" s="99" t="str">
        <f t="shared" ref="CM174" si="1116">"Eingegangene Zuwendungen, von denen im Jahr "&amp;CK4 &amp;" noch abgeschrieben wird"</f>
        <v>Eingegangene Zuwendungen, von denen im Jahr 2017 noch abgeschrieben wird</v>
      </c>
      <c r="CQ174" s="205"/>
      <c r="CR174" s="381"/>
      <c r="CX174" s="166">
        <f t="shared" ref="CX174" si="1117">SUMIF(CX5:CX125,"&lt;&gt;0",CV5:CV125)</f>
        <v>4451000</v>
      </c>
      <c r="CZ174" s="99" t="str">
        <f t="shared" ref="CZ174" si="1118">"Eingegangene Zuwendungen, von denen im Jahr "&amp;CX4 &amp;" noch abgeschrieben wird"</f>
        <v>Eingegangene Zuwendungen, von denen im Jahr 2018 noch abgeschrieben wird</v>
      </c>
      <c r="DD174" s="205"/>
      <c r="DE174" s="381"/>
      <c r="DK174" s="166">
        <f t="shared" ref="DK174" si="1119">SUMIF(DK5:DK125,"&lt;&gt;0",DI5:DI125)</f>
        <v>4451000</v>
      </c>
      <c r="DM174" s="99" t="str">
        <f t="shared" ref="DM174" si="1120">"Eingegangene Zuwendungen, von denen im Jahr "&amp;DK4 &amp;" noch abgeschrieben wird"</f>
        <v>Eingegangene Zuwendungen, von denen im Jahr 2019 noch abgeschrieben wird</v>
      </c>
      <c r="DQ174" s="205"/>
      <c r="DR174" s="381"/>
      <c r="DX174" s="166">
        <f t="shared" ref="DX174" si="1121">SUMIF(DX5:DX125,"&lt;&gt;0",DV5:DV125)</f>
        <v>4451000</v>
      </c>
      <c r="DZ174" s="99" t="str">
        <f t="shared" ref="DZ174" si="1122">"Eingegangene Zuwendungen, von denen im Jahr "&amp;DX4 &amp;" noch abgeschrieben wird"</f>
        <v>Eingegangene Zuwendungen, von denen im Jahr 2020 noch abgeschrieben wird</v>
      </c>
      <c r="ED174" s="205"/>
    </row>
    <row r="175" spans="1:134" x14ac:dyDescent="0.35">
      <c r="A175" s="99" t="s">
        <v>709</v>
      </c>
      <c r="Q175" s="225">
        <v>48</v>
      </c>
      <c r="R175" s="381"/>
      <c r="X175" s="166">
        <f>X174-X176</f>
        <v>0</v>
      </c>
      <c r="Z175" s="99" t="str">
        <f>" - Anteilige Kürzung, soweit im Jahr "&amp;X4 &amp;" nicht der volle Jahresbetrag abgeschrieben wird "</f>
        <v xml:space="preserve"> - Anteilige Kürzung, soweit im Jahr 2012 nicht der volle Jahresbetrag abgeschrieben wird </v>
      </c>
      <c r="AD175" s="205"/>
      <c r="AE175" s="381"/>
      <c r="AK175" s="166">
        <f t="shared" ref="AK175" si="1123">AK174-AK176</f>
        <v>100000</v>
      </c>
      <c r="AM175" s="99" t="str">
        <f t="shared" ref="AM175" si="1124">" - Anteilige Kürzung, soweit im Jahr "&amp;AK4 &amp;" nicht der volle Jahresbetrag abgeschrieben wird "</f>
        <v xml:space="preserve"> - Anteilige Kürzung, soweit im Jahr 2013 nicht der volle Jahresbetrag abgeschrieben wird </v>
      </c>
      <c r="AQ175" s="205"/>
      <c r="AR175" s="381"/>
      <c r="AX175" s="166">
        <f t="shared" ref="AX175" si="1125">AX174-AX176</f>
        <v>0</v>
      </c>
      <c r="AZ175" s="99" t="str">
        <f t="shared" ref="AZ175" si="1126">" - Anteilige Kürzung, soweit im Jahr "&amp;AX4 &amp;" nicht der volle Jahresbetrag abgeschrieben wird "</f>
        <v xml:space="preserve"> - Anteilige Kürzung, soweit im Jahr 2014 nicht der volle Jahresbetrag abgeschrieben wird </v>
      </c>
      <c r="BD175" s="205"/>
      <c r="BE175" s="381"/>
      <c r="BK175" s="166">
        <f t="shared" ref="BK175" si="1127">BK174-BK176</f>
        <v>0</v>
      </c>
      <c r="BM175" s="99" t="str">
        <f t="shared" ref="BM175" si="1128">" - Anteilige Kürzung, soweit im Jahr "&amp;BK4 &amp;" nicht der volle Jahresbetrag abgeschrieben wird "</f>
        <v xml:space="preserve"> - Anteilige Kürzung, soweit im Jahr 2015 nicht der volle Jahresbetrag abgeschrieben wird </v>
      </c>
      <c r="BQ175" s="205"/>
      <c r="BR175" s="381"/>
      <c r="BX175" s="166">
        <f t="shared" ref="BX175" si="1129">BX174-BX176</f>
        <v>716560.09999999963</v>
      </c>
      <c r="BZ175" s="99" t="str">
        <f t="shared" ref="BZ175" si="1130">" - Anteilige Kürzung, soweit im Jahr "&amp;BX4 &amp;" nicht der volle Jahresbetrag abgeschrieben wird "</f>
        <v xml:space="preserve"> - Anteilige Kürzung, soweit im Jahr 2016 nicht der volle Jahresbetrag abgeschrieben wird </v>
      </c>
      <c r="CD175" s="205"/>
      <c r="CE175" s="381"/>
      <c r="CK175" s="166">
        <f t="shared" ref="CK175" si="1131">CK174-CK176</f>
        <v>0</v>
      </c>
      <c r="CM175" s="99" t="str">
        <f t="shared" ref="CM175" si="1132">" - Anteilige Kürzung, soweit im Jahr "&amp;CK4 &amp;" nicht der volle Jahresbetrag abgeschrieben wird "</f>
        <v xml:space="preserve"> - Anteilige Kürzung, soweit im Jahr 2017 nicht der volle Jahresbetrag abgeschrieben wird </v>
      </c>
      <c r="CQ175" s="205"/>
      <c r="CR175" s="381"/>
      <c r="CX175" s="166">
        <f t="shared" ref="CX175" si="1133">CX174-CX176</f>
        <v>0</v>
      </c>
      <c r="CZ175" s="99" t="str">
        <f t="shared" ref="CZ175" si="1134">" - Anteilige Kürzung, soweit im Jahr "&amp;CX4 &amp;" nicht der volle Jahresbetrag abgeschrieben wird "</f>
        <v xml:space="preserve"> - Anteilige Kürzung, soweit im Jahr 2018 nicht der volle Jahresbetrag abgeschrieben wird </v>
      </c>
      <c r="DD175" s="205"/>
      <c r="DE175" s="381"/>
      <c r="DK175" s="166">
        <f t="shared" ref="DK175" si="1135">DK174-DK176</f>
        <v>0</v>
      </c>
      <c r="DM175" s="99" t="str">
        <f t="shared" ref="DM175" si="1136">" - Anteilige Kürzung, soweit im Jahr "&amp;DK4 &amp;" nicht der volle Jahresbetrag abgeschrieben wird "</f>
        <v xml:space="preserve"> - Anteilige Kürzung, soweit im Jahr 2019 nicht der volle Jahresbetrag abgeschrieben wird </v>
      </c>
      <c r="DQ175" s="205"/>
      <c r="DR175" s="381"/>
      <c r="DX175" s="166">
        <f t="shared" ref="DX175" si="1137">DX174-DX176</f>
        <v>0</v>
      </c>
      <c r="DZ175" s="99" t="str">
        <f t="shared" ref="DZ175" si="1138">" - Anteilige Kürzung, soweit im Jahr "&amp;DX4 &amp;" nicht der volle Jahresbetrag abgeschrieben wird "</f>
        <v xml:space="preserve"> - Anteilige Kürzung, soweit im Jahr 2020 nicht der volle Jahresbetrag abgeschrieben wird </v>
      </c>
      <c r="ED175" s="205"/>
    </row>
    <row r="176" spans="1:134" x14ac:dyDescent="0.35">
      <c r="A176" s="99" t="s">
        <v>708</v>
      </c>
      <c r="Q176" s="225">
        <v>49</v>
      </c>
      <c r="R176" s="381"/>
      <c r="X176" s="166">
        <f>W126</f>
        <v>6751000</v>
      </c>
      <c r="Z176" s="99" t="str">
        <f>"Maßgebliches Zuwendungsaufkommen zur Berechnung des gewichteten Auflösungssatzes im Jahr "&amp;X4</f>
        <v>Maßgebliches Zuwendungsaufkommen zur Berechnung des gewichteten Auflösungssatzes im Jahr 2012</v>
      </c>
      <c r="AD176" s="205"/>
      <c r="AE176" s="381"/>
      <c r="AK176" s="166">
        <f t="shared" ref="AK176" si="1139">AJ126</f>
        <v>6651000</v>
      </c>
      <c r="AM176" s="99" t="str">
        <f t="shared" ref="AM176" si="1140">"Maßgebliches Zuwendungsaufkommen zur Berechnung des gewichteten Auflösungssatzes im Jahr "&amp;AK4</f>
        <v>Maßgebliches Zuwendungsaufkommen zur Berechnung des gewichteten Auflösungssatzes im Jahr 2013</v>
      </c>
      <c r="AQ176" s="205"/>
      <c r="AR176" s="381"/>
      <c r="AX176" s="166">
        <f t="shared" ref="AX176" si="1141">AW126</f>
        <v>6551000</v>
      </c>
      <c r="AZ176" s="99" t="str">
        <f t="shared" ref="AZ176" si="1142">"Maßgebliches Zuwendungsaufkommen zur Berechnung des gewichteten Auflösungssatzes im Jahr "&amp;AX4</f>
        <v>Maßgebliches Zuwendungsaufkommen zur Berechnung des gewichteten Auflösungssatzes im Jahr 2014</v>
      </c>
      <c r="BD176" s="205"/>
      <c r="BE176" s="381"/>
      <c r="BK176" s="166">
        <f t="shared" ref="BK176" si="1143">BJ126</f>
        <v>6551000</v>
      </c>
      <c r="BM176" s="99" t="str">
        <f t="shared" ref="BM176" si="1144">"Maßgebliches Zuwendungsaufkommen zur Berechnung des gewichteten Auflösungssatzes im Jahr "&amp;BK4</f>
        <v>Maßgebliches Zuwendungsaufkommen zur Berechnung des gewichteten Auflösungssatzes im Jahr 2015</v>
      </c>
      <c r="BQ176" s="205"/>
      <c r="BR176" s="381"/>
      <c r="BX176" s="166">
        <f t="shared" ref="BX176" si="1145">BW126</f>
        <v>5834439.9000000004</v>
      </c>
      <c r="BZ176" s="99" t="str">
        <f t="shared" ref="BZ176" si="1146">"Maßgebliches Zuwendungsaufkommen zur Berechnung des gewichteten Auflösungssatzes im Jahr "&amp;BX4</f>
        <v>Maßgebliches Zuwendungsaufkommen zur Berechnung des gewichteten Auflösungssatzes im Jahr 2016</v>
      </c>
      <c r="CD176" s="205"/>
      <c r="CE176" s="381"/>
      <c r="CK176" s="166">
        <f t="shared" ref="CK176" si="1147">CJ126</f>
        <v>4451000</v>
      </c>
      <c r="CM176" s="99" t="str">
        <f t="shared" ref="CM176" si="1148">"Maßgebliches Zuwendungsaufkommen zur Berechnung des gewichteten Auflösungssatzes im Jahr "&amp;CK4</f>
        <v>Maßgebliches Zuwendungsaufkommen zur Berechnung des gewichteten Auflösungssatzes im Jahr 2017</v>
      </c>
      <c r="CQ176" s="205"/>
      <c r="CR176" s="381"/>
      <c r="CX176" s="166">
        <f t="shared" ref="CX176" si="1149">CW126</f>
        <v>4451000</v>
      </c>
      <c r="CZ176" s="99" t="str">
        <f t="shared" ref="CZ176" si="1150">"Maßgebliches Zuwendungsaufkommen zur Berechnung des gewichteten Auflösungssatzes im Jahr "&amp;CX4</f>
        <v>Maßgebliches Zuwendungsaufkommen zur Berechnung des gewichteten Auflösungssatzes im Jahr 2018</v>
      </c>
      <c r="DD176" s="205"/>
      <c r="DE176" s="381"/>
      <c r="DK176" s="166">
        <f t="shared" ref="DK176" si="1151">DJ126</f>
        <v>4451000</v>
      </c>
      <c r="DM176" s="99" t="str">
        <f t="shared" ref="DM176" si="1152">"Maßgebliches Zuwendungsaufkommen zur Berechnung des gewichteten Auflösungssatzes im Jahr "&amp;DK4</f>
        <v>Maßgebliches Zuwendungsaufkommen zur Berechnung des gewichteten Auflösungssatzes im Jahr 2019</v>
      </c>
      <c r="DQ176" s="205"/>
      <c r="DR176" s="381"/>
      <c r="DX176" s="166">
        <f t="shared" ref="DX176" si="1153">DW126</f>
        <v>4451000</v>
      </c>
      <c r="DZ176" s="99" t="str">
        <f t="shared" ref="DZ176" si="1154">"Maßgebliches Zuwendungsaufkommen zur Berechnung des gewichteten Auflösungssatzes im Jahr "&amp;DX4</f>
        <v>Maßgebliches Zuwendungsaufkommen zur Berechnung des gewichteten Auflösungssatzes im Jahr 2020</v>
      </c>
      <c r="ED176" s="205"/>
    </row>
    <row r="177" spans="1:134" x14ac:dyDescent="0.35">
      <c r="A177" s="99" t="s">
        <v>711</v>
      </c>
      <c r="Q177" s="225">
        <v>50</v>
      </c>
      <c r="R177" s="381"/>
      <c r="X177" s="166">
        <f>X126</f>
        <v>199080</v>
      </c>
      <c r="Z177" s="99" t="str">
        <f>"Summe der Abschreibungen im Jahr "&amp;X4</f>
        <v>Summe der Abschreibungen im Jahr 2012</v>
      </c>
      <c r="AD177" s="205"/>
      <c r="AE177" s="381"/>
      <c r="AK177" s="166">
        <f t="shared" ref="AK177" si="1155">AK126</f>
        <v>197080</v>
      </c>
      <c r="AM177" s="99" t="str">
        <f t="shared" ref="AM177" si="1156">"Summe der Abschreibungen im Jahr "&amp;AK4</f>
        <v>Summe der Abschreibungen im Jahr 2013</v>
      </c>
      <c r="AQ177" s="205"/>
      <c r="AR177" s="381"/>
      <c r="AX177" s="166">
        <f t="shared" ref="AX177" si="1157">AX126</f>
        <v>195080</v>
      </c>
      <c r="AZ177" s="99" t="str">
        <f t="shared" ref="AZ177" si="1158">"Summe der Abschreibungen im Jahr "&amp;AX4</f>
        <v>Summe der Abschreibungen im Jahr 2014</v>
      </c>
      <c r="BD177" s="205"/>
      <c r="BE177" s="381"/>
      <c r="BK177" s="166">
        <f t="shared" ref="BK177" si="1159">BK126</f>
        <v>195080</v>
      </c>
      <c r="BM177" s="99" t="str">
        <f t="shared" ref="BM177" si="1160">"Summe der Abschreibungen im Jahr "&amp;BK4</f>
        <v>Summe der Abschreibungen im Jahr 2015</v>
      </c>
      <c r="BQ177" s="205"/>
      <c r="BR177" s="381"/>
      <c r="BX177" s="166">
        <f t="shared" ref="BX177" si="1161">BX126</f>
        <v>167062.5</v>
      </c>
      <c r="BZ177" s="99" t="str">
        <f t="shared" ref="BZ177" si="1162">"Summe der Abschreibungen im Jahr "&amp;BX4</f>
        <v>Summe der Abschreibungen im Jahr 2016</v>
      </c>
      <c r="CD177" s="205"/>
      <c r="CE177" s="381"/>
      <c r="CK177" s="166">
        <f t="shared" ref="CK177" si="1163">CK126</f>
        <v>112970</v>
      </c>
      <c r="CM177" s="99" t="str">
        <f t="shared" ref="CM177" si="1164">"Summe der Abschreibungen im Jahr "&amp;CK4</f>
        <v>Summe der Abschreibungen im Jahr 2017</v>
      </c>
      <c r="CQ177" s="205"/>
      <c r="CR177" s="381"/>
      <c r="CX177" s="166">
        <f t="shared" ref="CX177" si="1165">CX126</f>
        <v>112970</v>
      </c>
      <c r="CZ177" s="99" t="str">
        <f t="shared" ref="CZ177" si="1166">"Summe der Abschreibungen im Jahr "&amp;CX4</f>
        <v>Summe der Abschreibungen im Jahr 2018</v>
      </c>
      <c r="DD177" s="205"/>
      <c r="DE177" s="381"/>
      <c r="DK177" s="166">
        <f t="shared" ref="DK177" si="1167">DK126</f>
        <v>112970</v>
      </c>
      <c r="DM177" s="99" t="str">
        <f t="shared" ref="DM177" si="1168">"Summe der Abschreibungen im Jahr "&amp;DK4</f>
        <v>Summe der Abschreibungen im Jahr 2019</v>
      </c>
      <c r="DQ177" s="205"/>
      <c r="DR177" s="381"/>
      <c r="DX177" s="166">
        <f t="shared" ref="DX177" si="1169">DX126</f>
        <v>112970</v>
      </c>
      <c r="DZ177" s="99" t="str">
        <f t="shared" ref="DZ177" si="1170">"Summe der Abschreibungen im Jahr "&amp;DX4</f>
        <v>Summe der Abschreibungen im Jahr 2020</v>
      </c>
      <c r="ED177" s="205"/>
    </row>
    <row r="178" spans="1:134" x14ac:dyDescent="0.35">
      <c r="A178" s="99" t="s">
        <v>710</v>
      </c>
      <c r="Q178" s="225">
        <v>51</v>
      </c>
      <c r="R178" s="381"/>
      <c r="X178" s="94">
        <f>IF(X176&lt;&gt;0,ROUND(X177/X176,4),0)</f>
        <v>2.9499999999999998E-2</v>
      </c>
      <c r="Z178" s="99" t="str">
        <f>"Durchschnittlicher Auflösungssatz im Jahr "&amp;X4</f>
        <v>Durchschnittlicher Auflösungssatz im Jahr 2012</v>
      </c>
      <c r="AD178" s="205"/>
      <c r="AE178" s="381"/>
      <c r="AK178" s="94">
        <f t="shared" ref="AK178" si="1171">IF(AK176&lt;&gt;0,ROUND(AK177/AK176,4),0)</f>
        <v>2.9600000000000001E-2</v>
      </c>
      <c r="AM178" s="99" t="str">
        <f t="shared" ref="AM178" si="1172">"Durchschnittlicher Auflösungssatz im Jahr "&amp;AK4</f>
        <v>Durchschnittlicher Auflösungssatz im Jahr 2013</v>
      </c>
      <c r="AQ178" s="205"/>
      <c r="AR178" s="381"/>
      <c r="AX178" s="94">
        <f t="shared" ref="AX178" si="1173">IF(AX176&lt;&gt;0,ROUND(AX177/AX176,4),0)</f>
        <v>2.98E-2</v>
      </c>
      <c r="AZ178" s="99" t="str">
        <f t="shared" ref="AZ178" si="1174">"Durchschnittlicher Auflösungssatz im Jahr "&amp;AX4</f>
        <v>Durchschnittlicher Auflösungssatz im Jahr 2014</v>
      </c>
      <c r="BD178" s="205"/>
      <c r="BE178" s="381"/>
      <c r="BK178" s="94">
        <f t="shared" ref="BK178" si="1175">IF(BK176&lt;&gt;0,ROUND(BK177/BK176,4),0)</f>
        <v>2.98E-2</v>
      </c>
      <c r="BM178" s="99" t="str">
        <f t="shared" ref="BM178" si="1176">"Durchschnittlicher Auflösungssatz im Jahr "&amp;BK4</f>
        <v>Durchschnittlicher Auflösungssatz im Jahr 2015</v>
      </c>
      <c r="BQ178" s="205"/>
      <c r="BR178" s="381"/>
      <c r="BX178" s="94">
        <f t="shared" ref="BX178" si="1177">IF(BX176&lt;&gt;0,ROUND(BX177/BX176,4),0)</f>
        <v>2.86E-2</v>
      </c>
      <c r="BZ178" s="99" t="str">
        <f t="shared" ref="BZ178" si="1178">"Durchschnittlicher Auflösungssatz im Jahr "&amp;BX4</f>
        <v>Durchschnittlicher Auflösungssatz im Jahr 2016</v>
      </c>
      <c r="CD178" s="205"/>
      <c r="CE178" s="381"/>
      <c r="CK178" s="94">
        <f t="shared" ref="CK178" si="1179">IF(CK176&lt;&gt;0,ROUND(CK177/CK176,4),0)</f>
        <v>2.5399999999999999E-2</v>
      </c>
      <c r="CM178" s="99" t="str">
        <f t="shared" ref="CM178" si="1180">"Durchschnittlicher Auflösungssatz im Jahr "&amp;CK4</f>
        <v>Durchschnittlicher Auflösungssatz im Jahr 2017</v>
      </c>
      <c r="CQ178" s="205"/>
      <c r="CR178" s="381"/>
      <c r="CX178" s="94">
        <f t="shared" ref="CX178" si="1181">IF(CX176&lt;&gt;0,ROUND(CX177/CX176,4),0)</f>
        <v>2.5399999999999999E-2</v>
      </c>
      <c r="CZ178" s="99" t="str">
        <f t="shared" ref="CZ178" si="1182">"Durchschnittlicher Auflösungssatz im Jahr "&amp;CX4</f>
        <v>Durchschnittlicher Auflösungssatz im Jahr 2018</v>
      </c>
      <c r="DD178" s="205"/>
      <c r="DE178" s="381"/>
      <c r="DK178" s="94">
        <f t="shared" ref="DK178" si="1183">IF(DK176&lt;&gt;0,ROUND(DK177/DK176,4),0)</f>
        <v>2.5399999999999999E-2</v>
      </c>
      <c r="DM178" s="99" t="str">
        <f t="shared" ref="DM178" si="1184">"Durchschnittlicher Auflösungssatz im Jahr "&amp;DK4</f>
        <v>Durchschnittlicher Auflösungssatz im Jahr 2019</v>
      </c>
      <c r="DQ178" s="205"/>
      <c r="DR178" s="381"/>
      <c r="DX178" s="94">
        <f t="shared" ref="DX178" si="1185">IF(DX176&lt;&gt;0,ROUND(DX177/DX176,4),0)</f>
        <v>2.5399999999999999E-2</v>
      </c>
      <c r="DZ178" s="99" t="str">
        <f t="shared" ref="DZ178" si="1186">"Durchschnittlicher Auflösungssatz im Jahr "&amp;DX4</f>
        <v>Durchschnittlicher Auflösungssatz im Jahr 2020</v>
      </c>
      <c r="ED178" s="205"/>
    </row>
    <row r="179" spans="1:134" ht="18.5" x14ac:dyDescent="0.45">
      <c r="A179" s="382" t="s">
        <v>891</v>
      </c>
      <c r="Q179" s="225">
        <v>52</v>
      </c>
      <c r="R179" s="382" t="s">
        <v>891</v>
      </c>
      <c r="Z179" s="380" t="s">
        <v>901</v>
      </c>
      <c r="AD179" s="205"/>
      <c r="AE179" s="382" t="s">
        <v>891</v>
      </c>
      <c r="AM179" s="380" t="s">
        <v>901</v>
      </c>
      <c r="AQ179" s="205"/>
      <c r="AR179" s="382" t="s">
        <v>891</v>
      </c>
      <c r="AZ179" s="380" t="s">
        <v>901</v>
      </c>
      <c r="BD179" s="205"/>
      <c r="BE179" s="382" t="s">
        <v>891</v>
      </c>
      <c r="BM179" s="380" t="s">
        <v>901</v>
      </c>
      <c r="BQ179" s="205"/>
      <c r="BR179" s="382" t="s">
        <v>891</v>
      </c>
      <c r="BZ179" s="380" t="s">
        <v>901</v>
      </c>
      <c r="CD179" s="205"/>
      <c r="CE179" s="382" t="s">
        <v>891</v>
      </c>
      <c r="CM179" s="380" t="s">
        <v>901</v>
      </c>
      <c r="CQ179" s="205"/>
      <c r="CR179" s="382" t="s">
        <v>891</v>
      </c>
      <c r="CZ179" s="380" t="s">
        <v>901</v>
      </c>
      <c r="DD179" s="205"/>
      <c r="DE179" s="382" t="s">
        <v>891</v>
      </c>
      <c r="DM179" s="380" t="s">
        <v>901</v>
      </c>
      <c r="DQ179" s="205"/>
      <c r="DR179" s="382" t="s">
        <v>891</v>
      </c>
      <c r="DZ179" s="380" t="s">
        <v>901</v>
      </c>
      <c r="ED179" s="205"/>
    </row>
    <row r="180" spans="1:134" x14ac:dyDescent="0.35">
      <c r="A180" s="93" t="s">
        <v>865</v>
      </c>
      <c r="Q180" s="225">
        <v>53</v>
      </c>
      <c r="R180" s="381"/>
      <c r="W180" s="378" t="s">
        <v>887</v>
      </c>
      <c r="X180" s="166">
        <f>V126</f>
        <v>6751000</v>
      </c>
      <c r="Z180" s="93" t="str">
        <f>"GesamtZuwendungsaufkommen bis Ende des Jahres  "&amp;X4</f>
        <v>GesamtZuwendungsaufkommen bis Ende des Jahres  2012</v>
      </c>
      <c r="AD180" s="205"/>
      <c r="AE180" s="381"/>
      <c r="AJ180" s="378" t="s">
        <v>887</v>
      </c>
      <c r="AK180" s="166">
        <f t="shared" ref="AK180" si="1187">AI126</f>
        <v>6751000</v>
      </c>
      <c r="AM180" s="93" t="str">
        <f t="shared" ref="AM180" si="1188">"GesamtZuwendungsaufkommen bis Ende des Jahres  "&amp;AK4</f>
        <v>GesamtZuwendungsaufkommen bis Ende des Jahres  2013</v>
      </c>
      <c r="AQ180" s="205"/>
      <c r="AR180" s="381"/>
      <c r="AW180" s="378" t="s">
        <v>887</v>
      </c>
      <c r="AX180" s="166">
        <f t="shared" ref="AX180" si="1189">AV126</f>
        <v>6751000</v>
      </c>
      <c r="AZ180" s="93" t="str">
        <f t="shared" ref="AZ180" si="1190">"GesamtZuwendungsaufkommen bis Ende des Jahres  "&amp;AX4</f>
        <v>GesamtZuwendungsaufkommen bis Ende des Jahres  2014</v>
      </c>
      <c r="BD180" s="205"/>
      <c r="BE180" s="381"/>
      <c r="BJ180" s="378" t="s">
        <v>887</v>
      </c>
      <c r="BK180" s="166">
        <f t="shared" ref="BK180" si="1191">BI126</f>
        <v>6751000</v>
      </c>
      <c r="BM180" s="93" t="str">
        <f t="shared" ref="BM180" si="1192">"GesamtZuwendungsaufkommen bis Ende des Jahres  "&amp;BK4</f>
        <v>GesamtZuwendungsaufkommen bis Ende des Jahres  2015</v>
      </c>
      <c r="BQ180" s="205"/>
      <c r="BR180" s="381"/>
      <c r="BW180" s="378" t="s">
        <v>887</v>
      </c>
      <c r="BX180" s="166">
        <f t="shared" ref="BX180" si="1193">BV126</f>
        <v>6751000</v>
      </c>
      <c r="BZ180" s="93" t="str">
        <f t="shared" ref="BZ180" si="1194">"GesamtZuwendungsaufkommen bis Ende des Jahres  "&amp;BX4</f>
        <v>GesamtZuwendungsaufkommen bis Ende des Jahres  2016</v>
      </c>
      <c r="CD180" s="205"/>
      <c r="CE180" s="381"/>
      <c r="CJ180" s="378" t="s">
        <v>887</v>
      </c>
      <c r="CK180" s="166">
        <f t="shared" ref="CK180" si="1195">CI126</f>
        <v>6751000</v>
      </c>
      <c r="CM180" s="93" t="str">
        <f t="shared" ref="CM180" si="1196">"GesamtZuwendungsaufkommen bis Ende des Jahres  "&amp;CK4</f>
        <v>GesamtZuwendungsaufkommen bis Ende des Jahres  2017</v>
      </c>
      <c r="CQ180" s="205"/>
      <c r="CR180" s="381"/>
      <c r="CW180" s="378" t="s">
        <v>887</v>
      </c>
      <c r="CX180" s="166">
        <f t="shared" ref="CX180" si="1197">CV126</f>
        <v>6751000</v>
      </c>
      <c r="CZ180" s="93" t="str">
        <f t="shared" ref="CZ180" si="1198">"GesamtZuwendungsaufkommen bis Ende des Jahres  "&amp;CX4</f>
        <v>GesamtZuwendungsaufkommen bis Ende des Jahres  2018</v>
      </c>
      <c r="DD180" s="205"/>
      <c r="DE180" s="381"/>
      <c r="DJ180" s="378" t="s">
        <v>887</v>
      </c>
      <c r="DK180" s="166">
        <f t="shared" ref="DK180" si="1199">DI126</f>
        <v>6751000</v>
      </c>
      <c r="DM180" s="93" t="str">
        <f t="shared" ref="DM180" si="1200">"GesamtZuwendungsaufkommen bis Ende des Jahres  "&amp;DK4</f>
        <v>GesamtZuwendungsaufkommen bis Ende des Jahres  2019</v>
      </c>
      <c r="DQ180" s="205"/>
      <c r="DR180" s="381"/>
      <c r="DW180" s="378" t="s">
        <v>887</v>
      </c>
      <c r="DX180" s="166">
        <f t="shared" ref="DX180" si="1201">DV126</f>
        <v>6751000</v>
      </c>
      <c r="DZ180" s="93" t="str">
        <f t="shared" ref="DZ180" si="1202">"GesamtZuwendungsaufkommen bis Ende des Jahres  "&amp;DX4</f>
        <v>GesamtZuwendungsaufkommen bis Ende des Jahres  2020</v>
      </c>
      <c r="ED180" s="205"/>
    </row>
    <row r="181" spans="1:134" x14ac:dyDescent="0.35">
      <c r="A181" s="93" t="s">
        <v>900</v>
      </c>
      <c r="Q181" s="225">
        <v>54</v>
      </c>
      <c r="R181" s="381"/>
      <c r="W181" s="374">
        <f>X180-X181</f>
        <v>0</v>
      </c>
      <c r="X181" s="166">
        <f>V138</f>
        <v>6751000</v>
      </c>
      <c r="Z181" s="93" t="s">
        <v>900</v>
      </c>
      <c r="AD181" s="205"/>
      <c r="AE181" s="381"/>
      <c r="AJ181" s="374">
        <f t="shared" ref="AJ181" si="1203">AK180-AK181</f>
        <v>0</v>
      </c>
      <c r="AK181" s="166">
        <f t="shared" ref="AK181" si="1204">AI138</f>
        <v>6751000</v>
      </c>
      <c r="AM181" s="93" t="s">
        <v>900</v>
      </c>
      <c r="AQ181" s="205"/>
      <c r="AR181" s="381"/>
      <c r="AW181" s="374">
        <f t="shared" ref="AW181" si="1205">AX180-AX181</f>
        <v>0</v>
      </c>
      <c r="AX181" s="166">
        <f t="shared" ref="AX181" si="1206">AV138</f>
        <v>6751000</v>
      </c>
      <c r="AZ181" s="93" t="s">
        <v>900</v>
      </c>
      <c r="BD181" s="205"/>
      <c r="BE181" s="381"/>
      <c r="BJ181" s="374">
        <f t="shared" ref="BJ181" si="1207">BK180-BK181</f>
        <v>0</v>
      </c>
      <c r="BK181" s="166">
        <f t="shared" ref="BK181" si="1208">BI138</f>
        <v>6751000</v>
      </c>
      <c r="BM181" s="93" t="s">
        <v>900</v>
      </c>
      <c r="BQ181" s="205"/>
      <c r="BR181" s="381"/>
      <c r="BW181" s="374">
        <f t="shared" ref="BW181" si="1209">BX180-BX181</f>
        <v>0</v>
      </c>
      <c r="BX181" s="166">
        <f t="shared" ref="BX181" si="1210">BV138</f>
        <v>6751000</v>
      </c>
      <c r="BZ181" s="93" t="s">
        <v>900</v>
      </c>
      <c r="CD181" s="205"/>
      <c r="CE181" s="381"/>
      <c r="CJ181" s="374">
        <f t="shared" ref="CJ181" si="1211">CK180-CK181</f>
        <v>0</v>
      </c>
      <c r="CK181" s="166">
        <f t="shared" ref="CK181" si="1212">CI138</f>
        <v>6751000</v>
      </c>
      <c r="CM181" s="93" t="s">
        <v>900</v>
      </c>
      <c r="CQ181" s="205"/>
      <c r="CR181" s="381"/>
      <c r="CW181" s="374">
        <f t="shared" ref="CW181" si="1213">CX180-CX181</f>
        <v>0</v>
      </c>
      <c r="CX181" s="166">
        <f t="shared" ref="CX181" si="1214">CV138</f>
        <v>6751000</v>
      </c>
      <c r="CZ181" s="93" t="s">
        <v>900</v>
      </c>
      <c r="DD181" s="205"/>
      <c r="DE181" s="381"/>
      <c r="DJ181" s="374">
        <f t="shared" ref="DJ181" si="1215">DK180-DK181</f>
        <v>0</v>
      </c>
      <c r="DK181" s="166">
        <f t="shared" ref="DK181" si="1216">DI138</f>
        <v>6751000</v>
      </c>
      <c r="DM181" s="93" t="s">
        <v>900</v>
      </c>
      <c r="DQ181" s="205"/>
      <c r="DR181" s="381"/>
      <c r="DW181" s="374">
        <f t="shared" ref="DW181" si="1217">DX180-DX181</f>
        <v>0</v>
      </c>
      <c r="DX181" s="166">
        <f t="shared" ref="DX181" si="1218">DV138</f>
        <v>6751000</v>
      </c>
      <c r="DZ181" s="93" t="s">
        <v>900</v>
      </c>
      <c r="ED181" s="205"/>
    </row>
    <row r="182" spans="1:134" x14ac:dyDescent="0.35">
      <c r="A182" s="93" t="s">
        <v>893</v>
      </c>
      <c r="Q182" s="225">
        <v>55</v>
      </c>
      <c r="R182" s="381"/>
      <c r="W182" s="374"/>
      <c r="X182" s="166">
        <f>X126</f>
        <v>199080</v>
      </c>
      <c r="Z182" s="93" t="s">
        <v>893</v>
      </c>
      <c r="AD182" s="205"/>
      <c r="AE182" s="381"/>
      <c r="AJ182" s="374"/>
      <c r="AK182" s="166">
        <f t="shared" ref="AK182" si="1219">AK126</f>
        <v>197080</v>
      </c>
      <c r="AM182" s="93" t="s">
        <v>893</v>
      </c>
      <c r="AQ182" s="205"/>
      <c r="AR182" s="381"/>
      <c r="AW182" s="374"/>
      <c r="AX182" s="166">
        <f t="shared" ref="AX182" si="1220">AX126</f>
        <v>195080</v>
      </c>
      <c r="AZ182" s="93" t="s">
        <v>893</v>
      </c>
      <c r="BD182" s="205"/>
      <c r="BE182" s="381"/>
      <c r="BJ182" s="374"/>
      <c r="BK182" s="166">
        <f t="shared" ref="BK182" si="1221">BK126</f>
        <v>195080</v>
      </c>
      <c r="BM182" s="93" t="s">
        <v>893</v>
      </c>
      <c r="BQ182" s="205"/>
      <c r="BR182" s="381"/>
      <c r="BW182" s="374"/>
      <c r="BX182" s="166">
        <f t="shared" ref="BX182" si="1222">BX126</f>
        <v>167062.5</v>
      </c>
      <c r="BZ182" s="93" t="s">
        <v>893</v>
      </c>
      <c r="CD182" s="205"/>
      <c r="CE182" s="381"/>
      <c r="CJ182" s="374"/>
      <c r="CK182" s="166">
        <f t="shared" ref="CK182" si="1223">CK126</f>
        <v>112970</v>
      </c>
      <c r="CM182" s="93" t="s">
        <v>893</v>
      </c>
      <c r="CQ182" s="205"/>
      <c r="CR182" s="381"/>
      <c r="CW182" s="374"/>
      <c r="CX182" s="166">
        <f t="shared" ref="CX182" si="1224">CX126</f>
        <v>112970</v>
      </c>
      <c r="CZ182" s="93" t="s">
        <v>893</v>
      </c>
      <c r="DD182" s="205"/>
      <c r="DE182" s="381"/>
      <c r="DJ182" s="374"/>
      <c r="DK182" s="166">
        <f t="shared" ref="DK182" si="1225">DK126</f>
        <v>112970</v>
      </c>
      <c r="DM182" s="93" t="s">
        <v>893</v>
      </c>
      <c r="DQ182" s="205"/>
      <c r="DR182" s="381"/>
      <c r="DW182" s="374"/>
      <c r="DX182" s="166">
        <f t="shared" ref="DX182" si="1226">DX126</f>
        <v>112970</v>
      </c>
      <c r="DZ182" s="93" t="s">
        <v>893</v>
      </c>
      <c r="ED182" s="205"/>
    </row>
    <row r="183" spans="1:134" x14ac:dyDescent="0.35">
      <c r="A183" s="93" t="s">
        <v>894</v>
      </c>
      <c r="Q183" s="225">
        <v>56</v>
      </c>
      <c r="R183" s="381"/>
      <c r="W183" s="374">
        <f>X182-X183</f>
        <v>0</v>
      </c>
      <c r="X183" s="166">
        <f>X138</f>
        <v>199080</v>
      </c>
      <c r="Z183" s="93" t="s">
        <v>894</v>
      </c>
      <c r="AD183" s="205"/>
      <c r="AE183" s="381"/>
      <c r="AJ183" s="374">
        <f t="shared" ref="AJ183" si="1227">AK182-AK183</f>
        <v>0</v>
      </c>
      <c r="AK183" s="166">
        <f t="shared" ref="AK183" si="1228">AK138</f>
        <v>197080</v>
      </c>
      <c r="AM183" s="93" t="s">
        <v>894</v>
      </c>
      <c r="AQ183" s="205"/>
      <c r="AR183" s="381"/>
      <c r="AW183" s="374">
        <f t="shared" ref="AW183" si="1229">AX182-AX183</f>
        <v>0</v>
      </c>
      <c r="AX183" s="166">
        <f t="shared" ref="AX183" si="1230">AX138</f>
        <v>195080</v>
      </c>
      <c r="AZ183" s="93" t="s">
        <v>894</v>
      </c>
      <c r="BD183" s="205"/>
      <c r="BE183" s="381"/>
      <c r="BJ183" s="374">
        <f t="shared" ref="BJ183" si="1231">BK182-BK183</f>
        <v>0</v>
      </c>
      <c r="BK183" s="166">
        <f t="shared" ref="BK183" si="1232">BK138</f>
        <v>195080</v>
      </c>
      <c r="BM183" s="93" t="s">
        <v>894</v>
      </c>
      <c r="BQ183" s="205"/>
      <c r="BR183" s="381"/>
      <c r="BW183" s="374">
        <f t="shared" ref="BW183" si="1233">BX182-BX183</f>
        <v>0</v>
      </c>
      <c r="BX183" s="166">
        <f t="shared" ref="BX183" si="1234">BX138</f>
        <v>167062.5</v>
      </c>
      <c r="BZ183" s="93" t="s">
        <v>894</v>
      </c>
      <c r="CD183" s="205"/>
      <c r="CE183" s="381"/>
      <c r="CJ183" s="374">
        <f t="shared" ref="CJ183" si="1235">CK182-CK183</f>
        <v>0</v>
      </c>
      <c r="CK183" s="166">
        <f t="shared" ref="CK183" si="1236">CK138</f>
        <v>112970</v>
      </c>
      <c r="CM183" s="93" t="s">
        <v>894</v>
      </c>
      <c r="CQ183" s="205"/>
      <c r="CR183" s="381"/>
      <c r="CW183" s="374">
        <f t="shared" ref="CW183" si="1237">CX182-CX183</f>
        <v>0</v>
      </c>
      <c r="CX183" s="166">
        <f t="shared" ref="CX183" si="1238">CX138</f>
        <v>112970</v>
      </c>
      <c r="CZ183" s="93" t="s">
        <v>894</v>
      </c>
      <c r="DD183" s="205"/>
      <c r="DE183" s="381"/>
      <c r="DJ183" s="374">
        <f t="shared" ref="DJ183" si="1239">DK182-DK183</f>
        <v>0</v>
      </c>
      <c r="DK183" s="166">
        <f t="shared" ref="DK183" si="1240">DK138</f>
        <v>112970</v>
      </c>
      <c r="DM183" s="93" t="s">
        <v>894</v>
      </c>
      <c r="DQ183" s="205"/>
      <c r="DR183" s="381"/>
      <c r="DW183" s="374">
        <f t="shared" ref="DW183" si="1241">DX182-DX183</f>
        <v>0</v>
      </c>
      <c r="DX183" s="166">
        <f t="shared" ref="DX183" si="1242">DX138</f>
        <v>112970</v>
      </c>
      <c r="DZ183" s="93" t="s">
        <v>894</v>
      </c>
      <c r="ED183" s="205"/>
    </row>
    <row r="184" spans="1:134" x14ac:dyDescent="0.35">
      <c r="A184" s="211" t="s">
        <v>888</v>
      </c>
      <c r="Q184" s="225">
        <v>57</v>
      </c>
      <c r="R184" s="381"/>
      <c r="W184" s="373"/>
      <c r="X184" s="166">
        <f>X169</f>
        <v>95557.79</v>
      </c>
      <c r="Z184" s="211" t="s">
        <v>888</v>
      </c>
      <c r="AD184" s="205"/>
      <c r="AE184" s="381"/>
      <c r="AJ184" s="373"/>
      <c r="AK184" s="166">
        <f t="shared" ref="AK184" si="1243">AK169</f>
        <v>88624.99</v>
      </c>
      <c r="AM184" s="211" t="s">
        <v>888</v>
      </c>
      <c r="AQ184" s="205"/>
      <c r="AR184" s="381"/>
      <c r="AW184" s="373"/>
      <c r="AX184" s="166">
        <f t="shared" ref="AX184" si="1244">AX169</f>
        <v>81762.19</v>
      </c>
      <c r="AZ184" s="211" t="s">
        <v>888</v>
      </c>
      <c r="BD184" s="205"/>
      <c r="BE184" s="381"/>
      <c r="BJ184" s="373"/>
      <c r="BK184" s="166">
        <f t="shared" ref="BK184" si="1245">BK169</f>
        <v>74934.39</v>
      </c>
      <c r="BM184" s="211" t="s">
        <v>888</v>
      </c>
      <c r="BQ184" s="205"/>
      <c r="BR184" s="381"/>
      <c r="BW184" s="373"/>
      <c r="BX184" s="166">
        <f t="shared" ref="BX184" si="1246">BX169</f>
        <v>68596.89</v>
      </c>
      <c r="BZ184" s="211" t="s">
        <v>888</v>
      </c>
      <c r="CD184" s="205"/>
      <c r="CE184" s="381"/>
      <c r="CJ184" s="373"/>
      <c r="CK184" s="166">
        <f t="shared" ref="CK184" si="1247">CK169</f>
        <v>54596.85</v>
      </c>
      <c r="CM184" s="211" t="s">
        <v>888</v>
      </c>
      <c r="CQ184" s="205"/>
      <c r="CR184" s="381"/>
      <c r="CW184" s="373"/>
      <c r="CX184" s="166">
        <f t="shared" ref="CX184" si="1248">CX169</f>
        <v>51207.75</v>
      </c>
      <c r="CZ184" s="211" t="s">
        <v>888</v>
      </c>
      <c r="DD184" s="205"/>
      <c r="DE184" s="381"/>
      <c r="DJ184" s="373"/>
      <c r="DK184" s="166">
        <f t="shared" ref="DK184" si="1249">DK169</f>
        <v>47818.65</v>
      </c>
      <c r="DM184" s="211" t="s">
        <v>888</v>
      </c>
      <c r="DQ184" s="205"/>
      <c r="DR184" s="381"/>
      <c r="DW184" s="373"/>
      <c r="DX184" s="166">
        <f t="shared" ref="DX184" si="1250">DX169</f>
        <v>44429.55</v>
      </c>
      <c r="DZ184" s="211" t="s">
        <v>888</v>
      </c>
      <c r="ED184" s="205"/>
    </row>
    <row r="185" spans="1:134" x14ac:dyDescent="0.35">
      <c r="A185" s="93" t="s">
        <v>889</v>
      </c>
      <c r="Q185" s="225">
        <v>58</v>
      </c>
      <c r="R185" s="381"/>
      <c r="W185" s="374">
        <f>X184-X185</f>
        <v>0</v>
      </c>
      <c r="X185" s="166">
        <f>ROUND((AA126-S126+U126+Y126/2)*HLOOKUP(X128,Grund_zins,2,FALSE),2)+ROUND((AC126+AD126/2)*HLOOKUP(X128,Grund_zins,2,FALSE),2)</f>
        <v>95557.79</v>
      </c>
      <c r="Z185" s="93" t="s">
        <v>889</v>
      </c>
      <c r="AD185" s="205"/>
      <c r="AE185" s="381"/>
      <c r="AJ185" s="374">
        <f t="shared" ref="AJ185" si="1251">AK184-AK185</f>
        <v>0</v>
      </c>
      <c r="AK185" s="166">
        <f>ROUND((AN126-AF126+AH126+AL126/2)*HLOOKUP(AK128,Grund_zins,2,FALSE),2)+ROUND((AP126+AQ126/2)*HLOOKUP(AK128,Grund_zins,2,FALSE),2)</f>
        <v>88624.99</v>
      </c>
      <c r="AM185" s="93" t="s">
        <v>889</v>
      </c>
      <c r="AQ185" s="205"/>
      <c r="AR185" s="381"/>
      <c r="AW185" s="374">
        <f t="shared" ref="AW185" si="1252">AX184-AX185</f>
        <v>0</v>
      </c>
      <c r="AX185" s="166">
        <f>ROUND((BA126-AS126+AU126+AY126/2)*HLOOKUP(AX128,Grund_zins,2,FALSE),2)+ROUND((BC126+BD126/2)*HLOOKUP(AX128,Grund_zins,2,FALSE),2)</f>
        <v>81762.19</v>
      </c>
      <c r="AZ185" s="93" t="s">
        <v>889</v>
      </c>
      <c r="BD185" s="205"/>
      <c r="BE185" s="381"/>
      <c r="BJ185" s="374">
        <f t="shared" ref="BJ185" si="1253">BK184-BK185</f>
        <v>0</v>
      </c>
      <c r="BK185" s="166">
        <f>ROUND((BN126-BF126+BH126+BL126/2)*HLOOKUP(BK128,Grund_zins,2,FALSE),2)+ROUND((BP126+BQ126/2)*HLOOKUP(BK128,Grund_zins,2,FALSE),2)</f>
        <v>74934.39</v>
      </c>
      <c r="BM185" s="93" t="s">
        <v>889</v>
      </c>
      <c r="BQ185" s="205"/>
      <c r="BR185" s="381"/>
      <c r="BW185" s="374">
        <f t="shared" ref="BW185" si="1254">BX184-BX185</f>
        <v>0</v>
      </c>
      <c r="BX185" s="166">
        <f>ROUND((CA126-BS126+BU126+BY126/2)*HLOOKUP(BX128,Grund_zins,2,FALSE),2)+ROUND((CC126+CD126/2)*HLOOKUP(BX128,Grund_zins,2,FALSE),2)</f>
        <v>68596.89</v>
      </c>
      <c r="BZ185" s="93" t="s">
        <v>889</v>
      </c>
      <c r="CD185" s="205"/>
      <c r="CE185" s="381"/>
      <c r="CJ185" s="374">
        <f t="shared" ref="CJ185" si="1255">CK184-CK185</f>
        <v>0</v>
      </c>
      <c r="CK185" s="166">
        <f>ROUND((CN126-CF126+CH126+CL126/2)*HLOOKUP(CK128,Grund_zins,2,FALSE),2)+ROUND((CP126+CQ126/2)*HLOOKUP(CK128,Grund_zins,2,FALSE),2)</f>
        <v>54596.85</v>
      </c>
      <c r="CM185" s="93" t="s">
        <v>889</v>
      </c>
      <c r="CQ185" s="205"/>
      <c r="CR185" s="381"/>
      <c r="CW185" s="374">
        <f t="shared" ref="CW185" si="1256">CX184-CX185</f>
        <v>0</v>
      </c>
      <c r="CX185" s="166">
        <f>ROUND((DA126-CS126+CU126+CY126/2)*HLOOKUP(CX128,Grund_zins,2,FALSE),2)+ROUND((DC126+DD126/2)*HLOOKUP(CX128,Grund_zins,2,FALSE),2)</f>
        <v>51207.75</v>
      </c>
      <c r="CZ185" s="93" t="s">
        <v>889</v>
      </c>
      <c r="DD185" s="205"/>
      <c r="DE185" s="381"/>
      <c r="DJ185" s="374">
        <f t="shared" ref="DJ185" si="1257">DK184-DK185</f>
        <v>0</v>
      </c>
      <c r="DK185" s="166">
        <f>ROUND((DN126-DF126+DH126+DL126/2)*HLOOKUP(DK128,Grund_zins,2,FALSE),2)+ROUND((DP126+DQ126/2)*HLOOKUP(DK128,Grund_zins,2,FALSE),2)</f>
        <v>47818.65</v>
      </c>
      <c r="DM185" s="93" t="s">
        <v>889</v>
      </c>
      <c r="DQ185" s="205"/>
      <c r="DR185" s="381"/>
      <c r="DW185" s="374">
        <f t="shared" ref="DW185" si="1258">DX184-DX185</f>
        <v>0</v>
      </c>
      <c r="DX185" s="166">
        <f>ROUND((EA126-DS126+DU126+DY126/2)*HLOOKUP(DX128,Grund_zins,2,FALSE),2)+ROUND((EC126+ED126/2)*HLOOKUP(DX128,Grund_zins,2,FALSE),2)</f>
        <v>44429.55</v>
      </c>
      <c r="DZ185" s="93" t="s">
        <v>889</v>
      </c>
      <c r="ED185" s="205"/>
    </row>
    <row r="186" spans="1:134" x14ac:dyDescent="0.35">
      <c r="Q186" s="225">
        <v>59</v>
      </c>
      <c r="R186" s="381"/>
      <c r="AD186" s="205"/>
      <c r="AE186" s="381"/>
      <c r="AQ186" s="205"/>
      <c r="AR186" s="381"/>
      <c r="BD186" s="205"/>
      <c r="BE186" s="381"/>
      <c r="BQ186" s="205"/>
      <c r="BR186" s="381"/>
      <c r="CD186" s="205"/>
      <c r="CE186" s="381"/>
      <c r="CQ186" s="205"/>
      <c r="CR186" s="381"/>
      <c r="DD186" s="205"/>
      <c r="DE186" s="381"/>
      <c r="DQ186" s="205"/>
      <c r="DR186" s="381"/>
      <c r="ED186" s="205"/>
    </row>
    <row r="187" spans="1:134" ht="18.5" x14ac:dyDescent="0.45">
      <c r="A187" s="171" t="s">
        <v>593</v>
      </c>
      <c r="Q187" s="225">
        <v>60</v>
      </c>
      <c r="R187" s="382" t="s">
        <v>593</v>
      </c>
      <c r="AD187" s="205"/>
      <c r="AE187" s="382" t="s">
        <v>593</v>
      </c>
      <c r="AQ187" s="205"/>
      <c r="AR187" s="382" t="s">
        <v>593</v>
      </c>
      <c r="BD187" s="205"/>
      <c r="BE187" s="382" t="s">
        <v>593</v>
      </c>
      <c r="BQ187" s="205"/>
      <c r="BR187" s="382" t="s">
        <v>593</v>
      </c>
      <c r="CD187" s="205"/>
      <c r="CE187" s="382" t="s">
        <v>593</v>
      </c>
      <c r="CQ187" s="205"/>
      <c r="CR187" s="382" t="s">
        <v>593</v>
      </c>
      <c r="DD187" s="205"/>
      <c r="DE187" s="382" t="s">
        <v>593</v>
      </c>
      <c r="DQ187" s="205"/>
      <c r="DR187" s="382" t="s">
        <v>593</v>
      </c>
      <c r="ED187" s="205"/>
    </row>
    <row r="188" spans="1:134" x14ac:dyDescent="0.35">
      <c r="A188" s="204" t="s">
        <v>594</v>
      </c>
      <c r="Q188" s="225">
        <v>61</v>
      </c>
      <c r="R188" s="381"/>
      <c r="W188" s="90">
        <f>SUM(W189:W191)</f>
        <v>1</v>
      </c>
      <c r="X188" s="166">
        <f>X138</f>
        <v>199080</v>
      </c>
      <c r="Z188" s="204" t="s">
        <v>594</v>
      </c>
      <c r="AD188" s="205"/>
      <c r="AE188" s="381"/>
      <c r="AJ188" s="90">
        <f t="shared" ref="AJ188" si="1259">SUM(AJ189:AJ191)</f>
        <v>1</v>
      </c>
      <c r="AK188" s="166">
        <f t="shared" ref="AK188:BK191" si="1260">AK138</f>
        <v>197080</v>
      </c>
      <c r="AM188" s="204" t="s">
        <v>594</v>
      </c>
      <c r="AQ188" s="205"/>
      <c r="AR188" s="381"/>
      <c r="AW188" s="90">
        <f t="shared" ref="AW188" si="1261">SUM(AW189:AW191)</f>
        <v>1</v>
      </c>
      <c r="AX188" s="166">
        <f t="shared" ref="AX188" si="1262">AX138</f>
        <v>195080</v>
      </c>
      <c r="AZ188" s="204" t="s">
        <v>594</v>
      </c>
      <c r="BD188" s="205"/>
      <c r="BE188" s="381"/>
      <c r="BJ188" s="90">
        <f t="shared" ref="BJ188" si="1263">SUM(BJ189:BJ191)</f>
        <v>1</v>
      </c>
      <c r="BK188" s="166">
        <f t="shared" ref="BK188" si="1264">BK138</f>
        <v>195080</v>
      </c>
      <c r="BM188" s="204" t="s">
        <v>594</v>
      </c>
      <c r="BQ188" s="205"/>
      <c r="BR188" s="381"/>
      <c r="BW188" s="90">
        <f t="shared" ref="BW188" si="1265">SUM(BW189:BW191)</f>
        <v>1</v>
      </c>
      <c r="BX188" s="166">
        <f t="shared" ref="BX188:CX191" si="1266">BX138</f>
        <v>167062.5</v>
      </c>
      <c r="BZ188" s="204" t="s">
        <v>594</v>
      </c>
      <c r="CD188" s="205"/>
      <c r="CE188" s="381"/>
      <c r="CJ188" s="90">
        <f t="shared" ref="CJ188" si="1267">SUM(CJ189:CJ191)</f>
        <v>1</v>
      </c>
      <c r="CK188" s="166">
        <f t="shared" ref="CK188" si="1268">CK138</f>
        <v>112970</v>
      </c>
      <c r="CM188" s="204" t="s">
        <v>594</v>
      </c>
      <c r="CQ188" s="205"/>
      <c r="CR188" s="381"/>
      <c r="CW188" s="90">
        <f t="shared" ref="CW188" si="1269">SUM(CW189:CW191)</f>
        <v>1</v>
      </c>
      <c r="CX188" s="166">
        <f t="shared" ref="CX188" si="1270">CX138</f>
        <v>112970</v>
      </c>
      <c r="CZ188" s="204" t="s">
        <v>594</v>
      </c>
      <c r="DD188" s="205"/>
      <c r="DE188" s="381"/>
      <c r="DJ188" s="90">
        <f t="shared" ref="DJ188" si="1271">SUM(DJ189:DJ191)</f>
        <v>1</v>
      </c>
      <c r="DK188" s="166">
        <f t="shared" ref="DK188:DX191" si="1272">DK138</f>
        <v>112970</v>
      </c>
      <c r="DM188" s="204" t="s">
        <v>594</v>
      </c>
      <c r="DQ188" s="205"/>
      <c r="DR188" s="381"/>
      <c r="DW188" s="90">
        <f t="shared" ref="DW188" si="1273">SUM(DW189:DW191)</f>
        <v>1</v>
      </c>
      <c r="DX188" s="166">
        <f t="shared" ref="DX188" si="1274">DX138</f>
        <v>112970</v>
      </c>
      <c r="DZ188" s="204" t="s">
        <v>594</v>
      </c>
      <c r="ED188" s="205"/>
    </row>
    <row r="189" spans="1:134" x14ac:dyDescent="0.35">
      <c r="A189" s="99" t="s">
        <v>169</v>
      </c>
      <c r="Q189" s="225">
        <v>62</v>
      </c>
      <c r="R189" s="381"/>
      <c r="W189" s="90">
        <f>IF(X188&lt;&gt;0,X189/X188,0)</f>
        <v>0.72145157725537468</v>
      </c>
      <c r="X189" s="166">
        <f t="shared" ref="X189:X191" si="1275">X139</f>
        <v>143626.57999999999</v>
      </c>
      <c r="Z189" s="99" t="s">
        <v>169</v>
      </c>
      <c r="AD189" s="205"/>
      <c r="AE189" s="381"/>
      <c r="AJ189" s="90">
        <f t="shared" ref="AJ189" si="1276">IF(AK188&lt;&gt;0,AK189/AK188,0)</f>
        <v>0.72368418916176169</v>
      </c>
      <c r="AK189" s="166">
        <f t="shared" si="1260"/>
        <v>142623.67999999999</v>
      </c>
      <c r="AM189" s="99" t="s">
        <v>169</v>
      </c>
      <c r="AQ189" s="205"/>
      <c r="AR189" s="381"/>
      <c r="AW189" s="90">
        <f t="shared" ref="AW189" si="1277">IF(AX188&lt;&gt;0,AX189/AX188,0)</f>
        <v>0.72600220422390815</v>
      </c>
      <c r="AX189" s="166">
        <f t="shared" si="1260"/>
        <v>141628.51</v>
      </c>
      <c r="AZ189" s="99" t="s">
        <v>169</v>
      </c>
      <c r="BD189" s="205"/>
      <c r="BE189" s="381"/>
      <c r="BJ189" s="90">
        <f t="shared" ref="BJ189" si="1278">IF(BK188&lt;&gt;0,BK189/BK188,0)</f>
        <v>0.72602978265327056</v>
      </c>
      <c r="BK189" s="166">
        <f t="shared" si="1260"/>
        <v>141633.89000000001</v>
      </c>
      <c r="BM189" s="99" t="s">
        <v>169</v>
      </c>
      <c r="BQ189" s="205"/>
      <c r="BR189" s="381"/>
      <c r="BW189" s="90">
        <f t="shared" ref="BW189" si="1279">IF(BX188&lt;&gt;0,BX189/BX188,0)</f>
        <v>0.69245988776655443</v>
      </c>
      <c r="BX189" s="166">
        <f t="shared" si="1266"/>
        <v>115684.08</v>
      </c>
      <c r="BZ189" s="99" t="s">
        <v>169</v>
      </c>
      <c r="CD189" s="205"/>
      <c r="CE189" s="381"/>
      <c r="CJ189" s="90">
        <f t="shared" ref="CJ189" si="1280">IF(CK188&lt;&gt;0,CK189/CK188,0)</f>
        <v>0.58072417455961767</v>
      </c>
      <c r="CK189" s="166">
        <f t="shared" si="1266"/>
        <v>65604.41</v>
      </c>
      <c r="CM189" s="99" t="s">
        <v>169</v>
      </c>
      <c r="CQ189" s="205"/>
      <c r="CR189" s="381"/>
      <c r="CW189" s="90">
        <f t="shared" ref="CW189" si="1281">IF(CX188&lt;&gt;0,CX189/CX188,0)</f>
        <v>0.58080605470478897</v>
      </c>
      <c r="CX189" s="166">
        <f t="shared" si="1266"/>
        <v>65613.66</v>
      </c>
      <c r="CZ189" s="99" t="s">
        <v>169</v>
      </c>
      <c r="DD189" s="205"/>
      <c r="DE189" s="381"/>
      <c r="DJ189" s="90">
        <f t="shared" ref="DJ189" si="1282">IF(DK188&lt;&gt;0,DK189/DK188,0)</f>
        <v>0.57425599716738951</v>
      </c>
      <c r="DK189" s="166">
        <f t="shared" si="1272"/>
        <v>64873.7</v>
      </c>
      <c r="DM189" s="99" t="s">
        <v>169</v>
      </c>
      <c r="DQ189" s="205"/>
      <c r="DR189" s="381"/>
      <c r="DW189" s="90">
        <f t="shared" ref="DW189" si="1283">IF(DX188&lt;&gt;0,DX189/DX188,0)</f>
        <v>0.57370018589005933</v>
      </c>
      <c r="DX189" s="166">
        <f t="shared" si="1272"/>
        <v>64810.91</v>
      </c>
      <c r="DZ189" s="99" t="s">
        <v>169</v>
      </c>
      <c r="ED189" s="205"/>
    </row>
    <row r="190" spans="1:134" x14ac:dyDescent="0.35">
      <c r="A190" s="99" t="s">
        <v>170</v>
      </c>
      <c r="Q190" s="225">
        <v>63</v>
      </c>
      <c r="R190" s="381"/>
      <c r="W190" s="90">
        <f>IF(X188&lt;&gt;0,X190/X188,0)</f>
        <v>0.27854842274462527</v>
      </c>
      <c r="X190" s="166">
        <f t="shared" si="1275"/>
        <v>55453.42</v>
      </c>
      <c r="Z190" s="99" t="s">
        <v>170</v>
      </c>
      <c r="AD190" s="205"/>
      <c r="AE190" s="381"/>
      <c r="AJ190" s="90">
        <f t="shared" ref="AJ190" si="1284">IF(AK188&lt;&gt;0,AK190/AK188,0)</f>
        <v>0.27631581083823825</v>
      </c>
      <c r="AK190" s="166">
        <f t="shared" si="1260"/>
        <v>54456.32</v>
      </c>
      <c r="AM190" s="99" t="s">
        <v>170</v>
      </c>
      <c r="AQ190" s="205"/>
      <c r="AR190" s="381"/>
      <c r="AW190" s="90">
        <f t="shared" ref="AW190" si="1285">IF(AX188&lt;&gt;0,AX190/AX188,0)</f>
        <v>0.27399779577609185</v>
      </c>
      <c r="AX190" s="166">
        <f t="shared" si="1260"/>
        <v>53451.49</v>
      </c>
      <c r="AZ190" s="99" t="s">
        <v>170</v>
      </c>
      <c r="BD190" s="205"/>
      <c r="BE190" s="381"/>
      <c r="BJ190" s="90">
        <f t="shared" ref="BJ190" si="1286">IF(BK188&lt;&gt;0,BK190/BK188,0)</f>
        <v>0.27397021734672955</v>
      </c>
      <c r="BK190" s="166">
        <f t="shared" si="1260"/>
        <v>53446.11</v>
      </c>
      <c r="BM190" s="99" t="s">
        <v>170</v>
      </c>
      <c r="BQ190" s="205"/>
      <c r="BR190" s="381"/>
      <c r="BW190" s="90">
        <f t="shared" ref="BW190" si="1287">IF(BX188&lt;&gt;0,BX190/BX188,0)</f>
        <v>0.30754011223344557</v>
      </c>
      <c r="BX190" s="166">
        <f t="shared" si="1266"/>
        <v>51378.42</v>
      </c>
      <c r="BZ190" s="99" t="s">
        <v>170</v>
      </c>
      <c r="CD190" s="205"/>
      <c r="CE190" s="381"/>
      <c r="CJ190" s="90">
        <f t="shared" ref="CJ190" si="1288">IF(CK188&lt;&gt;0,CK190/CK188,0)</f>
        <v>0.41927582544038239</v>
      </c>
      <c r="CK190" s="166">
        <f t="shared" si="1266"/>
        <v>47365.59</v>
      </c>
      <c r="CM190" s="99" t="s">
        <v>170</v>
      </c>
      <c r="CQ190" s="205"/>
      <c r="CR190" s="381"/>
      <c r="CW190" s="90">
        <f t="shared" ref="CW190" si="1289">IF(CX188&lt;&gt;0,CX190/CX188,0)</f>
        <v>0.41919394529521109</v>
      </c>
      <c r="CX190" s="166">
        <f t="shared" si="1266"/>
        <v>47356.34</v>
      </c>
      <c r="CZ190" s="99" t="s">
        <v>170</v>
      </c>
      <c r="DD190" s="205"/>
      <c r="DE190" s="381"/>
      <c r="DJ190" s="90">
        <f t="shared" ref="DJ190" si="1290">IF(DK188&lt;&gt;0,DK190/DK188,0)</f>
        <v>0.42574400283261044</v>
      </c>
      <c r="DK190" s="166">
        <f t="shared" si="1272"/>
        <v>48096.3</v>
      </c>
      <c r="DM190" s="99" t="s">
        <v>170</v>
      </c>
      <c r="DQ190" s="205"/>
      <c r="DR190" s="381"/>
      <c r="DW190" s="90">
        <f t="shared" ref="DW190" si="1291">IF(DX188&lt;&gt;0,DX190/DX188,0)</f>
        <v>0.42629981410994067</v>
      </c>
      <c r="DX190" s="166">
        <f t="shared" si="1272"/>
        <v>48159.09</v>
      </c>
      <c r="DZ190" s="99" t="s">
        <v>170</v>
      </c>
      <c r="ED190" s="205"/>
    </row>
    <row r="191" spans="1:134" x14ac:dyDescent="0.35">
      <c r="A191" s="99" t="s">
        <v>596</v>
      </c>
      <c r="Q191" s="225">
        <v>64</v>
      </c>
      <c r="R191" s="381"/>
      <c r="W191" s="10">
        <f>IF(X188&lt;&gt;0,X191/X188,0)</f>
        <v>0</v>
      </c>
      <c r="X191" s="166">
        <f t="shared" si="1275"/>
        <v>0</v>
      </c>
      <c r="Z191" s="99" t="s">
        <v>596</v>
      </c>
      <c r="AD191" s="205"/>
      <c r="AE191" s="381"/>
      <c r="AJ191" s="10">
        <f t="shared" ref="AJ191" si="1292">IF(AK188&lt;&gt;0,AK191/AK188,0)</f>
        <v>0</v>
      </c>
      <c r="AK191" s="166">
        <f t="shared" si="1260"/>
        <v>0</v>
      </c>
      <c r="AM191" s="99" t="s">
        <v>596</v>
      </c>
      <c r="AQ191" s="205"/>
      <c r="AR191" s="381"/>
      <c r="AW191" s="10">
        <f t="shared" ref="AW191" si="1293">IF(AX188&lt;&gt;0,AX191/AX188,0)</f>
        <v>0</v>
      </c>
      <c r="AX191" s="166">
        <f t="shared" si="1260"/>
        <v>0</v>
      </c>
      <c r="AZ191" s="99" t="s">
        <v>596</v>
      </c>
      <c r="BD191" s="205"/>
      <c r="BE191" s="381"/>
      <c r="BJ191" s="10">
        <f t="shared" ref="BJ191" si="1294">IF(BK188&lt;&gt;0,BK191/BK188,0)</f>
        <v>0</v>
      </c>
      <c r="BK191" s="166">
        <f t="shared" si="1260"/>
        <v>0</v>
      </c>
      <c r="BM191" s="99" t="s">
        <v>596</v>
      </c>
      <c r="BQ191" s="205"/>
      <c r="BR191" s="381"/>
      <c r="BW191" s="10">
        <f t="shared" ref="BW191" si="1295">IF(BX188&lt;&gt;0,BX191/BX188,0)</f>
        <v>0</v>
      </c>
      <c r="BX191" s="166">
        <f t="shared" si="1266"/>
        <v>0</v>
      </c>
      <c r="BZ191" s="99" t="s">
        <v>596</v>
      </c>
      <c r="CD191" s="205"/>
      <c r="CE191" s="381"/>
      <c r="CJ191" s="10">
        <f t="shared" ref="CJ191" si="1296">IF(CK188&lt;&gt;0,CK191/CK188,0)</f>
        <v>0</v>
      </c>
      <c r="CK191" s="166">
        <f t="shared" si="1266"/>
        <v>0</v>
      </c>
      <c r="CM191" s="99" t="s">
        <v>596</v>
      </c>
      <c r="CQ191" s="205"/>
      <c r="CR191" s="381"/>
      <c r="CW191" s="10">
        <f t="shared" ref="CW191" si="1297">IF(CX188&lt;&gt;0,CX191/CX188,0)</f>
        <v>0</v>
      </c>
      <c r="CX191" s="166">
        <f t="shared" si="1266"/>
        <v>0</v>
      </c>
      <c r="CZ191" s="99" t="s">
        <v>596</v>
      </c>
      <c r="DD191" s="205"/>
      <c r="DE191" s="381"/>
      <c r="DJ191" s="10">
        <f t="shared" ref="DJ191" si="1298">IF(DK188&lt;&gt;0,DK191/DK188,0)</f>
        <v>0</v>
      </c>
      <c r="DK191" s="166">
        <f t="shared" si="1272"/>
        <v>0</v>
      </c>
      <c r="DM191" s="99" t="s">
        <v>596</v>
      </c>
      <c r="DQ191" s="205"/>
      <c r="DR191" s="381"/>
      <c r="DW191" s="10">
        <f t="shared" ref="DW191" si="1299">IF(DX188&lt;&gt;0,DX191/DX188,0)</f>
        <v>0</v>
      </c>
      <c r="DX191" s="166">
        <f t="shared" si="1272"/>
        <v>0</v>
      </c>
      <c r="DZ191" s="99" t="s">
        <v>596</v>
      </c>
      <c r="ED191" s="205"/>
    </row>
    <row r="192" spans="1:134" x14ac:dyDescent="0.35">
      <c r="A192" s="204" t="s">
        <v>864</v>
      </c>
      <c r="Q192" s="225">
        <v>65</v>
      </c>
      <c r="R192" s="381"/>
      <c r="W192" s="90">
        <f>SUM(W193:W195)</f>
        <v>1</v>
      </c>
      <c r="X192" s="166">
        <f>ROUND(X188*HLOOKUP(X128,Grund_be,3,FALSE),2)</f>
        <v>199080</v>
      </c>
      <c r="Z192" s="204" t="str">
        <f>"Umlegungsanteil auf Gebühren = "&amp; HLOOKUP(X128,Grund_be,3,FALSE) *100 &amp; " %"</f>
        <v>Umlegungsanteil auf Gebühren = 100 %</v>
      </c>
      <c r="AD192" s="205"/>
      <c r="AE192" s="381"/>
      <c r="AJ192" s="90">
        <f t="shared" ref="AJ192" si="1300">SUM(AJ193:AJ195)</f>
        <v>1</v>
      </c>
      <c r="AK192" s="166">
        <f>ROUND(AK188*HLOOKUP(AK128,Grund_be,3,FALSE),2)</f>
        <v>197080</v>
      </c>
      <c r="AM192" s="204" t="str">
        <f>"Umlegungsanteil auf Gebühren = "&amp; HLOOKUP(AK128,Grund_be,3,FALSE) *100 &amp; " %"</f>
        <v>Umlegungsanteil auf Gebühren = 100 %</v>
      </c>
      <c r="AQ192" s="205"/>
      <c r="AR192" s="381"/>
      <c r="AW192" s="90">
        <f t="shared" ref="AW192" si="1301">SUM(AW193:AW195)</f>
        <v>1</v>
      </c>
      <c r="AX192" s="166">
        <f>ROUND(AX188*HLOOKUP(AX128,Grund_be,3,FALSE),2)</f>
        <v>195080</v>
      </c>
      <c r="AZ192" s="204" t="str">
        <f>"Umlegungsanteil auf Gebühren = "&amp; HLOOKUP(AX128,Grund_be,3,FALSE) *100 &amp; " %"</f>
        <v>Umlegungsanteil auf Gebühren = 100 %</v>
      </c>
      <c r="BD192" s="205"/>
      <c r="BE192" s="381"/>
      <c r="BJ192" s="90">
        <f t="shared" ref="BJ192" si="1302">SUM(BJ193:BJ195)</f>
        <v>1</v>
      </c>
      <c r="BK192" s="166">
        <f>ROUND(BK188*HLOOKUP(BK128,Grund_be,3,FALSE),2)</f>
        <v>195080</v>
      </c>
      <c r="BM192" s="204" t="str">
        <f>"Umlegungsanteil auf Gebühren = "&amp; HLOOKUP(BK128,Grund_be,3,FALSE) *100 &amp; " %"</f>
        <v>Umlegungsanteil auf Gebühren = 100 %</v>
      </c>
      <c r="BQ192" s="205"/>
      <c r="BR192" s="381"/>
      <c r="BW192" s="90">
        <f t="shared" ref="BW192" si="1303">SUM(BW193:BW195)</f>
        <v>1</v>
      </c>
      <c r="BX192" s="166">
        <f>ROUND(BX188*HLOOKUP(BX128,Grund_be,3,FALSE),2)</f>
        <v>167062.5</v>
      </c>
      <c r="BZ192" s="204" t="str">
        <f>"Umlegungsanteil auf Gebühren = "&amp; HLOOKUP(BX128,Grund_be,3,FALSE) *100 &amp; " %"</f>
        <v>Umlegungsanteil auf Gebühren = 100 %</v>
      </c>
      <c r="CD192" s="205"/>
      <c r="CE192" s="381"/>
      <c r="CJ192" s="90">
        <f t="shared" ref="CJ192" si="1304">SUM(CJ193:CJ195)</f>
        <v>1</v>
      </c>
      <c r="CK192" s="166">
        <f>ROUND(CK188*HLOOKUP(CK128,Grund_be,3,FALSE),2)</f>
        <v>112970</v>
      </c>
      <c r="CM192" s="204" t="str">
        <f>"Umlegungsanteil auf Gebühren = "&amp; HLOOKUP(CK128,Grund_be,3,FALSE) *100 &amp; " %"</f>
        <v>Umlegungsanteil auf Gebühren = 100 %</v>
      </c>
      <c r="CQ192" s="205"/>
      <c r="CR192" s="381"/>
      <c r="CW192" s="90">
        <f t="shared" ref="CW192" si="1305">SUM(CW193:CW195)</f>
        <v>1</v>
      </c>
      <c r="CX192" s="166">
        <f>ROUND(CX188*HLOOKUP(CX128,Grund_be,3,FALSE),2)</f>
        <v>112970</v>
      </c>
      <c r="CZ192" s="204" t="str">
        <f>"Umlegungsanteil auf Gebühren = "&amp; HLOOKUP(CX128,Grund_be,3,FALSE) *100 &amp; " %"</f>
        <v>Umlegungsanteil auf Gebühren = 100 %</v>
      </c>
      <c r="DD192" s="205"/>
      <c r="DE192" s="381"/>
      <c r="DJ192" s="90">
        <f t="shared" ref="DJ192" si="1306">SUM(DJ193:DJ195)</f>
        <v>1</v>
      </c>
      <c r="DK192" s="166">
        <f>ROUND(DK188*HLOOKUP(DK128,Grund_be,3,FALSE),2)</f>
        <v>112970</v>
      </c>
      <c r="DM192" s="204" t="str">
        <f>"Umlegungsanteil auf Gebühren = "&amp; HLOOKUP(DK128,Grund_be,3,FALSE) *100 &amp; " %"</f>
        <v>Umlegungsanteil auf Gebühren = 100 %</v>
      </c>
      <c r="DQ192" s="205"/>
      <c r="DR192" s="381"/>
      <c r="DW192" s="90">
        <f t="shared" ref="DW192" si="1307">SUM(DW193:DW195)</f>
        <v>1</v>
      </c>
      <c r="DX192" s="166">
        <f>ROUND(DX188*HLOOKUP(DX128,Grund_be,3,FALSE),2)</f>
        <v>112970</v>
      </c>
      <c r="DZ192" s="204" t="str">
        <f>"Umlegungsanteil auf Gebühren = "&amp; HLOOKUP(DX128,Grund_be,3,FALSE) *100 &amp; " %"</f>
        <v>Umlegungsanteil auf Gebühren = 100 %</v>
      </c>
      <c r="ED192" s="205"/>
    </row>
    <row r="193" spans="1:134" x14ac:dyDescent="0.35">
      <c r="A193" s="99" t="s">
        <v>169</v>
      </c>
      <c r="Q193" s="225">
        <v>66</v>
      </c>
      <c r="R193" s="381"/>
      <c r="W193" s="90">
        <f>IF(X192&lt;&gt;0,X193/X192,0)</f>
        <v>0.72145157725537468</v>
      </c>
      <c r="X193" s="166">
        <f>ROUND(X189*HLOOKUP(X128,Grund_be,3,FALSE),2)</f>
        <v>143626.57999999999</v>
      </c>
      <c r="Z193" s="99" t="s">
        <v>169</v>
      </c>
      <c r="AD193" s="205"/>
      <c r="AE193" s="381"/>
      <c r="AJ193" s="90">
        <f t="shared" ref="AJ193" si="1308">IF(AK192&lt;&gt;0,AK193/AK192,0)</f>
        <v>0.72368418916176169</v>
      </c>
      <c r="AK193" s="166">
        <f>ROUND(AK189*HLOOKUP(AK128,Grund_be,3,FALSE),2)</f>
        <v>142623.67999999999</v>
      </c>
      <c r="AM193" s="99" t="s">
        <v>169</v>
      </c>
      <c r="AQ193" s="205"/>
      <c r="AR193" s="381"/>
      <c r="AW193" s="90">
        <f t="shared" ref="AW193" si="1309">IF(AX192&lt;&gt;0,AX193/AX192,0)</f>
        <v>0.72600220422390815</v>
      </c>
      <c r="AX193" s="166">
        <f>ROUND(AX189*HLOOKUP(AX128,Grund_be,3,FALSE),2)</f>
        <v>141628.51</v>
      </c>
      <c r="AZ193" s="99" t="s">
        <v>169</v>
      </c>
      <c r="BD193" s="205"/>
      <c r="BE193" s="381"/>
      <c r="BJ193" s="90">
        <f t="shared" ref="BJ193" si="1310">IF(BK192&lt;&gt;0,BK193/BK192,0)</f>
        <v>0.72602978265327056</v>
      </c>
      <c r="BK193" s="166">
        <f>ROUND(BK189*HLOOKUP(BK128,Grund_be,3,FALSE),2)</f>
        <v>141633.89000000001</v>
      </c>
      <c r="BM193" s="99" t="s">
        <v>169</v>
      </c>
      <c r="BQ193" s="205"/>
      <c r="BR193" s="381"/>
      <c r="BW193" s="90">
        <f t="shared" ref="BW193" si="1311">IF(BX192&lt;&gt;0,BX193/BX192,0)</f>
        <v>0.69245988776655443</v>
      </c>
      <c r="BX193" s="166">
        <f>ROUND(BX189*HLOOKUP(BX128,Grund_be,3,FALSE),2)</f>
        <v>115684.08</v>
      </c>
      <c r="BZ193" s="99" t="s">
        <v>169</v>
      </c>
      <c r="CD193" s="205"/>
      <c r="CE193" s="381"/>
      <c r="CJ193" s="90">
        <f t="shared" ref="CJ193" si="1312">IF(CK192&lt;&gt;0,CK193/CK192,0)</f>
        <v>0.58072417455961767</v>
      </c>
      <c r="CK193" s="166">
        <f>ROUND(CK189*HLOOKUP(CK128,Grund_be,3,FALSE),2)</f>
        <v>65604.41</v>
      </c>
      <c r="CM193" s="99" t="s">
        <v>169</v>
      </c>
      <c r="CQ193" s="205"/>
      <c r="CR193" s="381"/>
      <c r="CW193" s="90">
        <f t="shared" ref="CW193" si="1313">IF(CX192&lt;&gt;0,CX193/CX192,0)</f>
        <v>0.58080605470478897</v>
      </c>
      <c r="CX193" s="166">
        <f>ROUND(CX189*HLOOKUP(CX128,Grund_be,3,FALSE),2)</f>
        <v>65613.66</v>
      </c>
      <c r="CZ193" s="99" t="s">
        <v>169</v>
      </c>
      <c r="DD193" s="205"/>
      <c r="DE193" s="381"/>
      <c r="DJ193" s="90">
        <f t="shared" ref="DJ193" si="1314">IF(DK192&lt;&gt;0,DK193/DK192,0)</f>
        <v>0.57425599716738951</v>
      </c>
      <c r="DK193" s="166">
        <f>ROUND(DK189*HLOOKUP(DK128,Grund_be,3,FALSE),2)</f>
        <v>64873.7</v>
      </c>
      <c r="DM193" s="99" t="s">
        <v>169</v>
      </c>
      <c r="DQ193" s="205"/>
      <c r="DR193" s="381"/>
      <c r="DW193" s="90">
        <f t="shared" ref="DW193" si="1315">IF(DX192&lt;&gt;0,DX193/DX192,0)</f>
        <v>0.57370018589005933</v>
      </c>
      <c r="DX193" s="166">
        <f>ROUND(DX189*HLOOKUP(DX128,Grund_be,3,FALSE),2)</f>
        <v>64810.91</v>
      </c>
      <c r="DZ193" s="99" t="s">
        <v>169</v>
      </c>
      <c r="ED193" s="205"/>
    </row>
    <row r="194" spans="1:134" x14ac:dyDescent="0.35">
      <c r="A194" s="99" t="s">
        <v>170</v>
      </c>
      <c r="Q194" s="225">
        <v>67</v>
      </c>
      <c r="R194" s="381"/>
      <c r="W194" s="90">
        <f>IF(X192&lt;&gt;0,X194/X192,0)</f>
        <v>0.27854842274462527</v>
      </c>
      <c r="X194" s="166">
        <f>ROUND(X190*HLOOKUP(X128,Grund_be,3,FALSE),2)</f>
        <v>55453.42</v>
      </c>
      <c r="Z194" s="99" t="s">
        <v>170</v>
      </c>
      <c r="AD194" s="205"/>
      <c r="AE194" s="381"/>
      <c r="AJ194" s="90">
        <f t="shared" ref="AJ194" si="1316">IF(AK192&lt;&gt;0,AK194/AK192,0)</f>
        <v>0.27631581083823825</v>
      </c>
      <c r="AK194" s="166">
        <f>ROUND(AK190*HLOOKUP(AK128,Grund_be,3,FALSE),2)</f>
        <v>54456.32</v>
      </c>
      <c r="AM194" s="99" t="s">
        <v>170</v>
      </c>
      <c r="AQ194" s="205"/>
      <c r="AR194" s="381"/>
      <c r="AW194" s="90">
        <f t="shared" ref="AW194" si="1317">IF(AX192&lt;&gt;0,AX194/AX192,0)</f>
        <v>0.27399779577609185</v>
      </c>
      <c r="AX194" s="166">
        <f>ROUND(AX190*HLOOKUP(AX128,Grund_be,3,FALSE),2)</f>
        <v>53451.49</v>
      </c>
      <c r="AZ194" s="99" t="s">
        <v>170</v>
      </c>
      <c r="BD194" s="205"/>
      <c r="BE194" s="381"/>
      <c r="BJ194" s="90">
        <f t="shared" ref="BJ194" si="1318">IF(BK192&lt;&gt;0,BK194/BK192,0)</f>
        <v>0.27397021734672955</v>
      </c>
      <c r="BK194" s="166">
        <f>ROUND(BK190*HLOOKUP(BK128,Grund_be,3,FALSE),2)</f>
        <v>53446.11</v>
      </c>
      <c r="BM194" s="99" t="s">
        <v>170</v>
      </c>
      <c r="BQ194" s="205"/>
      <c r="BR194" s="381"/>
      <c r="BW194" s="90">
        <f t="shared" ref="BW194" si="1319">IF(BX192&lt;&gt;0,BX194/BX192,0)</f>
        <v>0.30754011223344557</v>
      </c>
      <c r="BX194" s="166">
        <f>ROUND(BX190*HLOOKUP(BX128,Grund_be,3,FALSE),2)</f>
        <v>51378.42</v>
      </c>
      <c r="BZ194" s="99" t="s">
        <v>170</v>
      </c>
      <c r="CD194" s="205"/>
      <c r="CE194" s="381"/>
      <c r="CJ194" s="90">
        <f t="shared" ref="CJ194" si="1320">IF(CK192&lt;&gt;0,CK194/CK192,0)</f>
        <v>0.41927582544038239</v>
      </c>
      <c r="CK194" s="166">
        <f>ROUND(CK190*HLOOKUP(CK128,Grund_be,3,FALSE),2)</f>
        <v>47365.59</v>
      </c>
      <c r="CM194" s="99" t="s">
        <v>170</v>
      </c>
      <c r="CQ194" s="205"/>
      <c r="CR194" s="381"/>
      <c r="CW194" s="90">
        <f t="shared" ref="CW194" si="1321">IF(CX192&lt;&gt;0,CX194/CX192,0)</f>
        <v>0.41919394529521109</v>
      </c>
      <c r="CX194" s="166">
        <f>ROUND(CX190*HLOOKUP(CX128,Grund_be,3,FALSE),2)</f>
        <v>47356.34</v>
      </c>
      <c r="CZ194" s="99" t="s">
        <v>170</v>
      </c>
      <c r="DD194" s="205"/>
      <c r="DE194" s="381"/>
      <c r="DJ194" s="90">
        <f t="shared" ref="DJ194" si="1322">IF(DK192&lt;&gt;0,DK194/DK192,0)</f>
        <v>0.42574400283261044</v>
      </c>
      <c r="DK194" s="166">
        <f>ROUND(DK190*HLOOKUP(DK128,Grund_be,3,FALSE),2)</f>
        <v>48096.3</v>
      </c>
      <c r="DM194" s="99" t="s">
        <v>170</v>
      </c>
      <c r="DQ194" s="205"/>
      <c r="DR194" s="381"/>
      <c r="DW194" s="90">
        <f t="shared" ref="DW194" si="1323">IF(DX192&lt;&gt;0,DX194/DX192,0)</f>
        <v>0.42629981410994067</v>
      </c>
      <c r="DX194" s="166">
        <f>ROUND(DX190*HLOOKUP(DX128,Grund_be,3,FALSE),2)</f>
        <v>48159.09</v>
      </c>
      <c r="DZ194" s="99" t="s">
        <v>170</v>
      </c>
      <c r="ED194" s="205"/>
    </row>
    <row r="195" spans="1:134" x14ac:dyDescent="0.35">
      <c r="A195" s="99" t="s">
        <v>596</v>
      </c>
      <c r="Q195" s="225">
        <v>68</v>
      </c>
      <c r="R195" s="381"/>
      <c r="W195" s="10">
        <f>IF(X192&lt;&gt;0,X195/X192,0)</f>
        <v>0</v>
      </c>
      <c r="X195" s="166">
        <f>ROUND(X191*HLOOKUP(X128,Grund_be,3,FALSE),2)</f>
        <v>0</v>
      </c>
      <c r="Z195" s="99" t="s">
        <v>596</v>
      </c>
      <c r="AD195" s="205"/>
      <c r="AE195" s="381"/>
      <c r="AJ195" s="10">
        <f t="shared" ref="AJ195" si="1324">IF(AK192&lt;&gt;0,AK195/AK192,0)</f>
        <v>0</v>
      </c>
      <c r="AK195" s="166">
        <f>ROUND(AK191*HLOOKUP(AK128,Grund_be,3,FALSE),2)</f>
        <v>0</v>
      </c>
      <c r="AM195" s="99" t="s">
        <v>596</v>
      </c>
      <c r="AQ195" s="205"/>
      <c r="AR195" s="381"/>
      <c r="AW195" s="10">
        <f t="shared" ref="AW195" si="1325">IF(AX192&lt;&gt;0,AX195/AX192,0)</f>
        <v>0</v>
      </c>
      <c r="AX195" s="166">
        <f>ROUND(AX191*HLOOKUP(AX128,Grund_be,3,FALSE),2)</f>
        <v>0</v>
      </c>
      <c r="AZ195" s="99" t="s">
        <v>596</v>
      </c>
      <c r="BD195" s="205"/>
      <c r="BE195" s="381"/>
      <c r="BJ195" s="10">
        <f t="shared" ref="BJ195" si="1326">IF(BK192&lt;&gt;0,BK195/BK192,0)</f>
        <v>0</v>
      </c>
      <c r="BK195" s="166">
        <f>ROUND(BK191*HLOOKUP(BK128,Grund_be,3,FALSE),2)</f>
        <v>0</v>
      </c>
      <c r="BM195" s="99" t="s">
        <v>596</v>
      </c>
      <c r="BQ195" s="205"/>
      <c r="BR195" s="381"/>
      <c r="BW195" s="10">
        <f t="shared" ref="BW195" si="1327">IF(BX192&lt;&gt;0,BX195/BX192,0)</f>
        <v>0</v>
      </c>
      <c r="BX195" s="166">
        <f>ROUND(BX191*HLOOKUP(BX128,Grund_be,3,FALSE),2)</f>
        <v>0</v>
      </c>
      <c r="BZ195" s="99" t="s">
        <v>596</v>
      </c>
      <c r="CD195" s="205"/>
      <c r="CE195" s="381"/>
      <c r="CJ195" s="10">
        <f t="shared" ref="CJ195" si="1328">IF(CK192&lt;&gt;0,CK195/CK192,0)</f>
        <v>0</v>
      </c>
      <c r="CK195" s="166">
        <f>ROUND(CK191*HLOOKUP(CK128,Grund_be,3,FALSE),2)</f>
        <v>0</v>
      </c>
      <c r="CM195" s="99" t="s">
        <v>596</v>
      </c>
      <c r="CQ195" s="205"/>
      <c r="CR195" s="381"/>
      <c r="CW195" s="10">
        <f t="shared" ref="CW195" si="1329">IF(CX192&lt;&gt;0,CX195/CX192,0)</f>
        <v>0</v>
      </c>
      <c r="CX195" s="166">
        <f>ROUND(CX191*HLOOKUP(CX128,Grund_be,3,FALSE),2)</f>
        <v>0</v>
      </c>
      <c r="CZ195" s="99" t="s">
        <v>596</v>
      </c>
      <c r="DD195" s="205"/>
      <c r="DE195" s="381"/>
      <c r="DJ195" s="10">
        <f t="shared" ref="DJ195" si="1330">IF(DK192&lt;&gt;0,DK195/DK192,0)</f>
        <v>0</v>
      </c>
      <c r="DK195" s="166">
        <f>ROUND(DK191*HLOOKUP(DK128,Grund_be,3,FALSE),2)</f>
        <v>0</v>
      </c>
      <c r="DM195" s="99" t="s">
        <v>596</v>
      </c>
      <c r="DQ195" s="205"/>
      <c r="DR195" s="381"/>
      <c r="DW195" s="10">
        <f t="shared" ref="DW195" si="1331">IF(DX192&lt;&gt;0,DX195/DX192,0)</f>
        <v>0</v>
      </c>
      <c r="DX195" s="166">
        <f>ROUND(DX191*HLOOKUP(DX128,Grund_be,3,FALSE),2)</f>
        <v>0</v>
      </c>
      <c r="DZ195" s="99" t="s">
        <v>596</v>
      </c>
      <c r="ED195" s="205"/>
    </row>
    <row r="196" spans="1:134" x14ac:dyDescent="0.35">
      <c r="A196" s="204" t="s">
        <v>595</v>
      </c>
      <c r="Q196" s="225">
        <v>69</v>
      </c>
      <c r="R196" s="381"/>
      <c r="W196" s="90">
        <f>SUM(W197:W199)</f>
        <v>0</v>
      </c>
      <c r="X196" s="54">
        <f>ROUND(X188-X192,2)</f>
        <v>0</v>
      </c>
      <c r="Z196" s="204" t="s">
        <v>595</v>
      </c>
      <c r="AD196" s="205"/>
      <c r="AE196" s="381"/>
      <c r="AJ196" s="90">
        <f t="shared" ref="AJ196" si="1332">SUM(AJ197:AJ199)</f>
        <v>0</v>
      </c>
      <c r="AK196" s="54">
        <f t="shared" ref="AK196:BK199" si="1333">ROUND(AK188-AK192,2)</f>
        <v>0</v>
      </c>
      <c r="AM196" s="204" t="s">
        <v>595</v>
      </c>
      <c r="AQ196" s="205"/>
      <c r="AR196" s="381"/>
      <c r="AW196" s="90">
        <f t="shared" ref="AW196" si="1334">SUM(AW197:AW199)</f>
        <v>0</v>
      </c>
      <c r="AX196" s="54">
        <f t="shared" ref="AX196" si="1335">ROUND(AX188-AX192,2)</f>
        <v>0</v>
      </c>
      <c r="AZ196" s="204" t="s">
        <v>595</v>
      </c>
      <c r="BD196" s="205"/>
      <c r="BE196" s="381"/>
      <c r="BJ196" s="90">
        <f t="shared" ref="BJ196" si="1336">SUM(BJ197:BJ199)</f>
        <v>0</v>
      </c>
      <c r="BK196" s="54">
        <f t="shared" ref="BK196" si="1337">ROUND(BK188-BK192,2)</f>
        <v>0</v>
      </c>
      <c r="BM196" s="204" t="s">
        <v>595</v>
      </c>
      <c r="BQ196" s="205"/>
      <c r="BR196" s="381"/>
      <c r="BW196" s="90">
        <f t="shared" ref="BW196" si="1338">SUM(BW197:BW199)</f>
        <v>0</v>
      </c>
      <c r="BX196" s="54">
        <f t="shared" ref="BX196:CX199" si="1339">ROUND(BX188-BX192,2)</f>
        <v>0</v>
      </c>
      <c r="BZ196" s="204" t="s">
        <v>595</v>
      </c>
      <c r="CD196" s="205"/>
      <c r="CE196" s="381"/>
      <c r="CJ196" s="90">
        <f t="shared" ref="CJ196" si="1340">SUM(CJ197:CJ199)</f>
        <v>0</v>
      </c>
      <c r="CK196" s="54">
        <f t="shared" ref="CK196" si="1341">ROUND(CK188-CK192,2)</f>
        <v>0</v>
      </c>
      <c r="CM196" s="204" t="s">
        <v>595</v>
      </c>
      <c r="CQ196" s="205"/>
      <c r="CR196" s="381"/>
      <c r="CW196" s="90">
        <f t="shared" ref="CW196" si="1342">SUM(CW197:CW199)</f>
        <v>0</v>
      </c>
      <c r="CX196" s="54">
        <f t="shared" ref="CX196" si="1343">ROUND(CX188-CX192,2)</f>
        <v>0</v>
      </c>
      <c r="CZ196" s="204" t="s">
        <v>595</v>
      </c>
      <c r="DD196" s="205"/>
      <c r="DE196" s="381"/>
      <c r="DJ196" s="90">
        <f t="shared" ref="DJ196" si="1344">SUM(DJ197:DJ199)</f>
        <v>0</v>
      </c>
      <c r="DK196" s="54">
        <f t="shared" ref="DK196:DX199" si="1345">ROUND(DK188-DK192,2)</f>
        <v>0</v>
      </c>
      <c r="DM196" s="204" t="s">
        <v>595</v>
      </c>
      <c r="DQ196" s="205"/>
      <c r="DR196" s="381"/>
      <c r="DW196" s="90">
        <f t="shared" ref="DW196" si="1346">SUM(DW197:DW199)</f>
        <v>0</v>
      </c>
      <c r="DX196" s="54">
        <f t="shared" ref="DX196" si="1347">ROUND(DX188-DX192,2)</f>
        <v>0</v>
      </c>
      <c r="DZ196" s="204" t="s">
        <v>595</v>
      </c>
      <c r="ED196" s="205"/>
    </row>
    <row r="197" spans="1:134" x14ac:dyDescent="0.35">
      <c r="A197" s="99" t="s">
        <v>169</v>
      </c>
      <c r="Q197" s="225">
        <v>70</v>
      </c>
      <c r="R197" s="381"/>
      <c r="W197" s="90">
        <f>IF(X196&lt;&gt;0,X197/X196,0)</f>
        <v>0</v>
      </c>
      <c r="X197" s="54">
        <f t="shared" ref="X197:X199" si="1348">ROUND(X189-X193,2)</f>
        <v>0</v>
      </c>
      <c r="Z197" s="99" t="s">
        <v>169</v>
      </c>
      <c r="AD197" s="205"/>
      <c r="AE197" s="381"/>
      <c r="AJ197" s="90">
        <f t="shared" ref="AJ197" si="1349">IF(AK196&lt;&gt;0,AK197/AK196,0)</f>
        <v>0</v>
      </c>
      <c r="AK197" s="54">
        <f t="shared" si="1333"/>
        <v>0</v>
      </c>
      <c r="AM197" s="99" t="s">
        <v>169</v>
      </c>
      <c r="AQ197" s="205"/>
      <c r="AR197" s="381"/>
      <c r="AW197" s="90">
        <f t="shared" ref="AW197" si="1350">IF(AX196&lt;&gt;0,AX197/AX196,0)</f>
        <v>0</v>
      </c>
      <c r="AX197" s="54">
        <f t="shared" si="1333"/>
        <v>0</v>
      </c>
      <c r="AZ197" s="99" t="s">
        <v>169</v>
      </c>
      <c r="BD197" s="205"/>
      <c r="BE197" s="381"/>
      <c r="BJ197" s="90">
        <f t="shared" ref="BJ197" si="1351">IF(BK196&lt;&gt;0,BK197/BK196,0)</f>
        <v>0</v>
      </c>
      <c r="BK197" s="54">
        <f t="shared" si="1333"/>
        <v>0</v>
      </c>
      <c r="BM197" s="99" t="s">
        <v>169</v>
      </c>
      <c r="BQ197" s="205"/>
      <c r="BR197" s="381"/>
      <c r="BW197" s="90">
        <f t="shared" ref="BW197" si="1352">IF(BX196&lt;&gt;0,BX197/BX196,0)</f>
        <v>0</v>
      </c>
      <c r="BX197" s="54">
        <f t="shared" si="1339"/>
        <v>0</v>
      </c>
      <c r="BZ197" s="99" t="s">
        <v>169</v>
      </c>
      <c r="CD197" s="205"/>
      <c r="CE197" s="381"/>
      <c r="CJ197" s="90">
        <f t="shared" ref="CJ197" si="1353">IF(CK196&lt;&gt;0,CK197/CK196,0)</f>
        <v>0</v>
      </c>
      <c r="CK197" s="54">
        <f t="shared" si="1339"/>
        <v>0</v>
      </c>
      <c r="CM197" s="99" t="s">
        <v>169</v>
      </c>
      <c r="CQ197" s="205"/>
      <c r="CR197" s="381"/>
      <c r="CW197" s="90">
        <f t="shared" ref="CW197" si="1354">IF(CX196&lt;&gt;0,CX197/CX196,0)</f>
        <v>0</v>
      </c>
      <c r="CX197" s="54">
        <f t="shared" si="1339"/>
        <v>0</v>
      </c>
      <c r="CZ197" s="99" t="s">
        <v>169</v>
      </c>
      <c r="DD197" s="205"/>
      <c r="DE197" s="381"/>
      <c r="DJ197" s="90">
        <f t="shared" ref="DJ197" si="1355">IF(DK196&lt;&gt;0,DK197/DK196,0)</f>
        <v>0</v>
      </c>
      <c r="DK197" s="54">
        <f t="shared" si="1345"/>
        <v>0</v>
      </c>
      <c r="DM197" s="99" t="s">
        <v>169</v>
      </c>
      <c r="DQ197" s="205"/>
      <c r="DR197" s="381"/>
      <c r="DW197" s="90">
        <f t="shared" ref="DW197" si="1356">IF(DX196&lt;&gt;0,DX197/DX196,0)</f>
        <v>0</v>
      </c>
      <c r="DX197" s="54">
        <f t="shared" si="1345"/>
        <v>0</v>
      </c>
      <c r="DZ197" s="99" t="s">
        <v>169</v>
      </c>
      <c r="ED197" s="205"/>
    </row>
    <row r="198" spans="1:134" x14ac:dyDescent="0.35">
      <c r="A198" s="99" t="s">
        <v>170</v>
      </c>
      <c r="Q198" s="225">
        <v>71</v>
      </c>
      <c r="R198" s="381"/>
      <c r="W198" s="90">
        <f>IF(X196&lt;&gt;0,X198/X196,0)</f>
        <v>0</v>
      </c>
      <c r="X198" s="54">
        <f t="shared" si="1348"/>
        <v>0</v>
      </c>
      <c r="Z198" s="99" t="s">
        <v>170</v>
      </c>
      <c r="AD198" s="205"/>
      <c r="AE198" s="381"/>
      <c r="AJ198" s="90">
        <f t="shared" ref="AJ198" si="1357">IF(AK196&lt;&gt;0,AK198/AK196,0)</f>
        <v>0</v>
      </c>
      <c r="AK198" s="54">
        <f t="shared" si="1333"/>
        <v>0</v>
      </c>
      <c r="AM198" s="99" t="s">
        <v>170</v>
      </c>
      <c r="AQ198" s="205"/>
      <c r="AR198" s="381"/>
      <c r="AW198" s="90">
        <f t="shared" ref="AW198" si="1358">IF(AX196&lt;&gt;0,AX198/AX196,0)</f>
        <v>0</v>
      </c>
      <c r="AX198" s="54">
        <f t="shared" si="1333"/>
        <v>0</v>
      </c>
      <c r="AZ198" s="99" t="s">
        <v>170</v>
      </c>
      <c r="BD198" s="205"/>
      <c r="BE198" s="381"/>
      <c r="BJ198" s="90">
        <f t="shared" ref="BJ198" si="1359">IF(BK196&lt;&gt;0,BK198/BK196,0)</f>
        <v>0</v>
      </c>
      <c r="BK198" s="54">
        <f t="shared" si="1333"/>
        <v>0</v>
      </c>
      <c r="BM198" s="99" t="s">
        <v>170</v>
      </c>
      <c r="BQ198" s="205"/>
      <c r="BR198" s="381"/>
      <c r="BW198" s="90">
        <f t="shared" ref="BW198" si="1360">IF(BX196&lt;&gt;0,BX198/BX196,0)</f>
        <v>0</v>
      </c>
      <c r="BX198" s="54">
        <f t="shared" si="1339"/>
        <v>0</v>
      </c>
      <c r="BZ198" s="99" t="s">
        <v>170</v>
      </c>
      <c r="CD198" s="205"/>
      <c r="CE198" s="381"/>
      <c r="CJ198" s="90">
        <f t="shared" ref="CJ198" si="1361">IF(CK196&lt;&gt;0,CK198/CK196,0)</f>
        <v>0</v>
      </c>
      <c r="CK198" s="54">
        <f t="shared" si="1339"/>
        <v>0</v>
      </c>
      <c r="CM198" s="99" t="s">
        <v>170</v>
      </c>
      <c r="CQ198" s="205"/>
      <c r="CR198" s="381"/>
      <c r="CW198" s="90">
        <f t="shared" ref="CW198" si="1362">IF(CX196&lt;&gt;0,CX198/CX196,0)</f>
        <v>0</v>
      </c>
      <c r="CX198" s="54">
        <f t="shared" si="1339"/>
        <v>0</v>
      </c>
      <c r="CZ198" s="99" t="s">
        <v>170</v>
      </c>
      <c r="DD198" s="205"/>
      <c r="DE198" s="381"/>
      <c r="DJ198" s="90">
        <f t="shared" ref="DJ198" si="1363">IF(DK196&lt;&gt;0,DK198/DK196,0)</f>
        <v>0</v>
      </c>
      <c r="DK198" s="54">
        <f t="shared" si="1345"/>
        <v>0</v>
      </c>
      <c r="DM198" s="99" t="s">
        <v>170</v>
      </c>
      <c r="DQ198" s="205"/>
      <c r="DR198" s="381"/>
      <c r="DW198" s="90">
        <f t="shared" ref="DW198" si="1364">IF(DX196&lt;&gt;0,DX198/DX196,0)</f>
        <v>0</v>
      </c>
      <c r="DX198" s="54">
        <f t="shared" si="1345"/>
        <v>0</v>
      </c>
      <c r="DZ198" s="99" t="s">
        <v>170</v>
      </c>
      <c r="ED198" s="205"/>
    </row>
    <row r="199" spans="1:134" x14ac:dyDescent="0.35">
      <c r="A199" s="99" t="s">
        <v>596</v>
      </c>
      <c r="Q199" s="225">
        <v>72</v>
      </c>
      <c r="R199" s="381"/>
      <c r="W199" s="10">
        <f>IF(X196&lt;&gt;0,X199/X196,0)</f>
        <v>0</v>
      </c>
      <c r="X199" s="54">
        <f t="shared" si="1348"/>
        <v>0</v>
      </c>
      <c r="Z199" s="99" t="s">
        <v>596</v>
      </c>
      <c r="AD199" s="205"/>
      <c r="AE199" s="381"/>
      <c r="AJ199" s="10">
        <f t="shared" ref="AJ199" si="1365">IF(AK196&lt;&gt;0,AK199/AK196,0)</f>
        <v>0</v>
      </c>
      <c r="AK199" s="54">
        <f t="shared" si="1333"/>
        <v>0</v>
      </c>
      <c r="AM199" s="99" t="s">
        <v>596</v>
      </c>
      <c r="AQ199" s="205"/>
      <c r="AR199" s="381"/>
      <c r="AW199" s="10">
        <f t="shared" ref="AW199" si="1366">IF(AX196&lt;&gt;0,AX199/AX196,0)</f>
        <v>0</v>
      </c>
      <c r="AX199" s="54">
        <f t="shared" si="1333"/>
        <v>0</v>
      </c>
      <c r="AZ199" s="99" t="s">
        <v>596</v>
      </c>
      <c r="BD199" s="205"/>
      <c r="BE199" s="381"/>
      <c r="BJ199" s="10">
        <f t="shared" ref="BJ199" si="1367">IF(BK196&lt;&gt;0,BK199/BK196,0)</f>
        <v>0</v>
      </c>
      <c r="BK199" s="54">
        <f t="shared" si="1333"/>
        <v>0</v>
      </c>
      <c r="BM199" s="99" t="s">
        <v>596</v>
      </c>
      <c r="BQ199" s="205"/>
      <c r="BR199" s="381"/>
      <c r="BW199" s="10">
        <f t="shared" ref="BW199" si="1368">IF(BX196&lt;&gt;0,BX199/BX196,0)</f>
        <v>0</v>
      </c>
      <c r="BX199" s="54">
        <f t="shared" si="1339"/>
        <v>0</v>
      </c>
      <c r="BZ199" s="99" t="s">
        <v>596</v>
      </c>
      <c r="CD199" s="205"/>
      <c r="CE199" s="381"/>
      <c r="CJ199" s="10">
        <f t="shared" ref="CJ199" si="1369">IF(CK196&lt;&gt;0,CK199/CK196,0)</f>
        <v>0</v>
      </c>
      <c r="CK199" s="54">
        <f t="shared" si="1339"/>
        <v>0</v>
      </c>
      <c r="CM199" s="99" t="s">
        <v>596</v>
      </c>
      <c r="CQ199" s="205"/>
      <c r="CR199" s="381"/>
      <c r="CW199" s="10">
        <f t="shared" ref="CW199" si="1370">IF(CX196&lt;&gt;0,CX199/CX196,0)</f>
        <v>0</v>
      </c>
      <c r="CX199" s="54">
        <f t="shared" si="1339"/>
        <v>0</v>
      </c>
      <c r="CZ199" s="99" t="s">
        <v>596</v>
      </c>
      <c r="DD199" s="205"/>
      <c r="DE199" s="381"/>
      <c r="DJ199" s="10">
        <f t="shared" ref="DJ199" si="1371">IF(DK196&lt;&gt;0,DK199/DK196,0)</f>
        <v>0</v>
      </c>
      <c r="DK199" s="54">
        <f t="shared" si="1345"/>
        <v>0</v>
      </c>
      <c r="DM199" s="99" t="s">
        <v>596</v>
      </c>
      <c r="DQ199" s="205"/>
      <c r="DR199" s="381"/>
      <c r="DW199" s="10">
        <f t="shared" ref="DW199" si="1372">IF(DX196&lt;&gt;0,DX199/DX196,0)</f>
        <v>0</v>
      </c>
      <c r="DX199" s="54">
        <f t="shared" si="1345"/>
        <v>0</v>
      </c>
      <c r="DZ199" s="99" t="s">
        <v>596</v>
      </c>
      <c r="ED199" s="205"/>
    </row>
    <row r="200" spans="1:134" x14ac:dyDescent="0.35">
      <c r="Q200" s="225">
        <v>73</v>
      </c>
      <c r="R200" s="381"/>
      <c r="AD200" s="205"/>
      <c r="AE200" s="381"/>
      <c r="AQ200" s="205"/>
      <c r="AR200" s="381"/>
      <c r="BD200" s="205"/>
      <c r="BE200" s="381"/>
      <c r="BQ200" s="205"/>
      <c r="BR200" s="381"/>
      <c r="CD200" s="205"/>
      <c r="CE200" s="381"/>
      <c r="CQ200" s="205"/>
      <c r="CR200" s="381"/>
      <c r="DD200" s="205"/>
      <c r="DE200" s="381"/>
      <c r="DQ200" s="205"/>
      <c r="DR200" s="381"/>
      <c r="ED200" s="205"/>
    </row>
    <row r="201" spans="1:134" x14ac:dyDescent="0.35">
      <c r="Q201" s="225">
        <v>74</v>
      </c>
      <c r="R201" s="381"/>
      <c r="AD201" s="205"/>
      <c r="AE201" s="381"/>
      <c r="AQ201" s="205"/>
      <c r="AR201" s="381"/>
      <c r="BD201" s="205"/>
      <c r="BE201" s="381"/>
      <c r="BQ201" s="205"/>
      <c r="BR201" s="381"/>
      <c r="CD201" s="205"/>
      <c r="CE201" s="381"/>
      <c r="CQ201" s="205"/>
      <c r="CR201" s="381"/>
      <c r="DD201" s="205"/>
      <c r="DE201" s="381"/>
      <c r="DQ201" s="205"/>
      <c r="DR201" s="381"/>
      <c r="ED201" s="205"/>
    </row>
    <row r="202" spans="1:134" x14ac:dyDescent="0.35">
      <c r="Q202" s="225">
        <v>75</v>
      </c>
      <c r="R202" s="381"/>
      <c r="AD202" s="205"/>
      <c r="AE202" s="381"/>
      <c r="AQ202" s="205"/>
      <c r="AR202" s="381"/>
      <c r="BD202" s="205"/>
      <c r="BE202" s="381"/>
      <c r="BQ202" s="205"/>
      <c r="BR202" s="381"/>
      <c r="CD202" s="205"/>
      <c r="CE202" s="381"/>
      <c r="CQ202" s="205"/>
      <c r="CR202" s="381"/>
      <c r="DD202" s="205"/>
      <c r="DE202" s="381"/>
      <c r="DQ202" s="205"/>
      <c r="DR202" s="381"/>
      <c r="ED202" s="205"/>
    </row>
    <row r="203" spans="1:134" x14ac:dyDescent="0.35">
      <c r="Q203" s="225">
        <v>76</v>
      </c>
      <c r="R203" s="381"/>
      <c r="AD203" s="205"/>
      <c r="AE203" s="381"/>
      <c r="AQ203" s="205"/>
      <c r="AR203" s="381"/>
      <c r="BD203" s="205"/>
      <c r="BE203" s="381"/>
      <c r="BQ203" s="205"/>
      <c r="BR203" s="381"/>
      <c r="CD203" s="205"/>
      <c r="CE203" s="381"/>
      <c r="CQ203" s="205"/>
      <c r="CR203" s="381"/>
      <c r="DD203" s="205"/>
      <c r="DE203" s="381"/>
      <c r="DQ203" s="205"/>
      <c r="DR203" s="381"/>
      <c r="ED203" s="205"/>
    </row>
    <row r="204" spans="1:134" x14ac:dyDescent="0.35">
      <c r="Q204" s="225">
        <v>77</v>
      </c>
      <c r="R204" s="381"/>
      <c r="AD204" s="205"/>
      <c r="AE204" s="381"/>
      <c r="AQ204" s="205"/>
      <c r="AR204" s="381"/>
      <c r="BD204" s="205"/>
      <c r="BE204" s="381"/>
      <c r="BQ204" s="205"/>
      <c r="BR204" s="381"/>
      <c r="CD204" s="205"/>
      <c r="CE204" s="381"/>
      <c r="CQ204" s="205"/>
      <c r="CR204" s="381"/>
      <c r="DD204" s="205"/>
      <c r="DE204" s="381"/>
      <c r="DQ204" s="205"/>
      <c r="DR204" s="381"/>
      <c r="ED204" s="205"/>
    </row>
    <row r="205" spans="1:134" x14ac:dyDescent="0.35">
      <c r="Q205" s="225">
        <v>78</v>
      </c>
      <c r="R205" s="381"/>
      <c r="AD205" s="205"/>
      <c r="AE205" s="381"/>
      <c r="AQ205" s="205"/>
      <c r="AR205" s="381"/>
      <c r="BD205" s="205"/>
      <c r="BE205" s="381"/>
      <c r="BQ205" s="205"/>
      <c r="BR205" s="381"/>
      <c r="CD205" s="205"/>
      <c r="CE205" s="381"/>
      <c r="CQ205" s="205"/>
      <c r="CR205" s="381"/>
      <c r="DD205" s="205"/>
      <c r="DE205" s="381"/>
      <c r="DQ205" s="205"/>
      <c r="DR205" s="381"/>
      <c r="ED205" s="205"/>
    </row>
    <row r="206" spans="1:134" x14ac:dyDescent="0.35">
      <c r="Q206" s="225">
        <v>79</v>
      </c>
      <c r="R206" s="381"/>
      <c r="AD206" s="205"/>
      <c r="AE206" s="381"/>
      <c r="AQ206" s="205"/>
      <c r="AR206" s="381"/>
      <c r="BD206" s="205"/>
      <c r="BE206" s="381"/>
      <c r="BQ206" s="205"/>
      <c r="BR206" s="381"/>
      <c r="CD206" s="205"/>
      <c r="CE206" s="381"/>
      <c r="CQ206" s="205"/>
      <c r="CR206" s="381"/>
      <c r="DD206" s="205"/>
      <c r="DE206" s="381"/>
      <c r="DQ206" s="205"/>
      <c r="DR206" s="381"/>
      <c r="ED206" s="205"/>
    </row>
    <row r="207" spans="1:134" x14ac:dyDescent="0.35">
      <c r="Q207" s="225">
        <v>80</v>
      </c>
      <c r="R207" s="381"/>
      <c r="AD207" s="205"/>
      <c r="AE207" s="381"/>
      <c r="AQ207" s="205"/>
      <c r="AR207" s="381"/>
      <c r="BD207" s="205"/>
      <c r="BE207" s="381"/>
      <c r="BQ207" s="205"/>
      <c r="BR207" s="381"/>
      <c r="CD207" s="205"/>
      <c r="CE207" s="381"/>
      <c r="CQ207" s="205"/>
      <c r="CR207" s="381"/>
      <c r="DD207" s="205"/>
      <c r="DE207" s="381"/>
      <c r="DQ207" s="205"/>
      <c r="DR207" s="381"/>
      <c r="ED207" s="205"/>
    </row>
  </sheetData>
  <mergeCells count="44">
    <mergeCell ref="B3:B4"/>
    <mergeCell ref="C3:C4"/>
    <mergeCell ref="D3:D4"/>
    <mergeCell ref="E3:E4"/>
    <mergeCell ref="A1:J1"/>
    <mergeCell ref="F3:F4"/>
    <mergeCell ref="I3:I4"/>
    <mergeCell ref="J3:J4"/>
    <mergeCell ref="A2:J2"/>
    <mergeCell ref="A3:A4"/>
    <mergeCell ref="K1:L1"/>
    <mergeCell ref="M1:Q1"/>
    <mergeCell ref="R1:AD1"/>
    <mergeCell ref="AC2:AD2"/>
    <mergeCell ref="L2:L4"/>
    <mergeCell ref="M2:M3"/>
    <mergeCell ref="O2:O3"/>
    <mergeCell ref="Q2:Q3"/>
    <mergeCell ref="R2:AB2"/>
    <mergeCell ref="K2:K4"/>
    <mergeCell ref="AE1:AQ1"/>
    <mergeCell ref="AR1:BD1"/>
    <mergeCell ref="BE1:BQ1"/>
    <mergeCell ref="BR1:CD1"/>
    <mergeCell ref="CE1:CQ1"/>
    <mergeCell ref="BP2:BQ2"/>
    <mergeCell ref="BR2:CB2"/>
    <mergeCell ref="CC2:CD2"/>
    <mergeCell ref="CE2:CO2"/>
    <mergeCell ref="CP2:CQ2"/>
    <mergeCell ref="AE2:AO2"/>
    <mergeCell ref="AP2:AQ2"/>
    <mergeCell ref="AR2:BB2"/>
    <mergeCell ref="BC2:BD2"/>
    <mergeCell ref="BE2:BO2"/>
    <mergeCell ref="DP2:DQ2"/>
    <mergeCell ref="DR2:EB2"/>
    <mergeCell ref="EC2:ED2"/>
    <mergeCell ref="CR1:DD1"/>
    <mergeCell ref="DE1:DQ1"/>
    <mergeCell ref="DR1:ED1"/>
    <mergeCell ref="CR2:DB2"/>
    <mergeCell ref="DC2:DD2"/>
    <mergeCell ref="DE2:DO2"/>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vt:i4>
      </vt:variant>
    </vt:vector>
  </HeadingPairs>
  <TitlesOfParts>
    <vt:vector size="25" baseType="lpstr">
      <vt:lpstr>Nachkalkulation</vt:lpstr>
      <vt:lpstr>Vorkalkulation</vt:lpstr>
      <vt:lpstr>Grunddaten</vt:lpstr>
      <vt:lpstr>Verteilerschl</vt:lpstr>
      <vt:lpstr>Grundgebuehren</vt:lpstr>
      <vt:lpstr>Betriebskosten</vt:lpstr>
      <vt:lpstr>Anlagegueter</vt:lpstr>
      <vt:lpstr>Beitraege</vt:lpstr>
      <vt:lpstr>Zuwendungen</vt:lpstr>
      <vt:lpstr>Verzinsung</vt:lpstr>
      <vt:lpstr>Kontrolle</vt:lpstr>
      <vt:lpstr>Anlageg</vt:lpstr>
      <vt:lpstr>Beitr</vt:lpstr>
      <vt:lpstr>Betriebsko</vt:lpstr>
      <vt:lpstr>Grund_be</vt:lpstr>
      <vt:lpstr>Grund_geb_ein</vt:lpstr>
      <vt:lpstr>Grund_me_fl</vt:lpstr>
      <vt:lpstr>Grund_ue_u</vt:lpstr>
      <vt:lpstr>Grund_zins</vt:lpstr>
      <vt:lpstr>Grundgeb</vt:lpstr>
      <vt:lpstr>Verteil_rwgr</vt:lpstr>
      <vt:lpstr>Verteil_rwst</vt:lpstr>
      <vt:lpstr>Verteil_sw</vt:lpstr>
      <vt:lpstr>Verzins</vt:lpstr>
      <vt:lpstr>Zuwend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Josef Beer</dc:creator>
  <cp:lastModifiedBy>Josef Beer</cp:lastModifiedBy>
  <cp:lastPrinted>2017-08-06T17:29:12Z</cp:lastPrinted>
  <dcterms:created xsi:type="dcterms:W3CDTF">2017-07-04T20:05:56Z</dcterms:created>
  <dcterms:modified xsi:type="dcterms:W3CDTF">2022-01-09T18:10:27Z</dcterms:modified>
</cp:coreProperties>
</file>